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 codeName="현재_통합_문서" defaultThemeVersion="202300"/>
  <xr:revisionPtr revIDLastSave="0" documentId="13_ncr:1_{9FC2F8B5-FD0F-4E65-B418-1D699ACB4339}" xr6:coauthVersionLast="47" xr6:coauthVersionMax="47" xr10:uidLastSave="{00000000-0000-0000-0000-000000000000}"/>
  <bookViews>
    <workbookView xWindow="14295" yWindow="0" windowWidth="14610" windowHeight="15585" xr2:uid="{0B732008-23BD-4F6F-9E6E-0766407813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 s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 s="1"/>
  <c r="L248" i="1" a="1"/>
  <c r="L248" i="1" s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 s="1"/>
  <c r="L256" i="1" a="1"/>
  <c r="L256" i="1" s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 s="1"/>
  <c r="L264" i="1" a="1"/>
  <c r="L264" i="1" s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 s="1"/>
  <c r="L272" i="1" a="1"/>
  <c r="L272" i="1" s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88" i="1" a="1"/>
  <c r="L288" i="1" s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 s="1"/>
  <c r="L297" i="1" a="1"/>
  <c r="L297" i="1" s="1"/>
  <c r="L298" i="1" a="1"/>
  <c r="L298" i="1" s="1"/>
  <c r="L299" i="1" a="1"/>
  <c r="L299" i="1" s="1"/>
  <c r="L300" i="1" a="1"/>
  <c r="L300" i="1" s="1"/>
  <c r="L301" i="1" a="1"/>
  <c r="L301" i="1" s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 s="1"/>
  <c r="L337" i="1" a="1"/>
  <c r="L337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 s="1"/>
  <c r="L353" i="1" a="1"/>
  <c r="L353" i="1" s="1"/>
  <c r="L354" i="1" a="1"/>
  <c r="L354" i="1" s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 s="1"/>
  <c r="L361" i="1" a="1"/>
  <c r="L361" i="1" s="1"/>
  <c r="L362" i="1" a="1"/>
  <c r="L362" i="1" s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 s="1"/>
  <c r="L369" i="1" a="1"/>
  <c r="L369" i="1" s="1"/>
  <c r="L370" i="1" a="1"/>
  <c r="L370" i="1" s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 s="1"/>
  <c r="L377" i="1" a="1"/>
  <c r="L377" i="1" s="1"/>
  <c r="L378" i="1" a="1"/>
  <c r="L378" i="1" s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 s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 s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 s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 s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 s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 s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 s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 s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 s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 s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 s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 s="1"/>
  <c r="L473" i="1" a="1"/>
  <c r="L473" i="1" s="1"/>
  <c r="L474" i="1" a="1"/>
  <c r="L474" i="1" s="1"/>
  <c r="L475" i="1" a="1"/>
  <c r="L475" i="1" s="1"/>
  <c r="L476" i="1" a="1"/>
  <c r="L476" i="1" s="1"/>
  <c r="L477" i="1" a="1"/>
  <c r="L477" i="1" s="1"/>
  <c r="L478" i="1" a="1"/>
  <c r="L478" i="1" s="1"/>
  <c r="L479" i="1" a="1"/>
  <c r="L479" i="1" s="1"/>
  <c r="L480" i="1" a="1"/>
  <c r="L480" i="1" s="1"/>
  <c r="L481" i="1" a="1"/>
  <c r="L481" i="1" s="1"/>
  <c r="L482" i="1" a="1"/>
  <c r="L482" i="1" s="1"/>
  <c r="L483" i="1" a="1"/>
  <c r="L483" i="1" s="1"/>
  <c r="L484" i="1" a="1"/>
  <c r="L484" i="1" s="1"/>
  <c r="L485" i="1" a="1"/>
  <c r="L485" i="1" s="1"/>
  <c r="L486" i="1" a="1"/>
  <c r="L486" i="1" s="1"/>
  <c r="L487" i="1" a="1"/>
  <c r="L487" i="1" s="1"/>
  <c r="L488" i="1" a="1"/>
  <c r="L488" i="1" s="1"/>
  <c r="L489" i="1" a="1"/>
  <c r="L489" i="1" s="1"/>
  <c r="L490" i="1" a="1"/>
  <c r="L490" i="1" s="1"/>
  <c r="L491" i="1" a="1"/>
  <c r="L491" i="1" s="1"/>
  <c r="L492" i="1" a="1"/>
  <c r="L492" i="1" s="1"/>
  <c r="L493" i="1" a="1"/>
  <c r="L493" i="1" s="1"/>
  <c r="L494" i="1" a="1"/>
  <c r="L494" i="1" s="1"/>
  <c r="L495" i="1" a="1"/>
  <c r="L495" i="1" s="1"/>
  <c r="L496" i="1" a="1"/>
  <c r="L496" i="1" s="1"/>
  <c r="L497" i="1" a="1"/>
  <c r="L497" i="1" s="1"/>
  <c r="L498" i="1" a="1"/>
  <c r="L498" i="1" s="1"/>
  <c r="L499" i="1" a="1"/>
  <c r="L499" i="1" s="1"/>
  <c r="L500" i="1" a="1"/>
  <c r="L500" i="1" s="1"/>
  <c r="L501" i="1" a="1"/>
  <c r="L501" i="1" s="1"/>
  <c r="L502" i="1" a="1"/>
  <c r="L502" i="1" s="1"/>
  <c r="L503" i="1" a="1"/>
  <c r="L503" i="1" s="1"/>
  <c r="L504" i="1" a="1"/>
  <c r="L504" i="1" s="1"/>
  <c r="L505" i="1" a="1"/>
  <c r="L505" i="1" s="1"/>
  <c r="L506" i="1" a="1"/>
  <c r="L506" i="1" s="1"/>
  <c r="L507" i="1" a="1"/>
  <c r="L507" i="1" s="1"/>
  <c r="L508" i="1" a="1"/>
  <c r="L508" i="1" s="1"/>
  <c r="L509" i="1" a="1"/>
  <c r="L509" i="1" s="1"/>
  <c r="L510" i="1" a="1"/>
  <c r="L510" i="1" s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/>
  <c r="L518" i="1" a="1"/>
  <c r="L518" i="1" s="1"/>
  <c r="L519" i="1" a="1"/>
  <c r="L519" i="1" s="1"/>
  <c r="L520" i="1" a="1"/>
  <c r="L520" i="1" s="1"/>
  <c r="L521" i="1" a="1"/>
  <c r="L521" i="1" s="1"/>
  <c r="L522" i="1" a="1"/>
  <c r="L522" i="1" s="1"/>
  <c r="L523" i="1" a="1"/>
  <c r="L523" i="1" s="1"/>
  <c r="L524" i="1" a="1"/>
  <c r="L524" i="1" s="1"/>
  <c r="L525" i="1" a="1"/>
  <c r="L525" i="1" s="1"/>
  <c r="L526" i="1" a="1"/>
  <c r="L526" i="1" s="1"/>
  <c r="L527" i="1" a="1"/>
  <c r="L527" i="1" s="1"/>
  <c r="L528" i="1" a="1"/>
  <c r="L528" i="1" s="1"/>
  <c r="L529" i="1" a="1"/>
  <c r="L529" i="1" s="1"/>
  <c r="L530" i="1" a="1"/>
  <c r="L530" i="1" s="1"/>
  <c r="L531" i="1" a="1"/>
  <c r="L531" i="1" s="1"/>
  <c r="L532" i="1" a="1"/>
  <c r="L532" i="1" s="1"/>
  <c r="L533" i="1" a="1"/>
  <c r="L533" i="1" s="1"/>
  <c r="L534" i="1" a="1"/>
  <c r="L534" i="1" s="1"/>
  <c r="L535" i="1" a="1"/>
  <c r="L535" i="1" s="1"/>
  <c r="L536" i="1" a="1"/>
  <c r="L536" i="1" s="1"/>
  <c r="L537" i="1" a="1"/>
  <c r="L537" i="1" s="1"/>
  <c r="L538" i="1" a="1"/>
  <c r="L538" i="1" s="1"/>
  <c r="L539" i="1" a="1"/>
  <c r="L539" i="1" s="1"/>
  <c r="L540" i="1" a="1"/>
  <c r="L540" i="1" s="1"/>
  <c r="L541" i="1" a="1"/>
  <c r="L541" i="1" s="1"/>
  <c r="L542" i="1" a="1"/>
  <c r="L542" i="1" s="1"/>
  <c r="L543" i="1" a="1"/>
  <c r="L543" i="1" s="1"/>
  <c r="L544" i="1" a="1"/>
  <c r="L544" i="1" s="1"/>
  <c r="L545" i="1" a="1"/>
  <c r="L545" i="1" s="1"/>
  <c r="L546" i="1" a="1"/>
  <c r="L546" i="1" s="1"/>
  <c r="L547" i="1" a="1"/>
  <c r="L547" i="1" s="1"/>
  <c r="L548" i="1" a="1"/>
  <c r="L548" i="1" s="1"/>
  <c r="L549" i="1" a="1"/>
  <c r="L549" i="1" s="1"/>
  <c r="L550" i="1" a="1"/>
  <c r="L550" i="1" s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 s="1"/>
  <c r="L557" i="1" a="1"/>
  <c r="L557" i="1" s="1"/>
  <c r="L558" i="1" a="1"/>
  <c r="L558" i="1" s="1"/>
  <c r="L559" i="1" a="1"/>
  <c r="L559" i="1" s="1"/>
  <c r="L560" i="1" a="1"/>
  <c r="L560" i="1" s="1"/>
  <c r="L561" i="1" a="1"/>
  <c r="L561" i="1" s="1"/>
  <c r="L562" i="1" a="1"/>
  <c r="L562" i="1" s="1"/>
  <c r="L563" i="1" a="1"/>
  <c r="L563" i="1" s="1"/>
  <c r="L564" i="1" a="1"/>
  <c r="L564" i="1" s="1"/>
  <c r="L565" i="1" a="1"/>
  <c r="L565" i="1" s="1"/>
  <c r="L566" i="1" a="1"/>
  <c r="L566" i="1" s="1"/>
  <c r="L567" i="1" a="1"/>
  <c r="L567" i="1" s="1"/>
  <c r="L568" i="1" a="1"/>
  <c r="L568" i="1" s="1"/>
  <c r="L569" i="1" a="1"/>
  <c r="L569" i="1" s="1"/>
  <c r="L570" i="1" a="1"/>
  <c r="L570" i="1" s="1"/>
  <c r="L571" i="1" a="1"/>
  <c r="L571" i="1" s="1"/>
  <c r="L572" i="1" a="1"/>
  <c r="L572" i="1" s="1"/>
  <c r="L573" i="1" a="1"/>
  <c r="L573" i="1" s="1"/>
  <c r="L574" i="1" a="1"/>
  <c r="L574" i="1" s="1"/>
  <c r="L575" i="1" a="1"/>
  <c r="L575" i="1" s="1"/>
  <c r="L576" i="1" a="1"/>
  <c r="L576" i="1" s="1"/>
  <c r="L577" i="1" a="1"/>
  <c r="L577" i="1" s="1"/>
  <c r="L578" i="1" a="1"/>
  <c r="L578" i="1" s="1"/>
  <c r="L579" i="1" a="1"/>
  <c r="L579" i="1" s="1"/>
  <c r="L580" i="1" a="1"/>
  <c r="L580" i="1" s="1"/>
  <c r="L581" i="1" a="1"/>
  <c r="L581" i="1" s="1"/>
  <c r="L582" i="1" a="1"/>
  <c r="L582" i="1" s="1"/>
  <c r="L583" i="1" a="1"/>
  <c r="L583" i="1" s="1"/>
  <c r="L584" i="1" a="1"/>
  <c r="L584" i="1" s="1"/>
  <c r="L585" i="1" a="1"/>
  <c r="L585" i="1" s="1"/>
  <c r="L586" i="1" a="1"/>
  <c r="L586" i="1" s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 s="1"/>
  <c r="L593" i="1" a="1"/>
  <c r="L593" i="1" s="1"/>
  <c r="L594" i="1" a="1"/>
  <c r="L594" i="1" s="1"/>
  <c r="L595" i="1" a="1"/>
  <c r="L595" i="1" s="1"/>
  <c r="L596" i="1" a="1"/>
  <c r="L596" i="1" s="1"/>
  <c r="L597" i="1" a="1"/>
  <c r="L597" i="1" s="1"/>
  <c r="L598" i="1" a="1"/>
  <c r="L598" i="1" s="1"/>
  <c r="L599" i="1" a="1"/>
  <c r="L599" i="1" s="1"/>
  <c r="L600" i="1" a="1"/>
  <c r="L600" i="1" s="1"/>
  <c r="L601" i="1" a="1"/>
  <c r="L601" i="1" s="1"/>
  <c r="L602" i="1" a="1"/>
  <c r="L602" i="1" s="1"/>
  <c r="L603" i="1" a="1"/>
  <c r="L603" i="1" s="1"/>
  <c r="L604" i="1" a="1"/>
  <c r="L604" i="1" s="1"/>
  <c r="L605" i="1" a="1"/>
  <c r="L605" i="1" s="1"/>
  <c r="L606" i="1" a="1"/>
  <c r="L606" i="1" s="1"/>
  <c r="L607" i="1" a="1"/>
  <c r="L607" i="1" s="1"/>
  <c r="L608" i="1" a="1"/>
  <c r="L608" i="1" s="1"/>
  <c r="L609" i="1" a="1"/>
  <c r="L609" i="1" s="1"/>
  <c r="L610" i="1" a="1"/>
  <c r="L610" i="1" s="1"/>
  <c r="L611" i="1" a="1"/>
  <c r="L611" i="1" s="1"/>
  <c r="L612" i="1" a="1"/>
  <c r="L612" i="1" s="1"/>
  <c r="L613" i="1" a="1"/>
  <c r="L613" i="1" s="1"/>
  <c r="L614" i="1" a="1"/>
  <c r="L614" i="1" s="1"/>
  <c r="L615" i="1" a="1"/>
  <c r="L615" i="1" s="1"/>
  <c r="L616" i="1" a="1"/>
  <c r="L616" i="1" s="1"/>
  <c r="L617" i="1" a="1"/>
  <c r="L617" i="1" s="1"/>
  <c r="L618" i="1" a="1"/>
  <c r="L618" i="1" s="1"/>
  <c r="L619" i="1" a="1"/>
  <c r="L619" i="1" s="1"/>
  <c r="L620" i="1" a="1"/>
  <c r="L620" i="1" s="1"/>
  <c r="L621" i="1" a="1"/>
  <c r="L621" i="1" s="1"/>
  <c r="L622" i="1" a="1"/>
  <c r="L622" i="1" s="1"/>
  <c r="L623" i="1" a="1"/>
  <c r="L623" i="1" s="1"/>
  <c r="L624" i="1" a="1"/>
  <c r="L624" i="1" s="1"/>
  <c r="L625" i="1" a="1"/>
  <c r="L625" i="1" s="1"/>
  <c r="L626" i="1" a="1"/>
  <c r="L626" i="1" s="1"/>
  <c r="L627" i="1" a="1"/>
  <c r="L627" i="1" s="1"/>
  <c r="L628" i="1" a="1"/>
  <c r="L628" i="1" s="1"/>
  <c r="L629" i="1" a="1"/>
  <c r="L629" i="1" s="1"/>
  <c r="L630" i="1" a="1"/>
  <c r="L630" i="1" s="1"/>
  <c r="L631" i="1" a="1"/>
  <c r="L631" i="1" s="1"/>
  <c r="L632" i="1" a="1"/>
  <c r="L632" i="1" s="1"/>
  <c r="L633" i="1" a="1"/>
  <c r="L633" i="1" s="1"/>
  <c r="L634" i="1" a="1"/>
  <c r="L634" i="1" s="1"/>
  <c r="L635" i="1" a="1"/>
  <c r="L635" i="1" s="1"/>
  <c r="L636" i="1" a="1"/>
  <c r="L636" i="1" s="1"/>
  <c r="L637" i="1" a="1"/>
  <c r="L637" i="1" s="1"/>
  <c r="L638" i="1" a="1"/>
  <c r="L638" i="1" s="1"/>
  <c r="L639" i="1" a="1"/>
  <c r="L639" i="1" s="1"/>
  <c r="L640" i="1" a="1"/>
  <c r="L640" i="1" s="1"/>
  <c r="L641" i="1" a="1"/>
  <c r="L641" i="1" s="1"/>
  <c r="L642" i="1" a="1"/>
  <c r="L642" i="1" s="1"/>
  <c r="L643" i="1" a="1"/>
  <c r="L643" i="1" s="1"/>
  <c r="L644" i="1" a="1"/>
  <c r="L644" i="1" s="1"/>
  <c r="L645" i="1" a="1"/>
  <c r="L645" i="1" s="1"/>
  <c r="L646" i="1" a="1"/>
  <c r="L646" i="1" s="1"/>
  <c r="L647" i="1" a="1"/>
  <c r="L647" i="1" s="1"/>
  <c r="L648" i="1" a="1"/>
  <c r="L648" i="1" s="1"/>
  <c r="L649" i="1" a="1"/>
  <c r="L649" i="1" s="1"/>
  <c r="L650" i="1" a="1"/>
  <c r="L650" i="1" s="1"/>
  <c r="L651" i="1" a="1"/>
  <c r="L651" i="1" s="1"/>
  <c r="L652" i="1" a="1"/>
  <c r="L652" i="1" s="1"/>
  <c r="L653" i="1" a="1"/>
  <c r="L653" i="1" s="1"/>
  <c r="L654" i="1" a="1"/>
  <c r="L654" i="1" s="1"/>
  <c r="L655" i="1" a="1"/>
  <c r="L655" i="1" s="1"/>
  <c r="L656" i="1" a="1"/>
  <c r="L656" i="1" s="1"/>
  <c r="L657" i="1" a="1"/>
  <c r="L657" i="1" s="1"/>
  <c r="L658" i="1" a="1"/>
  <c r="L658" i="1" s="1"/>
  <c r="L659" i="1" a="1"/>
  <c r="L659" i="1" s="1"/>
  <c r="L660" i="1" a="1"/>
  <c r="L660" i="1" s="1"/>
  <c r="L661" i="1" a="1"/>
  <c r="L661" i="1" s="1"/>
  <c r="L662" i="1" a="1"/>
  <c r="L662" i="1" s="1"/>
  <c r="L663" i="1" a="1"/>
  <c r="L663" i="1" s="1"/>
  <c r="L664" i="1" a="1"/>
  <c r="L664" i="1" s="1"/>
  <c r="L665" i="1" a="1"/>
  <c r="L665" i="1" s="1"/>
  <c r="L666" i="1" a="1"/>
  <c r="L666" i="1" s="1"/>
  <c r="L667" i="1" a="1"/>
  <c r="L667" i="1" s="1"/>
  <c r="L668" i="1" a="1"/>
  <c r="L668" i="1" s="1"/>
  <c r="L669" i="1" a="1"/>
  <c r="L669" i="1" s="1"/>
  <c r="L670" i="1" a="1"/>
  <c r="L670" i="1" s="1"/>
  <c r="L671" i="1" a="1"/>
  <c r="L671" i="1" s="1"/>
  <c r="L672" i="1" a="1"/>
  <c r="L672" i="1" s="1"/>
  <c r="L673" i="1" a="1"/>
  <c r="L673" i="1" s="1"/>
  <c r="L674" i="1" a="1"/>
  <c r="L674" i="1" s="1"/>
  <c r="L675" i="1" a="1"/>
  <c r="L675" i="1" s="1"/>
  <c r="L676" i="1" a="1"/>
  <c r="L676" i="1" s="1"/>
  <c r="L677" i="1" a="1"/>
  <c r="L677" i="1" s="1"/>
  <c r="L678" i="1" a="1"/>
  <c r="L678" i="1" s="1"/>
  <c r="L679" i="1" a="1"/>
  <c r="L679" i="1" s="1"/>
  <c r="L680" i="1" a="1"/>
  <c r="L680" i="1" s="1"/>
  <c r="L681" i="1" a="1"/>
  <c r="L681" i="1" s="1"/>
  <c r="L682" i="1" a="1"/>
  <c r="L682" i="1" s="1"/>
  <c r="L683" i="1" a="1"/>
  <c r="L683" i="1" s="1"/>
  <c r="L684" i="1" a="1"/>
  <c r="L684" i="1" s="1"/>
  <c r="L685" i="1" a="1"/>
  <c r="L685" i="1" s="1"/>
  <c r="L686" i="1" a="1"/>
  <c r="L686" i="1" s="1"/>
  <c r="L687" i="1" a="1"/>
  <c r="L687" i="1" s="1"/>
  <c r="L688" i="1" a="1"/>
  <c r="L688" i="1" s="1"/>
  <c r="L689" i="1" a="1"/>
  <c r="L689" i="1" s="1"/>
  <c r="L690" i="1" a="1"/>
  <c r="L690" i="1" s="1"/>
  <c r="L691" i="1" a="1"/>
  <c r="L691" i="1" s="1"/>
  <c r="L692" i="1" a="1"/>
  <c r="L692" i="1" s="1"/>
  <c r="L693" i="1" a="1"/>
  <c r="L693" i="1" s="1"/>
  <c r="L694" i="1" a="1"/>
  <c r="L694" i="1" s="1"/>
  <c r="L695" i="1" a="1"/>
  <c r="L695" i="1" s="1"/>
  <c r="L696" i="1" a="1"/>
  <c r="L696" i="1" s="1"/>
  <c r="L697" i="1" a="1"/>
  <c r="L697" i="1" s="1"/>
  <c r="L698" i="1" a="1"/>
  <c r="L698" i="1" s="1"/>
  <c r="L699" i="1" a="1"/>
  <c r="L699" i="1" s="1"/>
  <c r="L700" i="1" a="1"/>
  <c r="L700" i="1" s="1"/>
  <c r="L701" i="1" a="1"/>
  <c r="L701" i="1" s="1"/>
  <c r="L702" i="1" a="1"/>
  <c r="L702" i="1" s="1"/>
  <c r="L703" i="1" a="1"/>
  <c r="L703" i="1" s="1"/>
  <c r="L704" i="1" a="1"/>
  <c r="L704" i="1" s="1"/>
  <c r="L705" i="1" a="1"/>
  <c r="L705" i="1" s="1"/>
  <c r="L706" i="1" a="1"/>
  <c r="L706" i="1" s="1"/>
  <c r="L707" i="1" a="1"/>
  <c r="L707" i="1" s="1"/>
  <c r="L708" i="1" a="1"/>
  <c r="L708" i="1" s="1"/>
  <c r="L709" i="1" a="1"/>
  <c r="L709" i="1" s="1"/>
  <c r="L710" i="1" a="1"/>
  <c r="L710" i="1" s="1"/>
  <c r="L711" i="1" a="1"/>
  <c r="L711" i="1" s="1"/>
  <c r="L712" i="1" a="1"/>
  <c r="L712" i="1" s="1"/>
  <c r="L713" i="1" a="1"/>
  <c r="L713" i="1" s="1"/>
  <c r="L714" i="1" a="1"/>
  <c r="L714" i="1" s="1"/>
  <c r="L715" i="1" a="1"/>
  <c r="L715" i="1" s="1"/>
  <c r="L716" i="1" a="1"/>
  <c r="L716" i="1" s="1"/>
  <c r="L717" i="1" a="1"/>
  <c r="L717" i="1" s="1"/>
  <c r="L718" i="1" a="1"/>
  <c r="L718" i="1" s="1"/>
  <c r="L719" i="1" a="1"/>
  <c r="L719" i="1" s="1"/>
  <c r="L720" i="1" a="1"/>
  <c r="L720" i="1" s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 s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 s="1"/>
  <c r="L735" i="1" a="1"/>
  <c r="L735" i="1" s="1"/>
  <c r="L736" i="1" a="1"/>
  <c r="L736" i="1" s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 s="1"/>
  <c r="L743" i="1" a="1"/>
  <c r="L743" i="1" s="1"/>
  <c r="L744" i="1" a="1"/>
  <c r="L744" i="1" s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 s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 s="1"/>
  <c r="L759" i="1" a="1"/>
  <c r="L759" i="1" s="1"/>
  <c r="L760" i="1" a="1"/>
  <c r="L760" i="1" s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 s="1"/>
  <c r="L775" i="1" a="1"/>
  <c r="L775" i="1"/>
  <c r="L776" i="1" a="1"/>
  <c r="L776" i="1" s="1"/>
  <c r="L777" i="1" a="1"/>
  <c r="L777" i="1" s="1"/>
  <c r="L778" i="1" a="1"/>
  <c r="L778" i="1" s="1"/>
  <c r="L779" i="1" a="1"/>
  <c r="L779" i="1" s="1"/>
  <c r="L780" i="1" a="1"/>
  <c r="L780" i="1" s="1"/>
  <c r="L781" i="1" a="1"/>
  <c r="L781" i="1" s="1"/>
  <c r="L782" i="1" a="1"/>
  <c r="L782" i="1" s="1"/>
  <c r="L783" i="1" a="1"/>
  <c r="L783" i="1" s="1"/>
  <c r="L784" i="1" a="1"/>
  <c r="L784" i="1"/>
  <c r="L785" i="1" a="1"/>
  <c r="L785" i="1" s="1"/>
  <c r="L786" i="1" a="1"/>
  <c r="L786" i="1" s="1"/>
  <c r="L787" i="1" a="1"/>
  <c r="L787" i="1" s="1"/>
  <c r="L788" i="1" a="1"/>
  <c r="L788" i="1" s="1"/>
  <c r="L789" i="1" a="1"/>
  <c r="L789" i="1" s="1"/>
  <c r="L790" i="1" a="1"/>
  <c r="L790" i="1" s="1"/>
  <c r="L791" i="1" a="1"/>
  <c r="L791" i="1" s="1"/>
  <c r="L792" i="1" a="1"/>
  <c r="L792" i="1" s="1"/>
  <c r="L793" i="1" a="1"/>
  <c r="L793" i="1"/>
  <c r="L794" i="1" a="1"/>
  <c r="L794" i="1" s="1"/>
  <c r="L795" i="1" a="1"/>
  <c r="L795" i="1" s="1"/>
  <c r="L796" i="1" a="1"/>
  <c r="L796" i="1" s="1"/>
  <c r="L797" i="1" a="1"/>
  <c r="L797" i="1" s="1"/>
  <c r="L798" i="1" a="1"/>
  <c r="L798" i="1" s="1"/>
  <c r="L799" i="1" a="1"/>
  <c r="L799" i="1" s="1"/>
  <c r="L800" i="1" a="1"/>
  <c r="L800" i="1" s="1"/>
  <c r="L801" i="1" a="1"/>
  <c r="L801" i="1" s="1"/>
  <c r="L802" i="1" a="1"/>
  <c r="L802" i="1" s="1"/>
  <c r="L803" i="1" a="1"/>
  <c r="L803" i="1" s="1"/>
  <c r="L804" i="1" a="1"/>
  <c r="L804" i="1" s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 s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 s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 s="1"/>
  <c r="L829" i="1" a="1"/>
  <c r="L829" i="1"/>
  <c r="L830" i="1" a="1"/>
  <c r="L830" i="1" s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 s="1"/>
  <c r="L837" i="1" a="1"/>
  <c r="L837" i="1" s="1"/>
  <c r="L838" i="1" a="1"/>
  <c r="L838" i="1" s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 s="1"/>
  <c r="L845" i="1" a="1"/>
  <c r="L845" i="1" s="1"/>
  <c r="L846" i="1" a="1"/>
  <c r="L846" i="1" s="1"/>
  <c r="L847" i="1" a="1"/>
  <c r="L847" i="1"/>
  <c r="L848" i="1" a="1"/>
  <c r="L848" i="1" s="1"/>
  <c r="L849" i="1" a="1"/>
  <c r="L849" i="1" s="1"/>
  <c r="L850" i="1" a="1"/>
  <c r="L850" i="1" s="1"/>
  <c r="L851" i="1" a="1"/>
  <c r="L851" i="1" s="1"/>
  <c r="L852" i="1" a="1"/>
  <c r="L852" i="1" s="1"/>
  <c r="L853" i="1" a="1"/>
  <c r="L853" i="1" s="1"/>
  <c r="L854" i="1" a="1"/>
  <c r="L854" i="1" s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 s="1"/>
  <c r="L861" i="1" a="1"/>
  <c r="L861" i="1" s="1"/>
  <c r="L862" i="1" a="1"/>
  <c r="L862" i="1" s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 s="1"/>
  <c r="L869" i="1" a="1"/>
  <c r="L869" i="1" s="1"/>
  <c r="L870" i="1" a="1"/>
  <c r="L870" i="1" s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 s="1"/>
  <c r="L877" i="1" a="1"/>
  <c r="L877" i="1" s="1"/>
  <c r="L878" i="1" a="1"/>
  <c r="L878" i="1" s="1"/>
  <c r="L879" i="1" a="1"/>
  <c r="L879" i="1" s="1"/>
  <c r="L880" i="1" a="1"/>
  <c r="L880" i="1" s="1"/>
  <c r="L881" i="1" a="1"/>
  <c r="L881" i="1" s="1"/>
  <c r="L882" i="1" a="1"/>
  <c r="L882" i="1" s="1"/>
  <c r="L883" i="1" a="1"/>
  <c r="L883" i="1"/>
  <c r="L884" i="1" a="1"/>
  <c r="L884" i="1" s="1"/>
  <c r="L885" i="1" a="1"/>
  <c r="L885" i="1" s="1"/>
  <c r="L886" i="1" a="1"/>
  <c r="L886" i="1" s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 s="1"/>
  <c r="L893" i="1" a="1"/>
  <c r="L893" i="1" s="1"/>
  <c r="L894" i="1" a="1"/>
  <c r="L894" i="1" s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 s="1"/>
  <c r="L901" i="1" a="1"/>
  <c r="L901" i="1"/>
  <c r="L902" i="1" a="1"/>
  <c r="L902" i="1" s="1"/>
  <c r="L903" i="1" a="1"/>
  <c r="L903" i="1" s="1"/>
  <c r="L904" i="1" a="1"/>
  <c r="L904" i="1" s="1"/>
  <c r="L905" i="1" a="1"/>
  <c r="L905" i="1" s="1"/>
  <c r="L906" i="1" a="1"/>
  <c r="L906" i="1" s="1"/>
  <c r="L907" i="1" a="1"/>
  <c r="L907" i="1" s="1"/>
  <c r="L908" i="1" a="1"/>
  <c r="L908" i="1" s="1"/>
  <c r="L909" i="1" a="1"/>
  <c r="L909" i="1" s="1"/>
  <c r="L910" i="1" a="1"/>
  <c r="L910" i="1" s="1"/>
  <c r="L911" i="1" a="1"/>
  <c r="L911" i="1" s="1"/>
  <c r="L912" i="1" a="1"/>
  <c r="L912" i="1" s="1"/>
  <c r="L913" i="1" a="1"/>
  <c r="L913" i="1" s="1"/>
  <c r="L914" i="1" a="1"/>
  <c r="L914" i="1" s="1"/>
  <c r="L915" i="1" a="1"/>
  <c r="L915" i="1" s="1"/>
  <c r="L916" i="1" a="1"/>
  <c r="L916" i="1" s="1"/>
  <c r="L917" i="1" a="1"/>
  <c r="L917" i="1" s="1"/>
  <c r="L918" i="1" a="1"/>
  <c r="L918" i="1" s="1"/>
  <c r="L919" i="1" a="1"/>
  <c r="L919" i="1" s="1"/>
  <c r="L920" i="1" a="1"/>
  <c r="L920" i="1" s="1"/>
  <c r="L921" i="1" a="1"/>
  <c r="L921" i="1" s="1"/>
  <c r="L922" i="1" a="1"/>
  <c r="L922" i="1" s="1"/>
  <c r="L923" i="1" a="1"/>
  <c r="L923" i="1" s="1"/>
  <c r="L924" i="1" a="1"/>
  <c r="L924" i="1" s="1"/>
  <c r="L925" i="1" a="1"/>
  <c r="L925" i="1" s="1"/>
  <c r="L926" i="1" a="1"/>
  <c r="L926" i="1" s="1"/>
  <c r="L927" i="1" a="1"/>
  <c r="L927" i="1" s="1"/>
  <c r="L928" i="1" a="1"/>
  <c r="L928" i="1" s="1"/>
  <c r="L929" i="1" a="1"/>
  <c r="L929" i="1" s="1"/>
  <c r="L930" i="1" a="1"/>
  <c r="L930" i="1" s="1"/>
  <c r="L931" i="1" a="1"/>
  <c r="L931" i="1" s="1"/>
  <c r="L932" i="1" a="1"/>
  <c r="L932" i="1" s="1"/>
  <c r="L933" i="1" a="1"/>
  <c r="L933" i="1" s="1"/>
  <c r="L934" i="1" a="1"/>
  <c r="L934" i="1" s="1"/>
  <c r="L935" i="1" a="1"/>
  <c r="L935" i="1" s="1"/>
  <c r="L936" i="1" a="1"/>
  <c r="L936" i="1" s="1"/>
  <c r="L937" i="1" a="1"/>
  <c r="L937" i="1"/>
  <c r="L938" i="1" a="1"/>
  <c r="L938" i="1" s="1"/>
  <c r="L939" i="1" a="1"/>
  <c r="L939" i="1" s="1"/>
  <c r="L940" i="1" a="1"/>
  <c r="L940" i="1" s="1"/>
  <c r="L941" i="1" a="1"/>
  <c r="L941" i="1" s="1"/>
  <c r="L942" i="1" a="1"/>
  <c r="L942" i="1" s="1"/>
  <c r="L943" i="1" a="1"/>
  <c r="L943" i="1" s="1"/>
  <c r="L944" i="1" a="1"/>
  <c r="L944" i="1" s="1"/>
  <c r="L945" i="1" a="1"/>
  <c r="L945" i="1" s="1"/>
  <c r="L946" i="1" a="1"/>
  <c r="L946" i="1" s="1"/>
  <c r="L947" i="1" a="1"/>
  <c r="L947" i="1" s="1"/>
  <c r="L948" i="1" a="1"/>
  <c r="L948" i="1" s="1"/>
  <c r="L949" i="1" a="1"/>
  <c r="L949" i="1" s="1"/>
  <c r="L950" i="1" a="1"/>
  <c r="L950" i="1" s="1"/>
  <c r="L951" i="1" a="1"/>
  <c r="L951" i="1" s="1"/>
  <c r="L952" i="1" a="1"/>
  <c r="L952" i="1" s="1"/>
  <c r="L953" i="1" a="1"/>
  <c r="L953" i="1" s="1"/>
  <c r="L954" i="1" a="1"/>
  <c r="L954" i="1" s="1"/>
  <c r="L955" i="1" a="1"/>
  <c r="L955" i="1" s="1"/>
  <c r="L956" i="1" a="1"/>
  <c r="L956" i="1" s="1"/>
  <c r="L957" i="1" a="1"/>
  <c r="L957" i="1" s="1"/>
  <c r="L958" i="1" a="1"/>
  <c r="L958" i="1" s="1"/>
  <c r="L959" i="1" a="1"/>
  <c r="L959" i="1" s="1"/>
  <c r="L960" i="1" a="1"/>
  <c r="L960" i="1" s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/>
  <c r="L968" i="1" a="1"/>
  <c r="L968" i="1" s="1"/>
  <c r="L969" i="1" a="1"/>
  <c r="L969" i="1" s="1"/>
  <c r="L970" i="1" a="1"/>
  <c r="L970" i="1" s="1"/>
  <c r="L971" i="1" a="1"/>
  <c r="L971" i="1" s="1"/>
  <c r="L972" i="1" a="1"/>
  <c r="L972" i="1" s="1"/>
  <c r="L973" i="1" a="1"/>
  <c r="L973" i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 s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 s="1"/>
  <c r="L987" i="1" a="1"/>
  <c r="L987" i="1" s="1"/>
  <c r="L988" i="1" a="1"/>
  <c r="L988" i="1" s="1"/>
  <c r="L989" i="1" a="1"/>
  <c r="L989" i="1" s="1"/>
  <c r="L990" i="1" a="1"/>
  <c r="L990" i="1" s="1"/>
  <c r="L991" i="1" a="1"/>
  <c r="L991" i="1"/>
  <c r="L992" i="1" a="1"/>
  <c r="L992" i="1" s="1"/>
  <c r="L993" i="1" a="1"/>
  <c r="L993" i="1" s="1"/>
  <c r="L994" i="1" a="1"/>
  <c r="L994" i="1" s="1"/>
  <c r="L995" i="1" a="1"/>
  <c r="L995" i="1" s="1"/>
  <c r="L996" i="1" a="1"/>
  <c r="L996" i="1" s="1"/>
  <c r="L997" i="1" a="1"/>
  <c r="L997" i="1" s="1"/>
  <c r="L998" i="1" a="1"/>
  <c r="L998" i="1" s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/>
  <c r="L1004" i="1" a="1"/>
  <c r="L1004" i="1" s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 s="1"/>
  <c r="L1017" i="1" a="1"/>
  <c r="L1017" i="1" s="1"/>
  <c r="L1018" i="1" a="1"/>
  <c r="L1018" i="1" s="1"/>
  <c r="L1019" i="1" a="1"/>
  <c r="L1019" i="1" s="1"/>
  <c r="L1020" i="1" a="1"/>
  <c r="L1020" i="1" s="1"/>
  <c r="L1021" i="1" a="1"/>
  <c r="L1021" i="1" s="1"/>
  <c r="L1022" i="1" a="1"/>
  <c r="L1022" i="1" s="1"/>
  <c r="L1023" i="1" a="1"/>
  <c r="L1023" i="1" s="1"/>
  <c r="L1024" i="1" a="1"/>
  <c r="L1024" i="1" s="1"/>
  <c r="L1025" i="1" a="1"/>
  <c r="L1025" i="1" s="1"/>
  <c r="L1026" i="1" a="1"/>
  <c r="L1026" i="1" s="1"/>
  <c r="L1027" i="1" a="1"/>
  <c r="L1027" i="1" s="1"/>
  <c r="L1028" i="1" a="1"/>
  <c r="L1028" i="1" s="1"/>
  <c r="L1029" i="1" a="1"/>
  <c r="L1029" i="1" s="1"/>
  <c r="L1030" i="1" a="1"/>
  <c r="L1030" i="1"/>
  <c r="L1031" i="1" a="1"/>
  <c r="L1031" i="1" s="1"/>
  <c r="L1032" i="1" a="1"/>
  <c r="L1032" i="1" s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 s="1"/>
  <c r="L1041" i="1" a="1"/>
  <c r="L1041" i="1" s="1"/>
  <c r="L1042" i="1" a="1"/>
  <c r="L1042" i="1" s="1"/>
  <c r="L1043" i="1" a="1"/>
  <c r="L1043" i="1" s="1"/>
  <c r="L1044" i="1" a="1"/>
  <c r="L1044" i="1" s="1"/>
  <c r="L1045" i="1" a="1"/>
  <c r="L1045" i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 s="1"/>
  <c r="L1053" i="1" a="1"/>
  <c r="L1053" i="1" s="1"/>
  <c r="L1054" i="1" a="1"/>
  <c r="L1054" i="1" s="1"/>
  <c r="L1055" i="1" a="1"/>
  <c r="L1055" i="1" s="1"/>
  <c r="L1056" i="1" a="1"/>
  <c r="L1056" i="1" s="1"/>
  <c r="L1057" i="1" a="1"/>
  <c r="L1057" i="1" s="1"/>
  <c r="L1058" i="1" a="1"/>
  <c r="L1058" i="1" s="1"/>
  <c r="L1059" i="1" a="1"/>
  <c r="L1059" i="1" s="1"/>
  <c r="L1060" i="1" a="1"/>
  <c r="L1060" i="1" s="1"/>
  <c r="L1061" i="1" a="1"/>
  <c r="L1061" i="1" s="1"/>
  <c r="L1062" i="1" a="1"/>
  <c r="L1062" i="1" s="1"/>
  <c r="L1063" i="1" a="1"/>
  <c r="L1063" i="1" s="1"/>
  <c r="L1064" i="1" a="1"/>
  <c r="L1064" i="1" s="1"/>
  <c r="L1065" i="1" a="1"/>
  <c r="L1065" i="1" s="1"/>
  <c r="L1066" i="1" a="1"/>
  <c r="L1066" i="1" s="1"/>
  <c r="L1067" i="1" a="1"/>
  <c r="L1067" i="1" s="1"/>
  <c r="L1068" i="1" a="1"/>
  <c r="L1068" i="1" s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/>
  <c r="L1076" i="1" a="1"/>
  <c r="L1076" i="1" s="1"/>
  <c r="L1077" i="1" a="1"/>
  <c r="L1077" i="1" s="1"/>
  <c r="L1078" i="1" a="1"/>
  <c r="L1078" i="1" s="1"/>
  <c r="L1079" i="1" a="1"/>
  <c r="L1079" i="1" s="1"/>
  <c r="L1080" i="1" a="1"/>
  <c r="L1080" i="1" s="1"/>
  <c r="L1081" i="1" a="1"/>
  <c r="L1081" i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 s="1"/>
  <c r="L1089" i="1" a="1"/>
  <c r="L1089" i="1" s="1"/>
  <c r="L1090" i="1" a="1"/>
  <c r="L1090" i="1" s="1"/>
  <c r="L1091" i="1" a="1"/>
  <c r="L1091" i="1" s="1"/>
  <c r="L1092" i="1" a="1"/>
  <c r="L1092" i="1" s="1"/>
  <c r="L1093" i="1" a="1"/>
  <c r="L1093" i="1" s="1"/>
  <c r="L1094" i="1" a="1"/>
  <c r="L1094" i="1" s="1"/>
  <c r="L1095" i="1" a="1"/>
  <c r="L1095" i="1" s="1"/>
  <c r="L1096" i="1" a="1"/>
  <c r="L1096" i="1" s="1"/>
  <c r="L1097" i="1" a="1"/>
  <c r="L1097" i="1" s="1"/>
  <c r="L1098" i="1" a="1"/>
  <c r="L1098" i="1" s="1"/>
  <c r="L1099" i="1" a="1"/>
  <c r="L1099" i="1"/>
  <c r="L1100" i="1" a="1"/>
  <c r="L1100" i="1" s="1"/>
  <c r="L1101" i="1" a="1"/>
  <c r="L1101" i="1" s="1"/>
  <c r="L1102" i="1" a="1"/>
  <c r="L1102" i="1" s="1"/>
  <c r="L1103" i="1" a="1"/>
  <c r="L1103" i="1" s="1"/>
  <c r="L1104" i="1" a="1"/>
  <c r="L1104" i="1" s="1"/>
  <c r="L1105" i="1" a="1"/>
  <c r="L1105" i="1" s="1"/>
  <c r="L1106" i="1" a="1"/>
  <c r="L1106" i="1" s="1"/>
  <c r="L1107" i="1" a="1"/>
  <c r="L1107" i="1" s="1"/>
  <c r="L1108" i="1" a="1"/>
  <c r="L1108" i="1" s="1"/>
  <c r="L1109" i="1" a="1"/>
  <c r="L1109" i="1" s="1"/>
  <c r="L1110" i="1" a="1"/>
  <c r="L1110" i="1" s="1"/>
  <c r="L1111" i="1" a="1"/>
  <c r="L1111" i="1"/>
  <c r="L1112" i="1" a="1"/>
  <c r="L1112" i="1" s="1"/>
  <c r="L1113" i="1" a="1"/>
  <c r="L1113" i="1" s="1"/>
  <c r="L1114" i="1" a="1"/>
  <c r="L1114" i="1" s="1"/>
  <c r="L1115" i="1" a="1"/>
  <c r="L1115" i="1" s="1"/>
  <c r="L1116" i="1" a="1"/>
  <c r="L1116" i="1" s="1"/>
  <c r="L1117" i="1" a="1"/>
  <c r="L1117" i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 s="1"/>
  <c r="L1125" i="1" a="1"/>
  <c r="L1125" i="1" s="1"/>
  <c r="L1126" i="1" a="1"/>
  <c r="L1126" i="1" s="1"/>
  <c r="L1127" i="1" a="1"/>
  <c r="L1127" i="1" s="1"/>
  <c r="L1128" i="1" a="1"/>
  <c r="L1128" i="1" s="1"/>
  <c r="L1129" i="1" a="1"/>
  <c r="L1129" i="1" s="1"/>
  <c r="L1130" i="1" a="1"/>
  <c r="L1130" i="1" s="1"/>
  <c r="L1131" i="1" a="1"/>
  <c r="L1131" i="1" s="1"/>
  <c r="L1132" i="1" a="1"/>
  <c r="L1132" i="1" s="1"/>
  <c r="L1133" i="1" a="1"/>
  <c r="L1133" i="1" s="1"/>
  <c r="L1134" i="1" a="1"/>
  <c r="L1134" i="1" s="1"/>
  <c r="L1135" i="1" a="1"/>
  <c r="L1135" i="1" s="1"/>
  <c r="L1136" i="1" a="1"/>
  <c r="L1136" i="1" s="1"/>
  <c r="L1137" i="1" a="1"/>
  <c r="L1137" i="1" s="1"/>
  <c r="L1138" i="1" a="1"/>
  <c r="L1138" i="1"/>
  <c r="L1139" i="1" a="1"/>
  <c r="L1139" i="1" s="1"/>
  <c r="L1140" i="1" a="1"/>
  <c r="L1140" i="1" s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 s="1"/>
  <c r="L1149" i="1" a="1"/>
  <c r="L1149" i="1" s="1"/>
  <c r="L1150" i="1" a="1"/>
  <c r="L1150" i="1" s="1"/>
  <c r="L1151" i="1" a="1"/>
  <c r="L1151" i="1" s="1"/>
  <c r="L1152" i="1" a="1"/>
  <c r="L1152" i="1" s="1"/>
  <c r="L1153" i="1" a="1"/>
  <c r="L1153" i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 s="1"/>
  <c r="L1161" i="1" a="1"/>
  <c r="L1161" i="1" s="1"/>
  <c r="L1162" i="1" a="1"/>
  <c r="L1162" i="1" s="1"/>
  <c r="L1163" i="1" a="1"/>
  <c r="L1163" i="1" s="1"/>
  <c r="L1164" i="1" a="1"/>
  <c r="L1164" i="1" s="1"/>
  <c r="L1165" i="1" a="1"/>
  <c r="L1165" i="1" s="1"/>
  <c r="L1166" i="1" a="1"/>
  <c r="L1166" i="1" s="1"/>
  <c r="L1167" i="1" a="1"/>
  <c r="L1167" i="1" s="1"/>
  <c r="L1168" i="1" a="1"/>
  <c r="L1168" i="1" s="1"/>
  <c r="L1169" i="1" a="1"/>
  <c r="L1169" i="1" s="1"/>
  <c r="L1170" i="1" a="1"/>
  <c r="L1170" i="1" s="1"/>
  <c r="L1171" i="1" a="1"/>
  <c r="L1171" i="1" s="1"/>
  <c r="L1172" i="1" a="1"/>
  <c r="L1172" i="1" s="1"/>
  <c r="L1173" i="1" a="1"/>
  <c r="L1173" i="1" s="1"/>
  <c r="L1174" i="1" a="1"/>
  <c r="L1174" i="1" s="1"/>
  <c r="L1175" i="1" a="1"/>
  <c r="L1175" i="1" s="1"/>
  <c r="L1176" i="1" a="1"/>
  <c r="L1176" i="1" s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/>
  <c r="L1184" i="1" a="1"/>
  <c r="L1184" i="1" s="1"/>
  <c r="L1185" i="1" a="1"/>
  <c r="L1185" i="1" s="1"/>
  <c r="L1186" i="1" a="1"/>
  <c r="L1186" i="1" s="1"/>
  <c r="L1187" i="1" a="1"/>
  <c r="L1187" i="1" s="1"/>
  <c r="L1188" i="1" a="1"/>
  <c r="L1188" i="1" s="1"/>
  <c r="L1189" i="1" a="1"/>
  <c r="L1189" i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 s="1"/>
  <c r="L1197" i="1" a="1"/>
  <c r="L1197" i="1" s="1"/>
  <c r="L1198" i="1" a="1"/>
  <c r="L1198" i="1" s="1"/>
  <c r="L1199" i="1" a="1"/>
  <c r="L1199" i="1" s="1"/>
  <c r="L1200" i="1" a="1"/>
  <c r="L1200" i="1" s="1"/>
  <c r="L1201" i="1" a="1"/>
  <c r="L1201" i="1" s="1"/>
  <c r="L1202" i="1" a="1"/>
  <c r="L1202" i="1" s="1"/>
  <c r="L1203" i="1" a="1"/>
  <c r="L1203" i="1" s="1"/>
  <c r="L1204" i="1" a="1"/>
  <c r="L1204" i="1" s="1"/>
  <c r="L1205" i="1" a="1"/>
  <c r="L1205" i="1" s="1"/>
  <c r="L1206" i="1" a="1"/>
  <c r="L1206" i="1" s="1"/>
  <c r="L1207" i="1" a="1"/>
  <c r="L1207" i="1"/>
  <c r="L1208" i="1" a="1"/>
  <c r="L1208" i="1" s="1"/>
  <c r="L1209" i="1" a="1"/>
  <c r="L1209" i="1" s="1"/>
  <c r="L1210" i="1" a="1"/>
  <c r="L1210" i="1" s="1"/>
  <c r="L1211" i="1" a="1"/>
  <c r="L1211" i="1" s="1"/>
  <c r="L1212" i="1" a="1"/>
  <c r="L1212" i="1" s="1"/>
  <c r="L1213" i="1" a="1"/>
  <c r="L1213" i="1" s="1"/>
  <c r="L1214" i="1" a="1"/>
  <c r="L1214" i="1" s="1"/>
  <c r="L1215" i="1" a="1"/>
  <c r="L1215" i="1" s="1"/>
  <c r="L1216" i="1" a="1"/>
  <c r="L1216" i="1" s="1"/>
  <c r="L1217" i="1" a="1"/>
  <c r="L1217" i="1" s="1"/>
  <c r="L1218" i="1" a="1"/>
  <c r="L1218" i="1" s="1"/>
  <c r="L1219" i="1" a="1"/>
  <c r="L1219" i="1"/>
  <c r="L1220" i="1" a="1"/>
  <c r="L1220" i="1" s="1"/>
  <c r="L1221" i="1" a="1"/>
  <c r="L1221" i="1" s="1"/>
  <c r="L1222" i="1" a="1"/>
  <c r="L1222" i="1" s="1"/>
  <c r="L1223" i="1" a="1"/>
  <c r="L1223" i="1" s="1"/>
  <c r="L1224" i="1" a="1"/>
  <c r="L1224" i="1" s="1"/>
  <c r="L1225" i="1" a="1"/>
  <c r="L1225" i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 s="1"/>
  <c r="L1233" i="1" a="1"/>
  <c r="L1233" i="1" s="1"/>
  <c r="L1234" i="1" a="1"/>
  <c r="L1234" i="1" s="1"/>
  <c r="L1235" i="1" a="1"/>
  <c r="L1235" i="1" s="1"/>
  <c r="L1236" i="1" a="1"/>
  <c r="L1236" i="1" s="1"/>
  <c r="L1237" i="1" a="1"/>
  <c r="L1237" i="1" s="1"/>
  <c r="L1238" i="1" a="1"/>
  <c r="L1238" i="1" s="1"/>
  <c r="L1239" i="1" a="1"/>
  <c r="L1239" i="1" s="1"/>
  <c r="L1240" i="1" a="1"/>
  <c r="L1240" i="1" s="1"/>
  <c r="L1241" i="1" a="1"/>
  <c r="L1241" i="1" s="1"/>
  <c r="L1242" i="1" a="1"/>
  <c r="L1242" i="1" s="1"/>
  <c r="L1243" i="1" a="1"/>
  <c r="L1243" i="1" s="1"/>
  <c r="L1244" i="1" a="1"/>
  <c r="L1244" i="1" s="1"/>
  <c r="L1245" i="1" a="1"/>
  <c r="L1245" i="1" s="1"/>
  <c r="L1246" i="1" a="1"/>
  <c r="L1246" i="1"/>
  <c r="L1247" i="1" a="1"/>
  <c r="L1247" i="1" s="1"/>
  <c r="L1248" i="1" a="1"/>
  <c r="L1248" i="1" s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 s="1"/>
  <c r="L1257" i="1" a="1"/>
  <c r="L1257" i="1" s="1"/>
  <c r="L1258" i="1" a="1"/>
  <c r="L1258" i="1" s="1"/>
  <c r="L1259" i="1" a="1"/>
  <c r="L1259" i="1" s="1"/>
  <c r="L1260" i="1" a="1"/>
  <c r="L1260" i="1" s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 s="1"/>
  <c r="L1269" i="1" a="1"/>
  <c r="L1269" i="1" s="1"/>
  <c r="L1270" i="1" a="1"/>
  <c r="L1270" i="1"/>
  <c r="L1271" i="1" a="1"/>
  <c r="L1271" i="1" s="1"/>
  <c r="L1272" i="1" a="1"/>
  <c r="L1272" i="1" s="1"/>
  <c r="L1273" i="1" a="1"/>
  <c r="L1273" i="1" s="1"/>
  <c r="L1274" i="1" a="1"/>
  <c r="L1274" i="1" s="1"/>
  <c r="L1275" i="1" a="1"/>
  <c r="L1275" i="1" s="1"/>
  <c r="L1276" i="1" a="1"/>
  <c r="L1276" i="1" s="1"/>
  <c r="L1277" i="1" a="1"/>
  <c r="L1277" i="1" s="1"/>
  <c r="L1278" i="1" a="1"/>
  <c r="L1278" i="1" s="1"/>
  <c r="L1279" i="1" a="1"/>
  <c r="L1279" i="1" s="1"/>
  <c r="L1280" i="1" a="1"/>
  <c r="L1280" i="1" s="1"/>
  <c r="L1281" i="1" a="1"/>
  <c r="L1281" i="1" s="1"/>
  <c r="L1282" i="1" a="1"/>
  <c r="L1282" i="1" s="1"/>
  <c r="L1283" i="1" a="1"/>
  <c r="L1283" i="1" s="1"/>
  <c r="L1284" i="1" a="1"/>
  <c r="L1284" i="1" s="1"/>
  <c r="L1285" i="1" a="1"/>
  <c r="L1285" i="1"/>
  <c r="L1286" i="1" a="1"/>
  <c r="L1286" i="1" s="1"/>
  <c r="L1287" i="1" a="1"/>
  <c r="L1287" i="1" s="1"/>
  <c r="L1288" i="1" a="1"/>
  <c r="L1288" i="1" s="1"/>
  <c r="L1289" i="1" a="1"/>
  <c r="L1289" i="1" s="1"/>
  <c r="L1290" i="1" a="1"/>
  <c r="L1290" i="1" s="1"/>
  <c r="L1291" i="1" a="1"/>
  <c r="L1291" i="1" s="1"/>
  <c r="L1292" i="1" a="1"/>
  <c r="L1292" i="1" s="1"/>
  <c r="L1293" i="1" a="1"/>
  <c r="L1293" i="1" s="1"/>
  <c r="L1294" i="1" a="1"/>
  <c r="L1294" i="1"/>
  <c r="L1295" i="1" a="1"/>
  <c r="L1295" i="1" s="1"/>
  <c r="L1296" i="1" a="1"/>
  <c r="L1296" i="1" s="1"/>
  <c r="L1297" i="1" a="1"/>
  <c r="L1297" i="1" s="1"/>
  <c r="L1298" i="1" a="1"/>
  <c r="L1298" i="1" s="1"/>
  <c r="L1299" i="1" a="1"/>
  <c r="L1299" i="1" s="1"/>
  <c r="L1300" i="1" a="1"/>
  <c r="L1300" i="1" s="1"/>
  <c r="L1301" i="1" a="1"/>
  <c r="L1301" i="1" s="1"/>
  <c r="L1302" i="1" a="1"/>
  <c r="L1302" i="1" s="1"/>
  <c r="L1303" i="1" a="1"/>
  <c r="L1303" i="1"/>
  <c r="L1304" i="1" a="1"/>
  <c r="L1304" i="1" s="1"/>
  <c r="L1305" i="1" a="1"/>
  <c r="L1305" i="1" s="1"/>
  <c r="L1306" i="1" a="1"/>
  <c r="L1306" i="1" s="1"/>
  <c r="L1307" i="1" a="1"/>
  <c r="L1307" i="1" s="1"/>
  <c r="L1308" i="1" a="1"/>
  <c r="L1308" i="1" s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 s="1"/>
  <c r="L1317" i="1" a="1"/>
  <c r="L1317" i="1" s="1"/>
  <c r="L1318" i="1" a="1"/>
  <c r="L1318" i="1" s="1"/>
  <c r="L1319" i="1" a="1"/>
  <c r="L1319" i="1" s="1"/>
  <c r="L1320" i="1" a="1"/>
  <c r="L1320" i="1" s="1"/>
  <c r="L1321" i="1" a="1"/>
  <c r="L1321" i="1"/>
  <c r="L1322" i="1" a="1"/>
  <c r="L1322" i="1" s="1"/>
  <c r="L1323" i="1" a="1"/>
  <c r="L1323" i="1" s="1"/>
  <c r="L1324" i="1" a="1"/>
  <c r="L1324" i="1" s="1"/>
  <c r="L1325" i="1" a="1"/>
  <c r="L1325" i="1" s="1"/>
  <c r="L1326" i="1" a="1"/>
  <c r="L1326" i="1" s="1"/>
  <c r="L1327" i="1" a="1"/>
  <c r="L1327" i="1" s="1"/>
  <c r="L1328" i="1" a="1"/>
  <c r="L1328" i="1" s="1"/>
  <c r="L1329" i="1" a="1"/>
  <c r="L1329" i="1" s="1"/>
  <c r="L1330" i="1" a="1"/>
  <c r="L1330" i="1"/>
  <c r="L1331" i="1" a="1"/>
  <c r="L1331" i="1" s="1"/>
  <c r="L1332" i="1" a="1"/>
  <c r="L1332" i="1" s="1"/>
  <c r="L1333" i="1" a="1"/>
  <c r="L1333" i="1" s="1"/>
  <c r="L1334" i="1" a="1"/>
  <c r="L1334" i="1" s="1"/>
  <c r="L1335" i="1" a="1"/>
  <c r="L1335" i="1" s="1"/>
  <c r="L1336" i="1" a="1"/>
  <c r="L1336" i="1" s="1"/>
  <c r="L1337" i="1" a="1"/>
  <c r="L1337" i="1" s="1"/>
  <c r="L1338" i="1" a="1"/>
  <c r="L1338" i="1" s="1"/>
  <c r="L1339" i="1" a="1"/>
  <c r="L1339" i="1"/>
  <c r="L1340" i="1" a="1"/>
  <c r="L1340" i="1" s="1"/>
  <c r="L1341" i="1" a="1"/>
  <c r="L1341" i="1" s="1"/>
  <c r="L1342" i="1" a="1"/>
  <c r="L1342" i="1" s="1"/>
  <c r="L1343" i="1" a="1"/>
  <c r="L1343" i="1" s="1"/>
  <c r="L1344" i="1" a="1"/>
  <c r="L1344" i="1" s="1"/>
  <c r="L1345" i="1" a="1"/>
  <c r="L1345" i="1" s="1"/>
  <c r="L1346" i="1" a="1"/>
  <c r="L1346" i="1" s="1"/>
  <c r="L1347" i="1" a="1"/>
  <c r="L1347" i="1" s="1"/>
  <c r="L1348" i="1" a="1"/>
  <c r="L1348" i="1" s="1"/>
  <c r="L1349" i="1" a="1"/>
  <c r="L1349" i="1" s="1"/>
  <c r="L1350" i="1" a="1"/>
  <c r="L1350" i="1" s="1"/>
  <c r="L1351" i="1" a="1"/>
  <c r="L1351" i="1" s="1"/>
  <c r="L1352" i="1" a="1"/>
  <c r="L1352" i="1" s="1"/>
  <c r="L1353" i="1" a="1"/>
  <c r="L1353" i="1" s="1"/>
  <c r="L1354" i="1" a="1"/>
  <c r="L1354" i="1" s="1"/>
  <c r="L1355" i="1" a="1"/>
  <c r="L1355" i="1" s="1"/>
  <c r="L1356" i="1" a="1"/>
  <c r="L1356" i="1" s="1"/>
  <c r="L1357" i="1" a="1"/>
  <c r="L1357" i="1" s="1"/>
  <c r="L1358" i="1" a="1"/>
  <c r="L1358" i="1" s="1"/>
  <c r="L1359" i="1" a="1"/>
  <c r="L1359" i="1" s="1"/>
  <c r="L1360" i="1" a="1"/>
  <c r="L1360" i="1" s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 s="1"/>
  <c r="L1367" i="1" a="1"/>
  <c r="L1367" i="1" s="1"/>
  <c r="L1368" i="1" a="1"/>
  <c r="L1368" i="1" s="1"/>
  <c r="L1369" i="1" a="1"/>
  <c r="L1369" i="1" s="1"/>
  <c r="L1370" i="1" a="1"/>
  <c r="L1370" i="1" s="1"/>
  <c r="L1371" i="1" a="1"/>
  <c r="L1371" i="1" s="1"/>
  <c r="L1372" i="1" a="1"/>
  <c r="L1372" i="1" s="1"/>
  <c r="L1373" i="1" a="1"/>
  <c r="L1373" i="1" s="1"/>
  <c r="L1374" i="1" a="1"/>
  <c r="L1374" i="1" s="1"/>
  <c r="L1375" i="1" a="1"/>
  <c r="L1375" i="1" s="1"/>
  <c r="L1376" i="1" a="1"/>
  <c r="L1376" i="1" s="1"/>
  <c r="L1377" i="1" a="1"/>
  <c r="L1377" i="1" s="1"/>
  <c r="L1378" i="1" a="1"/>
  <c r="L1378" i="1" s="1"/>
  <c r="L1379" i="1" a="1"/>
  <c r="L1379" i="1" s="1"/>
  <c r="L1380" i="1" a="1"/>
  <c r="L1380" i="1" s="1"/>
  <c r="L1381" i="1" a="1"/>
  <c r="L1381" i="1" s="1"/>
  <c r="L1382" i="1" a="1"/>
  <c r="L1382" i="1" s="1"/>
  <c r="L1383" i="1" a="1"/>
  <c r="L1383" i="1" s="1"/>
  <c r="L1384" i="1" a="1"/>
  <c r="L1384" i="1" s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 s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 s="1"/>
  <c r="L1399" i="1" a="1"/>
  <c r="L1399" i="1" s="1"/>
  <c r="L1400" i="1" a="1"/>
  <c r="L1400" i="1" s="1"/>
  <c r="L1401" i="1" a="1"/>
  <c r="L1401" i="1" s="1"/>
  <c r="L1402" i="1" a="1"/>
  <c r="L1402" i="1" s="1"/>
  <c r="L1403" i="1" a="1"/>
  <c r="L1403" i="1" s="1"/>
  <c r="L1404" i="1" a="1"/>
  <c r="L1404" i="1" s="1"/>
  <c r="L1405" i="1" a="1"/>
  <c r="L1405" i="1" s="1"/>
  <c r="L1406" i="1" a="1"/>
  <c r="L1406" i="1" s="1"/>
  <c r="L1407" i="1" a="1"/>
  <c r="L1407" i="1" s="1"/>
  <c r="L1408" i="1" a="1"/>
  <c r="L1408" i="1" s="1"/>
  <c r="L1409" i="1" a="1"/>
  <c r="L1409" i="1" s="1"/>
  <c r="L1410" i="1" a="1"/>
  <c r="L1410" i="1" s="1"/>
  <c r="L1411" i="1" a="1"/>
  <c r="L1411" i="1" s="1"/>
  <c r="L1412" i="1" a="1"/>
  <c r="L1412" i="1" s="1"/>
  <c r="L1413" i="1" a="1"/>
  <c r="L1413" i="1" s="1"/>
  <c r="L1414" i="1" a="1"/>
  <c r="L1414" i="1" s="1"/>
  <c r="L1415" i="1" a="1"/>
  <c r="L1415" i="1" s="1"/>
  <c r="L1416" i="1" a="1"/>
  <c r="L1416" i="1" s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 s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 s="1"/>
  <c r="L1431" i="1" a="1"/>
  <c r="L1431" i="1" s="1"/>
  <c r="L1432" i="1" a="1"/>
  <c r="L1432" i="1" s="1"/>
  <c r="L1433" i="1" a="1"/>
  <c r="L1433" i="1" s="1"/>
  <c r="L1434" i="1" a="1"/>
  <c r="L1434" i="1" s="1"/>
  <c r="L1435" i="1" a="1"/>
  <c r="L1435" i="1" s="1"/>
  <c r="L1436" i="1" a="1"/>
  <c r="L1436" i="1" s="1"/>
  <c r="L1437" i="1" a="1"/>
  <c r="L1437" i="1" s="1"/>
  <c r="L1438" i="1" a="1"/>
  <c r="L1438" i="1" s="1"/>
  <c r="L1439" i="1" a="1"/>
  <c r="L1439" i="1" s="1"/>
  <c r="L1440" i="1" a="1"/>
  <c r="L1440" i="1" s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 s="1"/>
  <c r="L1448" i="1" a="1"/>
  <c r="L1448" i="1" s="1"/>
  <c r="L1449" i="1" a="1"/>
  <c r="L1449" i="1" s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 s="1"/>
  <c r="L1456" i="1" a="1"/>
  <c r="L1456" i="1" s="1"/>
  <c r="L1457" i="1" a="1"/>
  <c r="L1457" i="1" s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 s="1"/>
  <c r="L1464" i="1" a="1"/>
  <c r="L1464" i="1" s="1"/>
  <c r="L1465" i="1" a="1"/>
  <c r="L1465" i="1" s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 s="1"/>
  <c r="L1472" i="1" a="1"/>
  <c r="L1472" i="1" s="1"/>
  <c r="L1473" i="1" a="1"/>
  <c r="L1473" i="1" s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 s="1"/>
  <c r="L1480" i="1" a="1"/>
  <c r="L1480" i="1" s="1"/>
  <c r="L1481" i="1" a="1"/>
  <c r="L1481" i="1" s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 s="1"/>
  <c r="L1488" i="1" a="1"/>
  <c r="L1488" i="1" s="1"/>
  <c r="L1489" i="1" a="1"/>
  <c r="L1489" i="1" s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 s="1"/>
  <c r="L1496" i="1" a="1"/>
  <c r="L1496" i="1" s="1"/>
  <c r="L1497" i="1" a="1"/>
  <c r="L1497" i="1" s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 s="1"/>
  <c r="L1504" i="1" a="1"/>
  <c r="L1504" i="1" s="1"/>
  <c r="L1505" i="1" a="1"/>
  <c r="L1505" i="1" s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 s="1"/>
  <c r="L1512" i="1" a="1"/>
  <c r="L1512" i="1" s="1"/>
  <c r="L1513" i="1" a="1"/>
  <c r="L1513" i="1" s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 s="1"/>
  <c r="L1520" i="1" a="1"/>
  <c r="L1520" i="1" s="1"/>
  <c r="L1521" i="1" a="1"/>
  <c r="L1521" i="1" s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 s="1"/>
  <c r="L1528" i="1" a="1"/>
  <c r="L1528" i="1" s="1"/>
  <c r="L1529" i="1" a="1"/>
  <c r="L1529" i="1" s="1"/>
  <c r="L1530" i="1" a="1"/>
  <c r="L1530" i="1" s="1"/>
  <c r="L1531" i="1" a="1"/>
  <c r="L1531" i="1" s="1"/>
  <c r="L1532" i="1" a="1"/>
  <c r="L1532" i="1" s="1"/>
  <c r="L1533" i="1" a="1"/>
  <c r="L1533" i="1"/>
  <c r="L1534" i="1" a="1"/>
  <c r="L1534" i="1"/>
  <c r="L1535" i="1" a="1"/>
  <c r="L1535" i="1" s="1"/>
  <c r="L1536" i="1" a="1"/>
  <c r="L1536" i="1"/>
  <c r="L1537" i="1" a="1"/>
  <c r="L1537" i="1"/>
  <c r="L1538" i="1" a="1"/>
  <c r="L1538" i="1"/>
  <c r="L1539" i="1" a="1"/>
  <c r="L1539" i="1"/>
  <c r="L1540" i="1" a="1"/>
  <c r="L1540" i="1"/>
  <c r="L1541" i="1" a="1"/>
  <c r="L1541" i="1" s="1"/>
  <c r="L1542" i="1" a="1"/>
  <c r="L1542" i="1"/>
  <c r="L1543" i="1" a="1"/>
  <c r="L1543" i="1" s="1"/>
  <c r="L1544" i="1" a="1"/>
  <c r="L1544" i="1"/>
  <c r="L1545" i="1" a="1"/>
  <c r="L1545" i="1"/>
  <c r="L1546" i="1" a="1"/>
  <c r="L1546" i="1"/>
  <c r="L1547" i="1" a="1"/>
  <c r="L1547" i="1" s="1"/>
  <c r="L1548" i="1" a="1"/>
  <c r="L1548" i="1"/>
  <c r="L1549" i="1" a="1"/>
  <c r="L1549" i="1"/>
  <c r="L1550" i="1" a="1"/>
  <c r="L1550" i="1"/>
  <c r="L1551" i="1" a="1"/>
  <c r="L1551" i="1"/>
  <c r="L1552" i="1" a="1"/>
  <c r="L1552" i="1"/>
  <c r="L1553" i="1" a="1"/>
  <c r="L1553" i="1" s="1"/>
  <c r="L1554" i="1" a="1"/>
  <c r="L1554" i="1"/>
  <c r="L1555" i="1" a="1"/>
  <c r="L1555" i="1"/>
  <c r="L1556" i="1" a="1"/>
  <c r="L1556" i="1"/>
  <c r="L1557" i="1" a="1"/>
  <c r="L1557" i="1"/>
  <c r="L1558" i="1" a="1"/>
  <c r="L1558" i="1"/>
  <c r="L1559" i="1" a="1"/>
  <c r="L1559" i="1" s="1"/>
  <c r="L1560" i="1" a="1"/>
  <c r="L1560" i="1"/>
  <c r="L1561" i="1" a="1"/>
  <c r="L1561" i="1" s="1"/>
  <c r="L1562" i="1" a="1"/>
  <c r="L1562" i="1"/>
  <c r="L1563" i="1" a="1"/>
  <c r="L1563" i="1"/>
  <c r="L1564" i="1" a="1"/>
  <c r="L1564" i="1"/>
  <c r="L1565" i="1" a="1"/>
  <c r="L1565" i="1" s="1"/>
  <c r="L1566" i="1" a="1"/>
  <c r="L1566" i="1"/>
  <c r="L1567" i="1" a="1"/>
  <c r="L1567" i="1"/>
  <c r="L1568" i="1" a="1"/>
  <c r="L1568" i="1"/>
  <c r="L1569" i="1" a="1"/>
  <c r="L1569" i="1"/>
  <c r="L1570" i="1" a="1"/>
  <c r="L1570" i="1"/>
  <c r="L1571" i="1" a="1"/>
  <c r="L1571" i="1" s="1"/>
  <c r="L1572" i="1" a="1"/>
  <c r="L1572" i="1"/>
  <c r="L1573" i="1" a="1"/>
  <c r="L1573" i="1" s="1"/>
  <c r="L1574" i="1" a="1"/>
  <c r="L1574" i="1"/>
  <c r="L1575" i="1" a="1"/>
  <c r="L1575" i="1"/>
  <c r="L1576" i="1" a="1"/>
  <c r="L1576" i="1"/>
  <c r="L1577" i="1" a="1"/>
  <c r="L1577" i="1" s="1"/>
  <c r="L1578" i="1" a="1"/>
  <c r="L1578" i="1"/>
  <c r="L1579" i="1" a="1"/>
  <c r="L1579" i="1"/>
  <c r="L1580" i="1" a="1"/>
  <c r="L1580" i="1"/>
  <c r="L1581" i="1" a="1"/>
  <c r="L1581" i="1"/>
  <c r="L1582" i="1" a="1"/>
  <c r="L1582" i="1"/>
  <c r="L1583" i="1" a="1"/>
  <c r="L1583" i="1" s="1"/>
  <c r="L1584" i="1" a="1"/>
  <c r="L1584" i="1" s="1"/>
  <c r="L1585" i="1" a="1"/>
  <c r="L1585" i="1"/>
  <c r="L1586" i="1" a="1"/>
  <c r="L1586" i="1"/>
  <c r="L1587" i="1" a="1"/>
  <c r="L1587" i="1"/>
  <c r="L1588" i="1" a="1"/>
  <c r="L1588" i="1"/>
  <c r="L1589" i="1" a="1"/>
  <c r="L1589" i="1"/>
  <c r="L1590" i="1" a="1"/>
  <c r="L1590" i="1" s="1"/>
  <c r="L1591" i="1" a="1"/>
  <c r="L1591" i="1"/>
  <c r="L1592" i="1" a="1"/>
  <c r="L1592" i="1"/>
  <c r="L1593" i="1" a="1"/>
  <c r="L1593" i="1" s="1"/>
  <c r="L1594" i="1" a="1"/>
  <c r="L1594" i="1"/>
  <c r="L1595" i="1" a="1"/>
  <c r="L1595" i="1"/>
  <c r="L1596" i="1" a="1"/>
  <c r="L1596" i="1" s="1"/>
  <c r="L1597" i="1" a="1"/>
  <c r="L1597" i="1"/>
  <c r="L1598" i="1" a="1"/>
  <c r="L1598" i="1"/>
  <c r="L1599" i="1" a="1"/>
  <c r="L1599" i="1" s="1"/>
  <c r="L1600" i="1" a="1"/>
  <c r="L1600" i="1"/>
  <c r="L1601" i="1" a="1"/>
  <c r="L1601" i="1" s="1"/>
  <c r="L1602" i="1" a="1"/>
  <c r="L1602" i="1" s="1"/>
  <c r="L1603" i="1" a="1"/>
  <c r="L1603" i="1" s="1"/>
  <c r="L1604" i="1" a="1"/>
  <c r="L1604" i="1"/>
  <c r="L1605" i="1" a="1"/>
  <c r="L1605" i="1"/>
  <c r="L1606" i="1" a="1"/>
  <c r="L1606" i="1"/>
  <c r="L1607" i="1" a="1"/>
  <c r="L1607" i="1"/>
  <c r="L1608" i="1" a="1"/>
  <c r="L1608" i="1" s="1"/>
  <c r="L1609" i="1" a="1"/>
  <c r="L1609" i="1"/>
  <c r="L1610" i="1" a="1"/>
  <c r="L1610" i="1"/>
  <c r="L1611" i="1" a="1"/>
  <c r="L1611" i="1"/>
  <c r="L1612" i="1" a="1"/>
  <c r="L1612" i="1"/>
  <c r="L1613" i="1" a="1"/>
  <c r="L1613" i="1"/>
  <c r="L1614" i="1" a="1"/>
  <c r="L1614" i="1" s="1"/>
  <c r="L1615" i="1" a="1"/>
  <c r="L1615" i="1"/>
  <c r="L1616" i="1" a="1"/>
  <c r="L1616" i="1" s="1"/>
  <c r="L1617" i="1" a="1"/>
  <c r="L1617" i="1"/>
  <c r="L1618" i="1" a="1"/>
  <c r="L1618" i="1"/>
  <c r="L1619" i="1" a="1"/>
  <c r="L1619" i="1" s="1"/>
  <c r="L1620" i="1" a="1"/>
  <c r="L1620" i="1" s="1"/>
  <c r="L1621" i="1" a="1"/>
  <c r="L1621" i="1" s="1"/>
  <c r="L1622" i="1" a="1"/>
  <c r="L1622" i="1"/>
  <c r="L1623" i="1" a="1"/>
  <c r="L1623" i="1"/>
  <c r="L1624" i="1" a="1"/>
  <c r="L1624" i="1"/>
  <c r="L1625" i="1" a="1"/>
  <c r="L1625" i="1" s="1"/>
  <c r="L1626" i="1" a="1"/>
  <c r="L1626" i="1" s="1"/>
  <c r="L1627" i="1" a="1"/>
  <c r="L1627" i="1"/>
  <c r="L1628" i="1" a="1"/>
  <c r="L1628" i="1"/>
  <c r="L1629" i="1" a="1"/>
  <c r="L1629" i="1" s="1"/>
  <c r="L1630" i="1" a="1"/>
  <c r="L1630" i="1"/>
  <c r="L1631" i="1" a="1"/>
  <c r="L1631" i="1" s="1"/>
  <c r="L1632" i="1" a="1"/>
  <c r="L1632" i="1" s="1"/>
  <c r="L1633" i="1" a="1"/>
  <c r="L1633" i="1"/>
  <c r="L1634" i="1" a="1"/>
  <c r="L1634" i="1" s="1"/>
  <c r="L1635" i="1" a="1"/>
  <c r="L1635" i="1"/>
  <c r="L1636" i="1" a="1"/>
  <c r="L1636" i="1"/>
  <c r="L1637" i="1" a="1"/>
  <c r="L1637" i="1"/>
  <c r="L1638" i="1" a="1"/>
  <c r="L1638" i="1" s="1"/>
  <c r="L1639" i="1" a="1"/>
  <c r="L1639" i="1" s="1"/>
  <c r="L1640" i="1" a="1"/>
  <c r="L1640" i="1"/>
  <c r="L1641" i="1" a="1"/>
  <c r="L1641" i="1"/>
  <c r="L1642" i="1" a="1"/>
  <c r="L1642" i="1"/>
  <c r="L1643" i="1" a="1"/>
  <c r="L1643" i="1"/>
  <c r="L1644" i="1" a="1"/>
  <c r="L1644" i="1" s="1"/>
  <c r="L1645" i="1" a="1"/>
  <c r="L1645" i="1"/>
  <c r="L1646" i="1" a="1"/>
  <c r="L1646" i="1"/>
  <c r="L1647" i="1" a="1"/>
  <c r="L1647" i="1" s="1"/>
  <c r="L1648" i="1" a="1"/>
  <c r="L1648" i="1"/>
  <c r="L1649" i="1" a="1"/>
  <c r="L1649" i="1"/>
  <c r="L1650" i="1" a="1"/>
  <c r="L1650" i="1" s="1"/>
  <c r="L1651" i="1" a="1"/>
  <c r="L1651" i="1" s="1"/>
  <c r="L1652" i="1" a="1"/>
  <c r="L1652" i="1" s="1"/>
  <c r="L1653" i="1" a="1"/>
  <c r="L1653" i="1"/>
  <c r="L1654" i="1" a="1"/>
  <c r="L1654" i="1"/>
  <c r="L1655" i="1" a="1"/>
  <c r="L1655" i="1" s="1"/>
  <c r="L1656" i="1" a="1"/>
  <c r="L1656" i="1" s="1"/>
  <c r="L1657" i="1" a="1"/>
  <c r="L1657" i="1"/>
  <c r="L1658" i="1" a="1"/>
  <c r="L1658" i="1"/>
  <c r="L1659" i="1" a="1"/>
  <c r="L1659" i="1"/>
  <c r="L1660" i="1" a="1"/>
  <c r="L1660" i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/>
  <c r="L1667" i="1" a="1"/>
  <c r="L1667" i="1"/>
  <c r="L1668" i="1" a="1"/>
  <c r="L1668" i="1" s="1"/>
  <c r="L1669" i="1" a="1"/>
  <c r="L1669" i="1"/>
  <c r="L1670" i="1" a="1"/>
  <c r="L1670" i="1"/>
  <c r="L1671" i="1" a="1"/>
  <c r="L1671" i="1" s="1"/>
  <c r="L1672" i="1" a="1"/>
  <c r="L1672" i="1"/>
  <c r="L1673" i="1" a="1"/>
  <c r="L1673" i="1" s="1"/>
  <c r="L1674" i="1" a="1"/>
  <c r="L1674" i="1" s="1"/>
  <c r="L1675" i="1" a="1"/>
  <c r="L1675" i="1" s="1"/>
  <c r="L1676" i="1" a="1"/>
  <c r="L1676" i="1"/>
  <c r="L1677" i="1" a="1"/>
  <c r="L1677" i="1"/>
  <c r="L1678" i="1" a="1"/>
  <c r="L1678" i="1" s="1"/>
  <c r="L1679" i="1" a="1"/>
  <c r="L1679" i="1"/>
  <c r="L1680" i="1" a="1"/>
  <c r="L1680" i="1" s="1"/>
  <c r="L1681" i="1" a="1"/>
  <c r="L1681" i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 s="1"/>
  <c r="L1694" i="1" a="1"/>
  <c r="L1694" i="1"/>
  <c r="L1695" i="1" a="1"/>
  <c r="L1695" i="1"/>
  <c r="L1696" i="1" a="1"/>
  <c r="L1696" i="1" s="1"/>
  <c r="L1697" i="1" a="1"/>
  <c r="L1697" i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/>
  <c r="L1706" i="1" a="1"/>
  <c r="L1706" i="1" s="1"/>
  <c r="L1707" i="1" a="1"/>
  <c r="L1707" i="1" s="1"/>
  <c r="L1708" i="1" a="1"/>
  <c r="L1708" i="1" s="1"/>
  <c r="L1709" i="1" a="1"/>
  <c r="L1709" i="1" s="1"/>
  <c r="L1710" i="1" a="1"/>
  <c r="L1710" i="1" s="1"/>
  <c r="L1711" i="1" a="1"/>
  <c r="L1711" i="1" s="1"/>
  <c r="L1712" i="1" a="1"/>
  <c r="L1712" i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/>
  <c r="L1725" i="1" a="1"/>
  <c r="L1725" i="1" s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/>
  <c r="L1731" i="1" a="1"/>
  <c r="L1731" i="1"/>
  <c r="L1732" i="1" a="1"/>
  <c r="L1732" i="1" s="1"/>
  <c r="L1733" i="1" a="1"/>
  <c r="L1733" i="1"/>
  <c r="L1734" i="1" a="1"/>
  <c r="L1734" i="1" s="1"/>
  <c r="L1735" i="1" a="1"/>
  <c r="L1735" i="1" s="1"/>
  <c r="L1736" i="1" a="1"/>
  <c r="L1736" i="1" s="1"/>
  <c r="L1737" i="1" a="1"/>
  <c r="L1737" i="1"/>
  <c r="L1738" i="1" a="1"/>
  <c r="L1738" i="1" s="1"/>
  <c r="L1739" i="1" a="1"/>
  <c r="L1739" i="1"/>
  <c r="L1740" i="1" a="1"/>
  <c r="L1740" i="1" s="1"/>
  <c r="L1741" i="1" a="1"/>
  <c r="L1741" i="1"/>
  <c r="L1742" i="1" a="1"/>
  <c r="L1742" i="1"/>
  <c r="L1743" i="1" a="1"/>
  <c r="L1743" i="1" s="1"/>
  <c r="L1744" i="1" a="1"/>
  <c r="L1744" i="1" s="1"/>
  <c r="L1745" i="1" a="1"/>
  <c r="L1745" i="1" s="1"/>
  <c r="L1746" i="1" a="1"/>
  <c r="L1746" i="1" s="1"/>
  <c r="L1747" i="1" a="1"/>
  <c r="L1747" i="1" s="1"/>
  <c r="L1748" i="1" a="1"/>
  <c r="L1748" i="1"/>
  <c r="L1749" i="1" a="1"/>
  <c r="L1749" i="1" s="1"/>
  <c r="L1750" i="1" a="1"/>
  <c r="L1750" i="1" s="1"/>
  <c r="L1751" i="1" a="1"/>
  <c r="L1751" i="1"/>
  <c r="L1752" i="1" a="1"/>
  <c r="L1752" i="1" s="1"/>
  <c r="L1753" i="1" a="1"/>
  <c r="L1753" i="1"/>
  <c r="L1754" i="1" a="1"/>
  <c r="L1754" i="1" s="1"/>
  <c r="L1755" i="1" a="1"/>
  <c r="L1755" i="1" s="1"/>
  <c r="L1756" i="1" a="1"/>
  <c r="L1756" i="1" s="1"/>
  <c r="L1757" i="1" a="1"/>
  <c r="L1757" i="1"/>
  <c r="L1758" i="1" a="1"/>
  <c r="L1758" i="1" s="1"/>
  <c r="L1759" i="1" a="1"/>
  <c r="L1759" i="1"/>
  <c r="L1760" i="1" a="1"/>
  <c r="L1760" i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 s="1"/>
  <c r="L1766" i="1" a="1"/>
  <c r="L1766" i="1"/>
  <c r="L1767" i="1" a="1"/>
  <c r="L1767" i="1"/>
  <c r="L1768" i="1" a="1"/>
  <c r="L1768" i="1" s="1"/>
  <c r="L1769" i="1" a="1"/>
  <c r="L1769" i="1"/>
  <c r="L1770" i="1" a="1"/>
  <c r="L1770" i="1" s="1"/>
  <c r="L1771" i="1" a="1"/>
  <c r="L1771" i="1"/>
  <c r="L1772" i="1" a="1"/>
  <c r="L1772" i="1" s="1"/>
  <c r="L1773" i="1" a="1"/>
  <c r="L1773" i="1" s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 s="1"/>
  <c r="L1780" i="1" a="1"/>
  <c r="L1780" i="1" s="1"/>
  <c r="L1781" i="1" a="1"/>
  <c r="L1781" i="1" s="1"/>
  <c r="L1782" i="1" a="1"/>
  <c r="L1782" i="1" s="1"/>
  <c r="L1783" i="1" a="1"/>
  <c r="L1783" i="1" s="1"/>
  <c r="L1784" i="1" a="1"/>
  <c r="L1784" i="1" s="1"/>
  <c r="L1785" i="1" a="1"/>
  <c r="L1785" i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 s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/>
  <c r="L1797" i="1" a="1"/>
  <c r="L1797" i="1" s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 s="1"/>
  <c r="L1814" i="1" a="1"/>
  <c r="L1814" i="1" s="1"/>
  <c r="L1815" i="1" a="1"/>
  <c r="L1815" i="1" s="1"/>
  <c r="L1816" i="1" a="1"/>
  <c r="L1816" i="1" s="1"/>
  <c r="L1817" i="1" a="1"/>
  <c r="L1817" i="1" s="1"/>
  <c r="L1818" i="1" a="1"/>
  <c r="L1818" i="1" s="1"/>
  <c r="L1819" i="1" a="1"/>
  <c r="L1819" i="1" s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/>
  <c r="L1826" i="1" a="1"/>
  <c r="L1826" i="1" s="1"/>
  <c r="L1827" i="1" a="1"/>
  <c r="L1827" i="1" s="1"/>
  <c r="L1828" i="1" a="1"/>
  <c r="L1828" i="1" s="1"/>
  <c r="L1829" i="1" a="1"/>
  <c r="L1829" i="1" s="1"/>
  <c r="L1830" i="1" a="1"/>
  <c r="L1830" i="1" s="1"/>
  <c r="L1831" i="1" a="1"/>
  <c r="L1831" i="1" s="1"/>
  <c r="L1832" i="1" a="1"/>
  <c r="L1832" i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 s="1"/>
  <c r="L1838" i="1" a="1"/>
  <c r="L1838" i="1" s="1"/>
  <c r="L1839" i="1" a="1"/>
  <c r="L1839" i="1"/>
  <c r="L1840" i="1" a="1"/>
  <c r="L1840" i="1" s="1"/>
  <c r="L1841" i="1" a="1"/>
  <c r="L1841" i="1"/>
  <c r="L1842" i="1" a="1"/>
  <c r="L1842" i="1" s="1"/>
  <c r="L1843" i="1" a="1"/>
  <c r="L1843" i="1" s="1"/>
  <c r="L1844" i="1" a="1"/>
  <c r="L1844" i="1" s="1"/>
  <c r="L1845" i="1" a="1"/>
  <c r="L1845" i="1" s="1"/>
  <c r="L1846" i="1" a="1"/>
  <c r="L1846" i="1" s="1"/>
  <c r="L1847" i="1" a="1"/>
  <c r="L1847" i="1"/>
  <c r="L1848" i="1" a="1"/>
  <c r="L1848" i="1" s="1"/>
  <c r="L1849" i="1" a="1"/>
  <c r="L1849" i="1" s="1"/>
  <c r="L1850" i="1" a="1"/>
  <c r="L1850" i="1" s="1"/>
  <c r="L1851" i="1" a="1"/>
  <c r="L1851" i="1" s="1"/>
  <c r="L1852" i="1" a="1"/>
  <c r="L1852" i="1" s="1"/>
  <c r="L1853" i="1" a="1"/>
  <c r="L1853" i="1" s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/>
  <c r="L1866" i="1" a="1"/>
  <c r="L1866" i="1" s="1"/>
  <c r="L1867" i="1" a="1"/>
  <c r="L1867" i="1" s="1"/>
  <c r="L1868" i="1" a="1"/>
  <c r="L1868" i="1"/>
  <c r="L1869" i="1" a="1"/>
  <c r="L1869" i="1" s="1"/>
  <c r="L1870" i="1" a="1"/>
  <c r="L1870" i="1" s="1"/>
  <c r="L1871" i="1" a="1"/>
  <c r="L1871" i="1"/>
  <c r="L1872" i="1" a="1"/>
  <c r="L1872" i="1" s="1"/>
  <c r="L1873" i="1" a="1"/>
  <c r="L1873" i="1" s="1"/>
  <c r="L1874" i="1" a="1"/>
  <c r="L1874" i="1" s="1"/>
  <c r="L1875" i="1" a="1"/>
  <c r="L1875" i="1" s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 s="1"/>
  <c r="L1886" i="1" a="1"/>
  <c r="L1886" i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 s="1"/>
  <c r="L1892" i="1" a="1"/>
  <c r="L1892" i="1" s="1"/>
  <c r="L1893" i="1" a="1"/>
  <c r="L1893" i="1" s="1"/>
  <c r="L1894" i="1" a="1"/>
  <c r="L1894" i="1" s="1"/>
  <c r="L1895" i="1" a="1"/>
  <c r="L1895" i="1"/>
  <c r="L1896" i="1" a="1"/>
  <c r="L1896" i="1" s="1"/>
  <c r="L1897" i="1" a="1"/>
  <c r="L1897" i="1"/>
  <c r="L1898" i="1" a="1"/>
  <c r="L1898" i="1" s="1"/>
  <c r="L1899" i="1" a="1"/>
  <c r="L1899" i="1" s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 s="1"/>
  <c r="L1910" i="1" a="1"/>
  <c r="L1910" i="1" s="1"/>
  <c r="L1911" i="1" a="1"/>
  <c r="L1911" i="1" s="1"/>
  <c r="L1912" i="1" a="1"/>
  <c r="L1912" i="1" s="1"/>
  <c r="L1913" i="1" a="1"/>
  <c r="L1913" i="1"/>
  <c r="L1914" i="1" a="1"/>
  <c r="L1914" i="1" s="1"/>
  <c r="L1915" i="1" a="1"/>
  <c r="L1915" i="1"/>
  <c r="L1916" i="1" a="1"/>
  <c r="L1916" i="1" s="1"/>
  <c r="L1917" i="1" a="1"/>
  <c r="L1917" i="1" s="1"/>
  <c r="L1918" i="1" a="1"/>
  <c r="L1918" i="1" s="1"/>
  <c r="L1919" i="1" a="1"/>
  <c r="L1919" i="1"/>
  <c r="L1920" i="1" a="1"/>
  <c r="L1920" i="1" s="1"/>
  <c r="L1921" i="1" a="1"/>
  <c r="L1921" i="1" s="1"/>
  <c r="L1922" i="1" a="1"/>
  <c r="L1922" i="1"/>
  <c r="L1923" i="1" a="1"/>
  <c r="L1923" i="1" s="1"/>
  <c r="L1924" i="1" a="1"/>
  <c r="L1924" i="1" s="1"/>
  <c r="L1925" i="1" a="1"/>
  <c r="L1925" i="1" s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 s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 s="1"/>
  <c r="L1940" i="1" a="1"/>
  <c r="L1940" i="1" s="1"/>
  <c r="L1941" i="1" a="1"/>
  <c r="L1941" i="1" s="1"/>
  <c r="L1942" i="1" a="1"/>
  <c r="L1942" i="1" s="1"/>
  <c r="L1943" i="1" a="1"/>
  <c r="L1943" i="1"/>
  <c r="L1944" i="1" a="1"/>
  <c r="L1944" i="1" s="1"/>
  <c r="L1945" i="1" a="1"/>
  <c r="L1945" i="1" s="1"/>
  <c r="L1946" i="1" a="1"/>
  <c r="L1946" i="1" s="1"/>
  <c r="L1947" i="1" a="1"/>
  <c r="L1947" i="1" s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 s="1"/>
  <c r="L1958" i="1" a="1"/>
  <c r="L1958" i="1" s="1"/>
  <c r="L1959" i="1" a="1"/>
  <c r="L1959" i="1" s="1"/>
  <c r="L1960" i="1" a="1"/>
  <c r="L1960" i="1" s="1"/>
  <c r="L1961" i="1" a="1"/>
  <c r="L1961" i="1"/>
  <c r="L1962" i="1" a="1"/>
  <c r="L1962" i="1" s="1"/>
  <c r="L1963" i="1" a="1"/>
  <c r="L1963" i="1" s="1"/>
  <c r="L1964" i="1" a="1"/>
  <c r="L1964" i="1" s="1"/>
  <c r="L1965" i="1" a="1"/>
  <c r="L1965" i="1" s="1"/>
  <c r="L1966" i="1" a="1"/>
  <c r="L1966" i="1" s="1"/>
  <c r="L1967" i="1" a="1"/>
  <c r="L1967" i="1"/>
  <c r="L1968" i="1" a="1"/>
  <c r="L1968" i="1" s="1"/>
  <c r="L1969" i="1" a="1"/>
  <c r="L1969" i="1" s="1"/>
  <c r="L1970" i="1" a="1"/>
  <c r="L1970" i="1" s="1"/>
  <c r="L1971" i="1" a="1"/>
  <c r="L1971" i="1" s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 s="1"/>
  <c r="L1982" i="1" a="1"/>
  <c r="L1982" i="1" s="1"/>
  <c r="L1983" i="1" a="1"/>
  <c r="L1983" i="1" s="1"/>
  <c r="L1984" i="1" a="1"/>
  <c r="L1984" i="1" s="1"/>
  <c r="L1985" i="1" a="1"/>
  <c r="L1985" i="1"/>
  <c r="L1986" i="1" a="1"/>
  <c r="L1986" i="1" s="1"/>
  <c r="L1987" i="1" a="1"/>
  <c r="L1987" i="1" s="1"/>
  <c r="L1988" i="1" a="1"/>
  <c r="L1988" i="1" s="1"/>
  <c r="L1989" i="1" a="1"/>
  <c r="L1989" i="1" s="1"/>
  <c r="L1990" i="1" a="1"/>
  <c r="L1990" i="1" s="1"/>
  <c r="L1991" i="1" a="1"/>
  <c r="L1991" i="1"/>
  <c r="L1992" i="1" a="1"/>
  <c r="L1992" i="1" s="1"/>
  <c r="L1993" i="1" a="1"/>
  <c r="L1993" i="1" s="1"/>
  <c r="L1994" i="1" a="1"/>
  <c r="L1994" i="1" s="1"/>
  <c r="L1995" i="1" a="1"/>
  <c r="L1995" i="1" s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/>
  <c r="L2002" i="1" a="1"/>
  <c r="L2002" i="1" s="1"/>
  <c r="L2003" i="1" a="1"/>
  <c r="L2003" i="1"/>
  <c r="L2004" i="1" a="1"/>
  <c r="L2004" i="1" s="1"/>
  <c r="L2005" i="1" a="1"/>
  <c r="L2005" i="1" s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 s="1"/>
  <c r="L2012" i="1" a="1"/>
  <c r="L2012" i="1" s="1"/>
  <c r="L2013" i="1" a="1"/>
  <c r="L2013" i="1" s="1"/>
  <c r="L2014" i="1" a="1"/>
  <c r="L2014" i="1" s="1"/>
  <c r="L2015" i="1" a="1"/>
  <c r="L2015" i="1"/>
  <c r="L2016" i="1" a="1"/>
  <c r="L2016" i="1" s="1"/>
  <c r="L2017" i="1" a="1"/>
  <c r="L2017" i="1" s="1"/>
  <c r="L2018" i="1" a="1"/>
  <c r="L2018" i="1" s="1"/>
  <c r="L2019" i="1" a="1"/>
  <c r="L2019" i="1" s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 s="1"/>
  <c r="L2030" i="1" a="1"/>
  <c r="L2030" i="1"/>
  <c r="L2031" i="1" a="1"/>
  <c r="L2031" i="1" s="1"/>
  <c r="L2032" i="1" a="1"/>
  <c r="L2032" i="1" s="1"/>
  <c r="L2033" i="1" a="1"/>
  <c r="L2033" i="1"/>
  <c r="L2034" i="1" a="1"/>
  <c r="L2034" i="1" s="1"/>
  <c r="L2035" i="1" a="1"/>
  <c r="L2035" i="1" s="1"/>
  <c r="L2036" i="1" a="1"/>
  <c r="L2036" i="1" s="1"/>
  <c r="L2037" i="1" a="1"/>
  <c r="L2037" i="1" s="1"/>
  <c r="L2038" i="1" a="1"/>
  <c r="L2038" i="1" s="1"/>
  <c r="L2039" i="1" a="1"/>
  <c r="L2039" i="1"/>
  <c r="L2040" i="1" a="1"/>
  <c r="L2040" i="1" s="1"/>
  <c r="L2041" i="1" a="1"/>
  <c r="L2041" i="1" s="1"/>
  <c r="L2042" i="1" a="1"/>
  <c r="L2042" i="1" s="1"/>
  <c r="L2043" i="1" a="1"/>
  <c r="L2043" i="1" s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 s="1"/>
  <c r="L2054" i="1" a="1"/>
  <c r="L2054" i="1" s="1"/>
  <c r="L2055" i="1" a="1"/>
  <c r="L2055" i="1" s="1"/>
  <c r="L2056" i="1" a="1"/>
  <c r="L2056" i="1" s="1"/>
  <c r="L2057" i="1" a="1"/>
  <c r="L2057" i="1"/>
  <c r="L2058" i="1" a="1"/>
  <c r="L2058" i="1" s="1"/>
  <c r="L2059" i="1" a="1"/>
  <c r="L2059" i="1"/>
  <c r="L2060" i="1" a="1"/>
  <c r="L2060" i="1" s="1"/>
  <c r="L2061" i="1" a="1"/>
  <c r="L2061" i="1" s="1"/>
  <c r="L2062" i="1" a="1"/>
  <c r="L2062" i="1" s="1"/>
  <c r="L2063" i="1" a="1"/>
  <c r="L2063" i="1"/>
  <c r="L2064" i="1" a="1"/>
  <c r="L2064" i="1" s="1"/>
  <c r="L2065" i="1" a="1"/>
  <c r="L2065" i="1" s="1"/>
  <c r="L2066" i="1" a="1"/>
  <c r="L2066" i="1" s="1"/>
  <c r="L2067" i="1" a="1"/>
  <c r="L2067" i="1" s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 s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 s="1"/>
  <c r="L2084" i="1" a="1"/>
  <c r="L2084" i="1" s="1"/>
  <c r="L2085" i="1" a="1"/>
  <c r="L2085" i="1" s="1"/>
  <c r="L2086" i="1" a="1"/>
  <c r="L2086" i="1" s="1"/>
  <c r="L2087" i="1" a="1"/>
  <c r="L2087" i="1"/>
  <c r="L2088" i="1" a="1"/>
  <c r="L2088" i="1" s="1"/>
  <c r="L2089" i="1" a="1"/>
  <c r="L2089" i="1" s="1"/>
  <c r="L2090" i="1" a="1"/>
  <c r="L2090" i="1" s="1"/>
  <c r="L2091" i="1" a="1"/>
  <c r="L2091" i="1" s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 s="1"/>
  <c r="L2102" i="1" a="1"/>
  <c r="L2102" i="1" s="1"/>
  <c r="L2103" i="1" a="1"/>
  <c r="L2103" i="1" s="1"/>
  <c r="L2104" i="1" a="1"/>
  <c r="L2104" i="1" s="1"/>
  <c r="L2105" i="1" a="1"/>
  <c r="L2105" i="1"/>
  <c r="L2106" i="1" a="1"/>
  <c r="L2106" i="1" s="1"/>
  <c r="L2107" i="1" a="1"/>
  <c r="L2107" i="1" s="1"/>
  <c r="L2108" i="1" a="1"/>
  <c r="L2108" i="1" s="1"/>
  <c r="L2109" i="1" a="1"/>
  <c r="L2109" i="1" s="1"/>
  <c r="L2110" i="1" a="1"/>
  <c r="L2110" i="1" s="1"/>
  <c r="L2111" i="1" a="1"/>
  <c r="L2111" i="1"/>
  <c r="L2112" i="1" a="1"/>
  <c r="L2112" i="1" s="1"/>
  <c r="L2113" i="1" a="1"/>
  <c r="L2113" i="1" s="1"/>
  <c r="L2114" i="1" a="1"/>
  <c r="L2114" i="1" s="1"/>
  <c r="L2115" i="1" a="1"/>
  <c r="L2115" i="1" s="1"/>
  <c r="L2116" i="1" a="1"/>
  <c r="L2116" i="1" s="1"/>
  <c r="L2117" i="1" a="1"/>
  <c r="L2117" i="1"/>
  <c r="L2118" i="1" a="1"/>
  <c r="L2118" i="1"/>
  <c r="L2119" i="1" a="1"/>
  <c r="L2119" i="1"/>
  <c r="L2120" i="1" a="1"/>
  <c r="L2120" i="1"/>
  <c r="L2121" i="1" a="1"/>
  <c r="L2121" i="1"/>
  <c r="L2122" i="1" a="1"/>
  <c r="L2122" i="1" s="1"/>
  <c r="L2123" i="1" a="1"/>
  <c r="L2123" i="1"/>
  <c r="L2124" i="1" a="1"/>
  <c r="L2124" i="1" s="1"/>
  <c r="L2125" i="1" a="1"/>
  <c r="L2125" i="1" s="1"/>
  <c r="L2126" i="1" a="1"/>
  <c r="L2126" i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 s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 s="1"/>
  <c r="L2140" i="1" a="1"/>
  <c r="L2140" i="1" s="1"/>
  <c r="L2141" i="1" a="1"/>
  <c r="L2141" i="1" s="1"/>
  <c r="L2142" i="1" a="1"/>
  <c r="L2142" i="1" s="1"/>
  <c r="L2143" i="1" a="1"/>
  <c r="L2143" i="1" s="1"/>
  <c r="L2144" i="1" a="1"/>
  <c r="L2144" i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 s="1"/>
  <c r="L2150" i="1" a="1"/>
  <c r="L2150" i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/>
  <c r="L2157" i="1" a="1"/>
  <c r="L2157" i="1" s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 s="1"/>
  <c r="L2164" i="1" a="1"/>
  <c r="L2164" i="1" s="1"/>
  <c r="L2165" i="1" a="1"/>
  <c r="L2165" i="1" s="1"/>
  <c r="L2166" i="1" a="1"/>
  <c r="L2166" i="1" s="1"/>
  <c r="L2167" i="1" a="1"/>
  <c r="L2167" i="1" s="1"/>
  <c r="L2168" i="1" a="1"/>
  <c r="L2168" i="1"/>
  <c r="L2169" i="1" a="1"/>
  <c r="L2169" i="1" s="1"/>
  <c r="L2170" i="1" a="1"/>
  <c r="L2170" i="1" s="1"/>
  <c r="L2171" i="1" a="1"/>
  <c r="L2171" i="1"/>
  <c r="L2172" i="1" a="1"/>
  <c r="L2172" i="1" s="1"/>
  <c r="L2173" i="1" a="1"/>
  <c r="L2173" i="1" s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 s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 s="1"/>
  <c r="L2190" i="1" a="1"/>
  <c r="L2190" i="1" s="1"/>
  <c r="L2191" i="1" a="1"/>
  <c r="L2191" i="1" s="1"/>
  <c r="L2192" i="1" a="1"/>
  <c r="L2192" i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 s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/>
  <c r="L2204" i="1" a="1"/>
  <c r="L2204" i="1" s="1"/>
  <c r="L2205" i="1" a="1"/>
  <c r="L2205" i="1" s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 s="1"/>
  <c r="L2212" i="1" a="1"/>
  <c r="L2212" i="1" s="1"/>
  <c r="L2213" i="1" a="1"/>
  <c r="L2213" i="1" s="1"/>
  <c r="L2214" i="1" a="1"/>
  <c r="L2214" i="1" s="1"/>
  <c r="L2215" i="1" a="1"/>
  <c r="L2215" i="1" s="1"/>
  <c r="L2216" i="1" a="1"/>
  <c r="L2216" i="1"/>
  <c r="L2217" i="1" a="1"/>
  <c r="L2217" i="1" s="1"/>
  <c r="L2218" i="1" a="1"/>
  <c r="L2218" i="1" s="1"/>
  <c r="L2219" i="1" a="1"/>
  <c r="L2219" i="1"/>
  <c r="L2220" i="1" a="1"/>
  <c r="L2220" i="1" s="1"/>
  <c r="L2221" i="1" a="1"/>
  <c r="L2221" i="1" s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/>
  <c r="L2229" i="1" a="1"/>
  <c r="L2229" i="1" s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 s="1"/>
  <c r="L2238" i="1" a="1"/>
  <c r="L2238" i="1" s="1"/>
  <c r="L2239" i="1" a="1"/>
  <c r="L2239" i="1" s="1"/>
  <c r="L2240" i="1" a="1"/>
  <c r="L2240" i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 s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/>
  <c r="L2252" i="1" a="1"/>
  <c r="L2252" i="1" s="1"/>
  <c r="L2253" i="1" a="1"/>
  <c r="L2253" i="1" s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 s="1"/>
  <c r="L2260" i="1" a="1"/>
  <c r="L2260" i="1" s="1"/>
  <c r="L2261" i="1" a="1"/>
  <c r="L2261" i="1" s="1"/>
  <c r="L2262" i="1" a="1"/>
  <c r="L2262" i="1" s="1"/>
  <c r="L2263" i="1" a="1"/>
  <c r="L2263" i="1" s="1"/>
  <c r="L2264" i="1" a="1"/>
  <c r="L2264" i="1"/>
  <c r="L2265" i="1" a="1"/>
  <c r="L2265" i="1" s="1"/>
  <c r="L2266" i="1" a="1"/>
  <c r="L2266" i="1" s="1"/>
  <c r="L2267" i="1" a="1"/>
  <c r="L2267" i="1"/>
  <c r="L2268" i="1" a="1"/>
  <c r="L2268" i="1" s="1"/>
  <c r="L2269" i="1" a="1"/>
  <c r="L2269" i="1" s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 s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 s="1"/>
  <c r="L2286" i="1" a="1"/>
  <c r="L2286" i="1" s="1"/>
  <c r="L2287" i="1" a="1"/>
  <c r="L2287" i="1" s="1"/>
  <c r="L2288" i="1" a="1"/>
  <c r="L2288" i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 s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/>
  <c r="L2300" i="1" a="1"/>
  <c r="L2300" i="1"/>
  <c r="L2301" i="1" a="1"/>
  <c r="L2301" i="1" s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 s="1"/>
  <c r="L2308" i="1" a="1"/>
  <c r="L2308" i="1" s="1"/>
  <c r="L2309" i="1" a="1"/>
  <c r="L2309" i="1" s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/>
  <c r="L2316" i="1" a="1"/>
  <c r="L2316" i="1" s="1"/>
  <c r="L2317" i="1" a="1"/>
  <c r="L2317" i="1" s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/>
  <c r="L2325" i="1" a="1"/>
  <c r="L2325" i="1" s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 s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 s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/>
  <c r="L2348" i="1" a="1"/>
  <c r="L2348" i="1" s="1"/>
  <c r="L2349" i="1" a="1"/>
  <c r="L2349" i="1" s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 s="1"/>
  <c r="L2356" i="1" a="1"/>
  <c r="L2356" i="1" s="1"/>
  <c r="L2357" i="1" a="1"/>
  <c r="L2357" i="1" s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/>
  <c r="L2364" i="1" a="1"/>
  <c r="L2364" i="1" s="1"/>
  <c r="L2365" i="1" a="1"/>
  <c r="L2365" i="1" s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/>
  <c r="L2373" i="1" a="1"/>
  <c r="L2373" i="1" s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 s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 s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/>
  <c r="L2396" i="1" a="1"/>
  <c r="L2396" i="1"/>
  <c r="L2397" i="1" a="1"/>
  <c r="L2397" i="1" s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 s="1"/>
  <c r="L2404" i="1" a="1"/>
  <c r="L2404" i="1" s="1"/>
  <c r="L2405" i="1" a="1"/>
  <c r="L2405" i="1" s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/>
  <c r="L2412" i="1" a="1"/>
  <c r="L2412" i="1" s="1"/>
  <c r="L2413" i="1" a="1"/>
  <c r="L2413" i="1" s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 s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 s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 s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/>
  <c r="L2444" i="1" a="1"/>
  <c r="L2444" i="1" s="1"/>
  <c r="L2445" i="1" a="1"/>
  <c r="L2445" i="1" s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 s="1"/>
  <c r="L2452" i="1" a="1"/>
  <c r="L2452" i="1" s="1"/>
  <c r="L2453" i="1" a="1"/>
  <c r="L2453" i="1" s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/>
  <c r="L2460" i="1" a="1"/>
  <c r="L2460" i="1" s="1"/>
  <c r="L2461" i="1" a="1"/>
  <c r="L2461" i="1" s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 s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 s="1"/>
  <c r="L2478" i="1" a="1"/>
  <c r="L2478" i="1" s="1"/>
  <c r="L2479" i="1" a="1"/>
  <c r="L2479" i="1" s="1"/>
  <c r="L2480" i="1" a="1"/>
  <c r="L2480" i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 s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/>
  <c r="L2492" i="1" a="1"/>
  <c r="L2492" i="1" s="1"/>
  <c r="L2493" i="1" a="1"/>
  <c r="L2493" i="1" s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 s="1"/>
  <c r="L2500" i="1" a="1"/>
  <c r="L2500" i="1" s="1"/>
  <c r="L2501" i="1" a="1"/>
  <c r="L2501" i="1" s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/>
  <c r="L2508" i="1" a="1"/>
  <c r="L2508" i="1" s="1"/>
  <c r="L2509" i="1" a="1"/>
  <c r="L2509" i="1" s="1"/>
  <c r="L2510" i="1" a="1"/>
  <c r="L2510" i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 s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 s="1"/>
  <c r="L2526" i="1" a="1"/>
  <c r="L2526" i="1" s="1"/>
  <c r="L2527" i="1" a="1"/>
  <c r="L2527" i="1" s="1"/>
  <c r="L2528" i="1" a="1"/>
  <c r="L2528" i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 s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/>
  <c r="L2540" i="1" a="1"/>
  <c r="L2540" i="1"/>
  <c r="L2541" i="1" a="1"/>
  <c r="L2541" i="1" s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 s="1"/>
  <c r="L2548" i="1" a="1"/>
  <c r="L2548" i="1" s="1"/>
  <c r="L2549" i="1" a="1"/>
  <c r="L2549" i="1" s="1"/>
  <c r="L2550" i="1" a="1"/>
  <c r="L2550" i="1" s="1"/>
  <c r="L2551" i="1" a="1"/>
  <c r="L2551" i="1" s="1"/>
  <c r="L2552" i="1" a="1"/>
  <c r="L2552" i="1"/>
  <c r="L2553" i="1" a="1"/>
  <c r="L2553" i="1" s="1"/>
  <c r="L2554" i="1" a="1"/>
  <c r="L2554" i="1" s="1"/>
  <c r="L2555" i="1" a="1"/>
  <c r="L2555" i="1"/>
  <c r="L2556" i="1" a="1"/>
  <c r="L2556" i="1" s="1"/>
  <c r="L2557" i="1" a="1"/>
  <c r="L2557" i="1" s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/>
  <c r="L2565" i="1" a="1"/>
  <c r="L2565" i="1" s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/>
  <c r="L2571" i="1" a="1"/>
  <c r="L2571" i="1" s="1"/>
  <c r="L2572" i="1" a="1"/>
  <c r="L2572" i="1" s="1"/>
  <c r="L2573" i="1" a="1"/>
  <c r="L2573" i="1" s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 s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/>
  <c r="L2589" i="1" a="1"/>
  <c r="L2589" i="1" s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/>
  <c r="L2595" i="1" a="1"/>
  <c r="L2595" i="1" s="1"/>
  <c r="L2596" i="1" a="1"/>
  <c r="L2596" i="1" s="1"/>
  <c r="L2597" i="1" a="1"/>
  <c r="L2597" i="1" s="1"/>
  <c r="L2598" i="1" a="1"/>
  <c r="L2598" i="1" s="1"/>
  <c r="L2599" i="1" a="1"/>
  <c r="L2599" i="1" s="1"/>
  <c r="L2600" i="1" a="1"/>
  <c r="L2600" i="1"/>
  <c r="L2601" i="1" a="1"/>
  <c r="L2601" i="1" s="1"/>
  <c r="L2602" i="1" a="1"/>
  <c r="L2602" i="1" s="1"/>
  <c r="L2603" i="1" a="1"/>
  <c r="L2603" i="1"/>
  <c r="L2604" i="1" a="1"/>
  <c r="L2604" i="1" s="1"/>
  <c r="L2605" i="1" a="1"/>
  <c r="L2605" i="1" s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 s="1"/>
  <c r="L2612" i="1" a="1"/>
  <c r="L2612" i="1"/>
  <c r="L2613" i="1" a="1"/>
  <c r="L2613" i="1" s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/>
  <c r="L2619" i="1" a="1"/>
  <c r="L2619" i="1" s="1"/>
  <c r="L2620" i="1" a="1"/>
  <c r="L2620" i="1" s="1"/>
  <c r="L2621" i="1" a="1"/>
  <c r="L2621" i="1" s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 s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/>
  <c r="L2637" i="1" a="1"/>
  <c r="L2637" i="1" s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/>
  <c r="L2643" i="1" a="1"/>
  <c r="L2643" i="1" s="1"/>
  <c r="L2644" i="1" a="1"/>
  <c r="L2644" i="1" s="1"/>
  <c r="L2645" i="1" a="1"/>
  <c r="L2645" i="1" s="1"/>
  <c r="L2646" i="1" a="1"/>
  <c r="L2646" i="1" s="1"/>
  <c r="L2647" i="1" a="1"/>
  <c r="L2647" i="1" s="1"/>
  <c r="L2648" i="1" a="1"/>
  <c r="L2648" i="1"/>
  <c r="L2649" i="1" a="1"/>
  <c r="L2649" i="1" s="1"/>
  <c r="L2650" i="1" a="1"/>
  <c r="L2650" i="1" s="1"/>
  <c r="L2651" i="1" a="1"/>
  <c r="L2651" i="1"/>
  <c r="L2652" i="1" a="1"/>
  <c r="L2652" i="1" s="1"/>
  <c r="L2653" i="1" a="1"/>
  <c r="L2653" i="1" s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 s="1"/>
  <c r="L2660" i="1" a="1"/>
  <c r="L2660" i="1"/>
  <c r="L2661" i="1" a="1"/>
  <c r="L2661" i="1" s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/>
  <c r="L2667" i="1" a="1"/>
  <c r="L2667" i="1" s="1"/>
  <c r="L2668" i="1" a="1"/>
  <c r="L2668" i="1" s="1"/>
  <c r="L2669" i="1" a="1"/>
  <c r="L2669" i="1" s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 s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/>
  <c r="L2685" i="1" a="1"/>
  <c r="L2685" i="1" s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/>
  <c r="L2691" i="1" a="1"/>
  <c r="L2691" i="1" s="1"/>
  <c r="L2692" i="1" a="1"/>
  <c r="L2692" i="1" s="1"/>
  <c r="L2693" i="1" a="1"/>
  <c r="L2693" i="1" s="1"/>
  <c r="L2694" i="1" a="1"/>
  <c r="L2694" i="1" s="1"/>
  <c r="L2695" i="1" a="1"/>
  <c r="L2695" i="1" s="1"/>
  <c r="L2696" i="1" a="1"/>
  <c r="L2696" i="1"/>
  <c r="L2697" i="1" a="1"/>
  <c r="L2697" i="1" s="1"/>
  <c r="L2698" i="1" a="1"/>
  <c r="L2698" i="1" s="1"/>
  <c r="L2699" i="1" a="1"/>
  <c r="L2699" i="1"/>
  <c r="L2700" i="1" a="1"/>
  <c r="L2700" i="1" s="1"/>
  <c r="L2701" i="1" a="1"/>
  <c r="L2701" i="1" s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 s="1"/>
  <c r="L2708" i="1" a="1"/>
  <c r="L2708" i="1"/>
  <c r="L2709" i="1" a="1"/>
  <c r="L2709" i="1" s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/>
  <c r="L2715" i="1" a="1"/>
  <c r="L2715" i="1" s="1"/>
  <c r="L2716" i="1" a="1"/>
  <c r="L2716" i="1" s="1"/>
  <c r="L2717" i="1" a="1"/>
  <c r="L2717" i="1" s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 s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/>
  <c r="L2733" i="1" a="1"/>
  <c r="L2733" i="1" s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/>
  <c r="L2739" i="1" a="1"/>
  <c r="L2739" i="1" s="1"/>
  <c r="L2740" i="1" a="1"/>
  <c r="L2740" i="1" s="1"/>
  <c r="L2741" i="1" a="1"/>
  <c r="L2741" i="1" s="1"/>
  <c r="L2742" i="1" a="1"/>
  <c r="L2742" i="1" s="1"/>
  <c r="L2743" i="1" a="1"/>
  <c r="L2743" i="1" s="1"/>
  <c r="L2744" i="1" a="1"/>
  <c r="L2744" i="1"/>
  <c r="L2745" i="1" a="1"/>
  <c r="L2745" i="1" s="1"/>
  <c r="L2746" i="1" a="1"/>
  <c r="L2746" i="1" s="1"/>
  <c r="L2747" i="1" a="1"/>
  <c r="L2747" i="1"/>
  <c r="L2748" i="1" a="1"/>
  <c r="L2748" i="1" s="1"/>
  <c r="L2749" i="1" a="1"/>
  <c r="L2749" i="1" s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 s="1"/>
  <c r="L2756" i="1" a="1"/>
  <c r="L2756" i="1"/>
  <c r="L2757" i="1" a="1"/>
  <c r="L2757" i="1" s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/>
  <c r="L2763" i="1" a="1"/>
  <c r="L2763" i="1" s="1"/>
  <c r="L2764" i="1" a="1"/>
  <c r="L2764" i="1" s="1"/>
  <c r="L2765" i="1" a="1"/>
  <c r="L2765" i="1" s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 s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/>
  <c r="L2781" i="1" a="1"/>
  <c r="L2781" i="1" s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/>
  <c r="L2787" i="1" a="1"/>
  <c r="L2787" i="1" s="1"/>
  <c r="L2788" i="1" a="1"/>
  <c r="L2788" i="1" s="1"/>
  <c r="L2789" i="1" a="1"/>
  <c r="L2789" i="1" s="1"/>
  <c r="L2790" i="1" a="1"/>
  <c r="L2790" i="1" s="1"/>
  <c r="L2791" i="1" a="1"/>
  <c r="L2791" i="1" s="1"/>
  <c r="L2792" i="1" a="1"/>
  <c r="L2792" i="1"/>
  <c r="L2793" i="1" a="1"/>
  <c r="L2793" i="1" s="1"/>
  <c r="L2794" i="1" a="1"/>
  <c r="L2794" i="1" s="1"/>
  <c r="L2795" i="1" a="1"/>
  <c r="L2795" i="1"/>
  <c r="L2796" i="1" a="1"/>
  <c r="L2796" i="1" s="1"/>
  <c r="L2797" i="1" a="1"/>
  <c r="L2797" i="1" s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 s="1"/>
  <c r="L2804" i="1" a="1"/>
  <c r="L2804" i="1" s="1"/>
  <c r="L2805" i="1" a="1"/>
  <c r="L2805" i="1" s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/>
  <c r="L2811" i="1" a="1"/>
  <c r="L2811" i="1" s="1"/>
  <c r="L2812" i="1" a="1"/>
  <c r="L2812" i="1" s="1"/>
  <c r="L2813" i="1" a="1"/>
  <c r="L2813" i="1" s="1"/>
  <c r="L2814" i="1" a="1"/>
  <c r="L2814" i="1" s="1"/>
  <c r="L2815" i="1" a="1"/>
  <c r="L2815" i="1" s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 s="1"/>
  <c r="L2822" i="1" a="1"/>
  <c r="L2822" i="1" s="1"/>
  <c r="L2823" i="1" a="1"/>
  <c r="L2823" i="1" s="1"/>
  <c r="L2824" i="1" a="1"/>
  <c r="L2824" i="1" s="1"/>
  <c r="L2825" i="1" a="1"/>
  <c r="L2825" i="1" s="1"/>
  <c r="L2826" i="1" a="1"/>
  <c r="L2826" i="1" s="1"/>
  <c r="L2827" i="1" a="1"/>
  <c r="L2827" i="1" s="1"/>
  <c r="L2828" i="1" a="1"/>
  <c r="L2828" i="1"/>
  <c r="L2829" i="1" a="1"/>
  <c r="L2829" i="1" s="1"/>
  <c r="L2830" i="1" a="1"/>
  <c r="L2830" i="1" s="1"/>
  <c r="L2831" i="1" a="1"/>
  <c r="L2831" i="1" s="1"/>
  <c r="L2832" i="1" a="1"/>
  <c r="L2832" i="1" s="1"/>
  <c r="L2833" i="1" a="1"/>
  <c r="L2833" i="1" s="1"/>
  <c r="L2834" i="1" a="1"/>
  <c r="L2834" i="1"/>
  <c r="L2835" i="1" a="1"/>
  <c r="L2835" i="1" s="1"/>
  <c r="L2836" i="1" a="1"/>
  <c r="L2836" i="1" s="1"/>
  <c r="L2837" i="1" a="1"/>
  <c r="L2837" i="1" s="1"/>
  <c r="L2838" i="1" a="1"/>
  <c r="L2838" i="1" s="1"/>
  <c r="L2839" i="1" a="1"/>
  <c r="L2839" i="1" s="1"/>
  <c r="L2840" i="1" a="1"/>
  <c r="L2840" i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 s="1"/>
  <c r="L2846" i="1" a="1"/>
  <c r="L2846" i="1" s="1"/>
  <c r="L2847" i="1" a="1"/>
  <c r="L2847" i="1" s="1"/>
  <c r="L2848" i="1" a="1"/>
  <c r="L2848" i="1" s="1"/>
  <c r="L2849" i="1" a="1"/>
  <c r="L2849" i="1" s="1"/>
  <c r="L2850" i="1" a="1"/>
  <c r="L2850" i="1" s="1"/>
  <c r="L2851" i="1" a="1"/>
  <c r="L2851" i="1" s="1"/>
  <c r="L2852" i="1" a="1"/>
  <c r="L2852" i="1" s="1"/>
  <c r="L2853" i="1" a="1"/>
  <c r="L2853" i="1" s="1"/>
  <c r="L2854" i="1" a="1"/>
  <c r="L2854" i="1" s="1"/>
  <c r="L2855" i="1" a="1"/>
  <c r="L2855" i="1" s="1"/>
  <c r="L2856" i="1" a="1"/>
  <c r="L2856" i="1" s="1"/>
  <c r="L2857" i="1" a="1"/>
  <c r="L2857" i="1" s="1"/>
  <c r="L2858" i="1" a="1"/>
  <c r="L2858" i="1"/>
  <c r="L2859" i="1" a="1"/>
  <c r="L2859" i="1" s="1"/>
  <c r="L2860" i="1" a="1"/>
  <c r="L2860" i="1" s="1"/>
  <c r="L2861" i="1" a="1"/>
  <c r="L2861" i="1" s="1"/>
  <c r="L2862" i="1" a="1"/>
  <c r="L2862" i="1" s="1"/>
  <c r="L2863" i="1" a="1"/>
  <c r="L2863" i="1" s="1"/>
  <c r="L2864" i="1" a="1"/>
  <c r="L2864" i="1" s="1"/>
  <c r="L2865" i="1" a="1"/>
  <c r="L2865" i="1" s="1"/>
  <c r="L2866" i="1" a="1"/>
  <c r="L2866" i="1" s="1"/>
  <c r="L2867" i="1" a="1"/>
  <c r="L2867" i="1"/>
  <c r="L2868" i="1" a="1"/>
  <c r="L2868" i="1" s="1"/>
  <c r="L2869" i="1" a="1"/>
  <c r="L2869" i="1" s="1"/>
  <c r="L2870" i="1" a="1"/>
  <c r="L2870" i="1" s="1"/>
  <c r="L2871" i="1" a="1"/>
  <c r="L2871" i="1" s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/>
  <c r="L2877" i="1" a="1"/>
  <c r="L2877" i="1" s="1"/>
  <c r="L2878" i="1" a="1"/>
  <c r="L2878" i="1" s="1"/>
  <c r="L2879" i="1" a="1"/>
  <c r="L2879" i="1" s="1"/>
  <c r="L2880" i="1" a="1"/>
  <c r="L2880" i="1" s="1"/>
  <c r="L2881" i="1" a="1"/>
  <c r="L2881" i="1" s="1"/>
  <c r="L2882" i="1" a="1"/>
  <c r="L2882" i="1"/>
  <c r="L2883" i="1" a="1"/>
  <c r="L2883" i="1" s="1"/>
  <c r="L2884" i="1" a="1"/>
  <c r="L2884" i="1" s="1"/>
  <c r="L2885" i="1" a="1"/>
  <c r="L2885" i="1" s="1"/>
  <c r="L2886" i="1" a="1"/>
  <c r="L2886" i="1" s="1"/>
  <c r="L2887" i="1" a="1"/>
  <c r="L2887" i="1" s="1"/>
  <c r="L2888" i="1" a="1"/>
  <c r="L2888" i="1"/>
  <c r="L2889" i="1" a="1"/>
  <c r="L2889" i="1" s="1"/>
  <c r="L2890" i="1" a="1"/>
  <c r="L2890" i="1" s="1"/>
  <c r="L2891" i="1" a="1"/>
  <c r="L2891" i="1" s="1"/>
  <c r="L2892" i="1" a="1"/>
  <c r="L2892" i="1" s="1"/>
  <c r="L2893" i="1" a="1"/>
  <c r="L2893" i="1" s="1"/>
  <c r="L2894" i="1" a="1"/>
  <c r="L2894" i="1" s="1"/>
  <c r="L2895" i="1" a="1"/>
  <c r="L2895" i="1" s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 s="1"/>
  <c r="L2904" i="1" a="1"/>
  <c r="L2904" i="1" s="1"/>
  <c r="L2905" i="1" a="1"/>
  <c r="L2905" i="1" s="1"/>
  <c r="L2906" i="1" a="1"/>
  <c r="L2906" i="1"/>
  <c r="L2907" i="1" a="1"/>
  <c r="L2907" i="1" s="1"/>
  <c r="L2908" i="1" a="1"/>
  <c r="L2908" i="1" s="1"/>
  <c r="L2909" i="1" a="1"/>
  <c r="L2909" i="1" s="1"/>
  <c r="L2910" i="1" a="1"/>
  <c r="L2910" i="1" s="1"/>
  <c r="L2911" i="1" a="1"/>
  <c r="L2911" i="1" s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 s="1"/>
  <c r="L2918" i="1" a="1"/>
  <c r="L2918" i="1" s="1"/>
  <c r="L2919" i="1" a="1"/>
  <c r="L2919" i="1" s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/>
  <c r="L2925" i="1" a="1"/>
  <c r="L2925" i="1" s="1"/>
  <c r="L2926" i="1" a="1"/>
  <c r="L2926" i="1" s="1"/>
  <c r="L2927" i="1" a="1"/>
  <c r="L2927" i="1" s="1"/>
  <c r="L2928" i="1" a="1"/>
  <c r="L2928" i="1" s="1"/>
  <c r="L2929" i="1" a="1"/>
  <c r="L2929" i="1"/>
  <c r="L2930" i="1" a="1"/>
  <c r="L2930" i="1"/>
  <c r="L2931" i="1" a="1"/>
  <c r="L2931" i="1" s="1"/>
  <c r="L2932" i="1" a="1"/>
  <c r="L2932" i="1" s="1"/>
  <c r="L2933" i="1" a="1"/>
  <c r="L2933" i="1"/>
  <c r="L2934" i="1" a="1"/>
  <c r="L2934" i="1" s="1"/>
  <c r="L2935" i="1" a="1"/>
  <c r="L2935" i="1" s="1"/>
  <c r="L2936" i="1" a="1"/>
  <c r="L2936" i="1"/>
  <c r="L2937" i="1" a="1"/>
  <c r="L2937" i="1" s="1"/>
  <c r="L2938" i="1" a="1"/>
  <c r="L2938" i="1" s="1"/>
  <c r="L2939" i="1" a="1"/>
  <c r="L2939" i="1"/>
  <c r="L2940" i="1" a="1"/>
  <c r="L2940" i="1" s="1"/>
  <c r="L2941" i="1" a="1"/>
  <c r="L2941" i="1"/>
  <c r="L2942" i="1" a="1"/>
  <c r="L2942" i="1"/>
  <c r="L2943" i="1" a="1"/>
  <c r="L2943" i="1" s="1"/>
  <c r="L2944" i="1" a="1"/>
  <c r="L2944" i="1" s="1"/>
  <c r="L2945" i="1" a="1"/>
  <c r="L2945" i="1" s="1"/>
  <c r="L2946" i="1" a="1"/>
  <c r="L2946" i="1" s="1"/>
  <c r="L2947" i="1" a="1"/>
  <c r="L2947" i="1"/>
  <c r="L2948" i="1" a="1"/>
  <c r="L2948" i="1"/>
  <c r="L2949" i="1" a="1"/>
  <c r="L2949" i="1" s="1"/>
  <c r="L2950" i="1" a="1"/>
  <c r="L2950" i="1" s="1"/>
  <c r="L2951" i="1" a="1"/>
  <c r="L2951" i="1" s="1"/>
  <c r="L2952" i="1" a="1"/>
  <c r="L2952" i="1" s="1"/>
  <c r="L2953" i="1" a="1"/>
  <c r="L2953" i="1"/>
  <c r="L2954" i="1" a="1"/>
  <c r="L2954" i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 s="1"/>
  <c r="L2960" i="1" a="1"/>
  <c r="L2960" i="1" s="1"/>
  <c r="L2961" i="1" a="1"/>
  <c r="L2961" i="1" s="1"/>
  <c r="L2962" i="1" a="1"/>
  <c r="L2962" i="1" s="1"/>
  <c r="L2963" i="1" a="1"/>
  <c r="L2963" i="1"/>
  <c r="L2964" i="1" a="1"/>
  <c r="L2964" i="1" s="1"/>
  <c r="L2965" i="1" a="1"/>
  <c r="L2965" i="1" s="1"/>
  <c r="L2966" i="1" a="1"/>
  <c r="L2966" i="1"/>
  <c r="L2967" i="1" a="1"/>
  <c r="L2967" i="1" s="1"/>
  <c r="L2968" i="1" a="1"/>
  <c r="L2968" i="1" s="1"/>
  <c r="L2969" i="1" a="1"/>
  <c r="L2969" i="1" s="1"/>
  <c r="L2970" i="1" a="1"/>
  <c r="L2970" i="1" s="1"/>
  <c r="L2971" i="1" a="1"/>
  <c r="L2971" i="1"/>
  <c r="L2972" i="1" a="1"/>
  <c r="L2972" i="1"/>
  <c r="L2973" i="1" a="1"/>
  <c r="L2973" i="1" s="1"/>
  <c r="L2974" i="1" a="1"/>
  <c r="L2974" i="1" s="1"/>
  <c r="L2975" i="1" a="1"/>
  <c r="L2975" i="1" s="1"/>
  <c r="L2976" i="1" a="1"/>
  <c r="L2976" i="1" s="1"/>
  <c r="L2977" i="1" a="1"/>
  <c r="L2977" i="1" s="1"/>
  <c r="L2978" i="1" a="1"/>
  <c r="L2978" i="1"/>
  <c r="L2979" i="1" a="1"/>
  <c r="L2979" i="1" s="1"/>
  <c r="L2980" i="1" a="1"/>
  <c r="L2980" i="1" s="1"/>
  <c r="L2981" i="1" a="1"/>
  <c r="L2981" i="1"/>
  <c r="L2982" i="1" a="1"/>
  <c r="L2982" i="1" s="1"/>
  <c r="L2983" i="1" a="1"/>
  <c r="L2983" i="1" s="1"/>
  <c r="L2984" i="1" a="1"/>
  <c r="L2984" i="1"/>
  <c r="L2985" i="1" a="1"/>
  <c r="L2985" i="1" s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 s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/>
  <c r="L2997" i="1" a="1"/>
  <c r="L2997" i="1" s="1"/>
  <c r="L2998" i="1" a="1"/>
  <c r="L2998" i="1" s="1"/>
  <c r="L2999" i="1" a="1"/>
  <c r="L2999" i="1" s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/>
  <c r="L3006" i="1" a="1"/>
  <c r="L3006" i="1" s="1"/>
  <c r="L3007" i="1" a="1"/>
  <c r="L3007" i="1" s="1"/>
  <c r="L3008" i="1" a="1"/>
  <c r="L3008" i="1" s="1"/>
  <c r="L3009" i="1" a="1"/>
  <c r="L3009" i="1" s="1"/>
  <c r="L3010" i="1" a="1"/>
  <c r="L3010" i="1" s="1"/>
  <c r="L3011" i="1" a="1"/>
  <c r="L3011" i="1" s="1"/>
  <c r="L3012" i="1" a="1"/>
  <c r="L3012" i="1" s="1"/>
  <c r="L3013" i="1" a="1"/>
  <c r="L3013" i="1"/>
  <c r="L3014" i="1" a="1"/>
  <c r="L3014" i="1" s="1"/>
  <c r="L3015" i="1" a="1"/>
  <c r="L3015" i="1" s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 s="1"/>
  <c r="L3024" i="1" a="1"/>
  <c r="L3024" i="1" s="1"/>
  <c r="L3025" i="1" a="1"/>
  <c r="L3025" i="1" s="1"/>
  <c r="L3026" i="1" a="1"/>
  <c r="L3026" i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 s="1"/>
  <c r="L3032" i="1" a="1"/>
  <c r="L3032" i="1" s="1"/>
  <c r="L3033" i="1" a="1"/>
  <c r="L3033" i="1" s="1"/>
  <c r="L3034" i="1" a="1"/>
  <c r="L3034" i="1" s="1"/>
  <c r="L3035" i="1" a="1"/>
  <c r="L3035" i="1"/>
  <c r="L3036" i="1" a="1"/>
  <c r="L3036" i="1" s="1"/>
  <c r="L3037" i="1" a="1"/>
  <c r="L3037" i="1" s="1"/>
  <c r="L3038" i="1" a="1"/>
  <c r="L3038" i="1"/>
  <c r="L3039" i="1" a="1"/>
  <c r="L3039" i="1" s="1"/>
  <c r="L3040" i="1" a="1"/>
  <c r="L3040" i="1" s="1"/>
  <c r="L3041" i="1" a="1"/>
  <c r="L3041" i="1" s="1"/>
  <c r="L3042" i="1" a="1"/>
  <c r="L3042" i="1" s="1"/>
  <c r="L3043" i="1" a="1"/>
  <c r="L3043" i="1"/>
  <c r="L3044" i="1" a="1"/>
  <c r="L3044" i="1" s="1"/>
  <c r="L3045" i="1" a="1"/>
  <c r="L3045" i="1" s="1"/>
  <c r="L3046" i="1" a="1"/>
  <c r="L3046" i="1" s="1"/>
  <c r="L3047" i="1" a="1"/>
  <c r="L3047" i="1" s="1"/>
  <c r="L3048" i="1" a="1"/>
  <c r="L3048" i="1" s="1"/>
  <c r="L3049" i="1" a="1"/>
  <c r="L3049" i="1" s="1"/>
  <c r="L3050" i="1" a="1"/>
  <c r="L3050" i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 s="1"/>
  <c r="L3056" i="1" a="1"/>
  <c r="L3056" i="1" s="1"/>
  <c r="L3057" i="1" a="1"/>
  <c r="L3057" i="1" s="1"/>
  <c r="L3058" i="1" a="1"/>
  <c r="L3058" i="1" s="1"/>
  <c r="L3059" i="1" a="1"/>
  <c r="L3059" i="1"/>
  <c r="L3060" i="1" a="1"/>
  <c r="L3060" i="1" s="1"/>
  <c r="L3061" i="1" a="1"/>
  <c r="L3061" i="1" s="1"/>
  <c r="L3062" i="1" a="1"/>
  <c r="L3062" i="1"/>
  <c r="L3063" i="1" a="1"/>
  <c r="L3063" i="1" s="1"/>
  <c r="L3064" i="1" a="1"/>
  <c r="L3064" i="1" s="1"/>
  <c r="L3065" i="1" a="1"/>
  <c r="L3065" i="1" s="1"/>
  <c r="L3066" i="1" a="1"/>
  <c r="L3066" i="1" s="1"/>
  <c r="L3067" i="1" a="1"/>
  <c r="L3067" i="1"/>
  <c r="L3068" i="1" a="1"/>
  <c r="L3068" i="1" s="1"/>
  <c r="L3069" i="1" a="1"/>
  <c r="L3069" i="1" s="1"/>
  <c r="L3070" i="1" a="1"/>
  <c r="L3070" i="1" s="1"/>
  <c r="L3071" i="1" a="1"/>
  <c r="L3071" i="1" s="1"/>
  <c r="L3072" i="1" a="1"/>
  <c r="L3072" i="1" s="1"/>
  <c r="L3073" i="1" a="1"/>
  <c r="L3073" i="1" s="1"/>
  <c r="L3074" i="1" a="1"/>
  <c r="L3074" i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 s="1"/>
  <c r="L3080" i="1" a="1"/>
  <c r="L3080" i="1" s="1"/>
  <c r="L3081" i="1" a="1"/>
  <c r="L3081" i="1" s="1"/>
  <c r="L3082" i="1" a="1"/>
  <c r="L3082" i="1" s="1"/>
  <c r="L3083" i="1" a="1"/>
  <c r="L3083" i="1"/>
  <c r="L3084" i="1" a="1"/>
  <c r="L3084" i="1" s="1"/>
  <c r="L3085" i="1" a="1"/>
  <c r="L3085" i="1" s="1"/>
  <c r="L3086" i="1" a="1"/>
  <c r="L3086" i="1"/>
  <c r="L3087" i="1" a="1"/>
  <c r="L3087" i="1" s="1"/>
  <c r="L3088" i="1" a="1"/>
  <c r="L3088" i="1" s="1"/>
  <c r="L3089" i="1" a="1"/>
  <c r="L3089" i="1" s="1"/>
  <c r="L3090" i="1" a="1"/>
  <c r="L3090" i="1" s="1"/>
  <c r="L3091" i="1" a="1"/>
  <c r="L3091" i="1"/>
  <c r="L3092" i="1" a="1"/>
  <c r="L3092" i="1" s="1"/>
  <c r="L3093" i="1" a="1"/>
  <c r="L3093" i="1" s="1"/>
  <c r="L3094" i="1" a="1"/>
  <c r="L3094" i="1" s="1"/>
  <c r="L3095" i="1" a="1"/>
  <c r="L3095" i="1" s="1"/>
  <c r="L3096" i="1" a="1"/>
  <c r="L3096" i="1" s="1"/>
  <c r="L3097" i="1" a="1"/>
  <c r="L3097" i="1" s="1"/>
  <c r="L3098" i="1" a="1"/>
  <c r="L3098" i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 s="1"/>
  <c r="L3104" i="1" a="1"/>
  <c r="L3104" i="1" s="1"/>
  <c r="L3105" i="1" a="1"/>
  <c r="L3105" i="1" s="1"/>
  <c r="L3106" i="1" a="1"/>
  <c r="L3106" i="1" s="1"/>
  <c r="L3107" i="1" a="1"/>
  <c r="L3107" i="1"/>
  <c r="L3108" i="1" a="1"/>
  <c r="L3108" i="1" s="1"/>
  <c r="L3109" i="1" a="1"/>
  <c r="L3109" i="1" s="1"/>
  <c r="L3110" i="1" a="1"/>
  <c r="L3110" i="1"/>
  <c r="L3111" i="1" a="1"/>
  <c r="L3111" i="1" s="1"/>
  <c r="L3112" i="1" a="1"/>
  <c r="L3112" i="1" s="1"/>
  <c r="L3113" i="1" a="1"/>
  <c r="L3113" i="1" s="1"/>
  <c r="L3114" i="1" a="1"/>
  <c r="L3114" i="1" s="1"/>
  <c r="L3115" i="1" a="1"/>
  <c r="L3115" i="1"/>
  <c r="L3116" i="1" a="1"/>
  <c r="L3116" i="1" s="1"/>
  <c r="L3117" i="1" a="1"/>
  <c r="L3117" i="1" s="1"/>
  <c r="L3118" i="1" a="1"/>
  <c r="L3118" i="1" s="1"/>
  <c r="L3119" i="1" a="1"/>
  <c r="L3119" i="1" s="1"/>
  <c r="L3120" i="1" a="1"/>
  <c r="L3120" i="1" s="1"/>
  <c r="L3121" i="1" a="1"/>
  <c r="L3121" i="1" s="1"/>
  <c r="L3122" i="1" a="1"/>
  <c r="L3122" i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 s="1"/>
  <c r="L3128" i="1" a="1"/>
  <c r="L3128" i="1" s="1"/>
  <c r="L3129" i="1" a="1"/>
  <c r="L3129" i="1" s="1"/>
  <c r="L3130" i="1" a="1"/>
  <c r="L3130" i="1" s="1"/>
  <c r="L3131" i="1" a="1"/>
  <c r="L3131" i="1"/>
  <c r="L3132" i="1" a="1"/>
  <c r="L3132" i="1" s="1"/>
  <c r="L3133" i="1" a="1"/>
  <c r="L3133" i="1" s="1"/>
  <c r="L3134" i="1" a="1"/>
  <c r="L3134" i="1"/>
  <c r="L3135" i="1" a="1"/>
  <c r="L3135" i="1" s="1"/>
  <c r="L3136" i="1" a="1"/>
  <c r="L3136" i="1" s="1"/>
  <c r="L3137" i="1" a="1"/>
  <c r="L3137" i="1" s="1"/>
  <c r="L3138" i="1" a="1"/>
  <c r="L3138" i="1" s="1"/>
  <c r="L3139" i="1" a="1"/>
  <c r="L3139" i="1"/>
  <c r="L3140" i="1" a="1"/>
  <c r="L3140" i="1" s="1"/>
  <c r="L3141" i="1" a="1"/>
  <c r="L3141" i="1" s="1"/>
  <c r="L3142" i="1" a="1"/>
  <c r="L3142" i="1" s="1"/>
  <c r="L3143" i="1" a="1"/>
  <c r="L3143" i="1" s="1"/>
  <c r="L3144" i="1" a="1"/>
  <c r="L3144" i="1" s="1"/>
  <c r="L3145" i="1" a="1"/>
  <c r="L3145" i="1" s="1"/>
  <c r="L3146" i="1" a="1"/>
  <c r="L3146" i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 s="1"/>
  <c r="L3152" i="1" a="1"/>
  <c r="L3152" i="1" s="1"/>
  <c r="L3153" i="1" a="1"/>
  <c r="L3153" i="1" s="1"/>
  <c r="L3154" i="1" a="1"/>
  <c r="L3154" i="1" s="1"/>
  <c r="L3155" i="1" a="1"/>
  <c r="L3155" i="1"/>
  <c r="L3156" i="1" a="1"/>
  <c r="L3156" i="1" s="1"/>
  <c r="L3157" i="1" a="1"/>
  <c r="L3157" i="1" s="1"/>
  <c r="L3158" i="1" a="1"/>
  <c r="L3158" i="1"/>
  <c r="L3159" i="1" a="1"/>
  <c r="L3159" i="1" s="1"/>
  <c r="L3160" i="1" a="1"/>
  <c r="L3160" i="1" s="1"/>
  <c r="L3161" i="1" a="1"/>
  <c r="L3161" i="1" s="1"/>
  <c r="L3162" i="1" a="1"/>
  <c r="L3162" i="1" s="1"/>
  <c r="L3163" i="1" a="1"/>
  <c r="L3163" i="1"/>
  <c r="L3164" i="1" a="1"/>
  <c r="L3164" i="1" s="1"/>
  <c r="L3165" i="1" a="1"/>
  <c r="L3165" i="1" s="1"/>
  <c r="L3166" i="1" a="1"/>
  <c r="L3166" i="1" s="1"/>
  <c r="L3167" i="1" a="1"/>
  <c r="L3167" i="1" s="1"/>
  <c r="L3168" i="1" a="1"/>
  <c r="L3168" i="1" s="1"/>
  <c r="L3169" i="1" a="1"/>
  <c r="L3169" i="1" s="1"/>
  <c r="L3170" i="1" a="1"/>
  <c r="L3170" i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 s="1"/>
  <c r="L3176" i="1" a="1"/>
  <c r="L3176" i="1" s="1"/>
  <c r="L3177" i="1" a="1"/>
  <c r="L3177" i="1" s="1"/>
  <c r="L3178" i="1" a="1"/>
  <c r="L3178" i="1" s="1"/>
  <c r="L3179" i="1" a="1"/>
  <c r="L3179" i="1"/>
  <c r="L3180" i="1" a="1"/>
  <c r="L3180" i="1" s="1"/>
  <c r="L3181" i="1" a="1"/>
  <c r="L3181" i="1" s="1"/>
  <c r="L3182" i="1" a="1"/>
  <c r="L3182" i="1"/>
  <c r="L3183" i="1" a="1"/>
  <c r="L3183" i="1" s="1"/>
  <c r="L3184" i="1" a="1"/>
  <c r="L3184" i="1" s="1"/>
  <c r="L3185" i="1" a="1"/>
  <c r="L3185" i="1" s="1"/>
  <c r="L3186" i="1" a="1"/>
  <c r="L3186" i="1" s="1"/>
  <c r="L3187" i="1" a="1"/>
  <c r="L3187" i="1"/>
  <c r="L3188" i="1" a="1"/>
  <c r="L3188" i="1" s="1"/>
  <c r="L3189" i="1" a="1"/>
  <c r="L3189" i="1" s="1"/>
  <c r="L3190" i="1" a="1"/>
  <c r="L3190" i="1" s="1"/>
  <c r="L3191" i="1" a="1"/>
  <c r="L3191" i="1" s="1"/>
  <c r="L3192" i="1" a="1"/>
  <c r="L3192" i="1" s="1"/>
  <c r="L3193" i="1" a="1"/>
  <c r="L3193" i="1" s="1"/>
  <c r="L3194" i="1" a="1"/>
  <c r="L3194" i="1"/>
  <c r="L3195" i="1" a="1"/>
  <c r="L3195" i="1" s="1"/>
  <c r="L3196" i="1" a="1"/>
  <c r="L3196" i="1" s="1"/>
  <c r="L3197" i="1" a="1"/>
  <c r="L3197" i="1" s="1"/>
  <c r="L3198" i="1" a="1"/>
  <c r="L3198" i="1" s="1"/>
  <c r="L3199" i="1" a="1"/>
  <c r="L3199" i="1" s="1"/>
  <c r="L3200" i="1" a="1"/>
  <c r="L3200" i="1" s="1"/>
  <c r="L3201" i="1" a="1"/>
  <c r="L3201" i="1" s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 s="1"/>
  <c r="L3208" i="1" a="1"/>
  <c r="L3208" i="1" s="1"/>
  <c r="L3209" i="1" a="1"/>
  <c r="L3209" i="1" s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 s="1"/>
  <c r="L3216" i="1" a="1"/>
  <c r="L3216" i="1" s="1"/>
  <c r="L3217" i="1" a="1"/>
  <c r="L3217" i="1" s="1"/>
  <c r="L3218" i="1" a="1"/>
  <c r="L3218" i="1"/>
  <c r="L3219" i="1" a="1"/>
  <c r="L3219" i="1" s="1"/>
  <c r="L3220" i="1" a="1"/>
  <c r="L3220" i="1" s="1"/>
  <c r="L3221" i="1" a="1"/>
  <c r="L3221" i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 s="1"/>
  <c r="L3228" i="1" a="1"/>
  <c r="L3228" i="1" s="1"/>
  <c r="L3229" i="1" a="1"/>
  <c r="L3229" i="1" s="1"/>
  <c r="L3230" i="1" a="1"/>
  <c r="L3230" i="1"/>
  <c r="L3231" i="1" a="1"/>
  <c r="L3231" i="1" s="1"/>
  <c r="L3232" i="1" a="1"/>
  <c r="L3232" i="1" s="1"/>
  <c r="L3233" i="1" a="1"/>
  <c r="L3233" i="1"/>
  <c r="L3234" i="1" a="1"/>
  <c r="L3234" i="1" s="1"/>
  <c r="L3235" i="1" a="1"/>
  <c r="L3235" i="1" s="1"/>
  <c r="L3236" i="1" a="1"/>
  <c r="L3236" i="1" s="1"/>
  <c r="L3237" i="1" a="1"/>
  <c r="L3237" i="1"/>
  <c r="L3238" i="1" a="1"/>
  <c r="L3238" i="1" s="1"/>
  <c r="L3239" i="1" a="1"/>
  <c r="L3239" i="1"/>
  <c r="L3240" i="1" a="1"/>
  <c r="L3240" i="1" s="1"/>
  <c r="L3241" i="1" a="1"/>
  <c r="L3241" i="1" s="1"/>
  <c r="L3242" i="1" a="1"/>
  <c r="L3242" i="1" s="1"/>
  <c r="L3243" i="1" a="1"/>
  <c r="L3243" i="1" s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 s="1"/>
  <c r="L3250" i="1" a="1"/>
  <c r="L3250" i="1" s="1"/>
  <c r="L3251" i="1" a="1"/>
  <c r="L3251" i="1" s="1"/>
  <c r="L3252" i="1" a="1"/>
  <c r="L3252" i="1" s="1"/>
  <c r="L3253" i="1" a="1"/>
  <c r="L3253" i="1" s="1"/>
  <c r="L3254" i="1" a="1"/>
  <c r="L3254" i="1"/>
  <c r="L3255" i="1" a="1"/>
  <c r="L3255" i="1" s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/>
  <c r="L3262" i="1" a="1"/>
  <c r="L3262" i="1" s="1"/>
  <c r="L3263" i="1" a="1"/>
  <c r="L3263" i="1" s="1"/>
  <c r="L3264" i="1" a="1"/>
  <c r="L3264" i="1" s="1"/>
  <c r="L3265" i="1" a="1"/>
  <c r="L3265" i="1" s="1"/>
  <c r="L3266" i="1" a="1"/>
  <c r="L3266" i="1"/>
  <c r="L3267" i="1" a="1"/>
  <c r="L3267" i="1" s="1"/>
  <c r="L3268" i="1" a="1"/>
  <c r="L3268" i="1" s="1"/>
  <c r="L3269" i="1" a="1"/>
  <c r="L3269" i="1"/>
  <c r="L3270" i="1" a="1"/>
  <c r="L3270" i="1" s="1"/>
  <c r="L3271" i="1" a="1"/>
  <c r="L3271" i="1" s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 s="1"/>
  <c r="L3280" i="1" a="1"/>
  <c r="L3280" i="1" s="1"/>
  <c r="L3281" i="1" a="1"/>
  <c r="L3281" i="1" s="1"/>
  <c r="L3282" i="1" a="1"/>
  <c r="L3282" i="1" s="1"/>
  <c r="L3283" i="1" a="1"/>
  <c r="L3283" i="1"/>
  <c r="L3284" i="1" a="1"/>
  <c r="L3284" i="1" s="1"/>
  <c r="L3285" i="1" a="1"/>
  <c r="L3285" i="1" s="1"/>
  <c r="L3286" i="1" a="1"/>
  <c r="L3286" i="1" s="1"/>
  <c r="L3287" i="1" a="1"/>
  <c r="L3287" i="1" s="1"/>
  <c r="L3288" i="1" a="1"/>
  <c r="L3288" i="1" s="1"/>
  <c r="L3289" i="1" a="1"/>
  <c r="L3289" i="1" s="1"/>
  <c r="L3290" i="1" a="1"/>
  <c r="L3290" i="1"/>
  <c r="L3291" i="1" a="1"/>
  <c r="L3291" i="1" s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 s="1"/>
  <c r="L3300" i="1" a="1"/>
  <c r="L3300" i="1" s="1"/>
  <c r="L3301" i="1" a="1"/>
  <c r="L3301" i="1" s="1"/>
  <c r="L3302" i="1" a="1"/>
  <c r="L3302" i="1"/>
  <c r="L3303" i="1" a="1"/>
  <c r="L3303" i="1" s="1"/>
  <c r="L3304" i="1" a="1"/>
  <c r="L3304" i="1" s="1"/>
  <c r="L3305" i="1" a="1"/>
  <c r="L3305" i="1"/>
  <c r="L3306" i="1" a="1"/>
  <c r="L3306" i="1" s="1"/>
  <c r="L3307" i="1" a="1"/>
  <c r="L3307" i="1" s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 s="1"/>
  <c r="L3314" i="1" a="1"/>
  <c r="L3314" i="1" s="1"/>
  <c r="L3315" i="1" a="1"/>
  <c r="L3315" i="1" s="1"/>
  <c r="L3316" i="1" a="1"/>
  <c r="L3316" i="1" s="1"/>
  <c r="L3317" i="1" a="1"/>
  <c r="L3317" i="1" s="1"/>
  <c r="L3318" i="1" a="1"/>
  <c r="L3318" i="1" s="1"/>
  <c r="L3319" i="1" a="1"/>
  <c r="L3319" i="1"/>
  <c r="L3320" i="1" a="1"/>
  <c r="L3320" i="1" s="1"/>
  <c r="L3321" i="1" a="1"/>
  <c r="L3321" i="1" s="1"/>
  <c r="L3322" i="1" a="1"/>
  <c r="L3322" i="1" s="1"/>
  <c r="L3323" i="1" a="1"/>
  <c r="L3323" i="1" s="1"/>
  <c r="L3324" i="1" a="1"/>
  <c r="L3324" i="1" s="1"/>
  <c r="L3325" i="1" a="1"/>
  <c r="L3325" i="1" s="1"/>
  <c r="L3326" i="1" a="1"/>
  <c r="L3326" i="1"/>
  <c r="L3327" i="1" a="1"/>
  <c r="L3327" i="1" s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 s="1"/>
  <c r="L3336" i="1" a="1"/>
  <c r="L3336" i="1" s="1"/>
  <c r="L3337" i="1" a="1"/>
  <c r="L3337" i="1" s="1"/>
  <c r="L3338" i="1" a="1"/>
  <c r="L3338" i="1"/>
  <c r="L3339" i="1" a="1"/>
  <c r="L3339" i="1" s="1"/>
  <c r="L3340" i="1" a="1"/>
  <c r="L3340" i="1" s="1"/>
  <c r="L3341" i="1" a="1"/>
  <c r="L3341" i="1"/>
  <c r="L3342" i="1" a="1"/>
  <c r="L3342" i="1" s="1"/>
  <c r="L3343" i="1" a="1"/>
  <c r="L3343" i="1" s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 s="1"/>
  <c r="L3350" i="1" a="1"/>
  <c r="L3350" i="1" s="1"/>
  <c r="L3351" i="1" a="1"/>
  <c r="L3351" i="1" s="1"/>
  <c r="L3352" i="1" a="1"/>
  <c r="L3352" i="1" s="1"/>
  <c r="L3353" i="1" a="1"/>
  <c r="L3353" i="1" s="1"/>
  <c r="L3354" i="1" a="1"/>
  <c r="L3354" i="1" s="1"/>
  <c r="L3355" i="1" a="1"/>
  <c r="L3355" i="1"/>
  <c r="L3356" i="1" a="1"/>
  <c r="L3356" i="1" s="1"/>
  <c r="L3357" i="1" a="1"/>
  <c r="L3357" i="1" s="1"/>
  <c r="L3358" i="1" a="1"/>
  <c r="L3358" i="1" s="1"/>
  <c r="L3359" i="1" a="1"/>
  <c r="L3359" i="1" s="1"/>
  <c r="L3360" i="1" a="1"/>
  <c r="L3360" i="1" s="1"/>
  <c r="L3361" i="1" a="1"/>
  <c r="L3361" i="1" s="1"/>
  <c r="L3362" i="1" a="1"/>
  <c r="L3362" i="1"/>
  <c r="L3363" i="1" a="1"/>
  <c r="L3363" i="1" s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 s="1"/>
  <c r="L3372" i="1" a="1"/>
  <c r="L3372" i="1" s="1"/>
  <c r="L3373" i="1" a="1"/>
  <c r="L3373" i="1" s="1"/>
  <c r="L3374" i="1" a="1"/>
  <c r="L3374" i="1"/>
  <c r="L3375" i="1" a="1"/>
  <c r="L3375" i="1" s="1"/>
  <c r="L3376" i="1" a="1"/>
  <c r="L3376" i="1" s="1"/>
  <c r="L3377" i="1" a="1"/>
  <c r="L3377" i="1"/>
  <c r="L3378" i="1" a="1"/>
  <c r="L3378" i="1" s="1"/>
  <c r="L3379" i="1" a="1"/>
  <c r="L3379" i="1" s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 s="1"/>
  <c r="L3386" i="1" a="1"/>
  <c r="L3386" i="1" s="1"/>
  <c r="L3387" i="1" a="1"/>
  <c r="L3387" i="1" s="1"/>
  <c r="L3388" i="1" a="1"/>
  <c r="L3388" i="1" s="1"/>
  <c r="L3389" i="1" a="1"/>
  <c r="L3389" i="1" s="1"/>
  <c r="L3390" i="1" a="1"/>
  <c r="L3390" i="1" s="1"/>
  <c r="L3391" i="1" a="1"/>
  <c r="L3391" i="1"/>
  <c r="L3392" i="1" a="1"/>
  <c r="L3392" i="1" s="1"/>
  <c r="L3393" i="1" a="1"/>
  <c r="L3393" i="1" s="1"/>
  <c r="L3394" i="1" a="1"/>
  <c r="L3394" i="1" s="1"/>
  <c r="L3395" i="1" a="1"/>
  <c r="L3395" i="1" s="1"/>
  <c r="L3396" i="1" a="1"/>
  <c r="L3396" i="1" s="1"/>
  <c r="L3397" i="1" a="1"/>
  <c r="L3397" i="1" s="1"/>
  <c r="L3398" i="1" a="1"/>
  <c r="L3398" i="1"/>
  <c r="L3399" i="1" a="1"/>
  <c r="L3399" i="1" s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 s="1"/>
  <c r="L3408" i="1" a="1"/>
  <c r="L3408" i="1" s="1"/>
  <c r="L3409" i="1" a="1"/>
  <c r="L3409" i="1" s="1"/>
  <c r="L3410" i="1" a="1"/>
  <c r="L3410" i="1"/>
  <c r="L3411" i="1" a="1"/>
  <c r="L3411" i="1" s="1"/>
  <c r="L3412" i="1" a="1"/>
  <c r="L3412" i="1" s="1"/>
  <c r="L3413" i="1" a="1"/>
  <c r="L3413" i="1"/>
  <c r="L3414" i="1" a="1"/>
  <c r="L3414" i="1" s="1"/>
  <c r="L3415" i="1" a="1"/>
  <c r="L3415" i="1" s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 s="1"/>
  <c r="L3422" i="1" a="1"/>
  <c r="L3422" i="1" s="1"/>
  <c r="L3423" i="1" a="1"/>
  <c r="L3423" i="1" s="1"/>
  <c r="L3424" i="1" a="1"/>
  <c r="L3424" i="1" s="1"/>
  <c r="L3425" i="1" a="1"/>
  <c r="L3425" i="1" s="1"/>
  <c r="L3426" i="1" a="1"/>
  <c r="L3426" i="1" s="1"/>
  <c r="L3427" i="1" a="1"/>
  <c r="L3427" i="1"/>
  <c r="L3428" i="1" a="1"/>
  <c r="L3428" i="1" s="1"/>
  <c r="L3429" i="1" a="1"/>
  <c r="L3429" i="1" s="1"/>
  <c r="L3430" i="1" a="1"/>
  <c r="L3430" i="1" s="1"/>
  <c r="L3431" i="1" a="1"/>
  <c r="L3431" i="1" s="1"/>
  <c r="L3432" i="1" a="1"/>
  <c r="L3432" i="1" s="1"/>
  <c r="L3433" i="1" a="1"/>
  <c r="L3433" i="1" s="1"/>
  <c r="L3434" i="1" a="1"/>
  <c r="L3434" i="1"/>
  <c r="L3435" i="1" a="1"/>
  <c r="L3435" i="1" s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 s="1"/>
  <c r="L3444" i="1" a="1"/>
  <c r="L3444" i="1" s="1"/>
  <c r="L3445" i="1" a="1"/>
  <c r="L3445" i="1" s="1"/>
  <c r="L3446" i="1" a="1"/>
  <c r="L3446" i="1"/>
  <c r="L3447" i="1" a="1"/>
  <c r="L3447" i="1" s="1"/>
  <c r="L3448" i="1" a="1"/>
  <c r="L3448" i="1" s="1"/>
  <c r="L3449" i="1" a="1"/>
  <c r="L3449" i="1"/>
  <c r="L3450" i="1" a="1"/>
  <c r="L3450" i="1" s="1"/>
  <c r="L3451" i="1" a="1"/>
  <c r="L3451" i="1" s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 s="1"/>
  <c r="L3458" i="1" a="1"/>
  <c r="L3458" i="1" s="1"/>
  <c r="L3459" i="1" a="1"/>
  <c r="L3459" i="1" s="1"/>
  <c r="L3460" i="1" a="1"/>
  <c r="L3460" i="1" s="1"/>
  <c r="L3461" i="1" a="1"/>
  <c r="L3461" i="1" s="1"/>
  <c r="L3462" i="1" a="1"/>
  <c r="L3462" i="1" s="1"/>
  <c r="L3463" i="1" a="1"/>
  <c r="L3463" i="1"/>
  <c r="L3464" i="1" a="1"/>
  <c r="L3464" i="1" s="1"/>
  <c r="L3465" i="1" a="1"/>
  <c r="L3465" i="1" s="1"/>
  <c r="L3466" i="1" a="1"/>
  <c r="L3466" i="1" s="1"/>
  <c r="L3467" i="1" a="1"/>
  <c r="L3467" i="1" s="1"/>
  <c r="L3468" i="1" a="1"/>
  <c r="L3468" i="1" s="1"/>
  <c r="L3469" i="1" a="1"/>
  <c r="L3469" i="1" s="1"/>
  <c r="L3470" i="1" a="1"/>
  <c r="L3470" i="1"/>
  <c r="L3471" i="1" a="1"/>
  <c r="L3471" i="1" s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 s="1"/>
  <c r="L3482" i="1" a="1"/>
  <c r="L3482" i="1"/>
  <c r="L3483" i="1" a="1"/>
  <c r="L3483" i="1" s="1"/>
  <c r="L3484" i="1" a="1"/>
  <c r="L3484" i="1" s="1"/>
  <c r="L3485" i="1" a="1"/>
  <c r="L3485" i="1"/>
  <c r="L3486" i="1" a="1"/>
  <c r="L3486" i="1" s="1"/>
  <c r="L3487" i="1" a="1"/>
  <c r="L3487" i="1" s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 s="1"/>
  <c r="L3494" i="1" a="1"/>
  <c r="L3494" i="1" s="1"/>
  <c r="L3495" i="1" a="1"/>
  <c r="L3495" i="1" s="1"/>
  <c r="L3496" i="1" a="1"/>
  <c r="L3496" i="1"/>
  <c r="L3497" i="1" a="1"/>
  <c r="L3497" i="1" s="1"/>
  <c r="L3498" i="1" a="1"/>
  <c r="L3498" i="1" s="1"/>
  <c r="L3499" i="1" a="1"/>
  <c r="L3499" i="1"/>
  <c r="L3500" i="1" a="1"/>
  <c r="L3500" i="1"/>
  <c r="L3501" i="1" a="1"/>
  <c r="L3501" i="1"/>
  <c r="L3502" i="1" a="1"/>
  <c r="L3502" i="1" s="1"/>
  <c r="L3503" i="1" a="1"/>
  <c r="L3503" i="1" s="1"/>
  <c r="L3504" i="1" a="1"/>
  <c r="L3504" i="1" s="1"/>
  <c r="L3505" i="1" a="1"/>
  <c r="L3505" i="1"/>
  <c r="L3506" i="1" a="1"/>
  <c r="L3506" i="1" s="1"/>
  <c r="L3507" i="1" a="1"/>
  <c r="L3507" i="1" s="1"/>
  <c r="L3508" i="1" a="1"/>
  <c r="L3508" i="1" s="1"/>
  <c r="L3509" i="1" a="1"/>
  <c r="L3509" i="1"/>
  <c r="L3510" i="1" a="1"/>
  <c r="L3510" i="1" s="1"/>
  <c r="L3511" i="1" a="1"/>
  <c r="L3511" i="1"/>
  <c r="L3512" i="1" a="1"/>
  <c r="L3512" i="1"/>
  <c r="L3513" i="1" a="1"/>
  <c r="L3513" i="1"/>
  <c r="L3514" i="1" a="1"/>
  <c r="L3514" i="1"/>
  <c r="L3515" i="1" a="1"/>
  <c r="L3515" i="1" s="1"/>
  <c r="L3516" i="1" a="1"/>
  <c r="L3516" i="1" s="1"/>
  <c r="L3517" i="1" a="1"/>
  <c r="L3517" i="1" s="1"/>
  <c r="L3518" i="1" a="1"/>
  <c r="L3518" i="1"/>
  <c r="L3519" i="1" a="1"/>
  <c r="L3519" i="1" s="1"/>
  <c r="L3520" i="1" a="1"/>
  <c r="L3520" i="1" s="1"/>
  <c r="L3521" i="1" a="1"/>
  <c r="L3521" i="1" s="1"/>
  <c r="L3522" i="1" a="1"/>
  <c r="L3522" i="1" s="1"/>
  <c r="L3523" i="1" a="1"/>
  <c r="L3523" i="1" s="1"/>
  <c r="L3524" i="1" a="1"/>
  <c r="L3524" i="1"/>
  <c r="L3525" i="1" a="1"/>
  <c r="L3525" i="1"/>
  <c r="L3526" i="1" a="1"/>
  <c r="L3526" i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 s="1"/>
  <c r="L3534" i="1" a="1"/>
  <c r="L3534" i="1" s="1"/>
  <c r="L3535" i="1" a="1"/>
  <c r="L3535" i="1" s="1"/>
  <c r="L3536" i="1" a="1"/>
  <c r="L3536" i="1" s="1"/>
  <c r="L3537" i="1" a="1"/>
  <c r="L3537" i="1"/>
  <c r="L3538" i="1" a="1"/>
  <c r="L3538" i="1"/>
  <c r="L3539" i="1" a="1"/>
  <c r="L3539" i="1"/>
  <c r="L3540" i="1" a="1"/>
  <c r="L3540" i="1" s="1"/>
  <c r="L3541" i="1" a="1"/>
  <c r="L3541" i="1" s="1"/>
  <c r="L3542" i="1" a="1"/>
  <c r="L3542" i="1"/>
  <c r="L3543" i="1" a="1"/>
  <c r="L3543" i="1" s="1"/>
  <c r="L3544" i="1" a="1"/>
  <c r="L3544" i="1"/>
  <c r="L3545" i="1" a="1"/>
  <c r="L3545" i="1" s="1"/>
  <c r="L3546" i="1" a="1"/>
  <c r="L3546" i="1" s="1"/>
  <c r="L3547" i="1" a="1"/>
  <c r="L3547" i="1"/>
  <c r="L3548" i="1" a="1"/>
  <c r="L3548" i="1" s="1"/>
  <c r="L3549" i="1" a="1"/>
  <c r="L3549" i="1" s="1"/>
  <c r="L3550" i="1" a="1"/>
  <c r="L3550" i="1"/>
  <c r="L3551" i="1" a="1"/>
  <c r="L3551" i="1"/>
  <c r="L3552" i="1" a="1"/>
  <c r="L3552" i="1" s="1"/>
  <c r="L3553" i="1" a="1"/>
  <c r="L3553" i="1" s="1"/>
  <c r="L3554" i="1" a="1"/>
  <c r="L3554" i="1" s="1"/>
  <c r="L3555" i="1" a="1"/>
  <c r="L3555" i="1"/>
  <c r="L3556" i="1" a="1"/>
  <c r="L3556" i="1" s="1"/>
  <c r="L3557" i="1" a="1"/>
  <c r="L3557" i="1"/>
  <c r="L3558" i="1" a="1"/>
  <c r="L3558" i="1" s="1"/>
  <c r="L3559" i="1" a="1"/>
  <c r="L3559" i="1"/>
  <c r="L3560" i="1" a="1"/>
  <c r="L3560" i="1"/>
  <c r="L3561" i="1" a="1"/>
  <c r="L3561" i="1" s="1"/>
  <c r="L3562" i="1" a="1"/>
  <c r="L3562" i="1" s="1"/>
  <c r="L3563" i="1" a="1"/>
  <c r="L3563" i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/>
  <c r="L3569" i="1" a="1"/>
  <c r="L3569" i="1" s="1"/>
  <c r="L3570" i="1" a="1"/>
  <c r="L3570" i="1" s="1"/>
  <c r="L3571" i="1" a="1"/>
  <c r="L3571" i="1"/>
  <c r="L3572" i="1" a="1"/>
  <c r="L3572" i="1"/>
  <c r="L3573" i="1" a="1"/>
  <c r="L3573" i="1"/>
  <c r="L3574" i="1" a="1"/>
  <c r="L3574" i="1" s="1"/>
  <c r="L3575" i="1" a="1"/>
  <c r="L3575" i="1" s="1"/>
  <c r="L3576" i="1" a="1"/>
  <c r="L3576" i="1" s="1"/>
  <c r="L3577" i="1" a="1"/>
  <c r="L3577" i="1"/>
  <c r="L3578" i="1" a="1"/>
  <c r="L3578" i="1" s="1"/>
  <c r="L3579" i="1" a="1"/>
  <c r="L3579" i="1" s="1"/>
  <c r="L3580" i="1" a="1"/>
  <c r="L3580" i="1" s="1"/>
  <c r="L3581" i="1" a="1"/>
  <c r="L3581" i="1"/>
  <c r="L3582" i="1" a="1"/>
  <c r="L3582" i="1" s="1"/>
  <c r="L3583" i="1" a="1"/>
  <c r="L3583" i="1"/>
  <c r="L3584" i="1" a="1"/>
  <c r="L3584" i="1"/>
  <c r="L3585" i="1" a="1"/>
  <c r="L3585" i="1"/>
  <c r="L3586" i="1" a="1"/>
  <c r="L3586" i="1"/>
  <c r="L3587" i="1" a="1"/>
  <c r="L3587" i="1" s="1"/>
  <c r="L3588" i="1" a="1"/>
  <c r="L3588" i="1" s="1"/>
  <c r="L3589" i="1" a="1"/>
  <c r="L3589" i="1" s="1"/>
  <c r="L3590" i="1" a="1"/>
  <c r="L3590" i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/>
  <c r="L3597" i="1" a="1"/>
  <c r="L3597" i="1"/>
  <c r="L3598" i="1" a="1"/>
  <c r="L3598" i="1"/>
  <c r="L3599" i="1" a="1"/>
  <c r="L3599" i="1"/>
  <c r="L3600" i="1" a="1"/>
  <c r="L3600" i="1" s="1"/>
  <c r="L3601" i="1" a="1"/>
  <c r="L3601" i="1"/>
  <c r="L3602" i="1" a="1"/>
  <c r="L3602" i="1" s="1"/>
  <c r="L3603" i="1" a="1"/>
  <c r="L3603" i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/>
  <c r="L3610" i="1" a="1"/>
  <c r="L3610" i="1"/>
  <c r="L3611" i="1" a="1"/>
  <c r="L3611" i="1"/>
  <c r="L3612" i="1" a="1"/>
  <c r="L3612" i="1" s="1"/>
  <c r="L3613" i="1" a="1"/>
  <c r="L3613" i="1" s="1"/>
  <c r="L3614" i="1" a="1"/>
  <c r="L3614" i="1"/>
  <c r="L3615" i="1" a="1"/>
  <c r="L3615" i="1" s="1"/>
  <c r="L3616" i="1" a="1"/>
  <c r="L3616" i="1"/>
  <c r="L3617" i="1" a="1"/>
  <c r="L3617" i="1" s="1"/>
  <c r="L3618" i="1" a="1"/>
  <c r="L3618" i="1" s="1"/>
  <c r="L3619" i="1" a="1"/>
  <c r="L3619" i="1"/>
  <c r="L3620" i="1" a="1"/>
  <c r="L3620" i="1" s="1"/>
  <c r="L3621" i="1" a="1"/>
  <c r="L3621" i="1" s="1"/>
  <c r="L3622" i="1" a="1"/>
  <c r="L3622" i="1"/>
  <c r="L3623" i="1" a="1"/>
  <c r="L3623" i="1"/>
  <c r="L3624" i="1" a="1"/>
  <c r="L3624" i="1" s="1"/>
  <c r="L3625" i="1" a="1"/>
  <c r="L3625" i="1" s="1"/>
  <c r="L3626" i="1" a="1"/>
  <c r="L3626" i="1" s="1"/>
  <c r="L3627" i="1" a="1"/>
  <c r="L3627" i="1"/>
  <c r="L3628" i="1" a="1"/>
  <c r="L3628" i="1" s="1"/>
  <c r="L3629" i="1" a="1"/>
  <c r="L3629" i="1"/>
  <c r="L3630" i="1" a="1"/>
  <c r="L3630" i="1" s="1"/>
  <c r="L3631" i="1" a="1"/>
  <c r="L3631" i="1"/>
  <c r="L3632" i="1" a="1"/>
  <c r="L3632" i="1"/>
  <c r="L3633" i="1" a="1"/>
  <c r="L3633" i="1" s="1"/>
  <c r="L3634" i="1" a="1"/>
  <c r="L3634" i="1" s="1"/>
  <c r="L3635" i="1" a="1"/>
  <c r="L3635" i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/>
  <c r="L3641" i="1" a="1"/>
  <c r="L3641" i="1" s="1"/>
  <c r="L3642" i="1" a="1"/>
  <c r="L3642" i="1" s="1"/>
  <c r="L3643" i="1" a="1"/>
  <c r="L3643" i="1"/>
  <c r="L3644" i="1" a="1"/>
  <c r="L3644" i="1"/>
  <c r="L3645" i="1" a="1"/>
  <c r="L3645" i="1"/>
  <c r="L3646" i="1" a="1"/>
  <c r="L3646" i="1" s="1"/>
  <c r="L3647" i="1" a="1"/>
  <c r="L3647" i="1" s="1"/>
  <c r="L3648" i="1" a="1"/>
  <c r="L3648" i="1" s="1"/>
  <c r="L3649" i="1" a="1"/>
  <c r="L3649" i="1"/>
  <c r="L3650" i="1" a="1"/>
  <c r="L3650" i="1" s="1"/>
  <c r="L3651" i="1" a="1"/>
  <c r="L3651" i="1" s="1"/>
  <c r="L3652" i="1" a="1"/>
  <c r="L3652" i="1" s="1"/>
  <c r="L3653" i="1" a="1"/>
  <c r="L3653" i="1"/>
  <c r="L3654" i="1" a="1"/>
  <c r="L3654" i="1" s="1"/>
  <c r="L3655" i="1" a="1"/>
  <c r="L3655" i="1"/>
  <c r="L3656" i="1" a="1"/>
  <c r="L3656" i="1"/>
  <c r="L3657" i="1" a="1"/>
  <c r="L3657" i="1"/>
  <c r="L3658" i="1" a="1"/>
  <c r="L3658" i="1"/>
  <c r="L3659" i="1" a="1"/>
  <c r="L3659" i="1" s="1"/>
  <c r="L3660" i="1" a="1"/>
  <c r="L3660" i="1" s="1"/>
  <c r="L3661" i="1" a="1"/>
  <c r="L3661" i="1" s="1"/>
  <c r="L3662" i="1" a="1"/>
  <c r="L3662" i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/>
  <c r="L3669" i="1" a="1"/>
  <c r="L3669" i="1"/>
  <c r="L3670" i="1" a="1"/>
  <c r="L3670" i="1"/>
  <c r="L3671" i="1" a="1"/>
  <c r="L3671" i="1"/>
  <c r="L3672" i="1" a="1"/>
  <c r="L3672" i="1" s="1"/>
  <c r="L3673" i="1" a="1"/>
  <c r="L3673" i="1"/>
  <c r="L3674" i="1" a="1"/>
  <c r="L3674" i="1" s="1"/>
  <c r="L3675" i="1" a="1"/>
  <c r="L3675" i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/>
  <c r="L3682" i="1" a="1"/>
  <c r="L3682" i="1"/>
  <c r="L3683" i="1" a="1"/>
  <c r="L3683" i="1"/>
  <c r="L3684" i="1" a="1"/>
  <c r="L3684" i="1" s="1"/>
  <c r="L3685" i="1" a="1"/>
  <c r="L3685" i="1" s="1"/>
  <c r="L3686" i="1" a="1"/>
  <c r="L3686" i="1"/>
  <c r="L3687" i="1" a="1"/>
  <c r="L3687" i="1" s="1"/>
  <c r="L3688" i="1" a="1"/>
  <c r="L3688" i="1"/>
  <c r="L3689" i="1" a="1"/>
  <c r="L3689" i="1" s="1"/>
  <c r="L3690" i="1" a="1"/>
  <c r="L3690" i="1" s="1"/>
  <c r="L3691" i="1" a="1"/>
  <c r="L3691" i="1"/>
  <c r="L3692" i="1" a="1"/>
  <c r="L3692" i="1" s="1"/>
  <c r="L3693" i="1" a="1"/>
  <c r="L3693" i="1" s="1"/>
  <c r="L3694" i="1" a="1"/>
  <c r="L3694" i="1"/>
  <c r="L3695" i="1" a="1"/>
  <c r="L3695" i="1"/>
  <c r="L3696" i="1" a="1"/>
  <c r="L3696" i="1" s="1"/>
  <c r="L3697" i="1" a="1"/>
  <c r="L3697" i="1" s="1"/>
  <c r="L3698" i="1" a="1"/>
  <c r="L3698" i="1" s="1"/>
  <c r="L3699" i="1" a="1"/>
  <c r="L3699" i="1"/>
  <c r="L3700" i="1" a="1"/>
  <c r="L3700" i="1" s="1"/>
  <c r="L3701" i="1" a="1"/>
  <c r="L3701" i="1"/>
  <c r="L3702" i="1" a="1"/>
  <c r="L3702" i="1" s="1"/>
  <c r="L3703" i="1" a="1"/>
  <c r="L3703" i="1"/>
  <c r="L3704" i="1" a="1"/>
  <c r="L3704" i="1"/>
  <c r="L3705" i="1" a="1"/>
  <c r="L3705" i="1" s="1"/>
  <c r="L3706" i="1" a="1"/>
  <c r="L3706" i="1" s="1"/>
  <c r="L3707" i="1" a="1"/>
  <c r="L3707" i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/>
  <c r="L3713" i="1" a="1"/>
  <c r="L3713" i="1" s="1"/>
  <c r="L3714" i="1" a="1"/>
  <c r="L3714" i="1" s="1"/>
  <c r="L3715" i="1" a="1"/>
  <c r="L3715" i="1"/>
  <c r="L3716" i="1" a="1"/>
  <c r="L3716" i="1"/>
  <c r="L3717" i="1" a="1"/>
  <c r="L3717" i="1"/>
  <c r="L3718" i="1" a="1"/>
  <c r="L3718" i="1" s="1"/>
  <c r="L3719" i="1" a="1"/>
  <c r="L3719" i="1" s="1"/>
  <c r="L3720" i="1" a="1"/>
  <c r="L3720" i="1" s="1"/>
  <c r="L3721" i="1" a="1"/>
  <c r="L3721" i="1"/>
  <c r="L3722" i="1" a="1"/>
  <c r="L3722" i="1" s="1"/>
  <c r="L3723" i="1" a="1"/>
  <c r="L3723" i="1" s="1"/>
  <c r="L3724" i="1" a="1"/>
  <c r="L3724" i="1" s="1"/>
  <c r="L3725" i="1" a="1"/>
  <c r="L3725" i="1"/>
  <c r="L3726" i="1" a="1"/>
  <c r="L3726" i="1" s="1"/>
  <c r="L3727" i="1" a="1"/>
  <c r="L3727" i="1"/>
  <c r="L3728" i="1" a="1"/>
  <c r="L3728" i="1"/>
  <c r="L3729" i="1" a="1"/>
  <c r="L3729" i="1"/>
  <c r="L3730" i="1" a="1"/>
  <c r="L3730" i="1"/>
  <c r="L3731" i="1" a="1"/>
  <c r="L3731" i="1" s="1"/>
  <c r="L3732" i="1" a="1"/>
  <c r="L3732" i="1" s="1"/>
  <c r="L3733" i="1" a="1"/>
  <c r="L3733" i="1" s="1"/>
  <c r="L3734" i="1" a="1"/>
  <c r="L3734" i="1"/>
  <c r="L3735" i="1" a="1"/>
  <c r="L3735" i="1" s="1"/>
  <c r="L3736" i="1" a="1"/>
  <c r="L3736" i="1" s="1"/>
  <c r="L3737" i="1" a="1"/>
  <c r="L3737" i="1" s="1"/>
  <c r="L3738" i="1" a="1"/>
  <c r="L3738" i="1" s="1"/>
  <c r="L3739" i="1" a="1"/>
  <c r="L3739" i="1" s="1"/>
  <c r="L3740" i="1" a="1"/>
  <c r="L3740" i="1"/>
  <c r="L3741" i="1" a="1"/>
  <c r="L3741" i="1"/>
  <c r="L3742" i="1" a="1"/>
  <c r="L3742" i="1"/>
  <c r="L3743" i="1" a="1"/>
  <c r="L3743" i="1"/>
  <c r="L3744" i="1" a="1"/>
  <c r="L3744" i="1" s="1"/>
  <c r="L3745" i="1" a="1"/>
  <c r="L3745" i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 s="1"/>
  <c r="L3752" i="1" a="1"/>
  <c r="L3752" i="1" s="1"/>
  <c r="L3753" i="1" a="1"/>
  <c r="L3753" i="1"/>
  <c r="L3754" i="1" a="1"/>
  <c r="L3754" i="1"/>
  <c r="L3755" i="1" a="1"/>
  <c r="L3755" i="1"/>
  <c r="L3756" i="1" a="1"/>
  <c r="L3756" i="1" s="1"/>
  <c r="L3757" i="1" a="1"/>
  <c r="L3757" i="1" s="1"/>
  <c r="L3758" i="1" a="1"/>
  <c r="L3758" i="1"/>
  <c r="L3759" i="1" a="1"/>
  <c r="L3759" i="1" s="1"/>
  <c r="L3760" i="1" a="1"/>
  <c r="L3760" i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/>
  <c r="L3774" i="1" a="1"/>
  <c r="L3774" i="1" s="1"/>
  <c r="L3775" i="1" a="1"/>
  <c r="L3775" i="1"/>
  <c r="L3776" i="1" a="1"/>
  <c r="L3776" i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 s="1"/>
  <c r="L3784" i="1" a="1"/>
  <c r="L3784" i="1"/>
  <c r="L3785" i="1" a="1"/>
  <c r="L3785" i="1" s="1"/>
  <c r="L3786" i="1" a="1"/>
  <c r="L3786" i="1" s="1"/>
  <c r="L3787" i="1" a="1"/>
  <c r="L3787" i="1"/>
  <c r="L3788" i="1" a="1"/>
  <c r="L3788" i="1"/>
  <c r="L3789" i="1" a="1"/>
  <c r="L3789" i="1"/>
  <c r="L3790" i="1" a="1"/>
  <c r="L3790" i="1" s="1"/>
  <c r="L3791" i="1" a="1"/>
  <c r="L3791" i="1" s="1"/>
  <c r="L3792" i="1" a="1"/>
  <c r="L3792" i="1" s="1"/>
  <c r="L3793" i="1" a="1"/>
  <c r="L3793" i="1"/>
  <c r="L3794" i="1" a="1"/>
  <c r="L3794" i="1" s="1"/>
  <c r="L3795" i="1" a="1"/>
  <c r="L3795" i="1" s="1"/>
  <c r="L3796" i="1" a="1"/>
  <c r="L3796" i="1" s="1"/>
  <c r="L3797" i="1" a="1"/>
  <c r="L3797" i="1"/>
  <c r="L3798" i="1" a="1"/>
  <c r="L3798" i="1" s="1"/>
  <c r="L3799" i="1" a="1"/>
  <c r="L3799" i="1"/>
  <c r="L3800" i="1" a="1"/>
  <c r="L3800" i="1"/>
  <c r="L3801" i="1" a="1"/>
  <c r="L3801" i="1"/>
  <c r="L3802" i="1" a="1"/>
  <c r="L3802" i="1"/>
  <c r="L3803" i="1" a="1"/>
  <c r="L3803" i="1" s="1"/>
  <c r="L3804" i="1" a="1"/>
  <c r="L3804" i="1" s="1"/>
  <c r="L3805" i="1" a="1"/>
  <c r="L3805" i="1" s="1"/>
  <c r="L3806" i="1" a="1"/>
  <c r="L3806" i="1"/>
  <c r="L3807" i="1" a="1"/>
  <c r="L3807" i="1" s="1"/>
  <c r="L3808" i="1" a="1"/>
  <c r="L3808" i="1" s="1"/>
  <c r="L3809" i="1" a="1"/>
  <c r="L3809" i="1" s="1"/>
  <c r="L3810" i="1" a="1"/>
  <c r="L3810" i="1" s="1"/>
  <c r="L3811" i="1" a="1"/>
  <c r="L3811" i="1" s="1"/>
  <c r="L3812" i="1" a="1"/>
  <c r="L3812" i="1"/>
  <c r="L3813" i="1" a="1"/>
  <c r="L3813" i="1"/>
  <c r="L3814" i="1" a="1"/>
  <c r="L3814" i="1"/>
  <c r="L3815" i="1" a="1"/>
  <c r="L3815" i="1"/>
  <c r="L3816" i="1" a="1"/>
  <c r="L3816" i="1" s="1"/>
  <c r="L3817" i="1" a="1"/>
  <c r="L3817" i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 s="1"/>
  <c r="L3824" i="1" a="1"/>
  <c r="L3824" i="1" s="1"/>
  <c r="L3825" i="1" a="1"/>
  <c r="L3825" i="1"/>
  <c r="L3826" i="1" a="1"/>
  <c r="L3826" i="1"/>
  <c r="L3827" i="1" a="1"/>
  <c r="L3827" i="1"/>
  <c r="L3828" i="1" a="1"/>
  <c r="L3828" i="1" s="1"/>
  <c r="L3829" i="1" a="1"/>
  <c r="L3829" i="1" s="1"/>
  <c r="L3830" i="1" a="1"/>
  <c r="L3830" i="1"/>
  <c r="L3831" i="1" a="1"/>
  <c r="L3831" i="1" s="1"/>
  <c r="L3832" i="1" a="1"/>
  <c r="L3832" i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/>
  <c r="L3846" i="1" a="1"/>
  <c r="L3846" i="1" s="1"/>
  <c r="L3847" i="1" a="1"/>
  <c r="L3847" i="1"/>
  <c r="L3848" i="1" a="1"/>
  <c r="L3848" i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 s="1"/>
  <c r="L3856" i="1" a="1"/>
  <c r="L3856" i="1"/>
  <c r="L3857" i="1" a="1"/>
  <c r="L3857" i="1" s="1"/>
  <c r="L3858" i="1" a="1"/>
  <c r="L3858" i="1" s="1"/>
  <c r="L3859" i="1" a="1"/>
  <c r="L3859" i="1"/>
  <c r="L3860" i="1" a="1"/>
  <c r="L3860" i="1"/>
  <c r="L3861" i="1" a="1"/>
  <c r="L3861" i="1"/>
  <c r="L3862" i="1" a="1"/>
  <c r="L3862" i="1" s="1"/>
  <c r="L3863" i="1" a="1"/>
  <c r="L3863" i="1" s="1"/>
  <c r="L3864" i="1" a="1"/>
  <c r="L3864" i="1" s="1"/>
  <c r="L3865" i="1" a="1"/>
  <c r="L3865" i="1"/>
  <c r="L3866" i="1" a="1"/>
  <c r="L3866" i="1" s="1"/>
  <c r="L3867" i="1" a="1"/>
  <c r="L3867" i="1" s="1"/>
  <c r="L3868" i="1" a="1"/>
  <c r="L3868" i="1" s="1"/>
  <c r="L3869" i="1" a="1"/>
  <c r="L3869" i="1"/>
  <c r="L3870" i="1" a="1"/>
  <c r="L3870" i="1" s="1"/>
  <c r="L3871" i="1" a="1"/>
  <c r="L3871" i="1"/>
  <c r="L3872" i="1" a="1"/>
  <c r="L3872" i="1"/>
  <c r="L3873" i="1" a="1"/>
  <c r="L3873" i="1"/>
  <c r="L3874" i="1" a="1"/>
  <c r="L3874" i="1"/>
  <c r="L3875" i="1" a="1"/>
  <c r="L3875" i="1" s="1"/>
  <c r="L3876" i="1" a="1"/>
  <c r="L3876" i="1" s="1"/>
  <c r="L3877" i="1" a="1"/>
  <c r="L3877" i="1" s="1"/>
  <c r="L3878" i="1" a="1"/>
  <c r="L3878" i="1"/>
  <c r="L3879" i="1" a="1"/>
  <c r="L3879" i="1" s="1"/>
  <c r="L3880" i="1" a="1"/>
  <c r="L3880" i="1" s="1"/>
  <c r="L3881" i="1" a="1"/>
  <c r="L3881" i="1" s="1"/>
  <c r="L3882" i="1" a="1"/>
  <c r="L3882" i="1" s="1"/>
  <c r="L3883" i="1" a="1"/>
  <c r="L3883" i="1" s="1"/>
  <c r="L3884" i="1" a="1"/>
  <c r="L3884" i="1"/>
  <c r="L3885" i="1" a="1"/>
  <c r="L3885" i="1"/>
  <c r="L3886" i="1" a="1"/>
  <c r="L3886" i="1"/>
  <c r="L3887" i="1" a="1"/>
  <c r="L3887" i="1"/>
  <c r="L3888" i="1" a="1"/>
  <c r="L3888" i="1" s="1"/>
  <c r="L3889" i="1" a="1"/>
  <c r="L3889" i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 s="1"/>
  <c r="L3896" i="1" a="1"/>
  <c r="L3896" i="1" s="1"/>
  <c r="L3897" i="1" a="1"/>
  <c r="L3897" i="1"/>
  <c r="L3898" i="1" a="1"/>
  <c r="L3898" i="1"/>
  <c r="L3899" i="1" a="1"/>
  <c r="L3899" i="1"/>
  <c r="L3900" i="1" a="1"/>
  <c r="L3900" i="1" s="1"/>
  <c r="L3901" i="1" a="1"/>
  <c r="L3901" i="1" s="1"/>
  <c r="L3902" i="1" a="1"/>
  <c r="L3902" i="1"/>
  <c r="L3903" i="1" a="1"/>
  <c r="L3903" i="1" s="1"/>
  <c r="L3904" i="1" a="1"/>
  <c r="L3904" i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/>
  <c r="L3918" i="1" a="1"/>
  <c r="L3918" i="1" s="1"/>
  <c r="L3919" i="1" a="1"/>
  <c r="L3919" i="1"/>
  <c r="L3920" i="1" a="1"/>
  <c r="L3920" i="1"/>
  <c r="L3921" i="1" a="1"/>
  <c r="L3921" i="1" s="1"/>
  <c r="L3922" i="1" a="1"/>
  <c r="L3922" i="1" s="1"/>
  <c r="L3923" i="1" a="1"/>
  <c r="L3923" i="1"/>
  <c r="L3924" i="1" a="1"/>
  <c r="L3924" i="1"/>
  <c r="L3925" i="1" a="1"/>
  <c r="L3925" i="1" s="1"/>
  <c r="L3926" i="1" a="1"/>
  <c r="L3926" i="1"/>
  <c r="L3927" i="1" a="1"/>
  <c r="L3927" i="1" s="1"/>
  <c r="L3928" i="1" a="1"/>
  <c r="L3928" i="1" s="1"/>
  <c r="L3929" i="1" a="1"/>
  <c r="L3929" i="1"/>
  <c r="L3930" i="1" a="1"/>
  <c r="L3930" i="1"/>
  <c r="L3931" i="1" a="1"/>
  <c r="L3931" i="1" s="1"/>
  <c r="L3932" i="1" a="1"/>
  <c r="L3932" i="1"/>
  <c r="L3933" i="1" a="1"/>
  <c r="L3933" i="1" s="1"/>
  <c r="L3934" i="1" a="1"/>
  <c r="L3934" i="1" s="1"/>
  <c r="L3935" i="1" a="1"/>
  <c r="L3935" i="1"/>
  <c r="L3936" i="1" a="1"/>
  <c r="L3936" i="1"/>
  <c r="L3937" i="1" a="1"/>
  <c r="L3937" i="1" s="1"/>
  <c r="L3938" i="1" a="1"/>
  <c r="L3938" i="1"/>
  <c r="L3939" i="1" a="1"/>
  <c r="L3939" i="1" s="1"/>
  <c r="L3940" i="1" a="1"/>
  <c r="L3940" i="1" s="1"/>
  <c r="L3941" i="1" a="1"/>
  <c r="L3941" i="1"/>
  <c r="L3942" i="1" a="1"/>
  <c r="L3942" i="1"/>
  <c r="L3943" i="1" a="1"/>
  <c r="L3943" i="1" s="1"/>
  <c r="L3944" i="1" a="1"/>
  <c r="L3944" i="1"/>
  <c r="L3945" i="1" a="1"/>
  <c r="L3945" i="1" s="1"/>
  <c r="L3946" i="1" a="1"/>
  <c r="L3946" i="1" s="1"/>
  <c r="L3947" i="1" a="1"/>
  <c r="L3947" i="1"/>
  <c r="L3948" i="1" a="1"/>
  <c r="L3948" i="1"/>
  <c r="L3949" i="1" a="1"/>
  <c r="L3949" i="1" s="1"/>
  <c r="L3950" i="1" a="1"/>
  <c r="L3950" i="1"/>
  <c r="L3951" i="1" a="1"/>
  <c r="L3951" i="1" s="1"/>
  <c r="L3952" i="1" a="1"/>
  <c r="L3952" i="1" s="1"/>
  <c r="L3953" i="1" a="1"/>
  <c r="L3953" i="1"/>
  <c r="L3954" i="1" a="1"/>
  <c r="L3954" i="1"/>
  <c r="L3955" i="1" a="1"/>
  <c r="L3955" i="1" s="1"/>
  <c r="L3956" i="1" a="1"/>
  <c r="L3956" i="1"/>
  <c r="L3957" i="1" a="1"/>
  <c r="L3957" i="1" s="1"/>
  <c r="L3958" i="1" a="1"/>
  <c r="L3958" i="1" s="1"/>
  <c r="L3959" i="1" a="1"/>
  <c r="L3959" i="1"/>
  <c r="L3960" i="1" a="1"/>
  <c r="L3960" i="1"/>
  <c r="L3961" i="1" a="1"/>
  <c r="L3961" i="1" s="1"/>
  <c r="L3962" i="1" a="1"/>
  <c r="L3962" i="1"/>
  <c r="L3963" i="1" a="1"/>
  <c r="L3963" i="1" s="1"/>
  <c r="L3964" i="1" a="1"/>
  <c r="L3964" i="1" s="1"/>
  <c r="L3965" i="1" a="1"/>
  <c r="L3965" i="1"/>
  <c r="L3966" i="1" a="1"/>
  <c r="L3966" i="1"/>
  <c r="L3967" i="1" a="1"/>
  <c r="L3967" i="1" s="1"/>
  <c r="L3968" i="1" a="1"/>
  <c r="L3968" i="1"/>
  <c r="L3969" i="1" a="1"/>
  <c r="L3969" i="1" s="1"/>
  <c r="L3970" i="1" a="1"/>
  <c r="L3970" i="1" s="1"/>
  <c r="L3971" i="1" a="1"/>
  <c r="L3971" i="1"/>
  <c r="L3972" i="1" a="1"/>
  <c r="L3972" i="1"/>
  <c r="L3973" i="1" a="1"/>
  <c r="L3973" i="1" s="1"/>
  <c r="L3974" i="1" a="1"/>
  <c r="L3974" i="1"/>
  <c r="L3975" i="1" a="1"/>
  <c r="L3975" i="1" s="1"/>
  <c r="L3976" i="1" a="1"/>
  <c r="L3976" i="1" s="1"/>
  <c r="L3977" i="1" a="1"/>
  <c r="L3977" i="1"/>
  <c r="L3978" i="1" a="1"/>
  <c r="L3978" i="1"/>
  <c r="L3979" i="1" a="1"/>
  <c r="L3979" i="1" s="1"/>
  <c r="L3980" i="1" a="1"/>
  <c r="L3980" i="1"/>
  <c r="L3981" i="1" a="1"/>
  <c r="L3981" i="1" s="1"/>
  <c r="L3982" i="1" a="1"/>
  <c r="L3982" i="1" s="1"/>
  <c r="L3983" i="1" a="1"/>
  <c r="L3983" i="1"/>
  <c r="L3984" i="1" a="1"/>
  <c r="L3984" i="1"/>
  <c r="L3985" i="1" a="1"/>
  <c r="L3985" i="1" s="1"/>
  <c r="L3986" i="1" a="1"/>
  <c r="L3986" i="1"/>
  <c r="L3987" i="1" a="1"/>
  <c r="L3987" i="1" s="1"/>
  <c r="L3988" i="1" a="1"/>
  <c r="L3988" i="1" s="1"/>
  <c r="L3989" i="1" a="1"/>
  <c r="L3989" i="1"/>
  <c r="L3990" i="1" a="1"/>
  <c r="L3990" i="1"/>
  <c r="L3991" i="1" a="1"/>
  <c r="L3991" i="1" s="1"/>
  <c r="L3992" i="1" a="1"/>
  <c r="L3992" i="1"/>
  <c r="L3993" i="1" a="1"/>
  <c r="L3993" i="1" s="1"/>
  <c r="L3994" i="1" a="1"/>
  <c r="L3994" i="1" s="1"/>
  <c r="L3995" i="1" a="1"/>
  <c r="L3995" i="1"/>
  <c r="L3996" i="1" a="1"/>
  <c r="L3996" i="1"/>
  <c r="L3997" i="1" a="1"/>
  <c r="L3997" i="1" s="1"/>
  <c r="L3998" i="1" a="1"/>
  <c r="L3998" i="1"/>
  <c r="L3999" i="1" a="1"/>
  <c r="L3999" i="1" s="1"/>
  <c r="L4000" i="1" a="1"/>
  <c r="L4000" i="1" s="1"/>
  <c r="L4001" i="1" a="1"/>
  <c r="L4001" i="1"/>
  <c r="L4002" i="1" a="1"/>
  <c r="L4002" i="1"/>
  <c r="L4003" i="1" a="1"/>
  <c r="L4003" i="1" s="1"/>
  <c r="L4004" i="1" a="1"/>
  <c r="L4004" i="1"/>
  <c r="L4005" i="1" a="1"/>
  <c r="L4005" i="1" s="1"/>
  <c r="L4006" i="1" a="1"/>
  <c r="L4006" i="1" s="1"/>
  <c r="L4007" i="1" a="1"/>
  <c r="L4007" i="1"/>
  <c r="L4008" i="1" a="1"/>
  <c r="L4008" i="1"/>
  <c r="L4009" i="1" a="1"/>
  <c r="L4009" i="1" s="1"/>
  <c r="L4010" i="1" a="1"/>
  <c r="L4010" i="1"/>
  <c r="L4011" i="1" a="1"/>
  <c r="L4011" i="1" s="1"/>
  <c r="L4012" i="1" a="1"/>
  <c r="L4012" i="1" s="1"/>
  <c r="L4013" i="1" a="1"/>
  <c r="L4013" i="1"/>
  <c r="L4014" i="1" a="1"/>
  <c r="L4014" i="1"/>
  <c r="L4015" i="1" a="1"/>
  <c r="L4015" i="1" s="1"/>
  <c r="L4016" i="1" a="1"/>
  <c r="L4016" i="1"/>
  <c r="L4017" i="1" a="1"/>
  <c r="L4017" i="1" s="1"/>
  <c r="L4018" i="1" a="1"/>
  <c r="L4018" i="1" s="1"/>
  <c r="L4019" i="1" a="1"/>
  <c r="L4019" i="1"/>
  <c r="L4020" i="1" a="1"/>
  <c r="L4020" i="1"/>
  <c r="L4021" i="1" a="1"/>
  <c r="L4021" i="1" s="1"/>
  <c r="L4022" i="1" a="1"/>
  <c r="L4022" i="1"/>
  <c r="L4023" i="1" a="1"/>
  <c r="L4023" i="1" s="1"/>
  <c r="L4024" i="1" a="1"/>
  <c r="L4024" i="1" s="1"/>
  <c r="L4025" i="1" a="1"/>
  <c r="L4025" i="1"/>
  <c r="L4026" i="1" a="1"/>
  <c r="L4026" i="1"/>
  <c r="L4027" i="1" a="1"/>
  <c r="L4027" i="1" s="1"/>
  <c r="L4028" i="1" a="1"/>
  <c r="L4028" i="1"/>
  <c r="L4029" i="1" a="1"/>
  <c r="L4029" i="1" s="1"/>
  <c r="L4030" i="1" a="1"/>
  <c r="L4030" i="1" s="1"/>
  <c r="L4031" i="1" a="1"/>
  <c r="L4031" i="1"/>
  <c r="L4032" i="1" a="1"/>
  <c r="L4032" i="1"/>
  <c r="L4033" i="1" a="1"/>
  <c r="L4033" i="1" s="1"/>
  <c r="L4034" i="1" a="1"/>
  <c r="L4034" i="1"/>
  <c r="L4035" i="1" a="1"/>
  <c r="L4035" i="1" s="1"/>
  <c r="L4036" i="1" a="1"/>
  <c r="L4036" i="1" s="1"/>
  <c r="L4037" i="1" a="1"/>
  <c r="L4037" i="1"/>
  <c r="L4038" i="1" a="1"/>
  <c r="L4038" i="1"/>
  <c r="L4039" i="1" a="1"/>
  <c r="L4039" i="1" s="1"/>
  <c r="L4040" i="1" a="1"/>
  <c r="L4040" i="1"/>
  <c r="L4041" i="1" a="1"/>
  <c r="L4041" i="1" s="1"/>
  <c r="L4042" i="1" a="1"/>
  <c r="L4042" i="1" s="1"/>
  <c r="L4043" i="1" a="1"/>
  <c r="L4043" i="1"/>
  <c r="L4044" i="1" a="1"/>
  <c r="L4044" i="1"/>
  <c r="L4045" i="1" a="1"/>
  <c r="L4045" i="1" s="1"/>
  <c r="L4046" i="1" a="1"/>
  <c r="L4046" i="1"/>
  <c r="L4047" i="1" a="1"/>
  <c r="L4047" i="1" s="1"/>
  <c r="L4048" i="1" a="1"/>
  <c r="L4048" i="1" s="1"/>
  <c r="L2" i="1" a="1"/>
  <c r="L2" i="1" s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4" i="1"/>
  <c r="J3983" i="1"/>
  <c r="J3982" i="1"/>
  <c r="J3981" i="1"/>
  <c r="J3980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1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699" i="1"/>
  <c r="J3698" i="1"/>
  <c r="J3697" i="1"/>
  <c r="J3696" i="1"/>
  <c r="J3695" i="1"/>
  <c r="J3694" i="1"/>
  <c r="J3693" i="1"/>
  <c r="J3692" i="1"/>
  <c r="J3691" i="1"/>
  <c r="J3690" i="1"/>
  <c r="J3688" i="1"/>
  <c r="J3687" i="1"/>
  <c r="J3686" i="1"/>
  <c r="J3685" i="1"/>
  <c r="J3684" i="1"/>
  <c r="J3683" i="1"/>
  <c r="J3682" i="1"/>
  <c r="J3681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5" i="1"/>
  <c r="J3614" i="1"/>
  <c r="J3613" i="1"/>
  <c r="J3612" i="1"/>
  <c r="J3611" i="1"/>
  <c r="J3610" i="1"/>
  <c r="J3609" i="1"/>
  <c r="J3607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6" i="1"/>
  <c r="J3555" i="1"/>
  <c r="J3554" i="1"/>
  <c r="J3552" i="1"/>
  <c r="J3551" i="1"/>
  <c r="J3550" i="1"/>
  <c r="J3549" i="1"/>
  <c r="J3548" i="1"/>
  <c r="J3547" i="1"/>
  <c r="J3546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2" i="1"/>
  <c r="J3501" i="1"/>
  <c r="J3500" i="1"/>
  <c r="J3499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0" i="1"/>
  <c r="J3459" i="1"/>
  <c r="J3458" i="1"/>
  <c r="J3457" i="1"/>
  <c r="J3456" i="1"/>
  <c r="J3455" i="1"/>
  <c r="J3454" i="1"/>
  <c r="J3453" i="1"/>
  <c r="J3452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6" i="1"/>
  <c r="J3425" i="1"/>
  <c r="J3422" i="1"/>
  <c r="J3421" i="1"/>
  <c r="J3420" i="1"/>
  <c r="J3419" i="1"/>
  <c r="J3418" i="1"/>
  <c r="J3417" i="1"/>
  <c r="J3416" i="1"/>
  <c r="J3414" i="1"/>
  <c r="J3413" i="1"/>
  <c r="J3411" i="1"/>
  <c r="J3410" i="1"/>
  <c r="J3409" i="1"/>
  <c r="J3408" i="1"/>
  <c r="J3407" i="1"/>
  <c r="J3406" i="1"/>
  <c r="J3405" i="1"/>
  <c r="J3404" i="1"/>
  <c r="J3403" i="1"/>
  <c r="J3402" i="1"/>
  <c r="J3400" i="1"/>
  <c r="J3399" i="1"/>
  <c r="J3398" i="1"/>
  <c r="J3397" i="1"/>
  <c r="J3396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2" i="1"/>
  <c r="J3361" i="1"/>
  <c r="J3360" i="1"/>
  <c r="J3359" i="1"/>
  <c r="J3358" i="1"/>
  <c r="J3357" i="1"/>
  <c r="J3356" i="1"/>
  <c r="J3355" i="1"/>
  <c r="J3354" i="1"/>
  <c r="J3352" i="1"/>
  <c r="J3350" i="1"/>
  <c r="J3349" i="1"/>
  <c r="J3348" i="1"/>
  <c r="J3346" i="1"/>
  <c r="J3345" i="1"/>
  <c r="J3344" i="1"/>
  <c r="J3343" i="1"/>
  <c r="J3342" i="1"/>
  <c r="J3341" i="1"/>
  <c r="J3339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0" i="1"/>
  <c r="J3319" i="1"/>
  <c r="J3318" i="1"/>
  <c r="J3317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6" i="1"/>
  <c r="J3275" i="1"/>
  <c r="J3274" i="1"/>
  <c r="J3272" i="1"/>
  <c r="J3271" i="1"/>
  <c r="J3269" i="1"/>
  <c r="J3268" i="1"/>
  <c r="J3267" i="1"/>
  <c r="J3265" i="1"/>
  <c r="J3264" i="1"/>
  <c r="J3263" i="1"/>
  <c r="J3262" i="1"/>
  <c r="J3261" i="1"/>
  <c r="J3260" i="1"/>
  <c r="J3259" i="1"/>
  <c r="J3258" i="1"/>
  <c r="J3257" i="1"/>
  <c r="J3255" i="1"/>
  <c r="J3254" i="1"/>
  <c r="J3253" i="1"/>
  <c r="J3251" i="1"/>
  <c r="J3250" i="1"/>
  <c r="J3249" i="1"/>
  <c r="J3248" i="1"/>
  <c r="J3247" i="1"/>
  <c r="J3246" i="1"/>
  <c r="J3245" i="1"/>
  <c r="J3243" i="1"/>
  <c r="J3242" i="1"/>
  <c r="J3241" i="1"/>
  <c r="J3240" i="1"/>
  <c r="J3239" i="1"/>
  <c r="J3237" i="1"/>
  <c r="J3236" i="1"/>
  <c r="J3235" i="1"/>
  <c r="J3234" i="1"/>
  <c r="J3233" i="1"/>
  <c r="J3232" i="1"/>
  <c r="J3231" i="1"/>
  <c r="J3230" i="1"/>
  <c r="J3229" i="1"/>
  <c r="J3228" i="1"/>
  <c r="J3227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7" i="1"/>
  <c r="J3196" i="1"/>
  <c r="J3195" i="1"/>
  <c r="J3194" i="1"/>
  <c r="J3193" i="1"/>
  <c r="J3191" i="1"/>
  <c r="J3190" i="1"/>
  <c r="J3187" i="1"/>
  <c r="J3186" i="1"/>
  <c r="J3184" i="1"/>
  <c r="J3183" i="1"/>
  <c r="J3182" i="1"/>
  <c r="J3181" i="1"/>
  <c r="J3180" i="1"/>
  <c r="J3177" i="1"/>
  <c r="J3176" i="1"/>
  <c r="J3175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8" i="1"/>
  <c r="J3157" i="1"/>
  <c r="J3156" i="1"/>
  <c r="J3155" i="1"/>
  <c r="J3154" i="1"/>
  <c r="J3153" i="1"/>
  <c r="J3152" i="1"/>
  <c r="J3151" i="1"/>
  <c r="J3150" i="1"/>
  <c r="J3149" i="1"/>
  <c r="J3148" i="1"/>
  <c r="J3146" i="1"/>
  <c r="J3144" i="1"/>
  <c r="J3143" i="1"/>
  <c r="J3142" i="1"/>
  <c r="J3141" i="1"/>
  <c r="J3140" i="1"/>
  <c r="J3139" i="1"/>
  <c r="J3138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0" i="1"/>
  <c r="J3119" i="1"/>
  <c r="J3117" i="1"/>
  <c r="J3115" i="1"/>
  <c r="J3114" i="1"/>
  <c r="J3113" i="1"/>
  <c r="J3112" i="1"/>
  <c r="J3111" i="1"/>
  <c r="J3110" i="1"/>
  <c r="J3109" i="1"/>
  <c r="J3108" i="1"/>
  <c r="J3106" i="1"/>
  <c r="J3105" i="1"/>
  <c r="J3104" i="1"/>
  <c r="J3102" i="1"/>
  <c r="J3101" i="1"/>
  <c r="J3098" i="1"/>
  <c r="J3097" i="1"/>
  <c r="J3096" i="1"/>
  <c r="J3095" i="1"/>
  <c r="J3094" i="1"/>
  <c r="J3093" i="1"/>
  <c r="J3092" i="1"/>
  <c r="J3090" i="1"/>
  <c r="J3089" i="1"/>
  <c r="J3088" i="1"/>
  <c r="J3087" i="1"/>
  <c r="J3086" i="1"/>
  <c r="J3085" i="1"/>
  <c r="J3084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7" i="1"/>
  <c r="J3066" i="1"/>
  <c r="J3065" i="1"/>
  <c r="J3064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49" i="1"/>
  <c r="J3048" i="1"/>
  <c r="J3047" i="1"/>
  <c r="J3046" i="1"/>
  <c r="J3045" i="1"/>
  <c r="J3044" i="1"/>
  <c r="J3043" i="1"/>
  <c r="J3041" i="1"/>
  <c r="J3040" i="1"/>
  <c r="J3039" i="1"/>
  <c r="J3038" i="1"/>
  <c r="J3037" i="1"/>
  <c r="J3036" i="1"/>
  <c r="J3035" i="1"/>
  <c r="J3033" i="1"/>
  <c r="J3032" i="1"/>
  <c r="J3030" i="1"/>
  <c r="J3026" i="1"/>
  <c r="J3023" i="1"/>
  <c r="J3022" i="1"/>
  <c r="J3020" i="1"/>
  <c r="J3019" i="1"/>
  <c r="J3017" i="1"/>
  <c r="J3015" i="1"/>
  <c r="J3014" i="1"/>
  <c r="J3013" i="1"/>
  <c r="J3012" i="1"/>
  <c r="J3011" i="1"/>
  <c r="J3010" i="1"/>
  <c r="J3009" i="1"/>
  <c r="J3008" i="1"/>
  <c r="J3007" i="1"/>
  <c r="J3004" i="1"/>
  <c r="J3002" i="1"/>
  <c r="J3001" i="1"/>
  <c r="J3000" i="1"/>
  <c r="J2999" i="1"/>
  <c r="J2998" i="1"/>
  <c r="J2996" i="1"/>
  <c r="J2995" i="1"/>
  <c r="J2993" i="1"/>
  <c r="J2991" i="1"/>
  <c r="J2990" i="1"/>
  <c r="J2989" i="1"/>
  <c r="J2988" i="1"/>
  <c r="J2986" i="1"/>
  <c r="J2985" i="1"/>
  <c r="J2984" i="1"/>
  <c r="J2983" i="1"/>
  <c r="J2981" i="1"/>
  <c r="J2980" i="1"/>
  <c r="J2979" i="1"/>
  <c r="J2975" i="1"/>
  <c r="J2974" i="1"/>
  <c r="J2972" i="1"/>
  <c r="J2971" i="1"/>
  <c r="J2970" i="1"/>
  <c r="J2969" i="1"/>
  <c r="J2968" i="1"/>
  <c r="J2966" i="1"/>
  <c r="J2964" i="1"/>
  <c r="J2962" i="1"/>
  <c r="J2961" i="1"/>
  <c r="J2960" i="1"/>
  <c r="J2959" i="1"/>
  <c r="J2958" i="1"/>
  <c r="J2956" i="1"/>
  <c r="J2955" i="1"/>
  <c r="J2954" i="1"/>
  <c r="J2952" i="1"/>
  <c r="J2951" i="1"/>
  <c r="J2950" i="1"/>
  <c r="J2949" i="1"/>
  <c r="J2948" i="1"/>
  <c r="J2947" i="1"/>
  <c r="J2946" i="1"/>
  <c r="J2945" i="1"/>
  <c r="J2943" i="1"/>
  <c r="J2942" i="1"/>
  <c r="J2941" i="1"/>
  <c r="J2940" i="1"/>
  <c r="J2939" i="1"/>
  <c r="J2936" i="1"/>
  <c r="J2933" i="1"/>
  <c r="J2930" i="1"/>
  <c r="J2929" i="1"/>
  <c r="J2927" i="1"/>
  <c r="J2923" i="1"/>
  <c r="J2922" i="1"/>
  <c r="J2920" i="1"/>
  <c r="J2919" i="1"/>
  <c r="J2918" i="1"/>
  <c r="J2917" i="1"/>
  <c r="J2916" i="1"/>
  <c r="J2914" i="1"/>
  <c r="J2912" i="1"/>
  <c r="J2911" i="1"/>
  <c r="J2909" i="1"/>
  <c r="J2908" i="1"/>
  <c r="J2907" i="1"/>
  <c r="J2906" i="1"/>
  <c r="J2905" i="1"/>
  <c r="J2904" i="1"/>
  <c r="J2903" i="1"/>
  <c r="J2901" i="1"/>
  <c r="J2900" i="1"/>
  <c r="J2899" i="1"/>
  <c r="J2898" i="1"/>
  <c r="J2897" i="1"/>
  <c r="J2896" i="1"/>
  <c r="J2893" i="1"/>
  <c r="J2892" i="1"/>
  <c r="J2891" i="1"/>
  <c r="J2889" i="1"/>
  <c r="J2888" i="1"/>
  <c r="J2887" i="1"/>
  <c r="J2886" i="1"/>
  <c r="J2885" i="1"/>
  <c r="J2884" i="1"/>
  <c r="J2883" i="1"/>
  <c r="J2882" i="1"/>
  <c r="J2881" i="1"/>
  <c r="J2880" i="1"/>
  <c r="J2879" i="1"/>
  <c r="J2877" i="1"/>
  <c r="J2876" i="1"/>
  <c r="J2874" i="1"/>
  <c r="J2873" i="1"/>
  <c r="J2872" i="1"/>
  <c r="J2870" i="1"/>
  <c r="J2869" i="1"/>
  <c r="J2866" i="1"/>
  <c r="J2865" i="1"/>
  <c r="J2864" i="1"/>
  <c r="J2860" i="1"/>
  <c r="J2856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32" i="1"/>
  <c r="J2831" i="1"/>
  <c r="J2830" i="1"/>
  <c r="J2827" i="1"/>
  <c r="J2826" i="1"/>
  <c r="J2825" i="1"/>
  <c r="J2824" i="1"/>
  <c r="J2823" i="1"/>
  <c r="J2822" i="1"/>
  <c r="J2821" i="1"/>
  <c r="J2820" i="1"/>
  <c r="J2819" i="1"/>
  <c r="J2818" i="1"/>
  <c r="J2816" i="1"/>
  <c r="J2812" i="1"/>
  <c r="J2811" i="1"/>
  <c r="J2810" i="1"/>
  <c r="J2809" i="1"/>
  <c r="J2808" i="1"/>
  <c r="J2807" i="1"/>
  <c r="J2806" i="1"/>
  <c r="J2803" i="1"/>
  <c r="J2802" i="1"/>
  <c r="J2801" i="1"/>
  <c r="J2798" i="1"/>
  <c r="J2797" i="1"/>
  <c r="J2796" i="1"/>
  <c r="J2794" i="1"/>
  <c r="J2793" i="1"/>
  <c r="J2791" i="1"/>
  <c r="J2789" i="1"/>
  <c r="J2788" i="1"/>
  <c r="J2787" i="1"/>
  <c r="J2786" i="1"/>
  <c r="J2785" i="1"/>
  <c r="J2783" i="1"/>
  <c r="J2782" i="1"/>
  <c r="J2781" i="1"/>
  <c r="J2780" i="1"/>
  <c r="J2778" i="1"/>
  <c r="J2777" i="1"/>
  <c r="J2774" i="1"/>
  <c r="J2772" i="1"/>
  <c r="J2770" i="1"/>
  <c r="J2766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46" i="1"/>
  <c r="J2744" i="1"/>
  <c r="J2743" i="1"/>
  <c r="J2742" i="1"/>
  <c r="J2741" i="1"/>
  <c r="J2740" i="1"/>
  <c r="J2739" i="1"/>
  <c r="J2738" i="1"/>
  <c r="J2737" i="1"/>
  <c r="J2733" i="1"/>
  <c r="J2731" i="1"/>
  <c r="J2730" i="1"/>
  <c r="J2729" i="1"/>
  <c r="J2728" i="1"/>
  <c r="J2726" i="1"/>
  <c r="J2725" i="1"/>
  <c r="J2720" i="1"/>
  <c r="J2719" i="1"/>
  <c r="J2718" i="1"/>
  <c r="J2715" i="1"/>
  <c r="J2713" i="1"/>
  <c r="J2709" i="1"/>
  <c r="J2707" i="1"/>
  <c r="J2705" i="1"/>
  <c r="J2702" i="1"/>
  <c r="J2700" i="1"/>
  <c r="J2698" i="1"/>
  <c r="J2697" i="1"/>
  <c r="J2696" i="1"/>
  <c r="J2695" i="1"/>
  <c r="J2693" i="1"/>
  <c r="J2692" i="1"/>
  <c r="J2689" i="1"/>
  <c r="J2688" i="1"/>
  <c r="J2686" i="1"/>
  <c r="J2681" i="1"/>
  <c r="J2680" i="1"/>
  <c r="J2679" i="1"/>
  <c r="J2678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48" i="1"/>
  <c r="J2647" i="1"/>
  <c r="J2646" i="1"/>
  <c r="J2645" i="1"/>
  <c r="J2644" i="1"/>
  <c r="J2642" i="1"/>
  <c r="J2641" i="1"/>
  <c r="J2640" i="1"/>
  <c r="J2639" i="1"/>
  <c r="J2633" i="1"/>
  <c r="J2631" i="1"/>
  <c r="J2629" i="1"/>
  <c r="J2625" i="1"/>
  <c r="J2623" i="1"/>
  <c r="J2622" i="1"/>
  <c r="J2616" i="1"/>
  <c r="J2614" i="1"/>
  <c r="J2608" i="1"/>
  <c r="J2606" i="1"/>
  <c r="J2605" i="1"/>
  <c r="J2602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7" i="1"/>
  <c r="J2565" i="1"/>
  <c r="J2563" i="1"/>
  <c r="J2562" i="1"/>
  <c r="J2559" i="1"/>
  <c r="J2552" i="1"/>
  <c r="J2551" i="1"/>
  <c r="J2548" i="1"/>
  <c r="J2547" i="1"/>
  <c r="J2545" i="1"/>
  <c r="J2544" i="1"/>
  <c r="J2542" i="1"/>
  <c r="J2538" i="1"/>
  <c r="J2536" i="1"/>
  <c r="J2533" i="1"/>
  <c r="J2530" i="1"/>
  <c r="J2528" i="1"/>
  <c r="J2527" i="1"/>
  <c r="J2520" i="1"/>
  <c r="J2519" i="1"/>
  <c r="J2518" i="1"/>
  <c r="J2517" i="1"/>
  <c r="J2516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2" i="1"/>
  <c r="J2486" i="1"/>
  <c r="J2482" i="1"/>
  <c r="J2476" i="1"/>
  <c r="J2473" i="1"/>
  <c r="J2470" i="1"/>
  <c r="J2469" i="1"/>
  <c r="J2467" i="1"/>
  <c r="J2465" i="1"/>
  <c r="J2451" i="1"/>
  <c r="J2447" i="1"/>
  <c r="J2445" i="1"/>
  <c r="J2439" i="1"/>
  <c r="J2435" i="1"/>
  <c r="J2432" i="1"/>
  <c r="J2429" i="1"/>
  <c r="J2427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09" i="1"/>
  <c r="J2399" i="1"/>
  <c r="J2398" i="1"/>
  <c r="J2397" i="1"/>
  <c r="J2395" i="1"/>
  <c r="J2394" i="1"/>
  <c r="J2391" i="1"/>
  <c r="J2388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47" i="1"/>
  <c r="J2346" i="1"/>
  <c r="J2336" i="1"/>
  <c r="J2335" i="1"/>
  <c r="J2333" i="1"/>
  <c r="J2322" i="1"/>
  <c r="J2315" i="1"/>
  <c r="J2306" i="1"/>
  <c r="J2302" i="1"/>
  <c r="J2300" i="1"/>
  <c r="J2298" i="1"/>
  <c r="J2297" i="1"/>
  <c r="J2296" i="1"/>
  <c r="J2295" i="1"/>
  <c r="J2294" i="1"/>
  <c r="J2293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8" i="1"/>
  <c r="J2277" i="1"/>
  <c r="J2276" i="1"/>
  <c r="J2270" i="1"/>
  <c r="J2261" i="1"/>
  <c r="J2260" i="1"/>
  <c r="J2252" i="1"/>
  <c r="J2249" i="1"/>
  <c r="J2237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0" i="1"/>
  <c r="J2189" i="1"/>
  <c r="J2179" i="1"/>
  <c r="J2158" i="1"/>
  <c r="J2157" i="1"/>
  <c r="J2156" i="1"/>
  <c r="J2155" i="1"/>
  <c r="J2154" i="1"/>
  <c r="J2153" i="1"/>
  <c r="J2152" i="1"/>
  <c r="J2151" i="1"/>
  <c r="J2149" i="1"/>
  <c r="J2148" i="1"/>
  <c r="J2147" i="1"/>
  <c r="J2131" i="1"/>
  <c r="J2095" i="1"/>
  <c r="J2074" i="1"/>
  <c r="J2070" i="1"/>
  <c r="J2069" i="1"/>
  <c r="J2068" i="1"/>
  <c r="J2067" i="1"/>
  <c r="J2065" i="1"/>
  <c r="J2064" i="1"/>
  <c r="J2063" i="1"/>
  <c r="J2062" i="1"/>
  <c r="J2061" i="1"/>
  <c r="J2060" i="1"/>
  <c r="J2059" i="1"/>
  <c r="J2058" i="1"/>
  <c r="J2057" i="1"/>
  <c r="J1897" i="1"/>
  <c r="J1895" i="1"/>
  <c r="J1891" i="1"/>
  <c r="J1888" i="1"/>
  <c r="J188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<sst xmlns="http://schemas.openxmlformats.org/spreadsheetml/2006/main" count="20716" uniqueCount="3869">
  <si>
    <t>김서현</t>
  </si>
  <si>
    <t>서울고</t>
  </si>
  <si>
    <t>전면드래프트</t>
  </si>
  <si>
    <t>한화</t>
  </si>
  <si>
    <t>윤영철</t>
  </si>
  <si>
    <t>충암고</t>
  </si>
  <si>
    <t>KIA</t>
  </si>
  <si>
    <t>김민석</t>
  </si>
  <si>
    <t>휘문고</t>
  </si>
  <si>
    <t>롯데</t>
  </si>
  <si>
    <t>신영우</t>
  </si>
  <si>
    <t>경남고</t>
  </si>
  <si>
    <t>NC</t>
  </si>
  <si>
    <t>이로운</t>
  </si>
  <si>
    <t>대구고</t>
  </si>
  <si>
    <t>SSG</t>
  </si>
  <si>
    <t>김건희</t>
  </si>
  <si>
    <t>원주고</t>
  </si>
  <si>
    <t>키움</t>
  </si>
  <si>
    <t>김범석</t>
  </si>
  <si>
    <t>LG</t>
  </si>
  <si>
    <t>이호성</t>
  </si>
  <si>
    <t>인천고</t>
  </si>
  <si>
    <t>삼성</t>
  </si>
  <si>
    <t>최준호</t>
  </si>
  <si>
    <t>북일고</t>
  </si>
  <si>
    <t>두산</t>
  </si>
  <si>
    <t>김정운</t>
  </si>
  <si>
    <t>KT</t>
  </si>
  <si>
    <t>문현빈</t>
  </si>
  <si>
    <t>김동헌</t>
  </si>
  <si>
    <t>이진하</t>
  </si>
  <si>
    <t>장충고</t>
  </si>
  <si>
    <t>박한결</t>
  </si>
  <si>
    <t>경북고</t>
  </si>
  <si>
    <t>송영진</t>
  </si>
  <si>
    <t>대전고</t>
  </si>
  <si>
    <t>오상원</t>
  </si>
  <si>
    <t>선린고</t>
  </si>
  <si>
    <t>김동규</t>
  </si>
  <si>
    <t>성남고</t>
  </si>
  <si>
    <t>박권후</t>
  </si>
  <si>
    <t>전주고</t>
  </si>
  <si>
    <t>김유성</t>
  </si>
  <si>
    <t>김해고</t>
  </si>
  <si>
    <t>고려대</t>
  </si>
  <si>
    <t>정준영</t>
  </si>
  <si>
    <t>이민준</t>
  </si>
  <si>
    <t>정해원</t>
  </si>
  <si>
    <t>서현원</t>
  </si>
  <si>
    <t>세광고</t>
  </si>
  <si>
    <t>신용석</t>
  </si>
  <si>
    <t>마산고</t>
  </si>
  <si>
    <t>김정민</t>
  </si>
  <si>
    <t>박윤성</t>
  </si>
  <si>
    <t>박명근</t>
  </si>
  <si>
    <t>라온고</t>
  </si>
  <si>
    <t>김재상</t>
  </si>
  <si>
    <t>경기상고</t>
  </si>
  <si>
    <t>장우진</t>
  </si>
  <si>
    <t>손민석</t>
  </si>
  <si>
    <t>김관우</t>
  </si>
  <si>
    <t>김세일</t>
  </si>
  <si>
    <t>용마고</t>
  </si>
  <si>
    <t>김기준</t>
  </si>
  <si>
    <t>목지훈</t>
  </si>
  <si>
    <t>신일고</t>
  </si>
  <si>
    <t>안현서</t>
  </si>
  <si>
    <t>경기고</t>
  </si>
  <si>
    <t>이승원</t>
  </si>
  <si>
    <t>덕수고</t>
  </si>
  <si>
    <t>이준서</t>
  </si>
  <si>
    <t>신윤호</t>
  </si>
  <si>
    <t>임서준</t>
  </si>
  <si>
    <t>경동고</t>
  </si>
  <si>
    <t>김건웅</t>
  </si>
  <si>
    <t>김해찬</t>
  </si>
  <si>
    <t>곽도규</t>
  </si>
  <si>
    <t>공주고</t>
  </si>
  <si>
    <t>정대선</t>
  </si>
  <si>
    <t>강건준</t>
  </si>
  <si>
    <t>배명고</t>
  </si>
  <si>
    <t>화순고</t>
  </si>
  <si>
    <t>연세대</t>
  </si>
  <si>
    <t>송재선</t>
  </si>
  <si>
    <t>한일장신대</t>
  </si>
  <si>
    <t>원상훈</t>
  </si>
  <si>
    <t>한국 K-POP고</t>
  </si>
  <si>
    <t>강준서</t>
  </si>
  <si>
    <t>부산공고</t>
  </si>
  <si>
    <t>동의대</t>
  </si>
  <si>
    <t>윤준호</t>
  </si>
  <si>
    <t>임정균</t>
  </si>
  <si>
    <t>부산고</t>
  </si>
  <si>
    <t>한서구</t>
  </si>
  <si>
    <t>이송찬</t>
  </si>
  <si>
    <t>광주동성고</t>
  </si>
  <si>
    <t>이태연</t>
  </si>
  <si>
    <t>이준호</t>
  </si>
  <si>
    <t>성균관대</t>
  </si>
  <si>
    <t>박세직</t>
  </si>
  <si>
    <t>야탑고</t>
  </si>
  <si>
    <t>우승원</t>
  </si>
  <si>
    <t>권동혁</t>
  </si>
  <si>
    <t>김시온</t>
  </si>
  <si>
    <t>율곡고</t>
  </si>
  <si>
    <t>한충희</t>
  </si>
  <si>
    <t>광주제일고</t>
  </si>
  <si>
    <t>이준희</t>
  </si>
  <si>
    <t>송성훈</t>
  </si>
  <si>
    <t>이도현</t>
  </si>
  <si>
    <t>석상호</t>
  </si>
  <si>
    <t>청원고</t>
  </si>
  <si>
    <t>신성호</t>
  </si>
  <si>
    <t>김민준</t>
  </si>
  <si>
    <t>박성빈</t>
  </si>
  <si>
    <t>허용주</t>
  </si>
  <si>
    <t>류승민</t>
  </si>
  <si>
    <t>백승우</t>
  </si>
  <si>
    <t>동아대</t>
  </si>
  <si>
    <t>류현인</t>
  </si>
  <si>
    <t>진흥고</t>
  </si>
  <si>
    <t>단국대</t>
  </si>
  <si>
    <t>최원준</t>
  </si>
  <si>
    <t>청담고</t>
  </si>
  <si>
    <t>박일훈</t>
  </si>
  <si>
    <t>안산공고</t>
  </si>
  <si>
    <t>조경민</t>
  </si>
  <si>
    <t>강릉고</t>
  </si>
  <si>
    <t>정주영</t>
  </si>
  <si>
    <t>류현곤</t>
  </si>
  <si>
    <t>이호열</t>
  </si>
  <si>
    <t>송대현</t>
  </si>
  <si>
    <t>동국대</t>
  </si>
  <si>
    <t>김민호</t>
  </si>
  <si>
    <t>박민준</t>
  </si>
  <si>
    <t>동강대</t>
  </si>
  <si>
    <t>황의준</t>
  </si>
  <si>
    <t>수성대</t>
  </si>
  <si>
    <t>박재규</t>
  </si>
  <si>
    <t>개성고</t>
  </si>
  <si>
    <t>김도월</t>
  </si>
  <si>
    <t>정재환</t>
  </si>
  <si>
    <t>서동욱</t>
  </si>
  <si>
    <t>이승훈</t>
  </si>
  <si>
    <t>배재고</t>
  </si>
  <si>
    <t>변헌성</t>
  </si>
  <si>
    <t>유신고</t>
  </si>
  <si>
    <t>이철민</t>
  </si>
  <si>
    <t>박시원</t>
  </si>
  <si>
    <t>김문수</t>
  </si>
  <si>
    <t>정진호</t>
  </si>
  <si>
    <t>천보웅</t>
  </si>
  <si>
    <t>제물포고</t>
  </si>
  <si>
    <t>구미대</t>
  </si>
  <si>
    <t>김재현</t>
  </si>
  <si>
    <t>송원대</t>
  </si>
  <si>
    <t>장세진</t>
  </si>
  <si>
    <t>군산상고</t>
  </si>
  <si>
    <t>배상호</t>
  </si>
  <si>
    <t>김건이</t>
  </si>
  <si>
    <t>강릉영동대</t>
  </si>
  <si>
    <t>안겸</t>
  </si>
  <si>
    <t>곽민호</t>
  </si>
  <si>
    <t>박장민</t>
  </si>
  <si>
    <t>이준명</t>
  </si>
  <si>
    <t>김예준</t>
  </si>
  <si>
    <t>배인혁</t>
  </si>
  <si>
    <t>김주환</t>
  </si>
  <si>
    <t>효천고</t>
  </si>
  <si>
    <t>김준영</t>
  </si>
  <si>
    <t>서유신</t>
  </si>
  <si>
    <t>원광대</t>
  </si>
  <si>
    <t>강민균</t>
  </si>
  <si>
    <t>홍익대</t>
  </si>
  <si>
    <t>박진우</t>
  </si>
  <si>
    <t>청주고</t>
  </si>
  <si>
    <t>남율</t>
  </si>
  <si>
    <t>강건</t>
  </si>
  <si>
    <t>장안고</t>
  </si>
  <si>
    <t>산체스</t>
  </si>
  <si>
    <t>자유선발</t>
  </si>
  <si>
    <t>앤더슨</t>
  </si>
  <si>
    <t>메디나</t>
  </si>
  <si>
    <t>슐서</t>
  </si>
  <si>
    <t>오스틴</t>
  </si>
  <si>
    <t>태너</t>
  </si>
  <si>
    <t>마틴</t>
  </si>
  <si>
    <t>페디</t>
  </si>
  <si>
    <t>와이드너</t>
  </si>
  <si>
    <t>엘리아스</t>
  </si>
  <si>
    <t>로메로</t>
  </si>
  <si>
    <t>에레디아</t>
  </si>
  <si>
    <t>맥카티</t>
  </si>
  <si>
    <t>로하스</t>
  </si>
  <si>
    <t>딜런</t>
  </si>
  <si>
    <t>윌커슨</t>
  </si>
  <si>
    <t>구드럼</t>
  </si>
  <si>
    <t>맥키니</t>
  </si>
  <si>
    <t>도슨</t>
  </si>
  <si>
    <t>후라도</t>
  </si>
  <si>
    <t>윌리엄스</t>
  </si>
  <si>
    <t>스미스</t>
  </si>
  <si>
    <t>오그레디</t>
  </si>
  <si>
    <t>손호원</t>
  </si>
  <si>
    <t>육성선수</t>
  </si>
  <si>
    <t>박승훈</t>
  </si>
  <si>
    <t>이중석</t>
  </si>
  <si>
    <t>건국대</t>
  </si>
  <si>
    <t>김주섭</t>
  </si>
  <si>
    <t>최정태</t>
  </si>
  <si>
    <t>중앙대</t>
  </si>
  <si>
    <t>한민우</t>
  </si>
  <si>
    <t>이동관</t>
  </si>
  <si>
    <t>정우성</t>
  </si>
  <si>
    <t>포철고</t>
  </si>
  <si>
    <t>동원과학대</t>
  </si>
  <si>
    <t>백현수</t>
  </si>
  <si>
    <t>경희대</t>
  </si>
  <si>
    <t>노재원</t>
  </si>
  <si>
    <t>박찬희</t>
  </si>
  <si>
    <t>인하대</t>
  </si>
  <si>
    <t>김택우</t>
  </si>
  <si>
    <t>조강희</t>
  </si>
  <si>
    <t>충훈고</t>
  </si>
  <si>
    <t>이기석</t>
  </si>
  <si>
    <t>부산과학기술대</t>
  </si>
  <si>
    <t>이정원</t>
  </si>
  <si>
    <t>경주고</t>
  </si>
  <si>
    <t>배영빈</t>
  </si>
  <si>
    <t>윤수녕</t>
  </si>
  <si>
    <t>조준혁</t>
  </si>
  <si>
    <t>박건</t>
  </si>
  <si>
    <t>신우재</t>
  </si>
  <si>
    <t>재능대</t>
  </si>
  <si>
    <t>김석훈</t>
  </si>
  <si>
    <t>고영재</t>
  </si>
  <si>
    <t>서울문화예술대</t>
  </si>
  <si>
    <t>이석제</t>
  </si>
  <si>
    <t>성지훈</t>
  </si>
  <si>
    <t>이정재</t>
  </si>
  <si>
    <t>동산고</t>
  </si>
  <si>
    <t>김도영</t>
  </si>
  <si>
    <t>1차지명</t>
  </si>
  <si>
    <t>박영현</t>
  </si>
  <si>
    <t>조원태</t>
  </si>
  <si>
    <t>박성재</t>
  </si>
  <si>
    <t>윤태현</t>
  </si>
  <si>
    <t>이병헌</t>
  </si>
  <si>
    <t>이민석</t>
  </si>
  <si>
    <t>이재현</t>
  </si>
  <si>
    <t>주승우</t>
  </si>
  <si>
    <t>문동주</t>
  </si>
  <si>
    <t>최지민</t>
  </si>
  <si>
    <t>2차지명</t>
  </si>
  <si>
    <t>이상우</t>
  </si>
  <si>
    <t>김주완</t>
  </si>
  <si>
    <t>이준혁</t>
  </si>
  <si>
    <t>신헌민</t>
  </si>
  <si>
    <t>김동준</t>
  </si>
  <si>
    <t>조세진</t>
  </si>
  <si>
    <t>김영웅</t>
  </si>
  <si>
    <t>물금고</t>
  </si>
  <si>
    <t>박찬혁</t>
  </si>
  <si>
    <t>박준영</t>
  </si>
  <si>
    <t>윤도현</t>
  </si>
  <si>
    <t>한지웅</t>
  </si>
  <si>
    <t>최용하</t>
  </si>
  <si>
    <t>서울디자인고</t>
  </si>
  <si>
    <t>박동수</t>
  </si>
  <si>
    <t>김도현</t>
  </si>
  <si>
    <t>백송고</t>
  </si>
  <si>
    <t>이원재</t>
  </si>
  <si>
    <t>진승현</t>
  </si>
  <si>
    <t>김재혁</t>
  </si>
  <si>
    <t>제주고</t>
  </si>
  <si>
    <t>송정인</t>
  </si>
  <si>
    <t>허인서</t>
  </si>
  <si>
    <t>강병우</t>
  </si>
  <si>
    <t>이주헌</t>
  </si>
  <si>
    <t>김녹원</t>
  </si>
  <si>
    <t>박상후</t>
  </si>
  <si>
    <t>신민철</t>
  </si>
  <si>
    <t>윤동희</t>
  </si>
  <si>
    <t>김세민</t>
  </si>
  <si>
    <t>차동영</t>
  </si>
  <si>
    <t>백진수</t>
  </si>
  <si>
    <t>유민</t>
  </si>
  <si>
    <t>김찬민</t>
  </si>
  <si>
    <t>안현민</t>
  </si>
  <si>
    <t>이지훈</t>
  </si>
  <si>
    <t>조효원</t>
  </si>
  <si>
    <t>이한</t>
  </si>
  <si>
    <t>전희범</t>
  </si>
  <si>
    <t>인상고</t>
  </si>
  <si>
    <t>신정환</t>
  </si>
  <si>
    <t>상우고</t>
  </si>
  <si>
    <t>노운현</t>
  </si>
  <si>
    <t>윤석원</t>
  </si>
  <si>
    <t>양경모</t>
  </si>
  <si>
    <t>이성주</t>
  </si>
  <si>
    <t>우종휘</t>
  </si>
  <si>
    <t>허준혁</t>
  </si>
  <si>
    <t>임지민</t>
  </si>
  <si>
    <t>강원고</t>
  </si>
  <si>
    <t>이기순</t>
  </si>
  <si>
    <t>윤태호</t>
  </si>
  <si>
    <t>하혜성</t>
  </si>
  <si>
    <t>김서준</t>
  </si>
  <si>
    <t>경기항공고</t>
  </si>
  <si>
    <t>주승빈</t>
  </si>
  <si>
    <t>권광민</t>
  </si>
  <si>
    <t>백도렬</t>
  </si>
  <si>
    <t>최동희</t>
  </si>
  <si>
    <t>최원영</t>
  </si>
  <si>
    <t>이주형</t>
  </si>
  <si>
    <t>강매성</t>
  </si>
  <si>
    <t>정유석</t>
  </si>
  <si>
    <t>한태양</t>
  </si>
  <si>
    <t>조민성</t>
  </si>
  <si>
    <t>이명종</t>
  </si>
  <si>
    <t>김겸재</t>
  </si>
  <si>
    <t>부산정보고</t>
  </si>
  <si>
    <t>황동하</t>
  </si>
  <si>
    <t>정정우</t>
  </si>
  <si>
    <t>김성우</t>
  </si>
  <si>
    <t>이현우</t>
  </si>
  <si>
    <t>김태윤</t>
  </si>
  <si>
    <t>강동형</t>
  </si>
  <si>
    <t>경성대</t>
  </si>
  <si>
    <t>김동혁</t>
  </si>
  <si>
    <t>강도훈</t>
  </si>
  <si>
    <t>상원고</t>
  </si>
  <si>
    <t>김리안</t>
  </si>
  <si>
    <t>이성민</t>
  </si>
  <si>
    <t>부경고</t>
  </si>
  <si>
    <t>한승연</t>
  </si>
  <si>
    <t>권성준</t>
  </si>
  <si>
    <t>문정빈</t>
  </si>
  <si>
    <t>오승택</t>
  </si>
  <si>
    <t>임성준</t>
  </si>
  <si>
    <t>임준형</t>
  </si>
  <si>
    <t>엄장윤</t>
  </si>
  <si>
    <t>김상민</t>
  </si>
  <si>
    <t>이세호</t>
  </si>
  <si>
    <t>이재민</t>
  </si>
  <si>
    <t>호원대</t>
  </si>
  <si>
    <t>신명승</t>
  </si>
  <si>
    <t>김병준</t>
  </si>
  <si>
    <t>양진혁</t>
  </si>
  <si>
    <t>조민석</t>
  </si>
  <si>
    <t>부천고</t>
  </si>
  <si>
    <t>전영준</t>
  </si>
  <si>
    <t>김시완</t>
  </si>
  <si>
    <t>김서진</t>
  </si>
  <si>
    <t>장재혁</t>
  </si>
  <si>
    <t>박정훈</t>
  </si>
  <si>
    <t>신현수</t>
  </si>
  <si>
    <t>설악고</t>
  </si>
  <si>
    <t>손진규</t>
  </si>
  <si>
    <t>송현제</t>
  </si>
  <si>
    <t>동대문상고</t>
  </si>
  <si>
    <t>엄태경</t>
  </si>
  <si>
    <t>서준교</t>
  </si>
  <si>
    <t>최유빈</t>
  </si>
  <si>
    <t>강산</t>
  </si>
  <si>
    <t>서울컨벤션고</t>
  </si>
  <si>
    <t>김용완</t>
  </si>
  <si>
    <t>윤정훈</t>
  </si>
  <si>
    <t>김민수</t>
  </si>
  <si>
    <t>노석진</t>
  </si>
  <si>
    <t>파노니</t>
  </si>
  <si>
    <t>소크라테스</t>
  </si>
  <si>
    <t>도미니카 Liceo Cacique Enriquillo(고)</t>
  </si>
  <si>
    <t>놀린</t>
  </si>
  <si>
    <t>미국 Seaford(고)</t>
  </si>
  <si>
    <t>미국 San Jacinto(대)</t>
  </si>
  <si>
    <t>로니</t>
  </si>
  <si>
    <t>미국 American Senior(고)</t>
  </si>
  <si>
    <t>벤자민</t>
  </si>
  <si>
    <t>알포드</t>
  </si>
  <si>
    <t>라모스</t>
  </si>
  <si>
    <t>푸에르토리코 Alfonso Casta Martinez(고)</t>
  </si>
  <si>
    <t>플럿코</t>
  </si>
  <si>
    <t>미국 UCLA(대)</t>
  </si>
  <si>
    <t>가르시아</t>
  </si>
  <si>
    <t>루이즈</t>
  </si>
  <si>
    <t>미국 Bishop Amat Memorial(고)</t>
  </si>
  <si>
    <t>더모디</t>
  </si>
  <si>
    <t>마티니</t>
  </si>
  <si>
    <t>미국 Prairie Ridge(고)</t>
  </si>
  <si>
    <t>미국 Kansas State(대)</t>
  </si>
  <si>
    <t>크론</t>
  </si>
  <si>
    <t>미국 Mountain Pointe(고)</t>
  </si>
  <si>
    <t>미국 Texas Christian(대)</t>
  </si>
  <si>
    <t>모리만도</t>
  </si>
  <si>
    <t>노바</t>
  </si>
  <si>
    <t>도미니카 Lic. Vespertino(고)</t>
  </si>
  <si>
    <t>라가레스</t>
  </si>
  <si>
    <t>스탁</t>
  </si>
  <si>
    <t>미국 Southern California(대)</t>
  </si>
  <si>
    <t>브랜든</t>
  </si>
  <si>
    <t>피터스</t>
  </si>
  <si>
    <t>미국 Western Nevada(대)</t>
  </si>
  <si>
    <t>반즈</t>
  </si>
  <si>
    <t>미국 Clemson(대)</t>
  </si>
  <si>
    <t>렉스</t>
  </si>
  <si>
    <t>스파크맨</t>
  </si>
  <si>
    <t>미국 Wharton County Junior(대)</t>
  </si>
  <si>
    <t>수아레즈</t>
  </si>
  <si>
    <t>베네수엘라 Galileo Galilei(고)</t>
  </si>
  <si>
    <t>애플러</t>
  </si>
  <si>
    <t>미국 Sam Houston State(대)</t>
  </si>
  <si>
    <t>푸이그</t>
  </si>
  <si>
    <t>쿠바 EIEFD(대)</t>
  </si>
  <si>
    <t>페냐</t>
  </si>
  <si>
    <t>터크먼</t>
  </si>
  <si>
    <t>미국 William Fremd(고)</t>
  </si>
  <si>
    <t>미국 Bradley(대)</t>
  </si>
  <si>
    <t>라미레즈</t>
  </si>
  <si>
    <t>박상준</t>
  </si>
  <si>
    <t>윤민석</t>
  </si>
  <si>
    <t>옥준호</t>
  </si>
  <si>
    <t>안광준</t>
  </si>
  <si>
    <t>임근우</t>
  </si>
  <si>
    <t>석정우</t>
  </si>
  <si>
    <t>최지강</t>
  </si>
  <si>
    <t>천현재</t>
  </si>
  <si>
    <t>경우진</t>
  </si>
  <si>
    <t>김동욱</t>
  </si>
  <si>
    <t>김승준</t>
  </si>
  <si>
    <t>민성우</t>
  </si>
  <si>
    <t>류하성</t>
  </si>
  <si>
    <t>박수종</t>
  </si>
  <si>
    <t>오성민</t>
  </si>
  <si>
    <t>한경빈</t>
  </si>
  <si>
    <t>민승기</t>
  </si>
  <si>
    <t>전승우</t>
  </si>
  <si>
    <t>신흥고</t>
  </si>
  <si>
    <t>이상혁</t>
  </si>
  <si>
    <t>유상빈</t>
  </si>
  <si>
    <t>최현준</t>
  </si>
  <si>
    <t>김준석</t>
  </si>
  <si>
    <t>이의리</t>
  </si>
  <si>
    <t>신범준</t>
  </si>
  <si>
    <t>강효종</t>
  </si>
  <si>
    <t>김건우</t>
  </si>
  <si>
    <t>안재석</t>
  </si>
  <si>
    <t>손성빈</t>
  </si>
  <si>
    <t>이승현</t>
  </si>
  <si>
    <t>장재영</t>
  </si>
  <si>
    <t>정민규</t>
  </si>
  <si>
    <t>박건우</t>
  </si>
  <si>
    <t>권동진</t>
  </si>
  <si>
    <t>이영빈</t>
  </si>
  <si>
    <t>김주원</t>
  </si>
  <si>
    <t>조형우</t>
  </si>
  <si>
    <t>김동주</t>
  </si>
  <si>
    <t>김진욱</t>
  </si>
  <si>
    <t>이재희</t>
  </si>
  <si>
    <t>김휘집</t>
  </si>
  <si>
    <t>김기중</t>
  </si>
  <si>
    <t>장민기</t>
  </si>
  <si>
    <t>한차현</t>
  </si>
  <si>
    <t>포철공고</t>
  </si>
  <si>
    <t>김진수</t>
  </si>
  <si>
    <t>이용준</t>
  </si>
  <si>
    <t>고명준</t>
  </si>
  <si>
    <t>최승용</t>
  </si>
  <si>
    <t>소래고</t>
  </si>
  <si>
    <t>나승엽</t>
  </si>
  <si>
    <t>홍무원</t>
  </si>
  <si>
    <t>김준형</t>
  </si>
  <si>
    <t>송호정</t>
  </si>
  <si>
    <t>이승재</t>
  </si>
  <si>
    <t>유준규</t>
  </si>
  <si>
    <t>조건희</t>
  </si>
  <si>
    <t>오장한</t>
  </si>
  <si>
    <t>조병현</t>
  </si>
  <si>
    <t>강현구</t>
  </si>
  <si>
    <t>김창훈</t>
  </si>
  <si>
    <t>오현석</t>
  </si>
  <si>
    <t>김성진</t>
  </si>
  <si>
    <t>계명대</t>
  </si>
  <si>
    <t>조은</t>
  </si>
  <si>
    <t>권혁경</t>
  </si>
  <si>
    <t>지명성</t>
  </si>
  <si>
    <t>이믿음</t>
  </si>
  <si>
    <t>한재승</t>
  </si>
  <si>
    <t>장지훈</t>
  </si>
  <si>
    <t>김도윤</t>
  </si>
  <si>
    <t>송재영</t>
  </si>
  <si>
    <t>주한울</t>
  </si>
  <si>
    <t>장규현</t>
  </si>
  <si>
    <t>이영재</t>
  </si>
  <si>
    <t>김영현</t>
  </si>
  <si>
    <t>김형욱</t>
  </si>
  <si>
    <t>오태양</t>
  </si>
  <si>
    <t>박정빈</t>
  </si>
  <si>
    <t>임태윤</t>
  </si>
  <si>
    <t>우강훈</t>
  </si>
  <si>
    <t>김동진</t>
  </si>
  <si>
    <t>김시앙</t>
  </si>
  <si>
    <t>배동현</t>
  </si>
  <si>
    <t>김원경</t>
  </si>
  <si>
    <t>비봉고</t>
  </si>
  <si>
    <t>최성민</t>
  </si>
  <si>
    <t>김지용</t>
  </si>
  <si>
    <t>김준상</t>
  </si>
  <si>
    <t>박형준</t>
  </si>
  <si>
    <t>이상연</t>
  </si>
  <si>
    <t>정우준</t>
  </si>
  <si>
    <t>홍승원</t>
  </si>
  <si>
    <t>김현우</t>
  </si>
  <si>
    <t>조현진</t>
  </si>
  <si>
    <t>장시현</t>
  </si>
  <si>
    <t>윤세훈</t>
  </si>
  <si>
    <t>김유민</t>
  </si>
  <si>
    <t>조성현</t>
  </si>
  <si>
    <t>조요한</t>
  </si>
  <si>
    <t>강원진</t>
  </si>
  <si>
    <t>이병준</t>
  </si>
  <si>
    <t>양경식</t>
  </si>
  <si>
    <t>이준기</t>
  </si>
  <si>
    <t>이준범</t>
  </si>
  <si>
    <t>김건형</t>
  </si>
  <si>
    <t>Timberline(고)</t>
  </si>
  <si>
    <t>Boise State(대)</t>
  </si>
  <si>
    <t>김대현</t>
  </si>
  <si>
    <t>성지고</t>
  </si>
  <si>
    <t>김정호</t>
  </si>
  <si>
    <t>장우준</t>
  </si>
  <si>
    <t>최우인</t>
  </si>
  <si>
    <t>이창용</t>
  </si>
  <si>
    <t>정연제</t>
  </si>
  <si>
    <t>김규연</t>
  </si>
  <si>
    <t>김선우</t>
  </si>
  <si>
    <t>정주원</t>
  </si>
  <si>
    <t>영남대</t>
  </si>
  <si>
    <t>송승기</t>
  </si>
  <si>
    <t>김재중</t>
  </si>
  <si>
    <t>박제범</t>
  </si>
  <si>
    <t>김정주</t>
  </si>
  <si>
    <t>김현준</t>
  </si>
  <si>
    <t>이재홍</t>
  </si>
  <si>
    <t>안진</t>
  </si>
  <si>
    <t>박대명</t>
  </si>
  <si>
    <t>김민서</t>
  </si>
  <si>
    <t>박민호</t>
  </si>
  <si>
    <t>경남대</t>
  </si>
  <si>
    <t>김진우</t>
  </si>
  <si>
    <t>권혁찬</t>
  </si>
  <si>
    <t>양현진</t>
  </si>
  <si>
    <t>영문고</t>
  </si>
  <si>
    <t>권동현</t>
  </si>
  <si>
    <t>이기용</t>
  </si>
  <si>
    <t>문승진</t>
  </si>
  <si>
    <t>멩덴</t>
  </si>
  <si>
    <t>미국 Texas A&amp;M(대)</t>
  </si>
  <si>
    <t>다카하시</t>
  </si>
  <si>
    <t>알몬테</t>
  </si>
  <si>
    <t>도미니카 Cenapec(고)</t>
  </si>
  <si>
    <t>보어</t>
  </si>
  <si>
    <t>미국 Miami(대)</t>
  </si>
  <si>
    <t>파슨스</t>
  </si>
  <si>
    <t>미국 Clarksville(고)</t>
  </si>
  <si>
    <t>미국 Jackson State(대)</t>
  </si>
  <si>
    <t>폰트</t>
  </si>
  <si>
    <t>베네수엘라 Lic.Armando Reveron(고)</t>
  </si>
  <si>
    <t>르위키</t>
  </si>
  <si>
    <t>미국 Saint Joseph Regional(고)</t>
  </si>
  <si>
    <t>미국 Virginia(대)</t>
  </si>
  <si>
    <t>가빌리오</t>
  </si>
  <si>
    <t>로켓</t>
  </si>
  <si>
    <t>미국 Providence(고)</t>
  </si>
  <si>
    <t>미란다</t>
  </si>
  <si>
    <t>프랑코</t>
  </si>
  <si>
    <t>피렐라</t>
  </si>
  <si>
    <t>베네수엘라 Manuel Segundo Sanchez(고)</t>
  </si>
  <si>
    <t>몽고메리</t>
  </si>
  <si>
    <t>미국 Lipscomb(대)</t>
  </si>
  <si>
    <t>크레익</t>
  </si>
  <si>
    <t>프레이타스</t>
  </si>
  <si>
    <t>미국 Elk Grove(고)</t>
  </si>
  <si>
    <t>페레즈</t>
  </si>
  <si>
    <t>힐리</t>
  </si>
  <si>
    <t>미국 Oregon(대)</t>
  </si>
  <si>
    <t>카펜터</t>
  </si>
  <si>
    <t>미국 Gonzaga(대)</t>
  </si>
  <si>
    <t>전진영</t>
  </si>
  <si>
    <t>백종수</t>
  </si>
  <si>
    <t>오세훈</t>
  </si>
  <si>
    <t>영선고</t>
  </si>
  <si>
    <t>장빈</t>
  </si>
  <si>
    <t>안찬호</t>
  </si>
  <si>
    <t>정대혁</t>
  </si>
  <si>
    <t>최종은</t>
  </si>
  <si>
    <t>이주찬</t>
  </si>
  <si>
    <t>박성우</t>
  </si>
  <si>
    <t>장지승</t>
  </si>
  <si>
    <t>이종완</t>
  </si>
  <si>
    <t>안창호</t>
  </si>
  <si>
    <t>정해영</t>
  </si>
  <si>
    <t>소형준</t>
  </si>
  <si>
    <t>이민호</t>
  </si>
  <si>
    <t>김태경</t>
  </si>
  <si>
    <t>오원석</t>
  </si>
  <si>
    <t>SK</t>
  </si>
  <si>
    <t>이주엽</t>
  </si>
  <si>
    <t>최준용</t>
  </si>
  <si>
    <t>황동재</t>
  </si>
  <si>
    <t>박주홍</t>
  </si>
  <si>
    <t>신지후</t>
  </si>
  <si>
    <t>박민</t>
  </si>
  <si>
    <t>강현우</t>
  </si>
  <si>
    <t>김윤식</t>
  </si>
  <si>
    <t>정구범</t>
  </si>
  <si>
    <t>전의산</t>
  </si>
  <si>
    <t>장규빈</t>
  </si>
  <si>
    <t>홍민기</t>
  </si>
  <si>
    <t>허윤동</t>
  </si>
  <si>
    <t>이종민</t>
  </si>
  <si>
    <t>남지민</t>
  </si>
  <si>
    <t>홍종표</t>
  </si>
  <si>
    <t>천성호</t>
  </si>
  <si>
    <t>김성민</t>
  </si>
  <si>
    <t>제환유</t>
  </si>
  <si>
    <t>박재민</t>
  </si>
  <si>
    <t>김지찬</t>
  </si>
  <si>
    <t>신준우</t>
  </si>
  <si>
    <t>한승주</t>
  </si>
  <si>
    <t>오규석</t>
  </si>
  <si>
    <t>이강준</t>
  </si>
  <si>
    <t>손호영</t>
  </si>
  <si>
    <t>안인산</t>
  </si>
  <si>
    <t>최지훈</t>
  </si>
  <si>
    <t>최세창</t>
  </si>
  <si>
    <t>박명현</t>
  </si>
  <si>
    <t>홍원표</t>
  </si>
  <si>
    <t>임종찬</t>
  </si>
  <si>
    <t>유지성</t>
  </si>
  <si>
    <t>윤준혁</t>
  </si>
  <si>
    <t>강민</t>
  </si>
  <si>
    <t>임형원</t>
  </si>
  <si>
    <t>현원회</t>
  </si>
  <si>
    <t>조제영</t>
  </si>
  <si>
    <t>정도웅</t>
  </si>
  <si>
    <t>이승민</t>
  </si>
  <si>
    <t>김병휘</t>
  </si>
  <si>
    <t>강재민</t>
  </si>
  <si>
    <t>김양수</t>
  </si>
  <si>
    <t>김성균</t>
  </si>
  <si>
    <t>유영찬</t>
  </si>
  <si>
    <t>강태경</t>
  </si>
  <si>
    <t>이재성</t>
  </si>
  <si>
    <t>박지훈</t>
  </si>
  <si>
    <t>황성빈</t>
  </si>
  <si>
    <t>박주혁</t>
  </si>
  <si>
    <t>박관진</t>
  </si>
  <si>
    <t>장웅정</t>
  </si>
  <si>
    <t>서경찬</t>
  </si>
  <si>
    <t>하영진</t>
  </si>
  <si>
    <t>한건희</t>
  </si>
  <si>
    <t>류효승</t>
  </si>
  <si>
    <t>오명진</t>
  </si>
  <si>
    <t>엄태호</t>
  </si>
  <si>
    <t>조경원</t>
  </si>
  <si>
    <t>문찬종</t>
  </si>
  <si>
    <t>최인호</t>
  </si>
  <si>
    <t>백현종</t>
  </si>
  <si>
    <t>한지용</t>
  </si>
  <si>
    <t>함창건</t>
  </si>
  <si>
    <t>김한별</t>
  </si>
  <si>
    <t>길지석</t>
  </si>
  <si>
    <t>정진수</t>
  </si>
  <si>
    <t>정재원</t>
  </si>
  <si>
    <t>최이경</t>
  </si>
  <si>
    <t>강민수</t>
  </si>
  <si>
    <t>문상준</t>
  </si>
  <si>
    <t>성재헌</t>
  </si>
  <si>
    <t>한재환</t>
  </si>
  <si>
    <t>김교람</t>
  </si>
  <si>
    <t>양찬열</t>
  </si>
  <si>
    <t>한지운</t>
  </si>
  <si>
    <t>신동수</t>
  </si>
  <si>
    <t>김동은</t>
  </si>
  <si>
    <t>박정현</t>
  </si>
  <si>
    <t>이인한</t>
  </si>
  <si>
    <t>여도건</t>
  </si>
  <si>
    <t>이정우</t>
  </si>
  <si>
    <t>이종준</t>
  </si>
  <si>
    <t>이거연</t>
  </si>
  <si>
    <t>최종인</t>
  </si>
  <si>
    <t>김현종</t>
  </si>
  <si>
    <t>한연욱</t>
  </si>
  <si>
    <t>박동혁</t>
  </si>
  <si>
    <t>김범준</t>
  </si>
  <si>
    <t>최용준</t>
  </si>
  <si>
    <t>최지효</t>
  </si>
  <si>
    <t>박찬호</t>
  </si>
  <si>
    <t>노상혁</t>
  </si>
  <si>
    <t>박시후</t>
  </si>
  <si>
    <t>안권수</t>
  </si>
  <si>
    <t>신학진</t>
  </si>
  <si>
    <t>김경민</t>
  </si>
  <si>
    <t>김승일</t>
  </si>
  <si>
    <t>가뇽</t>
  </si>
  <si>
    <t>브룩스</t>
  </si>
  <si>
    <t>미국 Cajon(고)</t>
  </si>
  <si>
    <t>미국 California State(대)</t>
  </si>
  <si>
    <t>데스파이네</t>
  </si>
  <si>
    <t>미국 Hermanos Martinez Tamayo(고)</t>
  </si>
  <si>
    <t>멕시코 Canyons(대)</t>
  </si>
  <si>
    <t>라이트</t>
  </si>
  <si>
    <t>알테어</t>
  </si>
  <si>
    <t>미국 Agua Fria(고)</t>
  </si>
  <si>
    <t>킹엄</t>
  </si>
  <si>
    <t>미국 Sierra Vista(고)</t>
  </si>
  <si>
    <t>핀토</t>
  </si>
  <si>
    <t>화이트</t>
  </si>
  <si>
    <t>플렉센</t>
  </si>
  <si>
    <t>샘슨</t>
  </si>
  <si>
    <t>국외</t>
  </si>
  <si>
    <t>마차도</t>
  </si>
  <si>
    <t>베네수엘라 Miguel De Cervantes(고)</t>
  </si>
  <si>
    <t>스트레일리</t>
  </si>
  <si>
    <t>미국 Turston(고)</t>
  </si>
  <si>
    <t>미국 Marshall(대)</t>
  </si>
  <si>
    <t>살라디노</t>
  </si>
  <si>
    <t>뷰캐넌</t>
  </si>
  <si>
    <t>미국 Georgia State(대)</t>
  </si>
  <si>
    <t>팔카</t>
  </si>
  <si>
    <t>러셀</t>
  </si>
  <si>
    <t>모터</t>
  </si>
  <si>
    <t>김연준</t>
  </si>
  <si>
    <t>최태성</t>
  </si>
  <si>
    <t>이승주</t>
  </si>
  <si>
    <t>윤종휘</t>
  </si>
  <si>
    <t>박성현</t>
  </si>
  <si>
    <t>한양대</t>
  </si>
  <si>
    <t>고영찬</t>
  </si>
  <si>
    <t>김도환</t>
  </si>
  <si>
    <t>조용근</t>
  </si>
  <si>
    <t>김태우</t>
  </si>
  <si>
    <t>박영빈</t>
  </si>
  <si>
    <t>노학준</t>
  </si>
  <si>
    <t>석호준</t>
  </si>
  <si>
    <t>양선률</t>
  </si>
  <si>
    <t>김도경</t>
  </si>
  <si>
    <t>구장익</t>
  </si>
  <si>
    <t>박웅</t>
  </si>
  <si>
    <t>지원근</t>
  </si>
  <si>
    <t>제주국제대</t>
  </si>
  <si>
    <t>권휘</t>
  </si>
  <si>
    <t>설재민</t>
  </si>
  <si>
    <t>김민기</t>
  </si>
  <si>
    <t>차혜성</t>
  </si>
  <si>
    <t>박재경</t>
  </si>
  <si>
    <t>김광명</t>
  </si>
  <si>
    <t>김현제</t>
  </si>
  <si>
    <t>김기훈</t>
  </si>
  <si>
    <t>전용주</t>
  </si>
  <si>
    <t>이정용</t>
  </si>
  <si>
    <t>박수현</t>
  </si>
  <si>
    <t>백승건</t>
  </si>
  <si>
    <t>박주성</t>
  </si>
  <si>
    <t>김대한</t>
  </si>
  <si>
    <t>서준원</t>
  </si>
  <si>
    <t>원태인</t>
  </si>
  <si>
    <t>변우혁</t>
  </si>
  <si>
    <t>홍원빈</t>
  </si>
  <si>
    <t>이대은</t>
  </si>
  <si>
    <t>이상영</t>
  </si>
  <si>
    <t>송명기</t>
  </si>
  <si>
    <t>김창평</t>
  </si>
  <si>
    <t>윤정현</t>
  </si>
  <si>
    <t>전창민</t>
  </si>
  <si>
    <t>고승민</t>
  </si>
  <si>
    <t>이학주</t>
  </si>
  <si>
    <t>노시환</t>
  </si>
  <si>
    <t>장지수</t>
  </si>
  <si>
    <t>이정훈</t>
  </si>
  <si>
    <t>정우영</t>
  </si>
  <si>
    <t>전사민</t>
  </si>
  <si>
    <t>하재훈</t>
  </si>
  <si>
    <t>조영건</t>
  </si>
  <si>
    <t>송승환</t>
  </si>
  <si>
    <t>강민성</t>
  </si>
  <si>
    <t>유장혁</t>
  </si>
  <si>
    <t>이태규</t>
  </si>
  <si>
    <t>손동현</t>
  </si>
  <si>
    <t>문보경</t>
  </si>
  <si>
    <t>최재익</t>
  </si>
  <si>
    <t>최재성</t>
  </si>
  <si>
    <t>주성원</t>
  </si>
  <si>
    <t>이교훈</t>
  </si>
  <si>
    <t>김현수</t>
  </si>
  <si>
    <t>양우현</t>
  </si>
  <si>
    <t>정이황</t>
  </si>
  <si>
    <t>양승철</t>
  </si>
  <si>
    <t>이상동</t>
  </si>
  <si>
    <t>강정현</t>
  </si>
  <si>
    <t>배민서</t>
  </si>
  <si>
    <t>허민혁</t>
  </si>
  <si>
    <t>김인범</t>
  </si>
  <si>
    <t>박진</t>
  </si>
  <si>
    <t>김이환</t>
  </si>
  <si>
    <t>오선우</t>
  </si>
  <si>
    <t>박민석</t>
  </si>
  <si>
    <t>남호</t>
  </si>
  <si>
    <t>이명기</t>
  </si>
  <si>
    <t>김태근</t>
  </si>
  <si>
    <t>박영완</t>
  </si>
  <si>
    <t>오상민</t>
  </si>
  <si>
    <t>김현민</t>
  </si>
  <si>
    <t>박수용</t>
  </si>
  <si>
    <t>구본혁</t>
  </si>
  <si>
    <t>하준수</t>
  </si>
  <si>
    <t>최경모</t>
  </si>
  <si>
    <t>박준형</t>
  </si>
  <si>
    <t>정현욱</t>
  </si>
  <si>
    <t>김준우</t>
  </si>
  <si>
    <t>오동욱</t>
  </si>
  <si>
    <t>이선우</t>
  </si>
  <si>
    <t>최정원</t>
  </si>
  <si>
    <t>서상준</t>
  </si>
  <si>
    <t>조범준</t>
  </si>
  <si>
    <t>서장민</t>
  </si>
  <si>
    <t>김창용</t>
  </si>
  <si>
    <t>고성민</t>
  </si>
  <si>
    <t>박지한</t>
  </si>
  <si>
    <t>채현우</t>
  </si>
  <si>
    <t>김신회</t>
  </si>
  <si>
    <t>오영욱</t>
  </si>
  <si>
    <t>이해승</t>
  </si>
  <si>
    <t>조한민</t>
  </si>
  <si>
    <t>이호현</t>
  </si>
  <si>
    <t>박준호</t>
  </si>
  <si>
    <t>이지강</t>
  </si>
  <si>
    <t>서호철</t>
  </si>
  <si>
    <t>전진우</t>
  </si>
  <si>
    <t>정현민</t>
  </si>
  <si>
    <t>전형근</t>
  </si>
  <si>
    <t>박승규</t>
  </si>
  <si>
    <t>허관회</t>
  </si>
  <si>
    <t>나용기</t>
  </si>
  <si>
    <t>지강혁</t>
  </si>
  <si>
    <t>한선태</t>
  </si>
  <si>
    <t>부천공고</t>
  </si>
  <si>
    <t>노시훈</t>
  </si>
  <si>
    <t>김주형</t>
  </si>
  <si>
    <t>추종민</t>
  </si>
  <si>
    <t>신용수</t>
  </si>
  <si>
    <t>박윤철</t>
  </si>
  <si>
    <t>터커</t>
  </si>
  <si>
    <t>미국 Florida(대)</t>
  </si>
  <si>
    <t>윌랜드</t>
  </si>
  <si>
    <t>해즐베이커</t>
  </si>
  <si>
    <t>터너</t>
  </si>
  <si>
    <t>쿠에바스</t>
  </si>
  <si>
    <t>베네수엘라 Universidad De Carabobo(대)</t>
  </si>
  <si>
    <t>알칸타라</t>
  </si>
  <si>
    <t>켈리</t>
  </si>
  <si>
    <t>미국 Sarasota(고)</t>
  </si>
  <si>
    <t>페게로</t>
  </si>
  <si>
    <t>조셉</t>
  </si>
  <si>
    <t>루친스키</t>
  </si>
  <si>
    <t>미국 Tulsa Union(고)</t>
  </si>
  <si>
    <t>미국 The Ohio State(대)</t>
  </si>
  <si>
    <t>베탄코트</t>
  </si>
  <si>
    <t>버틀러</t>
  </si>
  <si>
    <t>스몰린스키</t>
  </si>
  <si>
    <t>프리드릭</t>
  </si>
  <si>
    <t>다익손</t>
  </si>
  <si>
    <t>요키시</t>
  </si>
  <si>
    <t>미국 Northwestern(대)</t>
  </si>
  <si>
    <t>페르난데스</t>
  </si>
  <si>
    <t>아수아헤</t>
  </si>
  <si>
    <t>톰슨</t>
  </si>
  <si>
    <t>윌슨</t>
  </si>
  <si>
    <t>맥과이어</t>
  </si>
  <si>
    <t>헤일리</t>
  </si>
  <si>
    <t>라이블리</t>
  </si>
  <si>
    <t>미국 Central Florida(대)</t>
  </si>
  <si>
    <t>윌리엄슨</t>
  </si>
  <si>
    <t>채드벨</t>
  </si>
  <si>
    <t>서폴드</t>
  </si>
  <si>
    <t>민경남</t>
  </si>
  <si>
    <t>김성훈</t>
  </si>
  <si>
    <t>박주찬</t>
  </si>
  <si>
    <t>김규남</t>
  </si>
  <si>
    <t>강인호</t>
  </si>
  <si>
    <t>김준연</t>
  </si>
  <si>
    <t>윤산흠</t>
  </si>
  <si>
    <t>최지원</t>
  </si>
  <si>
    <t>조현수</t>
  </si>
  <si>
    <t>박용욱</t>
  </si>
  <si>
    <t>최준혁</t>
  </si>
  <si>
    <t>김관호</t>
  </si>
  <si>
    <t>이청현</t>
  </si>
  <si>
    <t>한준수</t>
  </si>
  <si>
    <t>김민</t>
  </si>
  <si>
    <t>김영준</t>
  </si>
  <si>
    <t>김시훈</t>
  </si>
  <si>
    <t>김정우</t>
  </si>
  <si>
    <t>안우진</t>
  </si>
  <si>
    <t>넥센</t>
  </si>
  <si>
    <t>곽빈</t>
  </si>
  <si>
    <t>한동희</t>
  </si>
  <si>
    <t>최채흥</t>
  </si>
  <si>
    <t>성시헌</t>
  </si>
  <si>
    <t>김유신</t>
  </si>
  <si>
    <t>강백호</t>
  </si>
  <si>
    <t>성동현</t>
  </si>
  <si>
    <t>김형준</t>
  </si>
  <si>
    <t>조성훈</t>
  </si>
  <si>
    <t>김선기</t>
  </si>
  <si>
    <t>박신지</t>
  </si>
  <si>
    <t>이승헌</t>
  </si>
  <si>
    <t>양창섭</t>
  </si>
  <si>
    <t>이승관</t>
  </si>
  <si>
    <t>하준영</t>
  </si>
  <si>
    <t>최건</t>
  </si>
  <si>
    <t>이재원</t>
  </si>
  <si>
    <t>오영수</t>
  </si>
  <si>
    <t>최민준</t>
  </si>
  <si>
    <t>예진원</t>
  </si>
  <si>
    <t>정철원</t>
  </si>
  <si>
    <t>정성종</t>
  </si>
  <si>
    <t>이원빈</t>
  </si>
  <si>
    <t>박재영</t>
  </si>
  <si>
    <t>김철호</t>
  </si>
  <si>
    <t>유호식</t>
  </si>
  <si>
    <t>추재현</t>
  </si>
  <si>
    <t>김민규</t>
  </si>
  <si>
    <t>김도규</t>
  </si>
  <si>
    <t>김용하</t>
  </si>
  <si>
    <t>정은원</t>
  </si>
  <si>
    <t>오정환</t>
  </si>
  <si>
    <t>고명성</t>
  </si>
  <si>
    <t>조선명</t>
  </si>
  <si>
    <t>김재균</t>
  </si>
  <si>
    <t>최준우</t>
  </si>
  <si>
    <t>배현호</t>
  </si>
  <si>
    <t>전민재</t>
  </si>
  <si>
    <t>김동우</t>
  </si>
  <si>
    <t>이태훈</t>
  </si>
  <si>
    <t>이원석</t>
  </si>
  <si>
    <t>윤희영</t>
  </si>
  <si>
    <t>윤강찬</t>
  </si>
  <si>
    <t>이강욱</t>
  </si>
  <si>
    <t>신민혁</t>
  </si>
  <si>
    <t>전경원</t>
  </si>
  <si>
    <t>김수환</t>
  </si>
  <si>
    <t>배창현</t>
  </si>
  <si>
    <t>김현</t>
  </si>
  <si>
    <t>윤정빈</t>
  </si>
  <si>
    <t>임지훈</t>
  </si>
  <si>
    <t>김승범</t>
  </si>
  <si>
    <t>신병률</t>
  </si>
  <si>
    <t>김의준</t>
  </si>
  <si>
    <t>공수빈</t>
  </si>
  <si>
    <t>이채호</t>
  </si>
  <si>
    <t>신효승</t>
  </si>
  <si>
    <t>이호연</t>
  </si>
  <si>
    <t>김윤수</t>
  </si>
  <si>
    <t>이성원</t>
  </si>
  <si>
    <t>백미카엘</t>
  </si>
  <si>
    <t>백선기</t>
  </si>
  <si>
    <t>송찬의</t>
  </si>
  <si>
    <t>최보성</t>
  </si>
  <si>
    <t>최경태</t>
  </si>
  <si>
    <t>조병규</t>
  </si>
  <si>
    <t>박성모</t>
  </si>
  <si>
    <t>최하늘</t>
  </si>
  <si>
    <t>박용민</t>
  </si>
  <si>
    <t>문장은</t>
  </si>
  <si>
    <t>박주현</t>
  </si>
  <si>
    <t>이나현</t>
  </si>
  <si>
    <t>김영규</t>
  </si>
  <si>
    <t>강동권</t>
  </si>
  <si>
    <t>이재승</t>
  </si>
  <si>
    <t>박지호</t>
  </si>
  <si>
    <t>공민규</t>
  </si>
  <si>
    <t>양경민</t>
  </si>
  <si>
    <t>윤중현</t>
  </si>
  <si>
    <t>이창엽</t>
  </si>
  <si>
    <t>최우혁</t>
  </si>
  <si>
    <t>이희재</t>
  </si>
  <si>
    <t>조재건</t>
  </si>
  <si>
    <t>정우석</t>
  </si>
  <si>
    <t>정보근</t>
  </si>
  <si>
    <t>서주원</t>
  </si>
  <si>
    <t>정문근</t>
  </si>
  <si>
    <t>박희주</t>
  </si>
  <si>
    <t>조대현</t>
  </si>
  <si>
    <t>문성주</t>
  </si>
  <si>
    <t>이인혁</t>
  </si>
  <si>
    <t>정동욱</t>
  </si>
  <si>
    <t>권민석</t>
  </si>
  <si>
    <t>장두성</t>
  </si>
  <si>
    <t>맹성주</t>
  </si>
  <si>
    <t>베렛</t>
  </si>
  <si>
    <t>왕웨이중</t>
  </si>
  <si>
    <t>샌즈</t>
  </si>
  <si>
    <t>파레디스</t>
  </si>
  <si>
    <t>반슬라이크</t>
  </si>
  <si>
    <t>후랭코프</t>
  </si>
  <si>
    <t>듀브론트</t>
  </si>
  <si>
    <t>보니야</t>
  </si>
  <si>
    <t>아델만</t>
  </si>
  <si>
    <t>호잉</t>
  </si>
  <si>
    <t>헤일</t>
  </si>
  <si>
    <t>휠러</t>
  </si>
  <si>
    <t>이효준</t>
  </si>
  <si>
    <t>신제왕</t>
  </si>
  <si>
    <t>박준혁</t>
  </si>
  <si>
    <t>한두솔</t>
  </si>
  <si>
    <t>김달환</t>
  </si>
  <si>
    <t>구리인창고</t>
  </si>
  <si>
    <t>양승혁</t>
  </si>
  <si>
    <t>김경년</t>
  </si>
  <si>
    <t>노병훈</t>
  </si>
  <si>
    <t>이국필</t>
  </si>
  <si>
    <t>최상민</t>
  </si>
  <si>
    <t>이동근</t>
  </si>
  <si>
    <t>변상권</t>
  </si>
  <si>
    <t>신철언</t>
  </si>
  <si>
    <t>노윤상</t>
  </si>
  <si>
    <t>도개고</t>
  </si>
  <si>
    <t>김한솔</t>
  </si>
  <si>
    <t>이재영</t>
  </si>
  <si>
    <t>현도훈</t>
  </si>
  <si>
    <t>일본 교토고쿠사이고</t>
  </si>
  <si>
    <t>김호준</t>
  </si>
  <si>
    <t>채상준</t>
  </si>
  <si>
    <t>안도원</t>
  </si>
  <si>
    <t>김동찬</t>
  </si>
  <si>
    <t>강명준</t>
  </si>
  <si>
    <t>오흥진</t>
  </si>
  <si>
    <t>유승철</t>
  </si>
  <si>
    <t>조병욱</t>
  </si>
  <si>
    <t>고우석</t>
  </si>
  <si>
    <t>김태현</t>
  </si>
  <si>
    <t>이원준</t>
  </si>
  <si>
    <t>이정후</t>
  </si>
  <si>
    <t>최동현</t>
  </si>
  <si>
    <t>윤성빈</t>
  </si>
  <si>
    <t>김병현</t>
  </si>
  <si>
    <t>이승호</t>
  </si>
  <si>
    <t>이정현</t>
  </si>
  <si>
    <t>손주영</t>
  </si>
  <si>
    <t>신진호</t>
  </si>
  <si>
    <t>김혜성</t>
  </si>
  <si>
    <t>박치국</t>
  </si>
  <si>
    <t>나종덕</t>
  </si>
  <si>
    <t>최지광</t>
  </si>
  <si>
    <t>김진영</t>
  </si>
  <si>
    <t>박진태</t>
  </si>
  <si>
    <t>이종혁</t>
  </si>
  <si>
    <t>이창율</t>
  </si>
  <si>
    <t>김진호</t>
  </si>
  <si>
    <t>박성한</t>
  </si>
  <si>
    <t>양기현</t>
  </si>
  <si>
    <t>김명신</t>
  </si>
  <si>
    <t>나원탁</t>
  </si>
  <si>
    <t>김석환</t>
  </si>
  <si>
    <t>홍현빈</t>
  </si>
  <si>
    <t>이찬혁</t>
  </si>
  <si>
    <t>소이현</t>
  </si>
  <si>
    <t>권기영</t>
  </si>
  <si>
    <t>최규보</t>
  </si>
  <si>
    <t>지윤</t>
  </si>
  <si>
    <t>강동호</t>
  </si>
  <si>
    <t>김시현</t>
  </si>
  <si>
    <t>박상원</t>
  </si>
  <si>
    <t>강찬영</t>
  </si>
  <si>
    <t>한승훈</t>
  </si>
  <si>
    <t>김성협</t>
  </si>
  <si>
    <t>김영중</t>
  </si>
  <si>
    <t>김표승</t>
  </si>
  <si>
    <t>오윤성</t>
  </si>
  <si>
    <t>문대원</t>
  </si>
  <si>
    <t>박성민</t>
  </si>
  <si>
    <t>울산공고</t>
  </si>
  <si>
    <t>김성윤</t>
  </si>
  <si>
    <t>원혁재</t>
  </si>
  <si>
    <t>이정범</t>
  </si>
  <si>
    <t>송후섭</t>
  </si>
  <si>
    <t>문상인</t>
  </si>
  <si>
    <t>박부성</t>
  </si>
  <si>
    <t>이재용</t>
  </si>
  <si>
    <t>정윤호</t>
  </si>
  <si>
    <t>이병휘</t>
  </si>
  <si>
    <t>홍지훈</t>
  </si>
  <si>
    <t>최종현</t>
  </si>
  <si>
    <t>여인태</t>
  </si>
  <si>
    <t>김용인</t>
  </si>
  <si>
    <t>안치영</t>
  </si>
  <si>
    <t>오석주</t>
  </si>
  <si>
    <t>권법수</t>
  </si>
  <si>
    <t>남윤성</t>
  </si>
  <si>
    <t>김재웅</t>
  </si>
  <si>
    <t>박유연</t>
  </si>
  <si>
    <t>이지원</t>
  </si>
  <si>
    <t>문용익</t>
  </si>
  <si>
    <t>세계사이버대</t>
  </si>
  <si>
    <t>김지훈</t>
  </si>
  <si>
    <t>박정우</t>
  </si>
  <si>
    <t>이재근</t>
  </si>
  <si>
    <t>신경모</t>
  </si>
  <si>
    <t>이재록</t>
  </si>
  <si>
    <t>이병규</t>
  </si>
  <si>
    <t>백민규</t>
  </si>
  <si>
    <t>김종환</t>
  </si>
  <si>
    <t>김태수</t>
  </si>
  <si>
    <t>박진수</t>
  </si>
  <si>
    <t>최승주</t>
  </si>
  <si>
    <t>김민섭</t>
  </si>
  <si>
    <t>김광수</t>
  </si>
  <si>
    <t>김호민</t>
  </si>
  <si>
    <t>박찬범</t>
  </si>
  <si>
    <t>이재욱</t>
  </si>
  <si>
    <t>곽경문</t>
  </si>
  <si>
    <t>김기탁</t>
  </si>
  <si>
    <t>정윤환</t>
  </si>
  <si>
    <t>한기원</t>
  </si>
  <si>
    <t>김태형</t>
  </si>
  <si>
    <t>강병무</t>
  </si>
  <si>
    <t>정영광</t>
  </si>
  <si>
    <t>전태준</t>
  </si>
  <si>
    <t>최민국</t>
  </si>
  <si>
    <t>조현덕</t>
  </si>
  <si>
    <t>이구름</t>
  </si>
  <si>
    <t>전준호</t>
  </si>
  <si>
    <t>박성환</t>
  </si>
  <si>
    <t>송창현</t>
  </si>
  <si>
    <t>정성훈</t>
  </si>
  <si>
    <t>김명서</t>
  </si>
  <si>
    <t>버나디나</t>
  </si>
  <si>
    <t>팻딘</t>
  </si>
  <si>
    <t>모넬</t>
  </si>
  <si>
    <t>로치</t>
  </si>
  <si>
    <t>맨쉽</t>
  </si>
  <si>
    <t>스크럭스</t>
  </si>
  <si>
    <t>로맥</t>
  </si>
  <si>
    <t>캐나다 Lucas Secondary(고)</t>
  </si>
  <si>
    <t>다이아몬드</t>
  </si>
  <si>
    <t>워스</t>
  </si>
  <si>
    <t>오설리반</t>
  </si>
  <si>
    <t>초이스</t>
  </si>
  <si>
    <t>브리검</t>
  </si>
  <si>
    <t>애디튼</t>
  </si>
  <si>
    <t>마켈</t>
  </si>
  <si>
    <t>번즈</t>
  </si>
  <si>
    <t>러프</t>
  </si>
  <si>
    <t>레나도</t>
  </si>
  <si>
    <t>페트릭</t>
  </si>
  <si>
    <t>비야누에바</t>
  </si>
  <si>
    <t>오간도</t>
  </si>
  <si>
    <t>김종성</t>
  </si>
  <si>
    <t>조무성</t>
  </si>
  <si>
    <t>김병재</t>
  </si>
  <si>
    <t>천재환</t>
  </si>
  <si>
    <t>김승후</t>
  </si>
  <si>
    <t>안준</t>
  </si>
  <si>
    <t>계정웅</t>
  </si>
  <si>
    <t>고성우</t>
  </si>
  <si>
    <t>이은형</t>
  </si>
  <si>
    <t>박세진</t>
  </si>
  <si>
    <t>정동윤</t>
  </si>
  <si>
    <t>주효상</t>
  </si>
  <si>
    <t>이영하</t>
  </si>
  <si>
    <t>박종무</t>
  </si>
  <si>
    <t>최충연</t>
  </si>
  <si>
    <t>김주현</t>
  </si>
  <si>
    <t>남태혁</t>
  </si>
  <si>
    <t>유재유</t>
  </si>
  <si>
    <t>정수민</t>
  </si>
  <si>
    <t>임석진</t>
  </si>
  <si>
    <t>안현석</t>
  </si>
  <si>
    <t>조수행</t>
  </si>
  <si>
    <t>한승혁</t>
  </si>
  <si>
    <t>김승현</t>
  </si>
  <si>
    <t>김재영</t>
  </si>
  <si>
    <t>남재현</t>
  </si>
  <si>
    <t>한승지</t>
  </si>
  <si>
    <t>김주성</t>
  </si>
  <si>
    <t>최성영</t>
  </si>
  <si>
    <t>김주한</t>
  </si>
  <si>
    <t>안정훈</t>
  </si>
  <si>
    <t>황경태</t>
  </si>
  <si>
    <t>김영일</t>
  </si>
  <si>
    <t>이케빈</t>
  </si>
  <si>
    <t>이동훈</t>
  </si>
  <si>
    <t>정동현</t>
  </si>
  <si>
    <t>서의태</t>
  </si>
  <si>
    <t>홍창기</t>
  </si>
  <si>
    <t>안상현</t>
  </si>
  <si>
    <t>최민섭</t>
  </si>
  <si>
    <t>고봉재</t>
  </si>
  <si>
    <t>나경민</t>
  </si>
  <si>
    <t>임대한</t>
  </si>
  <si>
    <t>권용우</t>
  </si>
  <si>
    <t>전상현</t>
  </si>
  <si>
    <t>임도혁</t>
  </si>
  <si>
    <t>김기연</t>
  </si>
  <si>
    <t>이재율</t>
  </si>
  <si>
    <t>김찬호</t>
  </si>
  <si>
    <t>김성택</t>
  </si>
  <si>
    <t>홍성호</t>
  </si>
  <si>
    <t>김남길</t>
  </si>
  <si>
    <t>이성규</t>
  </si>
  <si>
    <t>장진혁</t>
  </si>
  <si>
    <t>서덕원</t>
  </si>
  <si>
    <t>김태오</t>
  </si>
  <si>
    <t>천원석</t>
  </si>
  <si>
    <t>최상인</t>
  </si>
  <si>
    <t>하성진</t>
  </si>
  <si>
    <t>유재훈</t>
  </si>
  <si>
    <t>정덕현</t>
  </si>
  <si>
    <t>김성재</t>
  </si>
  <si>
    <t>황선도</t>
  </si>
  <si>
    <t>염진우</t>
  </si>
  <si>
    <t>디지털문예대</t>
  </si>
  <si>
    <t>이진영</t>
  </si>
  <si>
    <t>장현우</t>
  </si>
  <si>
    <t>이동규</t>
  </si>
  <si>
    <t>김찬형</t>
  </si>
  <si>
    <t>김민재</t>
  </si>
  <si>
    <t>이찬석</t>
  </si>
  <si>
    <t>서예일</t>
  </si>
  <si>
    <t>이석훈</t>
  </si>
  <si>
    <t>김태연</t>
  </si>
  <si>
    <t>김규성</t>
  </si>
  <si>
    <t>김호은</t>
  </si>
  <si>
    <t>김준현</t>
  </si>
  <si>
    <t>노관현</t>
  </si>
  <si>
    <t>김성현</t>
  </si>
  <si>
    <t>신창희</t>
  </si>
  <si>
    <t>안준영</t>
  </si>
  <si>
    <t>남기효</t>
  </si>
  <si>
    <t>김찬균</t>
  </si>
  <si>
    <t>신범수</t>
  </si>
  <si>
    <t>강승훈</t>
  </si>
  <si>
    <t>양효준</t>
  </si>
  <si>
    <t>최수빈</t>
  </si>
  <si>
    <t>채상현</t>
  </si>
  <si>
    <t>양구렬</t>
  </si>
  <si>
    <t>임지유</t>
  </si>
  <si>
    <t>최주엽</t>
  </si>
  <si>
    <t>박상언</t>
  </si>
  <si>
    <t>이승우</t>
  </si>
  <si>
    <t>노유성</t>
  </si>
  <si>
    <t>김태영</t>
  </si>
  <si>
    <t>조원빈</t>
  </si>
  <si>
    <t>김동엽</t>
  </si>
  <si>
    <t>김응수</t>
  </si>
  <si>
    <t>이찬기</t>
  </si>
  <si>
    <t>조준영</t>
  </si>
  <si>
    <t>김결의</t>
  </si>
  <si>
    <t>방윤준</t>
  </si>
  <si>
    <t>류승현</t>
  </si>
  <si>
    <t>이병훈</t>
  </si>
  <si>
    <t>이정윤</t>
  </si>
  <si>
    <t>최재혁</t>
  </si>
  <si>
    <t>박광명</t>
  </si>
  <si>
    <t>안준모</t>
  </si>
  <si>
    <t>오석</t>
  </si>
  <si>
    <t>정종진</t>
  </si>
  <si>
    <t>최승민</t>
  </si>
  <si>
    <t>강상원</t>
  </si>
  <si>
    <t>헥터</t>
  </si>
  <si>
    <t>지크</t>
  </si>
  <si>
    <t>로위</t>
  </si>
  <si>
    <t>마리몬</t>
  </si>
  <si>
    <t>피노</t>
  </si>
  <si>
    <t>허프</t>
  </si>
  <si>
    <t>코프랜드</t>
  </si>
  <si>
    <t>라라</t>
  </si>
  <si>
    <t>고메즈</t>
  </si>
  <si>
    <t>맥그레거</t>
  </si>
  <si>
    <t>코엘로</t>
  </si>
  <si>
    <t>대니돈</t>
  </si>
  <si>
    <t>보우덴</t>
  </si>
  <si>
    <t>에반스</t>
  </si>
  <si>
    <t>맥스웰</t>
  </si>
  <si>
    <t>발디리스</t>
  </si>
  <si>
    <t>웹스터</t>
  </si>
  <si>
    <t>플란데</t>
  </si>
  <si>
    <t>레온</t>
  </si>
  <si>
    <t>벨레스터</t>
  </si>
  <si>
    <t>로사리오</t>
  </si>
  <si>
    <t>카스티요</t>
  </si>
  <si>
    <t>서캠프</t>
  </si>
  <si>
    <t>마에스트리</t>
  </si>
  <si>
    <t>권유식</t>
  </si>
  <si>
    <t>유근상</t>
  </si>
  <si>
    <t>임성재</t>
  </si>
  <si>
    <t>도태훈</t>
  </si>
  <si>
    <t>문성용</t>
  </si>
  <si>
    <t>이동건</t>
  </si>
  <si>
    <t>김태완</t>
  </si>
  <si>
    <t>김종덕</t>
  </si>
  <si>
    <t>박승주</t>
  </si>
  <si>
    <t>김홍빈</t>
  </si>
  <si>
    <t>최승훈</t>
  </si>
  <si>
    <t>이예찬</t>
  </si>
  <si>
    <t>안주형</t>
  </si>
  <si>
    <t>박기환</t>
  </si>
  <si>
    <t>장대한</t>
  </si>
  <si>
    <t>오경우</t>
  </si>
  <si>
    <t>김인환</t>
  </si>
  <si>
    <t>정경운</t>
  </si>
  <si>
    <t>이민우</t>
  </si>
  <si>
    <t>엄상백</t>
  </si>
  <si>
    <t>김재성</t>
  </si>
  <si>
    <t>이호중</t>
  </si>
  <si>
    <t>이현석</t>
  </si>
  <si>
    <t>최원태</t>
  </si>
  <si>
    <t>남경호</t>
  </si>
  <si>
    <t>강동관</t>
  </si>
  <si>
    <t>김영한</t>
  </si>
  <si>
    <t>김범수</t>
  </si>
  <si>
    <t>황대인</t>
  </si>
  <si>
    <t>이창재</t>
  </si>
  <si>
    <t>윤수호</t>
  </si>
  <si>
    <t>김재윤</t>
  </si>
  <si>
    <t>안익훈</t>
  </si>
  <si>
    <t>구창모</t>
  </si>
  <si>
    <t>조한욱</t>
  </si>
  <si>
    <t>김해수</t>
  </si>
  <si>
    <t>채지선</t>
  </si>
  <si>
    <t>안태경</t>
  </si>
  <si>
    <t>장필준</t>
  </si>
  <si>
    <t>김민우</t>
  </si>
  <si>
    <t>문경찬</t>
  </si>
  <si>
    <t>정성곤</t>
  </si>
  <si>
    <t>최민창</t>
  </si>
  <si>
    <t>류진욱</t>
  </si>
  <si>
    <t>허웅</t>
  </si>
  <si>
    <t>김택형</t>
  </si>
  <si>
    <t>김민혁</t>
  </si>
  <si>
    <t>차재용</t>
  </si>
  <si>
    <t>최정용</t>
  </si>
  <si>
    <t>이종석</t>
  </si>
  <si>
    <t>벌교제일고</t>
  </si>
  <si>
    <t>세한대</t>
  </si>
  <si>
    <t>정주후</t>
  </si>
  <si>
    <t>백승현</t>
  </si>
  <si>
    <t>송동욱</t>
  </si>
  <si>
    <t>김웅빈</t>
  </si>
  <si>
    <t>사공엽</t>
  </si>
  <si>
    <t>전병우</t>
  </si>
  <si>
    <t>김기환</t>
  </si>
  <si>
    <t>이도윤</t>
  </si>
  <si>
    <t>이준영</t>
  </si>
  <si>
    <t>김만수</t>
  </si>
  <si>
    <t>정규식</t>
  </si>
  <si>
    <t>일본 오사카가쿠인대</t>
  </si>
  <si>
    <t>이훈</t>
  </si>
  <si>
    <t>박세웅</t>
  </si>
  <si>
    <t>정용준</t>
  </si>
  <si>
    <t>방건우</t>
  </si>
  <si>
    <t>홍정우</t>
  </si>
  <si>
    <t>황인준</t>
  </si>
  <si>
    <t>김태훈</t>
  </si>
  <si>
    <t>박지규</t>
  </si>
  <si>
    <t>류재인</t>
  </si>
  <si>
    <t>유상화</t>
  </si>
  <si>
    <t>송성문</t>
  </si>
  <si>
    <t>박종욱</t>
  </si>
  <si>
    <t>김대륙</t>
  </si>
  <si>
    <t>최민구</t>
  </si>
  <si>
    <t>박준범</t>
  </si>
  <si>
    <t>김명찬</t>
  </si>
  <si>
    <t>조무근</t>
  </si>
  <si>
    <t>조학진</t>
  </si>
  <si>
    <t>이우석</t>
  </si>
  <si>
    <t>신동민</t>
  </si>
  <si>
    <t>송우현</t>
  </si>
  <si>
    <t>김훈호</t>
  </si>
  <si>
    <t>권정웅</t>
  </si>
  <si>
    <t>박정수</t>
  </si>
  <si>
    <t>이상규</t>
  </si>
  <si>
    <t>문석종</t>
  </si>
  <si>
    <t>이재관</t>
  </si>
  <si>
    <t>김정인</t>
  </si>
  <si>
    <t>강동수</t>
  </si>
  <si>
    <t>김찬</t>
  </si>
  <si>
    <t>주현상</t>
  </si>
  <si>
    <t>김민욱</t>
  </si>
  <si>
    <t>봉민호</t>
  </si>
  <si>
    <t>정진철</t>
  </si>
  <si>
    <t>윤영수</t>
  </si>
  <si>
    <t>박태원</t>
  </si>
  <si>
    <t>이성복</t>
  </si>
  <si>
    <t>홍준표</t>
  </si>
  <si>
    <t>구미전자공고</t>
  </si>
  <si>
    <t>우석대</t>
  </si>
  <si>
    <t>임규빈</t>
  </si>
  <si>
    <t>정인석</t>
  </si>
  <si>
    <t>배제성</t>
  </si>
  <si>
    <t>김호령</t>
  </si>
  <si>
    <t>박성준</t>
  </si>
  <si>
    <t>배진호</t>
  </si>
  <si>
    <t>주권</t>
  </si>
  <si>
    <t>특별지명</t>
  </si>
  <si>
    <t>홍성무</t>
  </si>
  <si>
    <t>에반</t>
  </si>
  <si>
    <t>험버</t>
  </si>
  <si>
    <t>스틴슨</t>
  </si>
  <si>
    <t>댄블랙</t>
  </si>
  <si>
    <t>마르테</t>
  </si>
  <si>
    <t>어윈</t>
  </si>
  <si>
    <t>히메네스</t>
  </si>
  <si>
    <t>한나한</t>
  </si>
  <si>
    <t>루카스</t>
  </si>
  <si>
    <t>스튜어트</t>
  </si>
  <si>
    <t>브라운</t>
  </si>
  <si>
    <t>피어밴드</t>
  </si>
  <si>
    <t>루츠</t>
  </si>
  <si>
    <t>스와잭</t>
  </si>
  <si>
    <t>아두치</t>
  </si>
  <si>
    <t>린드블럼</t>
  </si>
  <si>
    <t>레일리</t>
  </si>
  <si>
    <t>클로이드</t>
  </si>
  <si>
    <t>피가로</t>
  </si>
  <si>
    <t>로저스</t>
  </si>
  <si>
    <t>모건</t>
  </si>
  <si>
    <t>미국 왈라왈라대</t>
  </si>
  <si>
    <t>폭스</t>
  </si>
  <si>
    <t>박동민</t>
  </si>
  <si>
    <t>전종훈</t>
  </si>
  <si>
    <t>허정협</t>
  </si>
  <si>
    <t>김상현</t>
  </si>
  <si>
    <t>김수산</t>
  </si>
  <si>
    <t>신민재</t>
  </si>
  <si>
    <t>김지수</t>
  </si>
  <si>
    <t>오윤석</t>
  </si>
  <si>
    <t>김재유</t>
  </si>
  <si>
    <t>안성무</t>
  </si>
  <si>
    <t>정유철</t>
  </si>
  <si>
    <t>채기영</t>
  </si>
  <si>
    <t>신성현</t>
  </si>
  <si>
    <t>차명진</t>
  </si>
  <si>
    <t>임지섭</t>
  </si>
  <si>
    <t>강민국</t>
  </si>
  <si>
    <t>이건욱</t>
  </si>
  <si>
    <t>임병욱</t>
  </si>
  <si>
    <t>한주성</t>
  </si>
  <si>
    <t>김유영</t>
  </si>
  <si>
    <t>이수민</t>
  </si>
  <si>
    <t>황영국</t>
  </si>
  <si>
    <t>강한울</t>
  </si>
  <si>
    <t>고영표</t>
  </si>
  <si>
    <t>문상철</t>
  </si>
  <si>
    <t>안승한</t>
  </si>
  <si>
    <t>김병희</t>
  </si>
  <si>
    <t>심우준</t>
  </si>
  <si>
    <t>안중열</t>
  </si>
  <si>
    <t>배병옥</t>
  </si>
  <si>
    <t>배재환</t>
  </si>
  <si>
    <t>박규민</t>
  </si>
  <si>
    <t>하영민</t>
  </si>
  <si>
    <t>최병욱</t>
  </si>
  <si>
    <t>문동욱</t>
  </si>
  <si>
    <t>안규현</t>
  </si>
  <si>
    <t>최영환</t>
  </si>
  <si>
    <t>박상옥</t>
  </si>
  <si>
    <t>조현우</t>
  </si>
  <si>
    <t>전남과학대</t>
  </si>
  <si>
    <t>장준원</t>
  </si>
  <si>
    <t>박광열</t>
  </si>
  <si>
    <t>유서준</t>
  </si>
  <si>
    <t>임동휘</t>
  </si>
  <si>
    <t>전용훈</t>
  </si>
  <si>
    <t>이인복</t>
  </si>
  <si>
    <t>박계범</t>
  </si>
  <si>
    <t>대구사이버대</t>
  </si>
  <si>
    <t>양석환</t>
  </si>
  <si>
    <t>이지우</t>
  </si>
  <si>
    <t>김하성</t>
  </si>
  <si>
    <t>이성곤</t>
  </si>
  <si>
    <t>심규범</t>
  </si>
  <si>
    <t>박제윤</t>
  </si>
  <si>
    <t>김영광</t>
  </si>
  <si>
    <t>안상빈</t>
  </si>
  <si>
    <t>류형우</t>
  </si>
  <si>
    <t>김태진</t>
  </si>
  <si>
    <t>이진석</t>
  </si>
  <si>
    <t>구자형</t>
  </si>
  <si>
    <t>배성근</t>
  </si>
  <si>
    <t>박한길</t>
  </si>
  <si>
    <t>양형진</t>
  </si>
  <si>
    <t>한석현</t>
  </si>
  <si>
    <t>홍지운</t>
  </si>
  <si>
    <t>중앙고</t>
  </si>
  <si>
    <t>정영일</t>
  </si>
  <si>
    <t>박병훈</t>
  </si>
  <si>
    <t>정기훈</t>
  </si>
  <si>
    <t>신원재</t>
  </si>
  <si>
    <t>조영우</t>
  </si>
  <si>
    <t>박준태</t>
  </si>
  <si>
    <t>진재혁</t>
  </si>
  <si>
    <t>서동민</t>
  </si>
  <si>
    <t>이용하</t>
  </si>
  <si>
    <t>김경호</t>
  </si>
  <si>
    <t>이창진</t>
  </si>
  <si>
    <t>구준범</t>
  </si>
  <si>
    <t>정광운</t>
  </si>
  <si>
    <t>이진경</t>
  </si>
  <si>
    <t>이영준</t>
  </si>
  <si>
    <t>정성민</t>
  </si>
  <si>
    <t>이승진</t>
  </si>
  <si>
    <t>김재열</t>
  </si>
  <si>
    <t>최선호</t>
  </si>
  <si>
    <t>이창열</t>
  </si>
  <si>
    <t>박진두</t>
  </si>
  <si>
    <t>이지찬</t>
  </si>
  <si>
    <t>오세민</t>
  </si>
  <si>
    <t>나세원</t>
  </si>
  <si>
    <t>최형록</t>
  </si>
  <si>
    <t>김희석</t>
  </si>
  <si>
    <t>서균</t>
  </si>
  <si>
    <t>구황</t>
  </si>
  <si>
    <t>문진제</t>
  </si>
  <si>
    <t>홍유상</t>
  </si>
  <si>
    <t>류현철</t>
  </si>
  <si>
    <t>박재욱</t>
  </si>
  <si>
    <t>김학성</t>
  </si>
  <si>
    <t>김윤환</t>
  </si>
  <si>
    <t>백승민</t>
  </si>
  <si>
    <t>노태형</t>
  </si>
  <si>
    <t>류희운</t>
  </si>
  <si>
    <t>심재민</t>
  </si>
  <si>
    <t>홀튼</t>
  </si>
  <si>
    <t>토마스</t>
  </si>
  <si>
    <t>어센시오</t>
  </si>
  <si>
    <t>필</t>
  </si>
  <si>
    <t>시스코</t>
  </si>
  <si>
    <t>채선관</t>
  </si>
  <si>
    <t>한상일</t>
  </si>
  <si>
    <t>리오단</t>
  </si>
  <si>
    <t>스나이더</t>
  </si>
  <si>
    <t>조쉬벨</t>
  </si>
  <si>
    <t>티포드</t>
  </si>
  <si>
    <t>웨버</t>
  </si>
  <si>
    <t>테임즈</t>
  </si>
  <si>
    <t>밴와트</t>
  </si>
  <si>
    <t>스캇</t>
  </si>
  <si>
    <t>울프</t>
  </si>
  <si>
    <t>로티노</t>
  </si>
  <si>
    <t>칸투</t>
  </si>
  <si>
    <t>볼스테드</t>
  </si>
  <si>
    <t>마야</t>
  </si>
  <si>
    <t>나바로</t>
  </si>
  <si>
    <t>타투스코</t>
  </si>
  <si>
    <t>피에</t>
  </si>
  <si>
    <t>클레이</t>
  </si>
  <si>
    <t>앨버스</t>
  </si>
  <si>
    <t>이은총</t>
  </si>
  <si>
    <t>오두철</t>
  </si>
  <si>
    <t>일본 교토국제고</t>
  </si>
  <si>
    <t>일본 오사카판남대</t>
  </si>
  <si>
    <t>이범정</t>
  </si>
  <si>
    <t>송민섭</t>
  </si>
  <si>
    <t>양원혁</t>
  </si>
  <si>
    <t>강장산</t>
  </si>
  <si>
    <t>임재현</t>
  </si>
  <si>
    <t>조용호</t>
  </si>
  <si>
    <t>조성모</t>
  </si>
  <si>
    <t>박철우</t>
  </si>
  <si>
    <t>최용제</t>
  </si>
  <si>
    <t>홍영현</t>
  </si>
  <si>
    <t>김성한</t>
  </si>
  <si>
    <t>김호재</t>
  </si>
  <si>
    <t>지성준</t>
  </si>
  <si>
    <t>장현식</t>
  </si>
  <si>
    <t>이경재</t>
  </si>
  <si>
    <t>조상우</t>
  </si>
  <si>
    <t>김인태</t>
  </si>
  <si>
    <t>조지훈</t>
  </si>
  <si>
    <t>강승호</t>
  </si>
  <si>
    <t>손동욱</t>
  </si>
  <si>
    <t>송주은</t>
  </si>
  <si>
    <t>정현</t>
  </si>
  <si>
    <t>손정욱</t>
  </si>
  <si>
    <t>이석재</t>
  </si>
  <si>
    <t>하해웅</t>
  </si>
  <si>
    <t>이우성</t>
  </si>
  <si>
    <t>김강래</t>
  </si>
  <si>
    <t>김영환</t>
  </si>
  <si>
    <t>사이버대</t>
  </si>
  <si>
    <t>박진형</t>
  </si>
  <si>
    <t>이홍구</t>
  </si>
  <si>
    <t>배재준</t>
  </si>
  <si>
    <t>임정호</t>
  </si>
  <si>
    <t>김정빈</t>
  </si>
  <si>
    <t>정혁진</t>
  </si>
  <si>
    <t>한승택</t>
  </si>
  <si>
    <t>이윤학</t>
  </si>
  <si>
    <t>이효상</t>
  </si>
  <si>
    <t>심재윤</t>
  </si>
  <si>
    <t>윤대영</t>
  </si>
  <si>
    <t>최민재</t>
  </si>
  <si>
    <t>장승현</t>
  </si>
  <si>
    <t>이충호</t>
  </si>
  <si>
    <t>송준석</t>
  </si>
  <si>
    <t>조홍석</t>
  </si>
  <si>
    <t>박효일</t>
  </si>
  <si>
    <t>안진근</t>
  </si>
  <si>
    <t>유영준</t>
  </si>
  <si>
    <t>류효용</t>
  </si>
  <si>
    <t>신명수</t>
  </si>
  <si>
    <t>함덕주</t>
  </si>
  <si>
    <t>조정원</t>
  </si>
  <si>
    <t>고영우</t>
  </si>
  <si>
    <t>백민기</t>
  </si>
  <si>
    <t>이흥련</t>
  </si>
  <si>
    <t>백남원</t>
  </si>
  <si>
    <t>유영하</t>
  </si>
  <si>
    <t>천영웅</t>
  </si>
  <si>
    <t>장운호</t>
  </si>
  <si>
    <t>김성표</t>
  </si>
  <si>
    <t>열린사이버대학</t>
  </si>
  <si>
    <t>구승민</t>
  </si>
  <si>
    <t>고영창</t>
  </si>
  <si>
    <t>오상엽</t>
  </si>
  <si>
    <t>이상민</t>
  </si>
  <si>
    <t>조덕길</t>
  </si>
  <si>
    <t>송주영</t>
  </si>
  <si>
    <t>박준표</t>
  </si>
  <si>
    <t>고도현</t>
  </si>
  <si>
    <t>윤대경</t>
  </si>
  <si>
    <t>김재민</t>
  </si>
  <si>
    <t>최재원</t>
  </si>
  <si>
    <t>장시윤</t>
  </si>
  <si>
    <t>김종수</t>
  </si>
  <si>
    <t>이재익</t>
  </si>
  <si>
    <t>박찬</t>
  </si>
  <si>
    <t>권희동</t>
  </si>
  <si>
    <t>최준식</t>
  </si>
  <si>
    <t>임종혁</t>
  </si>
  <si>
    <t>곽병선</t>
  </si>
  <si>
    <t>김동영</t>
  </si>
  <si>
    <t>장동우</t>
  </si>
  <si>
    <t>김경근</t>
  </si>
  <si>
    <t>정준혁</t>
  </si>
  <si>
    <t>윤민섭</t>
  </si>
  <si>
    <t>윤형배</t>
  </si>
  <si>
    <t>윤강민</t>
  </si>
  <si>
    <t>박으뜸</t>
  </si>
  <si>
    <t>빌로우</t>
  </si>
  <si>
    <t>에릭</t>
  </si>
  <si>
    <t>아담</t>
  </si>
  <si>
    <t>찰리</t>
  </si>
  <si>
    <t>세든</t>
  </si>
  <si>
    <t>레이예스</t>
  </si>
  <si>
    <t>핸킨스</t>
  </si>
  <si>
    <t>올슨</t>
  </si>
  <si>
    <t>로드리게스</t>
  </si>
  <si>
    <t>밴덴헐크</t>
  </si>
  <si>
    <t>카리대</t>
  </si>
  <si>
    <t>이브랜드</t>
  </si>
  <si>
    <t>황수현</t>
  </si>
  <si>
    <t>김광연</t>
  </si>
  <si>
    <t>서용주</t>
  </si>
  <si>
    <t>조근종</t>
  </si>
  <si>
    <t>유원석</t>
  </si>
  <si>
    <t>황목치승</t>
  </si>
  <si>
    <t>일본 아세아대</t>
  </si>
  <si>
    <t>임제우</t>
  </si>
  <si>
    <t>김준완</t>
  </si>
  <si>
    <t>이준평</t>
  </si>
  <si>
    <t>윤병호</t>
  </si>
  <si>
    <t>김종찬</t>
  </si>
  <si>
    <t>김희원</t>
  </si>
  <si>
    <t>홍재용</t>
  </si>
  <si>
    <t>박종기</t>
  </si>
  <si>
    <t>유창준</t>
  </si>
  <si>
    <t>일본 사쿠신가쿠인고</t>
  </si>
  <si>
    <t>노수광</t>
  </si>
  <si>
    <t>하주석</t>
  </si>
  <si>
    <t>한현희</t>
  </si>
  <si>
    <t>조윤준</t>
  </si>
  <si>
    <t>김원중</t>
  </si>
  <si>
    <t>윤명준</t>
  </si>
  <si>
    <t>이현동</t>
  </si>
  <si>
    <t>문승원</t>
  </si>
  <si>
    <t>박민우</t>
  </si>
  <si>
    <t>나성범</t>
  </si>
  <si>
    <t>김민식</t>
  </si>
  <si>
    <t>구자욱</t>
  </si>
  <si>
    <t>변진수</t>
  </si>
  <si>
    <t>신본기</t>
  </si>
  <si>
    <t>임준섭</t>
  </si>
  <si>
    <t>최성훈</t>
  </si>
  <si>
    <t>박종윤</t>
  </si>
  <si>
    <t>임기영</t>
  </si>
  <si>
    <t>최우석</t>
  </si>
  <si>
    <t>권택형</t>
  </si>
  <si>
    <t>김웅</t>
  </si>
  <si>
    <t>장시하</t>
  </si>
  <si>
    <t>김성호</t>
  </si>
  <si>
    <t>박승욱</t>
  </si>
  <si>
    <t>김성욱</t>
  </si>
  <si>
    <t>강진성</t>
  </si>
  <si>
    <t>허건엽</t>
  </si>
  <si>
    <t>류지혁</t>
  </si>
  <si>
    <t>박휘성</t>
  </si>
  <si>
    <t>김윤동</t>
  </si>
  <si>
    <t>전호영</t>
  </si>
  <si>
    <t>박정음</t>
  </si>
  <si>
    <t>양성우</t>
  </si>
  <si>
    <t>장재훈</t>
  </si>
  <si>
    <t>지재옥</t>
  </si>
  <si>
    <t>나규호</t>
  </si>
  <si>
    <t>전은석</t>
  </si>
  <si>
    <t>유정민</t>
  </si>
  <si>
    <t>박세혁</t>
  </si>
  <si>
    <t>최정민</t>
  </si>
  <si>
    <t>최윤철</t>
  </si>
  <si>
    <t>이준형</t>
  </si>
  <si>
    <t>박민정</t>
  </si>
  <si>
    <t>홍성민</t>
  </si>
  <si>
    <t>신동훈</t>
  </si>
  <si>
    <t>김규민</t>
  </si>
  <si>
    <t>엄태용</t>
  </si>
  <si>
    <t>김원석</t>
  </si>
  <si>
    <t>길민세</t>
  </si>
  <si>
    <t>이장희</t>
  </si>
  <si>
    <t>김경탁</t>
  </si>
  <si>
    <t>김상호</t>
  </si>
  <si>
    <t>유민상</t>
  </si>
  <si>
    <t>한겸</t>
  </si>
  <si>
    <t>임치영</t>
  </si>
  <si>
    <t>성남서고</t>
  </si>
  <si>
    <t>박헌욱</t>
  </si>
  <si>
    <t>신재영</t>
  </si>
  <si>
    <t>최항</t>
  </si>
  <si>
    <t>신용승</t>
  </si>
  <si>
    <t>신동규</t>
  </si>
  <si>
    <t>탐라대</t>
  </si>
  <si>
    <t>황정립</t>
  </si>
  <si>
    <t>김병근</t>
  </si>
  <si>
    <t>공민호</t>
  </si>
  <si>
    <t>노승현</t>
  </si>
  <si>
    <t>서상우</t>
  </si>
  <si>
    <t>윤여운</t>
  </si>
  <si>
    <t>한동훈</t>
  </si>
  <si>
    <t>장우람</t>
  </si>
  <si>
    <t>한동민</t>
  </si>
  <si>
    <t>마낙길</t>
  </si>
  <si>
    <t>손형준</t>
  </si>
  <si>
    <t>황윤호</t>
  </si>
  <si>
    <t>윤완주</t>
  </si>
  <si>
    <t>신유원</t>
  </si>
  <si>
    <t>윤승열</t>
  </si>
  <si>
    <t>노진혁</t>
  </si>
  <si>
    <t>이형범</t>
  </si>
  <si>
    <t>강구성</t>
  </si>
  <si>
    <t>노성호</t>
  </si>
  <si>
    <t>앤서니</t>
  </si>
  <si>
    <t>소사</t>
  </si>
  <si>
    <t>이창호</t>
  </si>
  <si>
    <t>오현민</t>
  </si>
  <si>
    <t>정성기</t>
  </si>
  <si>
    <t>마리오</t>
  </si>
  <si>
    <t>부시</t>
  </si>
  <si>
    <t>밴헤켄</t>
  </si>
  <si>
    <t>프록터</t>
  </si>
  <si>
    <t>유먼</t>
  </si>
  <si>
    <t>탈보트</t>
  </si>
  <si>
    <t>션헨</t>
  </si>
  <si>
    <t>배스</t>
  </si>
  <si>
    <t>윤민호</t>
  </si>
  <si>
    <t>신고선수</t>
  </si>
  <si>
    <t>김영훈</t>
  </si>
  <si>
    <t>조성진</t>
  </si>
  <si>
    <t>김종훈</t>
  </si>
  <si>
    <t>김영관</t>
  </si>
  <si>
    <t>최금강</t>
  </si>
  <si>
    <t>여정호</t>
  </si>
  <si>
    <t>부산상고</t>
  </si>
  <si>
    <t>김기현</t>
  </si>
  <si>
    <t>정규창</t>
  </si>
  <si>
    <t>이양우</t>
  </si>
  <si>
    <t>박인성</t>
  </si>
  <si>
    <t>문의서</t>
  </si>
  <si>
    <t>김민겸</t>
  </si>
  <si>
    <t>청주기공고</t>
  </si>
  <si>
    <t>박승우</t>
  </si>
  <si>
    <t>이진욱</t>
  </si>
  <si>
    <t>이동원</t>
  </si>
  <si>
    <t>김준태</t>
  </si>
  <si>
    <t>영남사이버대</t>
  </si>
  <si>
    <t>정태승</t>
  </si>
  <si>
    <t>박찬도</t>
  </si>
  <si>
    <t>박해민</t>
  </si>
  <si>
    <t>정두산</t>
  </si>
  <si>
    <t>두영진</t>
  </si>
  <si>
    <t>성의준</t>
  </si>
  <si>
    <t>송우석</t>
  </si>
  <si>
    <t>유창식</t>
  </si>
  <si>
    <t>임찬규</t>
  </si>
  <si>
    <t>윤지웅</t>
  </si>
  <si>
    <t>심창민</t>
  </si>
  <si>
    <t>김명성</t>
  </si>
  <si>
    <t>최현진</t>
  </si>
  <si>
    <t>서진용</t>
  </si>
  <si>
    <t>홍건희</t>
  </si>
  <si>
    <t>이현호</t>
  </si>
  <si>
    <t>허일</t>
  </si>
  <si>
    <t>윤영삼</t>
  </si>
  <si>
    <t>이태양</t>
  </si>
  <si>
    <t>강경학</t>
  </si>
  <si>
    <t>나성용</t>
  </si>
  <si>
    <t>정다흰</t>
  </si>
  <si>
    <t>고종욱</t>
  </si>
  <si>
    <t>오태선</t>
  </si>
  <si>
    <t>이경우</t>
  </si>
  <si>
    <t>천상웅</t>
  </si>
  <si>
    <t>정진기</t>
  </si>
  <si>
    <t>윤정우</t>
  </si>
  <si>
    <t>우병걸</t>
  </si>
  <si>
    <t>임정우</t>
  </si>
  <si>
    <t>안규영</t>
  </si>
  <si>
    <t>백세웅</t>
  </si>
  <si>
    <t>임현준</t>
  </si>
  <si>
    <t>이희성</t>
  </si>
  <si>
    <t>송윤준</t>
  </si>
  <si>
    <t>이영기</t>
  </si>
  <si>
    <t>김용호</t>
  </si>
  <si>
    <t>춘천고</t>
  </si>
  <si>
    <t>김남석</t>
  </si>
  <si>
    <t>박정준</t>
  </si>
  <si>
    <t>김헌곤</t>
  </si>
  <si>
    <t>장국헌</t>
  </si>
  <si>
    <t>정상교</t>
  </si>
  <si>
    <t>유재혁</t>
  </si>
  <si>
    <t>박계현</t>
  </si>
  <si>
    <t>황필선</t>
  </si>
  <si>
    <t>양동운</t>
  </si>
  <si>
    <t>김준희</t>
  </si>
  <si>
    <t>홍성갑</t>
  </si>
  <si>
    <t>강병의</t>
  </si>
  <si>
    <t>박병우</t>
  </si>
  <si>
    <t>임신호</t>
  </si>
  <si>
    <t>유강남</t>
  </si>
  <si>
    <t>이지혁</t>
  </si>
  <si>
    <t>이정호</t>
  </si>
  <si>
    <t>이윤재</t>
  </si>
  <si>
    <t>박기철</t>
  </si>
  <si>
    <t>박세준</t>
  </si>
  <si>
    <t>신정익</t>
  </si>
  <si>
    <t>한민대</t>
  </si>
  <si>
    <t>김동한</t>
  </si>
  <si>
    <t>문양식</t>
  </si>
  <si>
    <t>오준혁</t>
  </si>
  <si>
    <t>문재현</t>
  </si>
  <si>
    <t>정병곤</t>
  </si>
  <si>
    <t>김대우</t>
  </si>
  <si>
    <t>이경록</t>
  </si>
  <si>
    <t>이정담</t>
  </si>
  <si>
    <t>최현정</t>
  </si>
  <si>
    <t>최진호</t>
  </si>
  <si>
    <t>양현</t>
  </si>
  <si>
    <t>백왕중</t>
  </si>
  <si>
    <t>정우양</t>
  </si>
  <si>
    <t>김대유</t>
  </si>
  <si>
    <t>트레비스</t>
  </si>
  <si>
    <t>주키치</t>
  </si>
  <si>
    <t>리즈</t>
  </si>
  <si>
    <t>매그레인</t>
  </si>
  <si>
    <t>고든</t>
  </si>
  <si>
    <t>알드리지</t>
  </si>
  <si>
    <t>니퍼트</t>
  </si>
  <si>
    <t>페르난도</t>
  </si>
  <si>
    <t>부첵</t>
  </si>
  <si>
    <t>코리</t>
  </si>
  <si>
    <t>저마노</t>
  </si>
  <si>
    <t>매티스</t>
  </si>
  <si>
    <t>가코</t>
  </si>
  <si>
    <t>오넬리</t>
  </si>
  <si>
    <t>바티스타</t>
  </si>
  <si>
    <t>양대원</t>
  </si>
  <si>
    <t>명재철</t>
  </si>
  <si>
    <t>이천웅</t>
  </si>
  <si>
    <t>이민재</t>
  </si>
  <si>
    <t>최인영</t>
  </si>
  <si>
    <t>영동대</t>
  </si>
  <si>
    <t>최영진</t>
  </si>
  <si>
    <t>김종진</t>
  </si>
  <si>
    <t>김호연</t>
  </si>
  <si>
    <t>신영재</t>
  </si>
  <si>
    <t>문우람</t>
  </si>
  <si>
    <t>정범수</t>
  </si>
  <si>
    <t>백진우</t>
  </si>
  <si>
    <t>강동연</t>
  </si>
  <si>
    <t>김사훈</t>
  </si>
  <si>
    <t>김민하</t>
  </si>
  <si>
    <t>황수범</t>
  </si>
  <si>
    <t>김정혁</t>
  </si>
  <si>
    <t>신정락</t>
  </si>
  <si>
    <t>김정훈</t>
  </si>
  <si>
    <t>심동섭</t>
  </si>
  <si>
    <t>김용주</t>
  </si>
  <si>
    <t>임진우</t>
  </si>
  <si>
    <t>홍재영</t>
  </si>
  <si>
    <t>장민익</t>
  </si>
  <si>
    <t>문광은</t>
  </si>
  <si>
    <t>박종훈</t>
  </si>
  <si>
    <t>이재학</t>
  </si>
  <si>
    <t>이현준</t>
  </si>
  <si>
    <t>김재우</t>
  </si>
  <si>
    <t>임기준</t>
  </si>
  <si>
    <t>정회찬</t>
  </si>
  <si>
    <t>유경국</t>
  </si>
  <si>
    <t>이인행</t>
  </si>
  <si>
    <t>안승민</t>
  </si>
  <si>
    <t>정민우</t>
  </si>
  <si>
    <t>정대현</t>
  </si>
  <si>
    <t>이재인</t>
  </si>
  <si>
    <t>김상훈</t>
  </si>
  <si>
    <t>김근호</t>
  </si>
  <si>
    <t>백상원</t>
  </si>
  <si>
    <t>이상훈</t>
  </si>
  <si>
    <t>임한용</t>
  </si>
  <si>
    <t>문성현</t>
  </si>
  <si>
    <t>이성진</t>
  </si>
  <si>
    <t>이태원</t>
  </si>
  <si>
    <t>이창섭</t>
  </si>
  <si>
    <t>이제우</t>
  </si>
  <si>
    <t>변용선</t>
  </si>
  <si>
    <t>김준호</t>
  </si>
  <si>
    <t>최윤석</t>
  </si>
  <si>
    <t>이상백</t>
  </si>
  <si>
    <t>황성웅</t>
  </si>
  <si>
    <t>안성필</t>
  </si>
  <si>
    <t>김동빈</t>
  </si>
  <si>
    <t>안규성</t>
  </si>
  <si>
    <t>방송통신대</t>
  </si>
  <si>
    <t>김창혁</t>
  </si>
  <si>
    <t>유재호</t>
  </si>
  <si>
    <t>이해창</t>
  </si>
  <si>
    <t>홍재호</t>
  </si>
  <si>
    <t>김경태</t>
  </si>
  <si>
    <t>이규대</t>
  </si>
  <si>
    <t>김문홍</t>
  </si>
  <si>
    <t>한서고</t>
  </si>
  <si>
    <t>서울</t>
  </si>
  <si>
    <t>조성우</t>
  </si>
  <si>
    <t>길태곤</t>
  </si>
  <si>
    <t>임성학</t>
  </si>
  <si>
    <t>배민관</t>
  </si>
  <si>
    <t>문선엽</t>
  </si>
  <si>
    <t>장종덕</t>
  </si>
  <si>
    <t>최원재</t>
  </si>
  <si>
    <t>콜론</t>
  </si>
  <si>
    <t>오카모토</t>
  </si>
  <si>
    <t>곤잘레스</t>
  </si>
  <si>
    <t>더마트레</t>
  </si>
  <si>
    <t>번사이드</t>
  </si>
  <si>
    <t>사도스키</t>
  </si>
  <si>
    <t>레딩</t>
  </si>
  <si>
    <t>데폴라</t>
  </si>
  <si>
    <t>부에노</t>
  </si>
  <si>
    <t>카페얀</t>
  </si>
  <si>
    <t>김한상</t>
  </si>
  <si>
    <t>박승완</t>
  </si>
  <si>
    <t>박화랑</t>
  </si>
  <si>
    <t>최병연</t>
  </si>
  <si>
    <t>위준호</t>
  </si>
  <si>
    <t>방정우</t>
  </si>
  <si>
    <t>김동길</t>
  </si>
  <si>
    <t>김응민</t>
  </si>
  <si>
    <t>이상호</t>
  </si>
  <si>
    <t>김선민</t>
  </si>
  <si>
    <t>이강혁</t>
  </si>
  <si>
    <t>홍효의</t>
  </si>
  <si>
    <t>정성철</t>
  </si>
  <si>
    <t>오지환</t>
  </si>
  <si>
    <t>성영훈</t>
  </si>
  <si>
    <t>오병일</t>
  </si>
  <si>
    <t>김상수</t>
  </si>
  <si>
    <t>김회성</t>
  </si>
  <si>
    <t>강윤구</t>
  </si>
  <si>
    <t>우리</t>
  </si>
  <si>
    <t>안치홍</t>
  </si>
  <si>
    <t>진명호</t>
  </si>
  <si>
    <t>장영석</t>
  </si>
  <si>
    <t>한희</t>
  </si>
  <si>
    <t>박민규</t>
  </si>
  <si>
    <t>구본범</t>
  </si>
  <si>
    <t>허경민</t>
  </si>
  <si>
    <t>박현준</t>
  </si>
  <si>
    <t>박상현</t>
  </si>
  <si>
    <t>허유강</t>
  </si>
  <si>
    <t>고원준</t>
  </si>
  <si>
    <t>정형식</t>
  </si>
  <si>
    <t>최동환</t>
  </si>
  <si>
    <t>양종민</t>
  </si>
  <si>
    <t>정용운</t>
  </si>
  <si>
    <t>손정훈</t>
  </si>
  <si>
    <t>박동원</t>
  </si>
  <si>
    <t>강지광</t>
  </si>
  <si>
    <t>정인욱</t>
  </si>
  <si>
    <t>장민재</t>
  </si>
  <si>
    <t>조승수</t>
  </si>
  <si>
    <t>윤석주</t>
  </si>
  <si>
    <t>김정남</t>
  </si>
  <si>
    <t>박성호</t>
  </si>
  <si>
    <t>박헌도</t>
  </si>
  <si>
    <t>배영섭</t>
  </si>
  <si>
    <t>민경수</t>
  </si>
  <si>
    <t>박상혁</t>
  </si>
  <si>
    <t>양동일</t>
  </si>
  <si>
    <t>서성민</t>
  </si>
  <si>
    <t>정주현</t>
  </si>
  <si>
    <t>양지훈</t>
  </si>
  <si>
    <t>황재규</t>
  </si>
  <si>
    <t>정수빈</t>
  </si>
  <si>
    <t>여건욱</t>
  </si>
  <si>
    <t>김상록</t>
  </si>
  <si>
    <t>유희관</t>
  </si>
  <si>
    <t>김강석</t>
  </si>
  <si>
    <t>전인환</t>
  </si>
  <si>
    <t>임익현</t>
  </si>
  <si>
    <t>변시영</t>
  </si>
  <si>
    <t>권영준</t>
  </si>
  <si>
    <t>윤효섭</t>
  </si>
  <si>
    <t>유승룡</t>
  </si>
  <si>
    <t>김종문</t>
  </si>
  <si>
    <t>문선재</t>
  </si>
  <si>
    <t>오정복</t>
  </si>
  <si>
    <t>김진형</t>
  </si>
  <si>
    <t>최천수</t>
  </si>
  <si>
    <t>유휘봉</t>
  </si>
  <si>
    <t>장태성</t>
  </si>
  <si>
    <t>이성훈</t>
  </si>
  <si>
    <t>구톰슨</t>
  </si>
  <si>
    <t>로페즈</t>
  </si>
  <si>
    <t>바우어</t>
  </si>
  <si>
    <t>존슨</t>
  </si>
  <si>
    <t>니코스키</t>
  </si>
  <si>
    <t>글로버</t>
  </si>
  <si>
    <t>카도쿠라</t>
  </si>
  <si>
    <t>세데뇨</t>
  </si>
  <si>
    <t>왓슨</t>
  </si>
  <si>
    <t>애킨스</t>
  </si>
  <si>
    <t>나이트</t>
  </si>
  <si>
    <t>크루세타</t>
  </si>
  <si>
    <t>에르난데스</t>
  </si>
  <si>
    <t>디아즈</t>
  </si>
  <si>
    <t>연지</t>
  </si>
  <si>
    <t>이종환</t>
  </si>
  <si>
    <t>배우열</t>
  </si>
  <si>
    <t>윤진호</t>
  </si>
  <si>
    <t>채은성</t>
  </si>
  <si>
    <t>백창수</t>
  </si>
  <si>
    <t>김진곤</t>
  </si>
  <si>
    <t>윤중환</t>
  </si>
  <si>
    <t>이현민</t>
  </si>
  <si>
    <t>안동현</t>
  </si>
  <si>
    <t>이우선</t>
  </si>
  <si>
    <t>김지호</t>
  </si>
  <si>
    <t>김동호</t>
  </si>
  <si>
    <t>김종민</t>
  </si>
  <si>
    <t>전태현</t>
  </si>
  <si>
    <t>이형종</t>
  </si>
  <si>
    <t>황건주</t>
  </si>
  <si>
    <t>진야곱</t>
  </si>
  <si>
    <t>장성우</t>
  </si>
  <si>
    <t>우동균</t>
  </si>
  <si>
    <t>경일대</t>
  </si>
  <si>
    <t>박상규</t>
  </si>
  <si>
    <t>하준호</t>
  </si>
  <si>
    <t>정찬헌</t>
  </si>
  <si>
    <t>모창민</t>
  </si>
  <si>
    <t>김재환</t>
  </si>
  <si>
    <t>나지완</t>
  </si>
  <si>
    <t>윤기호</t>
  </si>
  <si>
    <t>최원제</t>
  </si>
  <si>
    <t>김경모</t>
  </si>
  <si>
    <t>이희근</t>
  </si>
  <si>
    <t>임창민</t>
  </si>
  <si>
    <t>최용규</t>
  </si>
  <si>
    <t>고창성</t>
  </si>
  <si>
    <t>백인식</t>
  </si>
  <si>
    <t>전준우</t>
  </si>
  <si>
    <t>이범준</t>
  </si>
  <si>
    <t>김태군</t>
  </si>
  <si>
    <t>강승현</t>
  </si>
  <si>
    <t>홍상삼</t>
  </si>
  <si>
    <t>박진영</t>
  </si>
  <si>
    <t>민성기</t>
  </si>
  <si>
    <t>김건필</t>
  </si>
  <si>
    <t>허승민</t>
  </si>
  <si>
    <t>오선진</t>
  </si>
  <si>
    <t>전동수</t>
  </si>
  <si>
    <t>김용의</t>
  </si>
  <si>
    <t>박시영</t>
  </si>
  <si>
    <t>노진용</t>
  </si>
  <si>
    <t>김준</t>
  </si>
  <si>
    <t>윤요한</t>
  </si>
  <si>
    <t>백용환</t>
  </si>
  <si>
    <t>정대훈</t>
  </si>
  <si>
    <t>김동현</t>
  </si>
  <si>
    <t>이영욱</t>
  </si>
  <si>
    <t>이성재</t>
  </si>
  <si>
    <t>김선빈</t>
  </si>
  <si>
    <t>윤도경</t>
  </si>
  <si>
    <t>오현근</t>
  </si>
  <si>
    <t>안정광</t>
  </si>
  <si>
    <t>안준형</t>
  </si>
  <si>
    <t>데이비스</t>
  </si>
  <si>
    <t>리마</t>
  </si>
  <si>
    <t>발데스</t>
  </si>
  <si>
    <t>쿠비얀</t>
  </si>
  <si>
    <t>얀</t>
  </si>
  <si>
    <t>레이</t>
  </si>
  <si>
    <t>레이어</t>
  </si>
  <si>
    <t>코르테스</t>
  </si>
  <si>
    <t>매클레리</t>
  </si>
  <si>
    <t>오버뮬러</t>
  </si>
  <si>
    <t>에니스</t>
  </si>
  <si>
    <t>션</t>
  </si>
  <si>
    <t>강병수</t>
  </si>
  <si>
    <t>클락</t>
  </si>
  <si>
    <t>다카쓰</t>
  </si>
  <si>
    <t>페타지니</t>
  </si>
  <si>
    <t>임도현</t>
  </si>
  <si>
    <t>서건창</t>
  </si>
  <si>
    <t>이명환</t>
  </si>
  <si>
    <t>김수형</t>
  </si>
  <si>
    <t>하지호</t>
  </si>
  <si>
    <t>윤상균</t>
  </si>
  <si>
    <t>임성헌</t>
  </si>
  <si>
    <t>덕수정보고</t>
  </si>
  <si>
    <t>오민철</t>
  </si>
  <si>
    <t>권영진</t>
  </si>
  <si>
    <t>오현택</t>
  </si>
  <si>
    <t>국해성</t>
  </si>
  <si>
    <t>최재훈</t>
  </si>
  <si>
    <t>김수완</t>
  </si>
  <si>
    <t>오장훈</t>
  </si>
  <si>
    <t>이지영</t>
  </si>
  <si>
    <t>김다원</t>
  </si>
  <si>
    <t>한윤섭</t>
  </si>
  <si>
    <t>김주</t>
  </si>
  <si>
    <t>신석기</t>
  </si>
  <si>
    <t>이성호</t>
  </si>
  <si>
    <t>임태훈</t>
  </si>
  <si>
    <t>봉중근</t>
  </si>
  <si>
    <t>김광현</t>
  </si>
  <si>
    <t>이용찬</t>
  </si>
  <si>
    <t>김동명</t>
  </si>
  <si>
    <t>오준형</t>
  </si>
  <si>
    <t>이상화</t>
  </si>
  <si>
    <t>이재곤</t>
  </si>
  <si>
    <t>이웅한</t>
  </si>
  <si>
    <t>양현종</t>
  </si>
  <si>
    <t>장효훈</t>
  </si>
  <si>
    <t>현대</t>
  </si>
  <si>
    <t>박용근</t>
  </si>
  <si>
    <t>김혁민</t>
  </si>
  <si>
    <t>이창욱</t>
  </si>
  <si>
    <t>백정현</t>
  </si>
  <si>
    <t>추승민</t>
  </si>
  <si>
    <t>이두환</t>
  </si>
  <si>
    <t>최연오</t>
  </si>
  <si>
    <t>김민성</t>
  </si>
  <si>
    <t>임태준</t>
  </si>
  <si>
    <t>김연훈</t>
  </si>
  <si>
    <t>이호신</t>
  </si>
  <si>
    <t>김남형</t>
  </si>
  <si>
    <t>김강</t>
  </si>
  <si>
    <t>임익준</t>
  </si>
  <si>
    <t>김종호</t>
  </si>
  <si>
    <t>김강률</t>
  </si>
  <si>
    <t>한윤기</t>
  </si>
  <si>
    <t>손광민</t>
  </si>
  <si>
    <t>권윤민</t>
  </si>
  <si>
    <t>서정</t>
  </si>
  <si>
    <t>박윤</t>
  </si>
  <si>
    <t>이정민</t>
  </si>
  <si>
    <t>이용호</t>
  </si>
  <si>
    <t>황진수</t>
  </si>
  <si>
    <t>이동걸</t>
  </si>
  <si>
    <t>최희섭</t>
  </si>
  <si>
    <t>류제국</t>
  </si>
  <si>
    <t>추신수</t>
  </si>
  <si>
    <t>이승학</t>
  </si>
  <si>
    <t>송승준</t>
  </si>
  <si>
    <t>채태인</t>
  </si>
  <si>
    <t>에서튼</t>
  </si>
  <si>
    <t>스코비</t>
  </si>
  <si>
    <t>옥스프링</t>
  </si>
  <si>
    <t>로마노</t>
  </si>
  <si>
    <t>레이번</t>
  </si>
  <si>
    <t>리오스</t>
  </si>
  <si>
    <t>매존</t>
  </si>
  <si>
    <t>크루즈</t>
  </si>
  <si>
    <t>세드릭</t>
  </si>
  <si>
    <t>이강서</t>
  </si>
  <si>
    <t>김일엽</t>
  </si>
  <si>
    <t>이준수</t>
  </si>
  <si>
    <t>송주호</t>
  </si>
  <si>
    <t>정현석</t>
  </si>
  <si>
    <t>김사연</t>
  </si>
  <si>
    <t>박민주</t>
  </si>
  <si>
    <t>한기주</t>
  </si>
  <si>
    <t>광주대</t>
  </si>
  <si>
    <t>김기표</t>
  </si>
  <si>
    <t>손용석</t>
  </si>
  <si>
    <t>김효남</t>
  </si>
  <si>
    <t>유원상</t>
  </si>
  <si>
    <t>신창호</t>
  </si>
  <si>
    <t>나승현</t>
  </si>
  <si>
    <t>류현진</t>
  </si>
  <si>
    <t>대전대</t>
  </si>
  <si>
    <t>손영민</t>
  </si>
  <si>
    <t>김용성</t>
  </si>
  <si>
    <t>차우찬</t>
  </si>
  <si>
    <t>강정호</t>
  </si>
  <si>
    <t>김정환</t>
  </si>
  <si>
    <t>양승진</t>
  </si>
  <si>
    <t>원종현</t>
  </si>
  <si>
    <t>박정규</t>
  </si>
  <si>
    <t>홍명찬</t>
  </si>
  <si>
    <t>민병헌</t>
  </si>
  <si>
    <t>김영민</t>
  </si>
  <si>
    <t>김문호</t>
  </si>
  <si>
    <t>정범모</t>
  </si>
  <si>
    <t>윤동건</t>
  </si>
  <si>
    <t>박경태</t>
  </si>
  <si>
    <t>김기태</t>
  </si>
  <si>
    <t>황재균</t>
  </si>
  <si>
    <t>배장호</t>
  </si>
  <si>
    <t>신해수</t>
  </si>
  <si>
    <t>황선일</t>
  </si>
  <si>
    <t>조용훈</t>
  </si>
  <si>
    <t>신현철</t>
  </si>
  <si>
    <t>황성용</t>
  </si>
  <si>
    <t>변강득</t>
  </si>
  <si>
    <t>최주환</t>
  </si>
  <si>
    <t>모상기</t>
  </si>
  <si>
    <t>유선정</t>
  </si>
  <si>
    <t>최승준</t>
  </si>
  <si>
    <t>유재신</t>
  </si>
  <si>
    <t>양의지</t>
  </si>
  <si>
    <t>홍유택</t>
  </si>
  <si>
    <t>박진원</t>
  </si>
  <si>
    <t>서브넥</t>
  </si>
  <si>
    <t>텔레마코</t>
  </si>
  <si>
    <t>카라이어</t>
  </si>
  <si>
    <t>베로커</t>
  </si>
  <si>
    <t>피커링</t>
  </si>
  <si>
    <t>시오타니</t>
  </si>
  <si>
    <t>세라노</t>
  </si>
  <si>
    <t>존갈</t>
  </si>
  <si>
    <t>마이로우</t>
  </si>
  <si>
    <t>박가람</t>
  </si>
  <si>
    <t>강희성</t>
  </si>
  <si>
    <t>양영동</t>
  </si>
  <si>
    <t>원용묵</t>
  </si>
  <si>
    <t>류재원</t>
  </si>
  <si>
    <t>이여상</t>
  </si>
  <si>
    <t>정훈</t>
  </si>
  <si>
    <t>곽정철</t>
  </si>
  <si>
    <t>박병호</t>
  </si>
  <si>
    <t>최정</t>
  </si>
  <si>
    <t>김명제</t>
  </si>
  <si>
    <t>이왕기</t>
  </si>
  <si>
    <t>백준영</t>
  </si>
  <si>
    <t>윤근영</t>
  </si>
  <si>
    <t>조정훈</t>
  </si>
  <si>
    <t>서동환</t>
  </si>
  <si>
    <t>정의윤</t>
  </si>
  <si>
    <t>양훈</t>
  </si>
  <si>
    <t>오승환</t>
  </si>
  <si>
    <t>윤석민</t>
  </si>
  <si>
    <t>정근우</t>
  </si>
  <si>
    <t>차화준</t>
  </si>
  <si>
    <t>조현근</t>
  </si>
  <si>
    <t>손상정</t>
  </si>
  <si>
    <t>전현태</t>
  </si>
  <si>
    <t>이범석</t>
  </si>
  <si>
    <t>권덕준</t>
  </si>
  <si>
    <t>최혁권</t>
  </si>
  <si>
    <t>신재웅</t>
  </si>
  <si>
    <t>최훈락</t>
  </si>
  <si>
    <t>오재일</t>
  </si>
  <si>
    <t>금민철</t>
  </si>
  <si>
    <t>한국디지털대</t>
  </si>
  <si>
    <t>유용목</t>
  </si>
  <si>
    <t>김정수</t>
  </si>
  <si>
    <t>김선규</t>
  </si>
  <si>
    <t>이지모</t>
  </si>
  <si>
    <t>홍성용</t>
  </si>
  <si>
    <t>곽동훈</t>
  </si>
  <si>
    <t>이보근</t>
  </si>
  <si>
    <t>박정배</t>
  </si>
  <si>
    <t>백정훈</t>
  </si>
  <si>
    <t>김기남</t>
  </si>
  <si>
    <t>진해수</t>
  </si>
  <si>
    <t>김회권</t>
  </si>
  <si>
    <t>전승윤</t>
  </si>
  <si>
    <t>홍성수</t>
  </si>
  <si>
    <t>블랭크</t>
  </si>
  <si>
    <t>그레이싱어</t>
  </si>
  <si>
    <t>왈론드</t>
  </si>
  <si>
    <t>클리어</t>
  </si>
  <si>
    <t>차바치</t>
  </si>
  <si>
    <t>랜들</t>
  </si>
  <si>
    <t>펠로우</t>
  </si>
  <si>
    <t>해크먼</t>
  </si>
  <si>
    <t>하리칼라</t>
  </si>
  <si>
    <t>바르가스</t>
  </si>
  <si>
    <t>캘러웨이</t>
  </si>
  <si>
    <t>서튼</t>
  </si>
  <si>
    <t>마테오</t>
  </si>
  <si>
    <t>김하람</t>
  </si>
  <si>
    <t>윤승균</t>
  </si>
  <si>
    <t>권민성</t>
  </si>
  <si>
    <t>서민욱</t>
  </si>
  <si>
    <t>조성민</t>
  </si>
  <si>
    <t>유덕형</t>
  </si>
  <si>
    <t>이성우</t>
  </si>
  <si>
    <t>김태환</t>
  </si>
  <si>
    <t>정희상</t>
  </si>
  <si>
    <t>장진용</t>
  </si>
  <si>
    <t>박권수</t>
  </si>
  <si>
    <t>김재호</t>
  </si>
  <si>
    <t>장원준</t>
  </si>
  <si>
    <t>박석민</t>
  </si>
  <si>
    <t>윤성환</t>
  </si>
  <si>
    <t>김수화</t>
  </si>
  <si>
    <t>송창식</t>
  </si>
  <si>
    <t>윤희상</t>
  </si>
  <si>
    <t>이원희</t>
  </si>
  <si>
    <t>오재영</t>
  </si>
  <si>
    <t>이동현</t>
  </si>
  <si>
    <t>강창주</t>
  </si>
  <si>
    <t>최대성</t>
  </si>
  <si>
    <t>최진행</t>
  </si>
  <si>
    <t>우송대</t>
  </si>
  <si>
    <t>정우람</t>
  </si>
  <si>
    <t>이경민</t>
  </si>
  <si>
    <t>박동욱</t>
  </si>
  <si>
    <t>영흥고</t>
  </si>
  <si>
    <t>박정태</t>
  </si>
  <si>
    <t>이용규</t>
  </si>
  <si>
    <t>이정식</t>
  </si>
  <si>
    <t>강민호</t>
  </si>
  <si>
    <t>국제디지털대</t>
  </si>
  <si>
    <t>박노민</t>
  </si>
  <si>
    <t>지훈</t>
  </si>
  <si>
    <t>권희석</t>
  </si>
  <si>
    <t>장찬</t>
  </si>
  <si>
    <t>최현종</t>
  </si>
  <si>
    <t>이학준</t>
  </si>
  <si>
    <t>이정동</t>
  </si>
  <si>
    <t>임훈</t>
  </si>
  <si>
    <t>구명환</t>
  </si>
  <si>
    <t>김성계</t>
  </si>
  <si>
    <t>채형직</t>
  </si>
  <si>
    <t>김진성</t>
  </si>
  <si>
    <t>김수훈</t>
  </si>
  <si>
    <t>박강우</t>
  </si>
  <si>
    <t>조평호</t>
  </si>
  <si>
    <t>안태영</t>
  </si>
  <si>
    <t>용덕한</t>
  </si>
  <si>
    <t>현철민</t>
  </si>
  <si>
    <t>김무학</t>
  </si>
  <si>
    <t>마뇽</t>
  </si>
  <si>
    <t>쿠퍼</t>
  </si>
  <si>
    <t>후타도</t>
  </si>
  <si>
    <t>카브레라</t>
  </si>
  <si>
    <t>라이온</t>
  </si>
  <si>
    <t>오리어리</t>
  </si>
  <si>
    <t>호지스</t>
  </si>
  <si>
    <t>엔젤</t>
  </si>
  <si>
    <t>피어리</t>
  </si>
  <si>
    <t>최혁길</t>
  </si>
  <si>
    <t>김혜겸</t>
  </si>
  <si>
    <t>성민국</t>
  </si>
  <si>
    <t>김원</t>
  </si>
  <si>
    <t>박경수</t>
  </si>
  <si>
    <t>노경은</t>
  </si>
  <si>
    <t>송은범</t>
  </si>
  <si>
    <t>안영명</t>
  </si>
  <si>
    <t>이성열</t>
  </si>
  <si>
    <t>지석훈</t>
  </si>
  <si>
    <t>강명구</t>
  </si>
  <si>
    <t>전병두</t>
  </si>
  <si>
    <t>양승학</t>
  </si>
  <si>
    <t>윤규진</t>
  </si>
  <si>
    <t>김휘곤</t>
  </si>
  <si>
    <t>이대형</t>
  </si>
  <si>
    <t>임준혁</t>
  </si>
  <si>
    <t>곽용섭</t>
  </si>
  <si>
    <t>나주환</t>
  </si>
  <si>
    <t>맹진국</t>
  </si>
  <si>
    <t>양성제</t>
  </si>
  <si>
    <t>우규민</t>
  </si>
  <si>
    <t>김주호</t>
  </si>
  <si>
    <t>노환수</t>
  </si>
  <si>
    <t>김만윤</t>
  </si>
  <si>
    <t>김영복</t>
  </si>
  <si>
    <t>이정상</t>
  </si>
  <si>
    <t>김승회</t>
  </si>
  <si>
    <t>이장환</t>
  </si>
  <si>
    <t>제주</t>
  </si>
  <si>
    <t>허도환</t>
  </si>
  <si>
    <t>김이슬</t>
  </si>
  <si>
    <t>윤성길</t>
  </si>
  <si>
    <t>조동현</t>
  </si>
  <si>
    <t>이인구</t>
  </si>
  <si>
    <t>오재원</t>
  </si>
  <si>
    <t>정민혁</t>
  </si>
  <si>
    <t>이창석</t>
  </si>
  <si>
    <t>김진유</t>
  </si>
  <si>
    <t>알칸트라</t>
  </si>
  <si>
    <t>이리키</t>
  </si>
  <si>
    <t>쿨바</t>
  </si>
  <si>
    <t>김영화</t>
  </si>
  <si>
    <t>보이</t>
  </si>
  <si>
    <t>이시온</t>
  </si>
  <si>
    <t>라이언</t>
  </si>
  <si>
    <t>에스트라다</t>
  </si>
  <si>
    <t>메히아</t>
  </si>
  <si>
    <t>고지행</t>
  </si>
  <si>
    <t>브룸바</t>
  </si>
  <si>
    <t>바워스</t>
  </si>
  <si>
    <t>송수근</t>
  </si>
  <si>
    <t>송수</t>
  </si>
  <si>
    <t>정보명</t>
  </si>
  <si>
    <t>이석만</t>
  </si>
  <si>
    <t>이준</t>
  </si>
  <si>
    <t>윤경영</t>
  </si>
  <si>
    <t>손시헌</t>
  </si>
  <si>
    <t>김광희</t>
  </si>
  <si>
    <t>신주영</t>
  </si>
  <si>
    <t>조순권</t>
  </si>
  <si>
    <t>권혁</t>
  </si>
  <si>
    <t>김용섭</t>
  </si>
  <si>
    <t>제춘모</t>
  </si>
  <si>
    <t>신용운</t>
  </si>
  <si>
    <t>김우석</t>
  </si>
  <si>
    <t>윤길현</t>
  </si>
  <si>
    <t>박창근</t>
  </si>
  <si>
    <t>고영민</t>
  </si>
  <si>
    <t>고효준</t>
  </si>
  <si>
    <t>조동찬</t>
  </si>
  <si>
    <t>유혜정</t>
  </si>
  <si>
    <t>배힘찬</t>
  </si>
  <si>
    <t>문현정</t>
  </si>
  <si>
    <t>박영복</t>
  </si>
  <si>
    <t>박종섭</t>
  </si>
  <si>
    <t>이명우</t>
  </si>
  <si>
    <t>정병희</t>
  </si>
  <si>
    <t>이경환</t>
  </si>
  <si>
    <t>허일상</t>
  </si>
  <si>
    <t>손주인</t>
  </si>
  <si>
    <t>이현승</t>
  </si>
  <si>
    <t>서성종</t>
  </si>
  <si>
    <t>황덕균</t>
  </si>
  <si>
    <t>김풍철</t>
  </si>
  <si>
    <t>동래고</t>
  </si>
  <si>
    <t>노병오</t>
  </si>
  <si>
    <t>임재청</t>
  </si>
  <si>
    <t>장준영</t>
  </si>
  <si>
    <t>박두일</t>
  </si>
  <si>
    <t>이민택</t>
  </si>
  <si>
    <t>안지만</t>
  </si>
  <si>
    <t>송혁</t>
  </si>
  <si>
    <t>장태종</t>
  </si>
  <si>
    <t>박희수</t>
  </si>
  <si>
    <t>이승엽</t>
  </si>
  <si>
    <t>신종길</t>
  </si>
  <si>
    <t>동신대</t>
  </si>
  <si>
    <t>최형우</t>
  </si>
  <si>
    <t>조태수</t>
  </si>
  <si>
    <t>임세업</t>
  </si>
  <si>
    <t>김경선</t>
  </si>
  <si>
    <t>이태호</t>
  </si>
  <si>
    <t>추경식</t>
  </si>
  <si>
    <t>정홍준</t>
  </si>
  <si>
    <t>조민철</t>
  </si>
  <si>
    <t>광주상고</t>
  </si>
  <si>
    <t>이한진</t>
  </si>
  <si>
    <t>문규현</t>
  </si>
  <si>
    <t>송광민</t>
  </si>
  <si>
    <t>장원삼</t>
  </si>
  <si>
    <t>안영진</t>
  </si>
  <si>
    <t>신원주</t>
  </si>
  <si>
    <t>연경흠</t>
  </si>
  <si>
    <t>키퍼</t>
  </si>
  <si>
    <t>뉴선</t>
  </si>
  <si>
    <t>펨버튼</t>
  </si>
  <si>
    <t>만자니오</t>
  </si>
  <si>
    <t>케펜</t>
  </si>
  <si>
    <t>러핀</t>
  </si>
  <si>
    <t>잉글린</t>
  </si>
  <si>
    <t>매기</t>
  </si>
  <si>
    <t>해처</t>
  </si>
  <si>
    <t>베로아</t>
  </si>
  <si>
    <t>패트릭</t>
  </si>
  <si>
    <t>엘비라</t>
  </si>
  <si>
    <t>피코타</t>
  </si>
  <si>
    <t>폴</t>
  </si>
  <si>
    <t>프랭클린</t>
  </si>
  <si>
    <t>베라스</t>
  </si>
  <si>
    <t>토레스</t>
  </si>
  <si>
    <t>이일의</t>
  </si>
  <si>
    <t>오태근</t>
  </si>
  <si>
    <t>변인재</t>
  </si>
  <si>
    <t>박봉수</t>
  </si>
  <si>
    <t>최환인</t>
  </si>
  <si>
    <t>김재구</t>
  </si>
  <si>
    <t>정원</t>
  </si>
  <si>
    <t>해태</t>
  </si>
  <si>
    <t>대구상고</t>
  </si>
  <si>
    <t>정상호</t>
  </si>
  <si>
    <t>김태균</t>
  </si>
  <si>
    <t>한라대</t>
  </si>
  <si>
    <t>최준석</t>
  </si>
  <si>
    <t>김주철</t>
  </si>
  <si>
    <t>박용진</t>
  </si>
  <si>
    <t>김희걸</t>
  </si>
  <si>
    <t>조형식</t>
  </si>
  <si>
    <t>김동건</t>
  </si>
  <si>
    <t>이대호</t>
  </si>
  <si>
    <t>김덕윤</t>
  </si>
  <si>
    <t>김백만</t>
  </si>
  <si>
    <t>장기영</t>
  </si>
  <si>
    <t>여승현</t>
  </si>
  <si>
    <t>김강민</t>
  </si>
  <si>
    <t>김태구</t>
  </si>
  <si>
    <t>이승화</t>
  </si>
  <si>
    <t>조영훈</t>
  </si>
  <si>
    <t>김경언</t>
  </si>
  <si>
    <t>유영민</t>
  </si>
  <si>
    <t>박준서</t>
  </si>
  <si>
    <t>서창호</t>
  </si>
  <si>
    <t>심제훈</t>
  </si>
  <si>
    <t>손승락</t>
  </si>
  <si>
    <t>이대현</t>
  </si>
  <si>
    <t>박성훈</t>
  </si>
  <si>
    <t>박정근</t>
  </si>
  <si>
    <t>김제빈</t>
  </si>
  <si>
    <t>백승룡</t>
  </si>
  <si>
    <t>송산</t>
  </si>
  <si>
    <t>채병용</t>
  </si>
  <si>
    <t>조중근</t>
  </si>
  <si>
    <t>손승현</t>
  </si>
  <si>
    <t>허준</t>
  </si>
  <si>
    <t>오승준</t>
  </si>
  <si>
    <t>김민철</t>
  </si>
  <si>
    <t>김장준</t>
  </si>
  <si>
    <t>임성민</t>
  </si>
  <si>
    <t>박재상</t>
  </si>
  <si>
    <t>황준영</t>
  </si>
  <si>
    <t>차정민</t>
  </si>
  <si>
    <t>강유삼</t>
  </si>
  <si>
    <t>레스</t>
  </si>
  <si>
    <t>산토스</t>
  </si>
  <si>
    <t>루이스</t>
  </si>
  <si>
    <t>리치</t>
  </si>
  <si>
    <t>젠슨</t>
  </si>
  <si>
    <t>린튼</t>
  </si>
  <si>
    <t>에레라</t>
  </si>
  <si>
    <t>니일</t>
  </si>
  <si>
    <t>베넷</t>
  </si>
  <si>
    <t>리베라</t>
  </si>
  <si>
    <t>갈베스</t>
  </si>
  <si>
    <t>바에르가</t>
  </si>
  <si>
    <t>차베스</t>
  </si>
  <si>
    <t>윈스턴</t>
  </si>
  <si>
    <t>워렌</t>
  </si>
  <si>
    <t>리스</t>
  </si>
  <si>
    <t>누네스</t>
  </si>
  <si>
    <t>엔리케스</t>
  </si>
  <si>
    <t>테일러</t>
  </si>
  <si>
    <t>필립스</t>
  </si>
  <si>
    <t>마르티네스</t>
  </si>
  <si>
    <t>이송영</t>
  </si>
  <si>
    <t>김무성</t>
  </si>
  <si>
    <t>이대수</t>
  </si>
  <si>
    <t>최경환</t>
  </si>
  <si>
    <t>강민영</t>
  </si>
  <si>
    <t>조규수</t>
  </si>
  <si>
    <t>이상현</t>
  </si>
  <si>
    <t>배영수</t>
  </si>
  <si>
    <t>장준관</t>
  </si>
  <si>
    <t>김주찬</t>
  </si>
  <si>
    <t>마일영</t>
  </si>
  <si>
    <t>경기대</t>
  </si>
  <si>
    <t>이범호</t>
  </si>
  <si>
    <t>이동학</t>
  </si>
  <si>
    <t>방승재</t>
  </si>
  <si>
    <t>박기혁</t>
  </si>
  <si>
    <t>이명호</t>
  </si>
  <si>
    <t>엄정욱</t>
  </si>
  <si>
    <t>강영식</t>
  </si>
  <si>
    <t>오윤</t>
  </si>
  <si>
    <t>서정호</t>
  </si>
  <si>
    <t>배홍철</t>
  </si>
  <si>
    <t>권영근</t>
  </si>
  <si>
    <t>유한준</t>
  </si>
  <si>
    <t>황이갑</t>
  </si>
  <si>
    <t>고동진</t>
  </si>
  <si>
    <t>이영수</t>
  </si>
  <si>
    <t>송현우</t>
  </si>
  <si>
    <t>정재훈</t>
  </si>
  <si>
    <t>박진환</t>
  </si>
  <si>
    <t>조문기</t>
  </si>
  <si>
    <t>박기남</t>
  </si>
  <si>
    <t>홍마태</t>
  </si>
  <si>
    <t>조영민</t>
  </si>
  <si>
    <t>김성태</t>
  </si>
  <si>
    <t>진종길</t>
  </si>
  <si>
    <t>정진용</t>
  </si>
  <si>
    <t>강관식</t>
  </si>
  <si>
    <t>허진석</t>
  </si>
  <si>
    <t>허용</t>
  </si>
  <si>
    <t>박정권</t>
  </si>
  <si>
    <t>이창훈</t>
  </si>
  <si>
    <t>손기현</t>
  </si>
  <si>
    <t>전영삼</t>
  </si>
  <si>
    <t>방진호</t>
  </si>
  <si>
    <t>주창훈</t>
  </si>
  <si>
    <t>신철인</t>
  </si>
  <si>
    <t>심수창</t>
  </si>
  <si>
    <t>김영완</t>
  </si>
  <si>
    <t>조윤채</t>
  </si>
  <si>
    <t>해리거</t>
  </si>
  <si>
    <t>뮬렌</t>
  </si>
  <si>
    <t>브리또</t>
  </si>
  <si>
    <t>혼즈</t>
  </si>
  <si>
    <t>풀리엄</t>
  </si>
  <si>
    <t>콜</t>
  </si>
  <si>
    <t>파머</t>
  </si>
  <si>
    <t>우드</t>
  </si>
  <si>
    <t>쿡슨</t>
  </si>
  <si>
    <t>타바레스</t>
  </si>
  <si>
    <t>미첼</t>
  </si>
  <si>
    <t>포조</t>
  </si>
  <si>
    <t>퀸란</t>
  </si>
  <si>
    <t>브링클리</t>
  </si>
  <si>
    <t>테이텀</t>
  </si>
  <si>
    <t>정정오</t>
  </si>
  <si>
    <t>조정권</t>
  </si>
  <si>
    <t>조동화</t>
  </si>
  <si>
    <t>김상태</t>
  </si>
  <si>
    <t>정원욱</t>
  </si>
  <si>
    <t>정성열</t>
  </si>
  <si>
    <t>박장희</t>
  </si>
  <si>
    <t>홍성흔</t>
  </si>
  <si>
    <t>쌍방울</t>
  </si>
  <si>
    <t>박정진</t>
  </si>
  <si>
    <t>한규식</t>
  </si>
  <si>
    <t>정종수</t>
  </si>
  <si>
    <t>장성진</t>
  </si>
  <si>
    <t>김사율</t>
  </si>
  <si>
    <t>권오준</t>
  </si>
  <si>
    <t>라형진</t>
  </si>
  <si>
    <t>황우구</t>
  </si>
  <si>
    <t>유동훈</t>
  </si>
  <si>
    <t>조재영</t>
  </si>
  <si>
    <t>이동은</t>
  </si>
  <si>
    <t>윤근주</t>
  </si>
  <si>
    <t>장일현</t>
  </si>
  <si>
    <t>이종욱</t>
  </si>
  <si>
    <t>이승준</t>
  </si>
  <si>
    <t>임재철</t>
  </si>
  <si>
    <t>장영균</t>
  </si>
  <si>
    <t>신민기</t>
  </si>
  <si>
    <t>최영완</t>
  </si>
  <si>
    <t>이택근</t>
  </si>
  <si>
    <t>박경진</t>
  </si>
  <si>
    <t>김형철</t>
  </si>
  <si>
    <t>임동규</t>
  </si>
  <si>
    <t>차일목</t>
  </si>
  <si>
    <t>정재복</t>
  </si>
  <si>
    <t>김주용</t>
  </si>
  <si>
    <t>한상훈</t>
  </si>
  <si>
    <t>백대운</t>
  </si>
  <si>
    <t>허연철</t>
  </si>
  <si>
    <t>김경진</t>
  </si>
  <si>
    <t>김성배</t>
  </si>
  <si>
    <t>조성환</t>
  </si>
  <si>
    <t>이대일</t>
  </si>
  <si>
    <t>권도영</t>
  </si>
  <si>
    <t>백승훈</t>
  </si>
  <si>
    <t>최동락</t>
  </si>
  <si>
    <t>조인신</t>
  </si>
  <si>
    <t>송신영</t>
  </si>
  <si>
    <t>이양기</t>
  </si>
  <si>
    <t>윤상원</t>
  </si>
  <si>
    <t>카날리</t>
  </si>
  <si>
    <t>차정국</t>
  </si>
  <si>
    <t>문남열</t>
  </si>
  <si>
    <t>조상수</t>
  </si>
  <si>
    <t>오창선</t>
  </si>
  <si>
    <t>김익수</t>
  </si>
  <si>
    <t>전하진</t>
  </si>
  <si>
    <t>구자운</t>
  </si>
  <si>
    <t>고졸우선지명</t>
  </si>
  <si>
    <t>문용민</t>
  </si>
  <si>
    <t>김광삼</t>
  </si>
  <si>
    <t>최경철</t>
  </si>
  <si>
    <t>브릭스</t>
  </si>
  <si>
    <t>외국인선수드래프트</t>
  </si>
  <si>
    <t>샌더스</t>
  </si>
  <si>
    <t>호세</t>
  </si>
  <si>
    <t>비아노</t>
  </si>
  <si>
    <t>로마이어</t>
  </si>
  <si>
    <t>피어슨</t>
  </si>
  <si>
    <t>대톨라</t>
  </si>
  <si>
    <t>길포일</t>
  </si>
  <si>
    <t>홀</t>
  </si>
  <si>
    <t>기론</t>
  </si>
  <si>
    <t>OB</t>
  </si>
  <si>
    <t>강동우</t>
  </si>
  <si>
    <t>조진호</t>
  </si>
  <si>
    <t>고호봉</t>
  </si>
  <si>
    <t>조인성</t>
  </si>
  <si>
    <t>임경완</t>
  </si>
  <si>
    <t>안치용</t>
  </si>
  <si>
    <t>서한규</t>
  </si>
  <si>
    <t>송원국</t>
  </si>
  <si>
    <t>손인호</t>
  </si>
  <si>
    <t>김수관</t>
  </si>
  <si>
    <t>윤재국</t>
  </si>
  <si>
    <t>신경현</t>
  </si>
  <si>
    <t>소소경</t>
  </si>
  <si>
    <t>홍민구</t>
  </si>
  <si>
    <t>이혜천</t>
  </si>
  <si>
    <t>박영진</t>
  </si>
  <si>
    <t>고승환</t>
  </si>
  <si>
    <t>김장백</t>
  </si>
  <si>
    <t>방수환</t>
  </si>
  <si>
    <t>서승화</t>
  </si>
  <si>
    <t>윤석권</t>
  </si>
  <si>
    <t>김기성</t>
  </si>
  <si>
    <t>엄병열</t>
  </si>
  <si>
    <t>채종국</t>
  </si>
  <si>
    <t>김용우</t>
  </si>
  <si>
    <t>손용수</t>
  </si>
  <si>
    <t>현재윤</t>
  </si>
  <si>
    <t>이병수</t>
  </si>
  <si>
    <t>강민규</t>
  </si>
  <si>
    <t>김성준</t>
  </si>
  <si>
    <t>엄정대</t>
  </si>
  <si>
    <t>채상병</t>
  </si>
  <si>
    <t>조용준</t>
  </si>
  <si>
    <t>오세학</t>
  </si>
  <si>
    <t>권오원</t>
  </si>
  <si>
    <t>조재호</t>
  </si>
  <si>
    <t>김세중</t>
  </si>
  <si>
    <t>조은진</t>
  </si>
  <si>
    <t>오충원</t>
  </si>
  <si>
    <t>김광우</t>
  </si>
  <si>
    <t>김정현</t>
  </si>
  <si>
    <t>박우호</t>
  </si>
  <si>
    <t>마정길</t>
  </si>
  <si>
    <t>이기중</t>
  </si>
  <si>
    <t>이재우</t>
  </si>
  <si>
    <t>남기헌</t>
  </si>
  <si>
    <t>추승우</t>
  </si>
  <si>
    <t>최동연</t>
  </si>
  <si>
    <t>조현</t>
  </si>
  <si>
    <t>김윤일</t>
  </si>
  <si>
    <t>김필중</t>
  </si>
  <si>
    <t>정인호</t>
  </si>
  <si>
    <t>정현택</t>
  </si>
  <si>
    <t>윤상무</t>
  </si>
  <si>
    <t>이경수</t>
  </si>
  <si>
    <t>김정열</t>
  </si>
  <si>
    <t>김진웅</t>
  </si>
  <si>
    <t>이준민</t>
  </si>
  <si>
    <t>윤형국</t>
  </si>
  <si>
    <t>강철민</t>
  </si>
  <si>
    <t>강귀태</t>
  </si>
  <si>
    <t>김수경</t>
  </si>
  <si>
    <t>이대환</t>
  </si>
  <si>
    <t>이현곤</t>
  </si>
  <si>
    <t>유재웅</t>
  </si>
  <si>
    <t>박용택</t>
  </si>
  <si>
    <t>헤어</t>
  </si>
  <si>
    <t>치멜리스</t>
  </si>
  <si>
    <t>캐세레스</t>
  </si>
  <si>
    <t>파라</t>
  </si>
  <si>
    <t>스트롱</t>
  </si>
  <si>
    <t>펠릭스</t>
  </si>
  <si>
    <t>우즈</t>
  </si>
  <si>
    <t>브래디</t>
  </si>
  <si>
    <t>베이커</t>
  </si>
  <si>
    <t>이경필</t>
  </si>
  <si>
    <t>황성관</t>
  </si>
  <si>
    <t>오철민</t>
  </si>
  <si>
    <t>손민한</t>
  </si>
  <si>
    <t>최영필</t>
  </si>
  <si>
    <t>안재만</t>
  </si>
  <si>
    <t>장문석</t>
  </si>
  <si>
    <t>김영수</t>
  </si>
  <si>
    <t>진갑용</t>
  </si>
  <si>
    <t>임봉춘</t>
  </si>
  <si>
    <t>변대수</t>
  </si>
  <si>
    <t>백재호</t>
  </si>
  <si>
    <t>김창희</t>
  </si>
  <si>
    <t>최만호</t>
  </si>
  <si>
    <t>전승남</t>
  </si>
  <si>
    <t>강규철</t>
  </si>
  <si>
    <t>이동욱</t>
  </si>
  <si>
    <t>장성국</t>
  </si>
  <si>
    <t>이경태</t>
  </si>
  <si>
    <t>장석희</t>
  </si>
  <si>
    <t>김일경</t>
  </si>
  <si>
    <t>김도형</t>
  </si>
  <si>
    <t>이영주</t>
  </si>
  <si>
    <t>황두성</t>
  </si>
  <si>
    <t>안세준</t>
  </si>
  <si>
    <t>강대호</t>
  </si>
  <si>
    <t>조남기</t>
  </si>
  <si>
    <t>김환조</t>
  </si>
  <si>
    <t>송재익</t>
  </si>
  <si>
    <t>이득수</t>
  </si>
  <si>
    <t>이준용</t>
  </si>
  <si>
    <t>김도균</t>
  </si>
  <si>
    <t>조유신</t>
  </si>
  <si>
    <t>이성수</t>
  </si>
  <si>
    <t>박한이</t>
  </si>
  <si>
    <t>정회선</t>
  </si>
  <si>
    <t>김대원</t>
  </si>
  <si>
    <t>윤인수</t>
  </si>
  <si>
    <t>윤태수</t>
  </si>
  <si>
    <t>김원섭</t>
  </si>
  <si>
    <t>노상진</t>
  </si>
  <si>
    <t>류기중</t>
  </si>
  <si>
    <t>강신창</t>
  </si>
  <si>
    <t>권오현</t>
  </si>
  <si>
    <t>오우진</t>
  </si>
  <si>
    <t>김장현</t>
  </si>
  <si>
    <t>정명수</t>
  </si>
  <si>
    <t>김해님</t>
  </si>
  <si>
    <t>박상민</t>
  </si>
  <si>
    <t>한익희</t>
  </si>
  <si>
    <t>장순재</t>
  </si>
  <si>
    <t>신창수</t>
  </si>
  <si>
    <t>장인규</t>
  </si>
  <si>
    <t>정수성</t>
  </si>
  <si>
    <t>홍의현</t>
  </si>
  <si>
    <t>문재성</t>
  </si>
  <si>
    <t>박만채</t>
  </si>
  <si>
    <t>손지환</t>
  </si>
  <si>
    <t>김덕용</t>
  </si>
  <si>
    <t>최경훈</t>
  </si>
  <si>
    <t>고상천</t>
  </si>
  <si>
    <t>오주상</t>
  </si>
  <si>
    <t>지승민</t>
  </si>
  <si>
    <t>이근용</t>
  </si>
  <si>
    <t>조승현</t>
  </si>
  <si>
    <t>신명철</t>
  </si>
  <si>
    <t>김종국</t>
  </si>
  <si>
    <t>이정길</t>
  </si>
  <si>
    <t>최기문</t>
  </si>
  <si>
    <t>차명주</t>
  </si>
  <si>
    <t>전병호</t>
  </si>
  <si>
    <t>홍원기</t>
  </si>
  <si>
    <t>최원호</t>
  </si>
  <si>
    <t>석수철</t>
  </si>
  <si>
    <t>장성호</t>
  </si>
  <si>
    <t>호남대</t>
  </si>
  <si>
    <t>박창원</t>
  </si>
  <si>
    <t>박근영</t>
  </si>
  <si>
    <t>구민호</t>
  </si>
  <si>
    <t>신주일</t>
  </si>
  <si>
    <t>이봉우</t>
  </si>
  <si>
    <t>김대헌</t>
  </si>
  <si>
    <t>권오성</t>
  </si>
  <si>
    <t>손혁</t>
  </si>
  <si>
    <t>강영수</t>
  </si>
  <si>
    <t>박태순</t>
  </si>
  <si>
    <t>박주언</t>
  </si>
  <si>
    <t>최정환</t>
  </si>
  <si>
    <t>오중석</t>
  </si>
  <si>
    <t>허유신</t>
  </si>
  <si>
    <t>오규택</t>
  </si>
  <si>
    <t>정원석</t>
  </si>
  <si>
    <t>정학수</t>
  </si>
  <si>
    <t>최재호</t>
  </si>
  <si>
    <t>신영균</t>
  </si>
  <si>
    <t>이영우</t>
  </si>
  <si>
    <t>황성기</t>
  </si>
  <si>
    <t>설종진</t>
  </si>
  <si>
    <t>박연수</t>
  </si>
  <si>
    <t>박찬협</t>
  </si>
  <si>
    <t>김대익</t>
  </si>
  <si>
    <t>송지만</t>
  </si>
  <si>
    <t>조홍준</t>
  </si>
  <si>
    <t>장정석</t>
  </si>
  <si>
    <t>배정훈</t>
  </si>
  <si>
    <t>곽현희</t>
  </si>
  <si>
    <t>안명성</t>
  </si>
  <si>
    <t>박재형</t>
  </si>
  <si>
    <t>박효순</t>
  </si>
  <si>
    <t>이용훈</t>
  </si>
  <si>
    <t>김선섭</t>
  </si>
  <si>
    <t>김수연</t>
  </si>
  <si>
    <t>전근표</t>
  </si>
  <si>
    <t>정경배</t>
  </si>
  <si>
    <t>박정환</t>
  </si>
  <si>
    <t>정원배</t>
  </si>
  <si>
    <t>김형남</t>
  </si>
  <si>
    <t>김기진</t>
  </si>
  <si>
    <t>강봉규</t>
  </si>
  <si>
    <t>하춘동</t>
  </si>
  <si>
    <t>임종수</t>
  </si>
  <si>
    <t>엄종수</t>
  </si>
  <si>
    <t>정영환</t>
  </si>
  <si>
    <t>최길성</t>
  </si>
  <si>
    <t>임학수</t>
  </si>
  <si>
    <t>윤형진</t>
  </si>
  <si>
    <t>강병식</t>
  </si>
  <si>
    <t>이호균</t>
  </si>
  <si>
    <t>이계성</t>
  </si>
  <si>
    <t>정수찬</t>
  </si>
  <si>
    <t>양현석</t>
  </si>
  <si>
    <t>박준수</t>
  </si>
  <si>
    <t>김재학</t>
  </si>
  <si>
    <t>조효상</t>
  </si>
  <si>
    <t>임노병</t>
  </si>
  <si>
    <t>임수민</t>
  </si>
  <si>
    <t>홍세완</t>
  </si>
  <si>
    <t>채종범</t>
  </si>
  <si>
    <t>지승준</t>
  </si>
  <si>
    <t>윤현식</t>
  </si>
  <si>
    <t>박경호</t>
  </si>
  <si>
    <t>장교성</t>
  </si>
  <si>
    <t>최창양</t>
  </si>
  <si>
    <t>박석안</t>
  </si>
  <si>
    <t>진정민</t>
  </si>
  <si>
    <t>우승진</t>
  </si>
  <si>
    <t>경헌호</t>
  </si>
  <si>
    <t>이경원</t>
  </si>
  <si>
    <t>최승환</t>
  </si>
  <si>
    <t>한명윤</t>
  </si>
  <si>
    <t>이재섭</t>
  </si>
  <si>
    <t>권영철</t>
  </si>
  <si>
    <t>김헌수</t>
  </si>
  <si>
    <t>조병찬</t>
  </si>
  <si>
    <t>심광호</t>
  </si>
  <si>
    <t>목원대</t>
  </si>
  <si>
    <t>이상열</t>
  </si>
  <si>
    <t>김상진</t>
  </si>
  <si>
    <t>박명환</t>
  </si>
  <si>
    <t>서재응</t>
  </si>
  <si>
    <t>김형주</t>
  </si>
  <si>
    <t>박진만</t>
  </si>
  <si>
    <t>심재학</t>
  </si>
  <si>
    <t>송재용</t>
  </si>
  <si>
    <t>문동환</t>
  </si>
  <si>
    <t>안윤호</t>
  </si>
  <si>
    <t>위재영</t>
  </si>
  <si>
    <t>태평양</t>
  </si>
  <si>
    <t>강필선</t>
  </si>
  <si>
    <t>신국환</t>
  </si>
  <si>
    <t>문희성</t>
  </si>
  <si>
    <t>박현승</t>
  </si>
  <si>
    <t>김영진</t>
  </si>
  <si>
    <t>이원식</t>
  </si>
  <si>
    <t>심성보</t>
  </si>
  <si>
    <t>김병철</t>
  </si>
  <si>
    <t>안상준</t>
  </si>
  <si>
    <t>진필중</t>
  </si>
  <si>
    <t>조경환</t>
  </si>
  <si>
    <t>김재걸</t>
  </si>
  <si>
    <t>김진철</t>
  </si>
  <si>
    <t>안희봉</t>
  </si>
  <si>
    <t>정의성</t>
  </si>
  <si>
    <t>서석영</t>
  </si>
  <si>
    <t>박보현</t>
  </si>
  <si>
    <t>홍광천</t>
  </si>
  <si>
    <t>하상도</t>
  </si>
  <si>
    <t>도명진</t>
  </si>
  <si>
    <t>강준기</t>
  </si>
  <si>
    <t>이보형</t>
  </si>
  <si>
    <t>박종일</t>
  </si>
  <si>
    <t>차상욱</t>
  </si>
  <si>
    <t>김옥일</t>
  </si>
  <si>
    <t>최승우</t>
  </si>
  <si>
    <t>장재명</t>
  </si>
  <si>
    <t>최철민</t>
  </si>
  <si>
    <t>강인권</t>
  </si>
  <si>
    <t>추평호</t>
  </si>
  <si>
    <t>양종성</t>
  </si>
  <si>
    <t>박석진</t>
  </si>
  <si>
    <t>남상규</t>
  </si>
  <si>
    <t>김형성</t>
  </si>
  <si>
    <t>박노식</t>
  </si>
  <si>
    <t>방동민</t>
  </si>
  <si>
    <t>김정한</t>
  </si>
  <si>
    <t>김유봉</t>
  </si>
  <si>
    <t>여준홍</t>
  </si>
  <si>
    <t>정수근</t>
  </si>
  <si>
    <t>최용호</t>
  </si>
  <si>
    <t>나광호</t>
  </si>
  <si>
    <t>장승익</t>
  </si>
  <si>
    <t>신성필</t>
  </si>
  <si>
    <t>김승관</t>
  </si>
  <si>
    <t>장형석</t>
  </si>
  <si>
    <t>김진삼</t>
  </si>
  <si>
    <t>김억만</t>
  </si>
  <si>
    <t>이용주</t>
  </si>
  <si>
    <t>박상일</t>
  </si>
  <si>
    <t>김승권</t>
  </si>
  <si>
    <t>권용관</t>
  </si>
  <si>
    <t>임창용</t>
  </si>
  <si>
    <t>장용</t>
  </si>
  <si>
    <t>류지현</t>
  </si>
  <si>
    <t>류택현</t>
  </si>
  <si>
    <t>강상수</t>
  </si>
  <si>
    <t>감병훈</t>
  </si>
  <si>
    <t>이군옥</t>
  </si>
  <si>
    <t>최상덕</t>
  </si>
  <si>
    <t>길배진</t>
  </si>
  <si>
    <t>최재영</t>
  </si>
  <si>
    <t>윤기수</t>
  </si>
  <si>
    <t>최인선</t>
  </si>
  <si>
    <t>전형도</t>
  </si>
  <si>
    <t>인현배</t>
  </si>
  <si>
    <t>홍우태</t>
  </si>
  <si>
    <t>임수혁</t>
  </si>
  <si>
    <t>김한수</t>
  </si>
  <si>
    <t>광영고</t>
  </si>
  <si>
    <t>김민국</t>
  </si>
  <si>
    <t>이숭용</t>
  </si>
  <si>
    <t>곽병찬</t>
  </si>
  <si>
    <t>현대공고</t>
  </si>
  <si>
    <t>정진식</t>
  </si>
  <si>
    <t>허문회</t>
  </si>
  <si>
    <t>박은우</t>
  </si>
  <si>
    <t>임채영</t>
  </si>
  <si>
    <t>유현승</t>
  </si>
  <si>
    <t>김성</t>
  </si>
  <si>
    <t>신진수</t>
  </si>
  <si>
    <t>김신</t>
  </si>
  <si>
    <t>박철홍</t>
  </si>
  <si>
    <t>한태균</t>
  </si>
  <si>
    <t>손동일</t>
  </si>
  <si>
    <t>이승환</t>
  </si>
  <si>
    <t>박재용</t>
  </si>
  <si>
    <t>최동수</t>
  </si>
  <si>
    <t>한성곤</t>
  </si>
  <si>
    <t>최호원</t>
  </si>
  <si>
    <t>최찬욱</t>
  </si>
  <si>
    <t>하득인</t>
  </si>
  <si>
    <t>유진우</t>
  </si>
  <si>
    <t>박창현</t>
  </si>
  <si>
    <t>조원우</t>
  </si>
  <si>
    <t>서용빈</t>
  </si>
  <si>
    <t>박지철</t>
  </si>
  <si>
    <t>홍순기</t>
  </si>
  <si>
    <t>김실</t>
  </si>
  <si>
    <t>전성철</t>
  </si>
  <si>
    <t>김도완</t>
  </si>
  <si>
    <t>나영철</t>
  </si>
  <si>
    <t>최병국</t>
  </si>
  <si>
    <t>최익성</t>
  </si>
  <si>
    <t>고형욱</t>
  </si>
  <si>
    <t>장재중</t>
  </si>
  <si>
    <t>배훈</t>
  </si>
  <si>
    <t>김상우</t>
  </si>
  <si>
    <t>함석원</t>
  </si>
  <si>
    <t>공유선</t>
  </si>
  <si>
    <t>심정수</t>
  </si>
  <si>
    <t>김명호</t>
  </si>
  <si>
    <t>길랑균</t>
  </si>
  <si>
    <t>마원성</t>
  </si>
  <si>
    <t>조연제</t>
  </si>
  <si>
    <t>주형광</t>
  </si>
  <si>
    <t>박태웅</t>
  </si>
  <si>
    <t>윤민철</t>
  </si>
  <si>
    <t>박종호</t>
  </si>
  <si>
    <t>문창환</t>
  </si>
  <si>
    <t>이요한</t>
  </si>
  <si>
    <t>박지상</t>
  </si>
  <si>
    <t>최희창</t>
  </si>
  <si>
    <t>이호준</t>
  </si>
  <si>
    <t>조문식</t>
  </si>
  <si>
    <t>오진희</t>
  </si>
  <si>
    <t>추성건</t>
  </si>
  <si>
    <t>김경환</t>
  </si>
  <si>
    <t>양준혁</t>
  </si>
  <si>
    <t>박상수</t>
  </si>
  <si>
    <t>김홍집</t>
  </si>
  <si>
    <t>구대성</t>
  </si>
  <si>
    <t>빙그레</t>
  </si>
  <si>
    <t>이종범</t>
  </si>
  <si>
    <t>고기성</t>
  </si>
  <si>
    <t>박상근</t>
  </si>
  <si>
    <t>마해영</t>
  </si>
  <si>
    <t>박충식</t>
  </si>
  <si>
    <t>성영재</t>
  </si>
  <si>
    <t>최태원</t>
  </si>
  <si>
    <t>김충민</t>
  </si>
  <si>
    <t>손차훈</t>
  </si>
  <si>
    <t>김훈</t>
  </si>
  <si>
    <t>송태일</t>
  </si>
  <si>
    <t>지화선</t>
  </si>
  <si>
    <t>최홍주</t>
  </si>
  <si>
    <t>정영규</t>
  </si>
  <si>
    <t>공의식</t>
  </si>
  <si>
    <t>이용석</t>
  </si>
  <si>
    <t>박재호</t>
  </si>
  <si>
    <t>권재광</t>
  </si>
  <si>
    <t>김현욱</t>
  </si>
  <si>
    <t>김갑중</t>
  </si>
  <si>
    <t>박철웅</t>
  </si>
  <si>
    <t>강봉수</t>
  </si>
  <si>
    <t>권오영</t>
  </si>
  <si>
    <t>한혁수</t>
  </si>
  <si>
    <t>이재만</t>
  </si>
  <si>
    <t>최규하</t>
  </si>
  <si>
    <t>박기복</t>
  </si>
  <si>
    <t>정기창</t>
  </si>
  <si>
    <t>우태원</t>
  </si>
  <si>
    <t>김경하</t>
  </si>
  <si>
    <t>원현식</t>
  </si>
  <si>
    <t>당신상</t>
  </si>
  <si>
    <t>김성열</t>
  </si>
  <si>
    <t>양윤기</t>
  </si>
  <si>
    <t>강태윤</t>
  </si>
  <si>
    <t>조규철</t>
  </si>
  <si>
    <t>김정윤</t>
  </si>
  <si>
    <t>유태준</t>
  </si>
  <si>
    <t>계기범</t>
  </si>
  <si>
    <t>김지영</t>
  </si>
  <si>
    <t>조용수</t>
  </si>
  <si>
    <t>이동우</t>
  </si>
  <si>
    <t>김혁섭</t>
  </si>
  <si>
    <t>강혁</t>
  </si>
  <si>
    <t>이도형</t>
  </si>
  <si>
    <t>고성범</t>
  </si>
  <si>
    <t>서정민</t>
  </si>
  <si>
    <t>노장진</t>
  </si>
  <si>
    <t>최한경</t>
  </si>
  <si>
    <t>장용대</t>
  </si>
  <si>
    <t>노승욱</t>
  </si>
  <si>
    <t>박진철</t>
  </si>
  <si>
    <t>이대진</t>
  </si>
  <si>
    <t>지윤석</t>
  </si>
  <si>
    <t>이우혁</t>
  </si>
  <si>
    <t>오명종</t>
  </si>
  <si>
    <t>박재홍</t>
  </si>
  <si>
    <t>임선동</t>
  </si>
  <si>
    <t>강성우</t>
  </si>
  <si>
    <t>지연규</t>
  </si>
  <si>
    <t>김태한</t>
  </si>
  <si>
    <t>방극천</t>
  </si>
  <si>
    <t>정민태</t>
  </si>
  <si>
    <t>노종우</t>
  </si>
  <si>
    <t>차명석</t>
  </si>
  <si>
    <t>권명철</t>
  </si>
  <si>
    <t>가득염</t>
  </si>
  <si>
    <t>동봉철</t>
  </si>
  <si>
    <t>임창식</t>
  </si>
  <si>
    <t>장광호</t>
  </si>
  <si>
    <t>김병조</t>
  </si>
  <si>
    <t>민원기</t>
  </si>
  <si>
    <t>안경현</t>
  </si>
  <si>
    <t>박계원</t>
  </si>
  <si>
    <t>김일혁</t>
  </si>
  <si>
    <t>박철희</t>
  </si>
  <si>
    <t>유태영</t>
  </si>
  <si>
    <t>김태동</t>
  </si>
  <si>
    <t>김유진</t>
  </si>
  <si>
    <t>장원진</t>
  </si>
  <si>
    <t>김미호</t>
  </si>
  <si>
    <t>인천전문대</t>
  </si>
  <si>
    <t>신일호</t>
  </si>
  <si>
    <t>한기철</t>
  </si>
  <si>
    <t>우효동</t>
  </si>
  <si>
    <t>장덕영</t>
  </si>
  <si>
    <t>김상모</t>
  </si>
  <si>
    <t>이요섭</t>
  </si>
  <si>
    <t>강두곤</t>
  </si>
  <si>
    <t>오봉옥</t>
  </si>
  <si>
    <t>박지환</t>
  </si>
  <si>
    <t>김태룡</t>
  </si>
  <si>
    <t>조만형</t>
  </si>
  <si>
    <t>배숙현</t>
  </si>
  <si>
    <t>김정준</t>
  </si>
  <si>
    <t>조병일</t>
  </si>
  <si>
    <t>김행희</t>
  </si>
  <si>
    <t>황태호</t>
  </si>
  <si>
    <t>소상영</t>
  </si>
  <si>
    <t>박광율</t>
  </si>
  <si>
    <t>박철수</t>
  </si>
  <si>
    <t>유영원</t>
  </si>
  <si>
    <t>구한성</t>
  </si>
  <si>
    <t>박재벌</t>
  </si>
  <si>
    <t>김정규</t>
  </si>
  <si>
    <t>염종석</t>
  </si>
  <si>
    <t>이태환</t>
  </si>
  <si>
    <t>정민철</t>
  </si>
  <si>
    <t>이동수</t>
  </si>
  <si>
    <t>전종진</t>
  </si>
  <si>
    <t>곽채진</t>
  </si>
  <si>
    <t>이경호</t>
  </si>
  <si>
    <t>이재주</t>
  </si>
  <si>
    <t>오상욱</t>
  </si>
  <si>
    <t>안병원</t>
  </si>
  <si>
    <t>김민범</t>
  </si>
  <si>
    <t>황윤성</t>
  </si>
  <si>
    <t>김봉영</t>
  </si>
  <si>
    <t>신경호</t>
  </si>
  <si>
    <t>정호진</t>
  </si>
  <si>
    <t>곽재성</t>
  </si>
  <si>
    <t>강희석</t>
  </si>
  <si>
    <t>강효섭</t>
  </si>
  <si>
    <t>송구홍</t>
  </si>
  <si>
    <t>황일권</t>
  </si>
  <si>
    <t>양용모</t>
  </si>
  <si>
    <t>조규제</t>
  </si>
  <si>
    <t>전일수</t>
  </si>
  <si>
    <t>오희주</t>
  </si>
  <si>
    <t>이석구</t>
  </si>
  <si>
    <t>김익재</t>
  </si>
  <si>
    <t>김태석</t>
  </si>
  <si>
    <t>김인권</t>
  </si>
  <si>
    <t>윤용하</t>
  </si>
  <si>
    <t>염경엽</t>
  </si>
  <si>
    <t>이종택</t>
  </si>
  <si>
    <t>강진규</t>
  </si>
  <si>
    <t>노춘섭</t>
  </si>
  <si>
    <t>임주택</t>
  </si>
  <si>
    <t>박기택</t>
  </si>
  <si>
    <t>주경업</t>
  </si>
  <si>
    <t>나진균</t>
  </si>
  <si>
    <t>권영일</t>
  </si>
  <si>
    <t>김기열</t>
  </si>
  <si>
    <t>김기덕</t>
  </si>
  <si>
    <t>백성진</t>
  </si>
  <si>
    <t>김석연</t>
  </si>
  <si>
    <t>고승훈</t>
  </si>
  <si>
    <t>김병주</t>
  </si>
  <si>
    <t>김영운</t>
  </si>
  <si>
    <t>소순배</t>
  </si>
  <si>
    <t>이상범</t>
  </si>
  <si>
    <t>오산고</t>
  </si>
  <si>
    <t>박천유</t>
  </si>
  <si>
    <t>보성고</t>
  </si>
  <si>
    <t>김홍기</t>
  </si>
  <si>
    <t>신현대</t>
  </si>
  <si>
    <t>강남규</t>
  </si>
  <si>
    <t>공봉구</t>
  </si>
  <si>
    <t>김경수</t>
  </si>
  <si>
    <t>김상재</t>
  </si>
  <si>
    <t>송인호</t>
  </si>
  <si>
    <t>정학원</t>
  </si>
  <si>
    <t>김동수</t>
  </si>
  <si>
    <t>박성기</t>
  </si>
  <si>
    <t>박진석</t>
  </si>
  <si>
    <t>강길용</t>
  </si>
  <si>
    <t>윤찬</t>
  </si>
  <si>
    <t>미국 Southwest Baptist(대)</t>
  </si>
  <si>
    <t>정문언</t>
  </si>
  <si>
    <t>김흥만</t>
  </si>
  <si>
    <t>박일현</t>
  </si>
  <si>
    <t>오종우</t>
  </si>
  <si>
    <t>김성철</t>
  </si>
  <si>
    <t>강현철</t>
  </si>
  <si>
    <t>전호근</t>
  </si>
  <si>
    <t>김효용</t>
  </si>
  <si>
    <t>김일훈</t>
  </si>
  <si>
    <t>공용우</t>
  </si>
  <si>
    <t>임성우</t>
  </si>
  <si>
    <t>박경완</t>
  </si>
  <si>
    <t>이병석</t>
  </si>
  <si>
    <t>이우수</t>
  </si>
  <si>
    <t>김성식</t>
  </si>
  <si>
    <t>김성기</t>
  </si>
  <si>
    <t>이종열</t>
  </si>
  <si>
    <t>강병규</t>
  </si>
  <si>
    <t>최영술</t>
  </si>
  <si>
    <t>이전진</t>
  </si>
  <si>
    <t>조중석</t>
  </si>
  <si>
    <t>김인철</t>
  </si>
  <si>
    <t>장진성</t>
  </si>
  <si>
    <t>신동주</t>
  </si>
  <si>
    <t>손영철</t>
  </si>
  <si>
    <t>전상렬</t>
  </si>
  <si>
    <t>최형현</t>
  </si>
  <si>
    <t>유성기</t>
  </si>
  <si>
    <t>김원형</t>
  </si>
  <si>
    <t>이근엽</t>
  </si>
  <si>
    <t>나성열</t>
  </si>
  <si>
    <t>신상윤</t>
  </si>
  <si>
    <t>임규대</t>
  </si>
  <si>
    <t>문귀석</t>
  </si>
  <si>
    <t>김승남</t>
  </si>
  <si>
    <t>김재덕</t>
  </si>
  <si>
    <t>문기영</t>
  </si>
  <si>
    <t>허삼영</t>
  </si>
  <si>
    <t>임형석</t>
  </si>
  <si>
    <t>김경원</t>
  </si>
  <si>
    <t>공필성</t>
  </si>
  <si>
    <t>지화동</t>
  </si>
  <si>
    <t>이태일</t>
  </si>
  <si>
    <t>최해식</t>
  </si>
  <si>
    <t>최광천</t>
  </si>
  <si>
    <t>김경기</t>
  </si>
  <si>
    <t>정회열</t>
  </si>
  <si>
    <t>서준룡</t>
  </si>
  <si>
    <t>손길호</t>
  </si>
  <si>
    <t>유충돌</t>
  </si>
  <si>
    <t>진상봉</t>
  </si>
  <si>
    <t>정인조</t>
  </si>
  <si>
    <t>구동환</t>
  </si>
  <si>
    <t>조정수</t>
  </si>
  <si>
    <t>김종헌</t>
  </si>
  <si>
    <t>강광회</t>
  </si>
  <si>
    <t>김선진</t>
  </si>
  <si>
    <t>청강고</t>
  </si>
  <si>
    <t>전봉석</t>
  </si>
  <si>
    <t>최용철</t>
  </si>
  <si>
    <t>박홍철</t>
  </si>
  <si>
    <t>김만조</t>
  </si>
  <si>
    <t>김우현</t>
  </si>
  <si>
    <t>김력</t>
  </si>
  <si>
    <t>조웅천</t>
  </si>
  <si>
    <t>순천상고</t>
  </si>
  <si>
    <t>강형석</t>
  </si>
  <si>
    <t>조영상</t>
  </si>
  <si>
    <t>김종철</t>
  </si>
  <si>
    <t>김성일</t>
  </si>
  <si>
    <t>윤혁</t>
  </si>
  <si>
    <t>김호</t>
  </si>
  <si>
    <t>김기완</t>
  </si>
  <si>
    <t>김석기</t>
  </si>
  <si>
    <t>구대진</t>
  </si>
  <si>
    <t>정재호</t>
  </si>
  <si>
    <t>김병수</t>
  </si>
  <si>
    <t>장주덕</t>
  </si>
  <si>
    <t>최재룡</t>
  </si>
  <si>
    <t>이동채</t>
  </si>
  <si>
    <t>강민기</t>
  </si>
  <si>
    <t>안명호</t>
  </si>
  <si>
    <t>유태완</t>
  </si>
  <si>
    <t>김원근</t>
  </si>
  <si>
    <t>임돈영</t>
  </si>
  <si>
    <t>권준헌</t>
  </si>
  <si>
    <t>양회열</t>
  </si>
  <si>
    <t>최치용</t>
  </si>
  <si>
    <t>손병희</t>
  </si>
  <si>
    <t>권영구</t>
  </si>
  <si>
    <t>노석기</t>
  </si>
  <si>
    <t>최덕현</t>
  </si>
  <si>
    <t>김창기</t>
  </si>
  <si>
    <t>이지환</t>
  </si>
  <si>
    <t>박인구</t>
  </si>
  <si>
    <t>박규대</t>
  </si>
  <si>
    <t>경남</t>
  </si>
  <si>
    <t>이규창</t>
  </si>
  <si>
    <t>정경훈</t>
  </si>
  <si>
    <t>이상목</t>
  </si>
  <si>
    <t>박종철</t>
  </si>
  <si>
    <t>김민태</t>
  </si>
  <si>
    <t>임진수</t>
  </si>
  <si>
    <t>가내영</t>
  </si>
  <si>
    <t>홍현우</t>
  </si>
  <si>
    <t>최향남</t>
  </si>
  <si>
    <t>양민석</t>
  </si>
  <si>
    <t>서정필</t>
  </si>
  <si>
    <t>김병두</t>
  </si>
  <si>
    <t>박현수</t>
  </si>
  <si>
    <t>김형택</t>
  </si>
  <si>
    <t>최태영</t>
  </si>
  <si>
    <t>강대성</t>
  </si>
  <si>
    <t>조필현</t>
  </si>
  <si>
    <t>최한림</t>
  </si>
  <si>
    <t>김기범</t>
  </si>
  <si>
    <t>MBC</t>
  </si>
  <si>
    <t>최훈재</t>
  </si>
  <si>
    <t>나웅</t>
  </si>
  <si>
    <t>이진</t>
  </si>
  <si>
    <t>김보선</t>
  </si>
  <si>
    <t>황대연</t>
  </si>
  <si>
    <t>진정필</t>
  </si>
  <si>
    <t>강석천</t>
  </si>
  <si>
    <t>하용석</t>
  </si>
  <si>
    <t>최해명</t>
  </si>
  <si>
    <t>허정욱</t>
  </si>
  <si>
    <t>장호익</t>
  </si>
  <si>
    <t>이광우</t>
  </si>
  <si>
    <t>이강철</t>
  </si>
  <si>
    <t>김청수</t>
  </si>
  <si>
    <t>서호진</t>
  </si>
  <si>
    <t>김선일</t>
  </si>
  <si>
    <t>박선일</t>
  </si>
  <si>
    <t>김덕근</t>
  </si>
  <si>
    <t>한명수</t>
  </si>
  <si>
    <t>구동우</t>
  </si>
  <si>
    <t>김인호</t>
  </si>
  <si>
    <t>김락기</t>
  </si>
  <si>
    <t>박용준</t>
  </si>
  <si>
    <t>정명진</t>
  </si>
  <si>
    <t>윤재호</t>
  </si>
  <si>
    <t>이명수</t>
  </si>
  <si>
    <t>이종운</t>
  </si>
  <si>
    <t>이종호</t>
  </si>
  <si>
    <t>이종옥</t>
  </si>
  <si>
    <t>정명원</t>
  </si>
  <si>
    <t>이승범</t>
  </si>
  <si>
    <t>윤동배</t>
  </si>
  <si>
    <t>이상대</t>
  </si>
  <si>
    <t>문승훈</t>
  </si>
  <si>
    <t>성군철</t>
  </si>
  <si>
    <t>나광남</t>
  </si>
  <si>
    <t>손경호</t>
  </si>
  <si>
    <t>김진한</t>
  </si>
  <si>
    <t>송광훈</t>
  </si>
  <si>
    <t>윤성훈</t>
  </si>
  <si>
    <t>현남수</t>
  </si>
  <si>
    <t>정종헌</t>
  </si>
  <si>
    <t>조진구</t>
  </si>
  <si>
    <t>원근호</t>
  </si>
  <si>
    <t>정존수</t>
  </si>
  <si>
    <t>안민석</t>
  </si>
  <si>
    <t>노민승</t>
  </si>
  <si>
    <t>이재호</t>
  </si>
  <si>
    <t>강종필</t>
  </si>
  <si>
    <t>조경택</t>
  </si>
  <si>
    <t>김풍기</t>
  </si>
  <si>
    <t>이경복</t>
  </si>
  <si>
    <t>배현우</t>
  </si>
  <si>
    <t>전태건</t>
  </si>
  <si>
    <t>홍길남</t>
  </si>
  <si>
    <t>김종석</t>
  </si>
  <si>
    <t>송명철</t>
  </si>
  <si>
    <t>이상번</t>
  </si>
  <si>
    <t>추상완</t>
  </si>
  <si>
    <t>손창현</t>
  </si>
  <si>
    <t>이은승</t>
  </si>
  <si>
    <t>김용선</t>
  </si>
  <si>
    <t>김상엽</t>
  </si>
  <si>
    <t>박정은</t>
  </si>
  <si>
    <t>강호규</t>
  </si>
  <si>
    <t>강태원</t>
  </si>
  <si>
    <t>정동해</t>
  </si>
  <si>
    <t>유창균</t>
  </si>
  <si>
    <t>이국성</t>
  </si>
  <si>
    <t>이용철</t>
  </si>
  <si>
    <t>김원식</t>
  </si>
  <si>
    <t>정삼룡</t>
  </si>
  <si>
    <t>구명근</t>
  </si>
  <si>
    <t>장정순</t>
  </si>
  <si>
    <t>홍성연</t>
  </si>
  <si>
    <t>정윤수</t>
  </si>
  <si>
    <t>유명선</t>
  </si>
  <si>
    <t>여태구</t>
  </si>
  <si>
    <t>박은진</t>
  </si>
  <si>
    <t>박상범</t>
  </si>
  <si>
    <t>조계현</t>
  </si>
  <si>
    <t>조양근</t>
  </si>
  <si>
    <t>송진우</t>
  </si>
  <si>
    <t>박상국</t>
  </si>
  <si>
    <t>유광진</t>
  </si>
  <si>
    <t>고정식</t>
  </si>
  <si>
    <t>곽동열</t>
  </si>
  <si>
    <t>김진규</t>
  </si>
  <si>
    <t>신완근</t>
  </si>
  <si>
    <t>곽권희</t>
  </si>
  <si>
    <t>김성규</t>
  </si>
  <si>
    <t>문병권</t>
  </si>
  <si>
    <t>김용희</t>
  </si>
  <si>
    <t>김응국</t>
  </si>
  <si>
    <t>오효근</t>
  </si>
  <si>
    <t>원원근</t>
  </si>
  <si>
    <t>서창기</t>
  </si>
  <si>
    <t>양현기</t>
  </si>
  <si>
    <t>길홍규</t>
  </si>
  <si>
    <t>이홍식</t>
  </si>
  <si>
    <t>김광윤</t>
  </si>
  <si>
    <t>유동효</t>
  </si>
  <si>
    <t>유영환</t>
  </si>
  <si>
    <t>조상헌</t>
  </si>
  <si>
    <t>송형석</t>
  </si>
  <si>
    <t>정영진</t>
  </si>
  <si>
    <t>이상구</t>
  </si>
  <si>
    <t>서일권</t>
  </si>
  <si>
    <t>송재박</t>
  </si>
  <si>
    <t>김홍명</t>
  </si>
  <si>
    <t>정용생</t>
  </si>
  <si>
    <t>김일부</t>
  </si>
  <si>
    <t>강병선</t>
  </si>
  <si>
    <t>서정용</t>
  </si>
  <si>
    <t>차영석</t>
  </si>
  <si>
    <t>김선훈</t>
  </si>
  <si>
    <t>김형균</t>
  </si>
  <si>
    <t>김승태</t>
  </si>
  <si>
    <t>김기홍</t>
  </si>
  <si>
    <t>최달호</t>
  </si>
  <si>
    <t>하창우</t>
  </si>
  <si>
    <t>강규성</t>
  </si>
  <si>
    <t>지성규</t>
  </si>
  <si>
    <t>정태관</t>
  </si>
  <si>
    <t>대광고</t>
  </si>
  <si>
    <t>노찬엽</t>
  </si>
  <si>
    <t>김영직</t>
  </si>
  <si>
    <t>김경남</t>
  </si>
  <si>
    <t>조재환</t>
  </si>
  <si>
    <t>정국헌</t>
  </si>
  <si>
    <t>안성수</t>
  </si>
  <si>
    <t>김대중</t>
  </si>
  <si>
    <t>이중화</t>
  </si>
  <si>
    <t>류중일</t>
  </si>
  <si>
    <t>장태수</t>
  </si>
  <si>
    <t>강기웅</t>
  </si>
  <si>
    <t>임성주</t>
  </si>
  <si>
    <t>청보</t>
  </si>
  <si>
    <t>백인호</t>
  </si>
  <si>
    <t>김만후</t>
  </si>
  <si>
    <t>황윤태</t>
  </si>
  <si>
    <t>박태호</t>
  </si>
  <si>
    <t>이동석</t>
  </si>
  <si>
    <t>이현택</t>
  </si>
  <si>
    <t>최진영</t>
  </si>
  <si>
    <t>전종화</t>
  </si>
  <si>
    <t>정상진</t>
  </si>
  <si>
    <t>김종갑</t>
  </si>
  <si>
    <t>최창호</t>
  </si>
  <si>
    <t>김성길</t>
  </si>
  <si>
    <t>안대환</t>
  </si>
  <si>
    <t>한용덕</t>
  </si>
  <si>
    <t>박현영</t>
  </si>
  <si>
    <t>최계영</t>
  </si>
  <si>
    <t>김태원</t>
  </si>
  <si>
    <t>서효인</t>
  </si>
  <si>
    <t>민경삼</t>
  </si>
  <si>
    <t>이복근</t>
  </si>
  <si>
    <t>박노준</t>
  </si>
  <si>
    <t>박형열</t>
  </si>
  <si>
    <t>임채섭</t>
  </si>
  <si>
    <t>이창원</t>
  </si>
  <si>
    <t>임경택</t>
  </si>
  <si>
    <t>윤학길</t>
  </si>
  <si>
    <t>이효봉</t>
  </si>
  <si>
    <t>김수길</t>
  </si>
  <si>
    <t>유해덕</t>
  </si>
  <si>
    <t>윤홍식</t>
  </si>
  <si>
    <t>김현택</t>
  </si>
  <si>
    <t>한희민</t>
  </si>
  <si>
    <t>김상국</t>
  </si>
  <si>
    <t>이척기</t>
  </si>
  <si>
    <t>최무영</t>
  </si>
  <si>
    <t>이성근</t>
  </si>
  <si>
    <t>임순태</t>
  </si>
  <si>
    <t>구윤</t>
  </si>
  <si>
    <t>최광묵</t>
  </si>
  <si>
    <t>이광근</t>
  </si>
  <si>
    <t>김동기</t>
  </si>
  <si>
    <t>차동철</t>
  </si>
  <si>
    <t>강상진</t>
  </si>
  <si>
    <t>이건열</t>
  </si>
  <si>
    <t>김평호</t>
  </si>
  <si>
    <t>장채근</t>
  </si>
  <si>
    <t>오명록</t>
  </si>
  <si>
    <t>박동희</t>
  </si>
  <si>
    <t>성준</t>
  </si>
  <si>
    <t>김훈기</t>
  </si>
  <si>
    <t>김정태</t>
  </si>
  <si>
    <t>김성수</t>
  </si>
  <si>
    <t>인천체대</t>
  </si>
  <si>
    <t>김강익</t>
  </si>
  <si>
    <t>이군노</t>
  </si>
  <si>
    <t>김연철</t>
  </si>
  <si>
    <t>이연수</t>
  </si>
  <si>
    <t>오덕환</t>
  </si>
  <si>
    <t>이우상</t>
  </si>
  <si>
    <t>조병천</t>
  </si>
  <si>
    <t>김경갑</t>
  </si>
  <si>
    <t>명지고</t>
  </si>
  <si>
    <t>신성철</t>
  </si>
  <si>
    <t>박창언</t>
  </si>
  <si>
    <t>고원부</t>
  </si>
  <si>
    <t>김신부</t>
  </si>
  <si>
    <t>고광수</t>
  </si>
  <si>
    <t>손문곤</t>
  </si>
  <si>
    <t>장종훈</t>
  </si>
  <si>
    <t>창단멤버</t>
  </si>
  <si>
    <t>조찬관</t>
  </si>
  <si>
    <t>이승희</t>
  </si>
  <si>
    <t>이종두</t>
  </si>
  <si>
    <t>예병준</t>
  </si>
  <si>
    <t>김용수</t>
  </si>
  <si>
    <t>정삼흠</t>
  </si>
  <si>
    <t>윤덕규</t>
  </si>
  <si>
    <t>유지홍</t>
  </si>
  <si>
    <t>김형석</t>
  </si>
  <si>
    <t>김영신</t>
  </si>
  <si>
    <t>도이석</t>
  </si>
  <si>
    <t>박희찬</t>
  </si>
  <si>
    <t>이동완</t>
  </si>
  <si>
    <t>한영준</t>
  </si>
  <si>
    <t>이충우</t>
  </si>
  <si>
    <t>전대영</t>
  </si>
  <si>
    <t>이상군</t>
  </si>
  <si>
    <t>정은배</t>
  </si>
  <si>
    <t>삼미</t>
  </si>
  <si>
    <t>최재은</t>
  </si>
  <si>
    <t>이병억</t>
  </si>
  <si>
    <t>양후승</t>
  </si>
  <si>
    <t>김성갑</t>
  </si>
  <si>
    <t>홍순호</t>
  </si>
  <si>
    <t>송상진</t>
  </si>
  <si>
    <t>김용국</t>
  </si>
  <si>
    <t>강정길</t>
  </si>
  <si>
    <t>김기철</t>
  </si>
  <si>
    <t>김태업</t>
  </si>
  <si>
    <t>선동열</t>
  </si>
  <si>
    <t>이순철</t>
  </si>
  <si>
    <t>신태순</t>
  </si>
  <si>
    <t>최상주</t>
  </si>
  <si>
    <t>박흥식</t>
  </si>
  <si>
    <t>안언학</t>
  </si>
  <si>
    <t>양상문</t>
  </si>
  <si>
    <t>민문식</t>
  </si>
  <si>
    <t>박기수</t>
  </si>
  <si>
    <t>탁재원</t>
  </si>
  <si>
    <t>곽연수</t>
  </si>
  <si>
    <t>유고웅</t>
  </si>
  <si>
    <t>조호표</t>
  </si>
  <si>
    <t>서울동산고</t>
  </si>
  <si>
    <t>임창호</t>
  </si>
  <si>
    <t>송유석</t>
  </si>
  <si>
    <t>김영균</t>
  </si>
  <si>
    <t>김봉근</t>
  </si>
  <si>
    <t>김경표</t>
  </si>
  <si>
    <t>유제룡</t>
  </si>
  <si>
    <t>김광림</t>
  </si>
  <si>
    <t>김명구</t>
  </si>
  <si>
    <t>한오종</t>
  </si>
  <si>
    <t>배원영</t>
  </si>
  <si>
    <t>장훈</t>
  </si>
  <si>
    <t>임재준</t>
  </si>
  <si>
    <t>윤석환</t>
  </si>
  <si>
    <t>기세봉</t>
  </si>
  <si>
    <t>홍희섭</t>
  </si>
  <si>
    <t>최동창</t>
  </si>
  <si>
    <t>김진근</t>
  </si>
  <si>
    <t>안창완</t>
  </si>
  <si>
    <t>김한조</t>
  </si>
  <si>
    <t>조성옥</t>
  </si>
  <si>
    <t>정인교</t>
  </si>
  <si>
    <t>조용철</t>
  </si>
  <si>
    <t>최계훈</t>
  </si>
  <si>
    <t>진동한</t>
  </si>
  <si>
    <t>김성래</t>
  </si>
  <si>
    <t>전용권</t>
  </si>
  <si>
    <t>정성룡</t>
  </si>
  <si>
    <t>권기홍</t>
  </si>
  <si>
    <t>문희수</t>
  </si>
  <si>
    <t>강정남</t>
  </si>
  <si>
    <t>조도연</t>
  </si>
  <si>
    <t>이문한</t>
  </si>
  <si>
    <t>사인상</t>
  </si>
  <si>
    <t>이석규</t>
  </si>
  <si>
    <t>김이수</t>
  </si>
  <si>
    <t>김일융</t>
  </si>
  <si>
    <t>송일수</t>
  </si>
  <si>
    <t>홍신차</t>
  </si>
  <si>
    <t>이삼열</t>
  </si>
  <si>
    <t>최일언</t>
  </si>
  <si>
    <t>홍문종</t>
  </si>
  <si>
    <t>박덕용</t>
  </si>
  <si>
    <t>박해종</t>
  </si>
  <si>
    <t>신계석</t>
  </si>
  <si>
    <t>오영일</t>
  </si>
  <si>
    <t>최홍석</t>
  </si>
  <si>
    <t>박철영</t>
  </si>
  <si>
    <t>김문영</t>
  </si>
  <si>
    <t>유성룡</t>
  </si>
  <si>
    <t>장호연</t>
  </si>
  <si>
    <t>한대화</t>
  </si>
  <si>
    <t>정선두</t>
  </si>
  <si>
    <t>송일섭</t>
  </si>
  <si>
    <t>이선웅</t>
  </si>
  <si>
    <t>정구선</t>
  </si>
  <si>
    <t>우경하</t>
  </si>
  <si>
    <t>최동원</t>
  </si>
  <si>
    <t>배경환</t>
  </si>
  <si>
    <t>박정후</t>
  </si>
  <si>
    <t>유두열</t>
  </si>
  <si>
    <t>김호근</t>
  </si>
  <si>
    <t>한문연</t>
  </si>
  <si>
    <t>김석일</t>
  </si>
  <si>
    <t>박영태</t>
  </si>
  <si>
    <t>김종근</t>
  </si>
  <si>
    <t>심재원</t>
  </si>
  <si>
    <t>박명운</t>
  </si>
  <si>
    <t>김상기</t>
  </si>
  <si>
    <t>임호균</t>
  </si>
  <si>
    <t>김시진</t>
  </si>
  <si>
    <t>홍승규</t>
  </si>
  <si>
    <t>박승호</t>
  </si>
  <si>
    <t>황병일</t>
  </si>
  <si>
    <t>김근석</t>
  </si>
  <si>
    <t>장효조</t>
  </si>
  <si>
    <t>양일환</t>
  </si>
  <si>
    <t>김동재</t>
  </si>
  <si>
    <t>장진범</t>
  </si>
  <si>
    <t>조종규</t>
  </si>
  <si>
    <t>김대진</t>
  </si>
  <si>
    <t>김현재</t>
  </si>
  <si>
    <t>박동경</t>
  </si>
  <si>
    <t>유종천</t>
  </si>
  <si>
    <t>이광길</t>
  </si>
  <si>
    <t>양승호</t>
  </si>
  <si>
    <t>이원국</t>
  </si>
  <si>
    <t>이영구</t>
  </si>
  <si>
    <t>장명부</t>
  </si>
  <si>
    <t>황기선</t>
  </si>
  <si>
    <t>주동식</t>
  </si>
  <si>
    <t>김무종</t>
  </si>
  <si>
    <t>이정은</t>
  </si>
  <si>
    <t>엄평재</t>
  </si>
  <si>
    <t>조호</t>
  </si>
  <si>
    <t>김용만</t>
  </si>
  <si>
    <t>방기만</t>
  </si>
  <si>
    <t>이진우</t>
  </si>
  <si>
    <t>철도고</t>
  </si>
  <si>
    <t>정문섭</t>
  </si>
  <si>
    <t>김재박</t>
  </si>
  <si>
    <t>최정기</t>
  </si>
  <si>
    <t>최정우</t>
  </si>
  <si>
    <t>송영운</t>
  </si>
  <si>
    <t>이종도</t>
  </si>
  <si>
    <t>하기룡</t>
  </si>
  <si>
    <t>유종겸</t>
  </si>
  <si>
    <t>유승안</t>
  </si>
  <si>
    <t>박재천</t>
  </si>
  <si>
    <t>차준섭</t>
  </si>
  <si>
    <t>이광권</t>
  </si>
  <si>
    <t>정순명</t>
  </si>
  <si>
    <t>김시철</t>
  </si>
  <si>
    <t>박석채</t>
  </si>
  <si>
    <t>배수희</t>
  </si>
  <si>
    <t>김용윤</t>
  </si>
  <si>
    <t>정영기</t>
  </si>
  <si>
    <t>김용운</t>
  </si>
  <si>
    <t>신언호</t>
  </si>
  <si>
    <t>김용달</t>
  </si>
  <si>
    <t>이광은</t>
  </si>
  <si>
    <t>김인식</t>
  </si>
  <si>
    <t>이길환</t>
  </si>
  <si>
    <t>김봉기</t>
  </si>
  <si>
    <t>백인천</t>
  </si>
  <si>
    <t>한상연</t>
  </si>
  <si>
    <t>김우열</t>
  </si>
  <si>
    <t>강철원</t>
  </si>
  <si>
    <t>김유동</t>
  </si>
  <si>
    <t>유지훤</t>
  </si>
  <si>
    <t>신경식</t>
  </si>
  <si>
    <t>김현홍</t>
  </si>
  <si>
    <t>황태환</t>
  </si>
  <si>
    <t>계형철</t>
  </si>
  <si>
    <t>선우대영</t>
  </si>
  <si>
    <t>박철순</t>
  </si>
  <si>
    <t>박상열</t>
  </si>
  <si>
    <t>김진홍</t>
  </si>
  <si>
    <t>구재서</t>
  </si>
  <si>
    <t>정종현</t>
  </si>
  <si>
    <t>이홍범</t>
  </si>
  <si>
    <t>이근식</t>
  </si>
  <si>
    <t>윤동균</t>
  </si>
  <si>
    <t>양세종</t>
  </si>
  <si>
    <t>구천서</t>
  </si>
  <si>
    <t>김경문</t>
  </si>
  <si>
    <t>김덕열</t>
  </si>
  <si>
    <t>최옥규</t>
  </si>
  <si>
    <t>박용성</t>
  </si>
  <si>
    <t>천창호</t>
  </si>
  <si>
    <t>이성득</t>
  </si>
  <si>
    <t>최순하</t>
  </si>
  <si>
    <t>엄태섭</t>
  </si>
  <si>
    <t>김문희</t>
  </si>
  <si>
    <t>권두조</t>
  </si>
  <si>
    <t>김일환</t>
  </si>
  <si>
    <t>김성관</t>
  </si>
  <si>
    <t>차동열</t>
  </si>
  <si>
    <t>노상수</t>
  </si>
  <si>
    <t>이윤섭</t>
  </si>
  <si>
    <t>김용철</t>
  </si>
  <si>
    <t>오문현</t>
  </si>
  <si>
    <t>대구대건고</t>
  </si>
  <si>
    <t>정성만</t>
  </si>
  <si>
    <t>조흥운</t>
  </si>
  <si>
    <t>장정기</t>
  </si>
  <si>
    <t>김무관</t>
  </si>
  <si>
    <t>감사용</t>
  </si>
  <si>
    <t>송경섭</t>
  </si>
  <si>
    <t>인호봉</t>
  </si>
  <si>
    <t>이철성</t>
  </si>
  <si>
    <t>양승관</t>
  </si>
  <si>
    <t>문주모</t>
  </si>
  <si>
    <t>김구길</t>
  </si>
  <si>
    <t>김동철</t>
  </si>
  <si>
    <t>김호인</t>
  </si>
  <si>
    <t>금광옥</t>
  </si>
  <si>
    <t>허운</t>
  </si>
  <si>
    <t>이춘근</t>
  </si>
  <si>
    <t>이찬선</t>
  </si>
  <si>
    <t>허규옥</t>
  </si>
  <si>
    <t>함학수</t>
  </si>
  <si>
    <t>천보성</t>
  </si>
  <si>
    <t>손상득</t>
  </si>
  <si>
    <t>손상대</t>
  </si>
  <si>
    <t>배대웅</t>
  </si>
  <si>
    <t>이만수</t>
  </si>
  <si>
    <t>정현발</t>
  </si>
  <si>
    <t>오대석</t>
  </si>
  <si>
    <t>김휘욱</t>
  </si>
  <si>
    <t>송진호</t>
  </si>
  <si>
    <t>서정환</t>
  </si>
  <si>
    <t>정구왕</t>
  </si>
  <si>
    <t>권영호</t>
  </si>
  <si>
    <t>이선희</t>
  </si>
  <si>
    <t>김한근</t>
  </si>
  <si>
    <t>황규봉</t>
  </si>
  <si>
    <t>성낙수</t>
  </si>
  <si>
    <t>임신근</t>
  </si>
  <si>
    <t>우용득</t>
  </si>
  <si>
    <t>방수원</t>
  </si>
  <si>
    <t>신태중</t>
  </si>
  <si>
    <t>이상윤</t>
  </si>
  <si>
    <t>최영조</t>
  </si>
  <si>
    <t>강만식</t>
  </si>
  <si>
    <t>임정면</t>
  </si>
  <si>
    <t>김용남</t>
  </si>
  <si>
    <t>홍순만</t>
  </si>
  <si>
    <t>김경훈</t>
  </si>
  <si>
    <t>김종윤</t>
  </si>
  <si>
    <t>김일권</t>
  </si>
  <si>
    <t>김우근</t>
  </si>
  <si>
    <t>김봉연</t>
  </si>
  <si>
    <t>김준환</t>
  </si>
  <si>
    <t>조충열</t>
  </si>
  <si>
    <t>김종모</t>
  </si>
  <si>
    <t>차영화</t>
  </si>
  <si>
    <t>박전섭</t>
  </si>
  <si>
    <t>조범현</t>
  </si>
  <si>
    <t>p_name</t>
    <phoneticPr fontId="4" type="noConversion"/>
  </si>
  <si>
    <t>p_hs</t>
    <phoneticPr fontId="4" type="noConversion"/>
  </si>
  <si>
    <t>p_univ</t>
    <phoneticPr fontId="4" type="noConversion"/>
  </si>
  <si>
    <t>p_draft</t>
    <phoneticPr fontId="4" type="noConversion"/>
  </si>
  <si>
    <t>p_drafted</t>
    <phoneticPr fontId="4" type="noConversion"/>
  </si>
  <si>
    <t>p_debut</t>
    <phoneticPr fontId="4" type="noConversion"/>
  </si>
  <si>
    <t>p_debut_war</t>
    <phoneticPr fontId="4" type="noConversion"/>
  </si>
  <si>
    <t>p_main_team</t>
    <phoneticPr fontId="4" type="noConversion"/>
  </si>
  <si>
    <r>
      <rPr>
        <b/>
        <sz val="8"/>
        <rFont val="맑은 고딕"/>
        <family val="3"/>
        <charset val="129"/>
      </rPr>
      <t>p</t>
    </r>
    <r>
      <rPr>
        <b/>
        <sz val="8"/>
        <rFont val="Arial"/>
        <family val="3"/>
      </rPr>
      <t>_career_war</t>
    </r>
    <phoneticPr fontId="4" type="noConversion"/>
  </si>
  <si>
    <t>p_no</t>
    <phoneticPr fontId="4" type="noConversion"/>
  </si>
  <si>
    <t>p_hs_code</t>
    <phoneticPr fontId="4" type="noConversion"/>
  </si>
  <si>
    <t>p_hs_loc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</si>
</sst>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맑은 고딕"/>
      <family val="2"/>
      <charset val="129"/>
      <scheme val="minor"/>
    </font>
    <font>
      <b/>
      <sz val="8"/>
      <color rgb="FF333333"/>
      <name val="Arial"/>
      <family val="2"/>
    </font>
    <font>
      <sz val="8"/>
      <color rgb="FF000000"/>
      <name val="Arial"/>
      <family val="2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8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name val="맑은 고딕"/>
      <family val="2"/>
      <charset val="129"/>
      <scheme val="minor"/>
    </font>
    <font>
      <b/>
      <sz val="8"/>
      <color rgb="FF333333"/>
      <name val="Arial"/>
      <family val="3"/>
    </font>
    <font>
      <b/>
      <sz val="8"/>
      <name val="맑은 고딕"/>
      <family val="3"/>
      <charset val="129"/>
    </font>
    <font>
      <b/>
      <sz val="8"/>
      <name val="Arial"/>
      <family val="3"/>
    </font>
    <font>
      <b/>
      <sz val="8"/>
      <name val="Arial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5F7F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E7E7E7"/>
      </bottom>
      <diagonal/>
    </border>
    <border>
      <left/>
      <right/>
      <top/>
      <bottom style="medium">
        <color rgb="FFF3F3F3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2" borderId="2" xfId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4" borderId="2" xfId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2" borderId="0" xfId="0" applyFont="1" applyFill="1">
      <alignment vertical="center"/>
    </xf>
    <xf numFmtId="0" fontId="7" fillId="4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tatiz.sporki.com/add/?m=draft_school01&amp;ps_school=50210" TargetMode="External"/><Relationship Id="rId8854" Type="http://schemas.openxmlformats.org/officeDocument/2006/relationships/hyperlink" Target="https://statiz.sporki.com/player/?m=playerinfo&amp;p_no=10562" TargetMode="External"/><Relationship Id="rId18448" Type="http://schemas.openxmlformats.org/officeDocument/2006/relationships/hyperlink" Target="https://statiz.sporki.com/add/?m=draft_school01&amp;ps_school=50111" TargetMode="External"/><Relationship Id="rId8507" Type="http://schemas.openxmlformats.org/officeDocument/2006/relationships/hyperlink" Target="https://statiz.sporki.com/add/?m=draft_school01&amp;ps_school=50602" TargetMode="External"/><Relationship Id="rId11835" Type="http://schemas.openxmlformats.org/officeDocument/2006/relationships/hyperlink" Target="https://statiz.sporki.com/add/?m=draft_school02&amp;ps_school=60111" TargetMode="External"/><Relationship Id="rId6058" Type="http://schemas.openxmlformats.org/officeDocument/2006/relationships/hyperlink" Target="https://statiz.sporki.com/player/?m=playerinfo&amp;p_no=10382" TargetMode="External"/><Relationship Id="rId17531" Type="http://schemas.openxmlformats.org/officeDocument/2006/relationships/hyperlink" Target="https://statiz.sporki.com/add/?m=draft_school01&amp;ps_school=50102" TargetMode="External"/><Relationship Id="rId987" Type="http://schemas.openxmlformats.org/officeDocument/2006/relationships/hyperlink" Target="https://statiz.sporki.com/add/?m=draft_school02&amp;ps_school=60103" TargetMode="External"/><Relationship Id="rId2668" Type="http://schemas.openxmlformats.org/officeDocument/2006/relationships/hyperlink" Target="https://statiz.sporki.com/player/?m=playerinfo&amp;p_no=14194" TargetMode="External"/><Relationship Id="rId15082" Type="http://schemas.openxmlformats.org/officeDocument/2006/relationships/hyperlink" Target="https://statiz.sporki.com/player/?m=playerinfo&amp;p_no=1924" TargetMode="External"/><Relationship Id="rId5141" Type="http://schemas.openxmlformats.org/officeDocument/2006/relationships/hyperlink" Target="https://statiz.sporki.com/add/?m=draft_school01&amp;ps_school=50116" TargetMode="External"/><Relationship Id="rId11692" Type="http://schemas.openxmlformats.org/officeDocument/2006/relationships/hyperlink" Target="https://statiz.sporki.com/player/?m=playerinfo&amp;p_no=1176" TargetMode="External"/><Relationship Id="rId1751" Type="http://schemas.openxmlformats.org/officeDocument/2006/relationships/hyperlink" Target="https://statiz.sporki.com/add/?m=draft_school01&amp;ps_school=" TargetMode="External"/><Relationship Id="rId8364" Type="http://schemas.openxmlformats.org/officeDocument/2006/relationships/hyperlink" Target="https://statiz.sporki.com/add/?m=draft_school02&amp;ps_school=60109" TargetMode="External"/><Relationship Id="rId11345" Type="http://schemas.openxmlformats.org/officeDocument/2006/relationships/hyperlink" Target="https://statiz.sporki.com/add/?m=draft_school01&amp;ps_school=50701" TargetMode="External"/><Relationship Id="rId1404" Type="http://schemas.openxmlformats.org/officeDocument/2006/relationships/hyperlink" Target="https://statiz.sporki.com/add/?m=draft_school02&amp;ps_school=" TargetMode="External"/><Relationship Id="rId8017" Type="http://schemas.openxmlformats.org/officeDocument/2006/relationships/hyperlink" Target="https://statiz.sporki.com/player/?m=playerinfo&amp;p_no=2139" TargetMode="External"/><Relationship Id="rId4627" Type="http://schemas.openxmlformats.org/officeDocument/2006/relationships/hyperlink" Target="https://statiz.sporki.com/player/?m=playerinfo&amp;p_no=11075" TargetMode="External"/><Relationship Id="rId4974" Type="http://schemas.openxmlformats.org/officeDocument/2006/relationships/hyperlink" Target="https://statiz.sporki.com/add/?m=draft_school02&amp;ps_school=60101" TargetMode="External"/><Relationship Id="rId14568" Type="http://schemas.openxmlformats.org/officeDocument/2006/relationships/hyperlink" Target="https://statiz.sporki.com/player/?m=playerinfo&amp;p_no=11457" TargetMode="External"/><Relationship Id="rId17041" Type="http://schemas.openxmlformats.org/officeDocument/2006/relationships/hyperlink" Target="https://statiz.sporki.com/add/?m=draft_school01&amp;ps_school=50111" TargetMode="External"/><Relationship Id="rId497" Type="http://schemas.openxmlformats.org/officeDocument/2006/relationships/hyperlink" Target="https://statiz.sporki.com/add/?m=draft_school01&amp;ps_school=50107" TargetMode="External"/><Relationship Id="rId2178" Type="http://schemas.openxmlformats.org/officeDocument/2006/relationships/hyperlink" Target="https://statiz.sporki.com/add/?m=draft_school02&amp;ps_school=" TargetMode="External"/><Relationship Id="rId7100" Type="http://schemas.openxmlformats.org/officeDocument/2006/relationships/hyperlink" Target="https://statiz.sporki.com/add/?m=draft_school01&amp;ps_school=50108" TargetMode="External"/><Relationship Id="rId13651" Type="http://schemas.openxmlformats.org/officeDocument/2006/relationships/hyperlink" Target="https://statiz.sporki.com/player/?m=playerinfo&amp;p_no=11200" TargetMode="External"/><Relationship Id="rId3710" Type="http://schemas.openxmlformats.org/officeDocument/2006/relationships/hyperlink" Target="https://statiz.sporki.com/add/?m=draft_school01&amp;ps_school=50603" TargetMode="External"/><Relationship Id="rId13304" Type="http://schemas.openxmlformats.org/officeDocument/2006/relationships/hyperlink" Target="https://statiz.sporki.com/player/?m=playerinfo&amp;p_no=12507" TargetMode="External"/><Relationship Id="rId16874" Type="http://schemas.openxmlformats.org/officeDocument/2006/relationships/hyperlink" Target="https://statiz.sporki.com/add/?m=draft_school01&amp;ps_school=50101" TargetMode="External"/><Relationship Id="rId1261" Type="http://schemas.openxmlformats.org/officeDocument/2006/relationships/hyperlink" Target="https://statiz.sporki.com/player/?m=playerinfo&amp;p_no=14845" TargetMode="External"/><Relationship Id="rId6933" Type="http://schemas.openxmlformats.org/officeDocument/2006/relationships/hyperlink" Target="https://statiz.sporki.com/add/?m=draft_school02&amp;ps_school=60704" TargetMode="External"/><Relationship Id="rId16527" Type="http://schemas.openxmlformats.org/officeDocument/2006/relationships/hyperlink" Target="https://statiz.sporki.com/add/?m=draft_school01&amp;ps_school=50108" TargetMode="External"/><Relationship Id="rId4484" Type="http://schemas.openxmlformats.org/officeDocument/2006/relationships/hyperlink" Target="https://statiz.sporki.com/add/?m=draft_school01&amp;ps_school=50705" TargetMode="External"/><Relationship Id="rId14078" Type="http://schemas.openxmlformats.org/officeDocument/2006/relationships/hyperlink" Target="https://statiz.sporki.com/player/?m=playerinfo&amp;p_no=10305" TargetMode="External"/><Relationship Id="rId19000" Type="http://schemas.openxmlformats.org/officeDocument/2006/relationships/hyperlink" Target="https://statiz.sporki.com/add/?m=draft_school01&amp;ps_school=50302" TargetMode="External"/><Relationship Id="rId4137" Type="http://schemas.openxmlformats.org/officeDocument/2006/relationships/hyperlink" Target="https://statiz.sporki.com/add/?m=draft_school02&amp;ps_school=60109" TargetMode="External"/><Relationship Id="rId9809" Type="http://schemas.openxmlformats.org/officeDocument/2006/relationships/hyperlink" Target="https://statiz.sporki.com/add/?m=draft_school01&amp;ps_school=50208" TargetMode="External"/><Relationship Id="rId10688" Type="http://schemas.openxmlformats.org/officeDocument/2006/relationships/hyperlink" Target="https://statiz.sporki.com/add/?m=draft_school01&amp;ps_school=50105" TargetMode="External"/><Relationship Id="rId15610" Type="http://schemas.openxmlformats.org/officeDocument/2006/relationships/hyperlink" Target="https://statiz.sporki.com/player/?m=playerinfo&amp;p_no=1615" TargetMode="External"/><Relationship Id="rId13161" Type="http://schemas.openxmlformats.org/officeDocument/2006/relationships/hyperlink" Target="https://statiz.sporki.com/player/?m=playerinfo&amp;p_no=12995" TargetMode="External"/><Relationship Id="rId18833" Type="http://schemas.openxmlformats.org/officeDocument/2006/relationships/hyperlink" Target="https://statiz.sporki.com/add/?m=draft_school01&amp;ps_school=50126" TargetMode="External"/><Relationship Id="rId3220" Type="http://schemas.openxmlformats.org/officeDocument/2006/relationships/hyperlink" Target="https://statiz.sporki.com/player/?m=playerinfo&amp;p_no=12531" TargetMode="External"/><Relationship Id="rId6790" Type="http://schemas.openxmlformats.org/officeDocument/2006/relationships/hyperlink" Target="https://statiz.sporki.com/player/?m=playerinfo&amp;p_no=11253" TargetMode="External"/><Relationship Id="rId16384" Type="http://schemas.openxmlformats.org/officeDocument/2006/relationships/hyperlink" Target="https://statiz.sporki.com/add/?m=draft_school01&amp;ps_school=50111" TargetMode="External"/><Relationship Id="rId7" Type="http://schemas.openxmlformats.org/officeDocument/2006/relationships/hyperlink" Target="https://statiz.sporki.com/player/?m=playerinfo&amp;p_no=15253" TargetMode="External"/><Relationship Id="rId6443" Type="http://schemas.openxmlformats.org/officeDocument/2006/relationships/hyperlink" Target="https://statiz.sporki.com/add/?m=draft_school01&amp;ps_school=" TargetMode="External"/><Relationship Id="rId16037" Type="http://schemas.openxmlformats.org/officeDocument/2006/relationships/hyperlink" Target="https://statiz.sporki.com/player/?m=playerinfo&amp;p_no=1179" TargetMode="External"/><Relationship Id="rId9666" Type="http://schemas.openxmlformats.org/officeDocument/2006/relationships/hyperlink" Target="https://statiz.sporki.com/add/?m=draft_school02&amp;ps_school=60113" TargetMode="External"/><Relationship Id="rId12994" Type="http://schemas.openxmlformats.org/officeDocument/2006/relationships/hyperlink" Target="https://statiz.sporki.com/player/?m=playerinfo&amp;p_no=13142" TargetMode="External"/><Relationship Id="rId2706" Type="http://schemas.openxmlformats.org/officeDocument/2006/relationships/hyperlink" Target="https://statiz.sporki.com/add/?m=draft_school02&amp;ps_school=60109" TargetMode="External"/><Relationship Id="rId9319" Type="http://schemas.openxmlformats.org/officeDocument/2006/relationships/hyperlink" Target="https://statiz.sporki.com/player/?m=playerinfo&amp;p_no=1842" TargetMode="External"/><Relationship Id="rId10198" Type="http://schemas.openxmlformats.org/officeDocument/2006/relationships/hyperlink" Target="https://statiz.sporki.com/player/?m=playerinfo&amp;p_no=10478" TargetMode="External"/><Relationship Id="rId12647" Type="http://schemas.openxmlformats.org/officeDocument/2006/relationships/hyperlink" Target="https://statiz.sporki.com/player/?m=playerinfo&amp;p_no=14732" TargetMode="External"/><Relationship Id="rId15120" Type="http://schemas.openxmlformats.org/officeDocument/2006/relationships/hyperlink" Target="https://statiz.sporki.com/player/?m=playerinfo&amp;p_no=1912" TargetMode="External"/><Relationship Id="rId18690" Type="http://schemas.openxmlformats.org/officeDocument/2006/relationships/hyperlink" Target="https://statiz.sporki.com/add/?m=draft_school01&amp;ps_school=50209" TargetMode="External"/><Relationship Id="rId5929" Type="http://schemas.openxmlformats.org/officeDocument/2006/relationships/hyperlink" Target="https://statiz.sporki.com/player/?m=playerinfo&amp;p_no=10048" TargetMode="External"/><Relationship Id="rId11730" Type="http://schemas.openxmlformats.org/officeDocument/2006/relationships/hyperlink" Target="https://statiz.sporki.com/add/?m=draft_school02&amp;ps_school=60101" TargetMode="External"/><Relationship Id="rId18343" Type="http://schemas.openxmlformats.org/officeDocument/2006/relationships/hyperlink" Target="https://statiz.sporki.com/add/?m=draft_school01&amp;ps_school=50803" TargetMode="External"/><Relationship Id="rId8402" Type="http://schemas.openxmlformats.org/officeDocument/2006/relationships/hyperlink" Target="https://statiz.sporki.com/add/?m=draft_school01&amp;ps_school=50105" TargetMode="External"/><Relationship Id="rId14953" Type="http://schemas.openxmlformats.org/officeDocument/2006/relationships/hyperlink" Target="https://statiz.sporki.com/player/?m=playerinfo&amp;p_no=10436" TargetMode="External"/><Relationship Id="rId14606" Type="http://schemas.openxmlformats.org/officeDocument/2006/relationships/hyperlink" Target="https://statiz.sporki.com/player/?m=playerinfo&amp;p_no=10435" TargetMode="External"/><Relationship Id="rId882" Type="http://schemas.openxmlformats.org/officeDocument/2006/relationships/hyperlink" Target="https://statiz.sporki.com/add/?m=draft_school02&amp;ps_school=" TargetMode="External"/><Relationship Id="rId2563" Type="http://schemas.openxmlformats.org/officeDocument/2006/relationships/hyperlink" Target="https://statiz.sporki.com/player/?m=playerinfo&amp;p_no=13176" TargetMode="External"/><Relationship Id="rId9176" Type="http://schemas.openxmlformats.org/officeDocument/2006/relationships/hyperlink" Target="https://statiz.sporki.com/add/?m=draft_school01&amp;ps_school=" TargetMode="External"/><Relationship Id="rId12157" Type="http://schemas.openxmlformats.org/officeDocument/2006/relationships/hyperlink" Target="https://statiz.sporki.com/player/?m=playerinfo&amp;p_no=15474" TargetMode="External"/><Relationship Id="rId535" Type="http://schemas.openxmlformats.org/officeDocument/2006/relationships/hyperlink" Target="https://statiz.sporki.com/player/?m=playerinfo&amp;p_no=15058" TargetMode="External"/><Relationship Id="rId2216" Type="http://schemas.openxmlformats.org/officeDocument/2006/relationships/hyperlink" Target="https://statiz.sporki.com/add/?m=draft_school01&amp;ps_school=" TargetMode="External"/><Relationship Id="rId5786" Type="http://schemas.openxmlformats.org/officeDocument/2006/relationships/hyperlink" Target="https://statiz.sporki.com/add/?m=draft_school01&amp;ps_school=50107" TargetMode="External"/><Relationship Id="rId17829" Type="http://schemas.openxmlformats.org/officeDocument/2006/relationships/hyperlink" Target="https://statiz.sporki.com/add/?m=draft_school01&amp;ps_school=50107" TargetMode="External"/><Relationship Id="rId5439" Type="http://schemas.openxmlformats.org/officeDocument/2006/relationships/hyperlink" Target="https://statiz.sporki.com/add/?m=draft_school02&amp;ps_school=" TargetMode="External"/><Relationship Id="rId11240" Type="http://schemas.openxmlformats.org/officeDocument/2006/relationships/hyperlink" Target="https://statiz.sporki.com/add/?m=draft_school01&amp;ps_school=" TargetMode="External"/><Relationship Id="rId16912" Type="http://schemas.openxmlformats.org/officeDocument/2006/relationships/hyperlink" Target="https://statiz.sporki.com/add/?m=draft_school01&amp;ps_school=50108" TargetMode="External"/><Relationship Id="rId14463" Type="http://schemas.openxmlformats.org/officeDocument/2006/relationships/hyperlink" Target="https://statiz.sporki.com/player/?m=playerinfo&amp;p_no=10682" TargetMode="External"/><Relationship Id="rId4522" Type="http://schemas.openxmlformats.org/officeDocument/2006/relationships/hyperlink" Target="https://statiz.sporki.com/player/?m=playerinfo&amp;p_no=11097" TargetMode="External"/><Relationship Id="rId14116" Type="http://schemas.openxmlformats.org/officeDocument/2006/relationships/hyperlink" Target="https://statiz.sporki.com/player/?m=playerinfo&amp;p_no=10370" TargetMode="External"/><Relationship Id="rId17686" Type="http://schemas.openxmlformats.org/officeDocument/2006/relationships/hyperlink" Target="https://statiz.sporki.com/add/?m=draft_school01&amp;ps_school=50801" TargetMode="External"/><Relationship Id="rId392" Type="http://schemas.openxmlformats.org/officeDocument/2006/relationships/hyperlink" Target="https://statiz.sporki.com/add/?m=draft_school01&amp;ps_school=" TargetMode="External"/><Relationship Id="rId2073" Type="http://schemas.openxmlformats.org/officeDocument/2006/relationships/hyperlink" Target="https://statiz.sporki.com/add/?m=draft_school02&amp;ps_school=60205" TargetMode="External"/><Relationship Id="rId7745" Type="http://schemas.openxmlformats.org/officeDocument/2006/relationships/hyperlink" Target="https://statiz.sporki.com/add/?m=draft_school01&amp;ps_school=" TargetMode="External"/><Relationship Id="rId17339" Type="http://schemas.openxmlformats.org/officeDocument/2006/relationships/hyperlink" Target="https://statiz.sporki.com/add/?m=draft_school01&amp;ps_school=50208" TargetMode="External"/><Relationship Id="rId5296" Type="http://schemas.openxmlformats.org/officeDocument/2006/relationships/hyperlink" Target="https://statiz.sporki.com/player/?m=playerinfo&amp;p_no=10753" TargetMode="External"/><Relationship Id="rId10726" Type="http://schemas.openxmlformats.org/officeDocument/2006/relationships/hyperlink" Target="https://statiz.sporki.com/player/?m=playerinfo&amp;p_no=1495" TargetMode="External"/><Relationship Id="rId13949" Type="http://schemas.openxmlformats.org/officeDocument/2006/relationships/hyperlink" Target="https://statiz.sporki.com/player/?m=playerinfo&amp;p_no=10935" TargetMode="External"/><Relationship Id="rId16422" Type="http://schemas.openxmlformats.org/officeDocument/2006/relationships/hyperlink" Target="https://statiz.sporki.com/add/?m=draft_school01&amp;ps_school=50211" TargetMode="External"/><Relationship Id="rId1559" Type="http://schemas.openxmlformats.org/officeDocument/2006/relationships/hyperlink" Target="https://statiz.sporki.com/add/?m=draft_school01&amp;ps_school=50208" TargetMode="External"/><Relationship Id="rId4032" Type="http://schemas.openxmlformats.org/officeDocument/2006/relationships/hyperlink" Target="https://statiz.sporki.com/add/?m=draft_school02&amp;ps_school=" TargetMode="External"/><Relationship Id="rId19645" Type="http://schemas.openxmlformats.org/officeDocument/2006/relationships/hyperlink" Target="https://statiz.sporki.com/add/?m=draft_school01&amp;ps_school=50701" TargetMode="External"/><Relationship Id="rId9704" Type="http://schemas.openxmlformats.org/officeDocument/2006/relationships/hyperlink" Target="https://statiz.sporki.com/add/?m=draft_school01&amp;ps_school=50209" TargetMode="External"/><Relationship Id="rId10583" Type="http://schemas.openxmlformats.org/officeDocument/2006/relationships/hyperlink" Target="https://statiz.sporki.com/add/?m=draft_school01&amp;ps_school=50602" TargetMode="External"/><Relationship Id="rId17196" Type="http://schemas.openxmlformats.org/officeDocument/2006/relationships/hyperlink" Target="https://statiz.sporki.com/add/?m=draft_school01&amp;ps_school=50116" TargetMode="External"/><Relationship Id="rId7255" Type="http://schemas.openxmlformats.org/officeDocument/2006/relationships/hyperlink" Target="https://statiz.sporki.com/player/?m=playerinfo&amp;p_no=2285" TargetMode="External"/><Relationship Id="rId10236" Type="http://schemas.openxmlformats.org/officeDocument/2006/relationships/hyperlink" Target="https://statiz.sporki.com/add/?m=draft_school02&amp;ps_school=" TargetMode="External"/><Relationship Id="rId3865" Type="http://schemas.openxmlformats.org/officeDocument/2006/relationships/hyperlink" Target="https://statiz.sporki.com/player/?m=playerinfo&amp;p_no=13276" TargetMode="External"/><Relationship Id="rId13459" Type="http://schemas.openxmlformats.org/officeDocument/2006/relationships/hyperlink" Target="https://statiz.sporki.com/player/?m=playerinfo&amp;p_no=11409" TargetMode="External"/><Relationship Id="rId15908" Type="http://schemas.openxmlformats.org/officeDocument/2006/relationships/hyperlink" Target="https://statiz.sporki.com/player/?m=playerinfo&amp;p_no=1262" TargetMode="External"/><Relationship Id="rId3518" Type="http://schemas.openxmlformats.org/officeDocument/2006/relationships/hyperlink" Target="https://statiz.sporki.com/add/?m=draft_school01&amp;ps_school=" TargetMode="External"/><Relationship Id="rId1069" Type="http://schemas.openxmlformats.org/officeDocument/2006/relationships/hyperlink" Target="https://statiz.sporki.com/player/?m=playerinfo&amp;p_no=14849" TargetMode="External"/><Relationship Id="rId9214" Type="http://schemas.openxmlformats.org/officeDocument/2006/relationships/hyperlink" Target="https://statiz.sporki.com/player/?m=playerinfo&amp;p_no=1901" TargetMode="External"/><Relationship Id="rId9561" Type="http://schemas.openxmlformats.org/officeDocument/2006/relationships/hyperlink" Target="https://statiz.sporki.com/add/?m=draft_school02&amp;ps_school=60113" TargetMode="External"/><Relationship Id="rId12542" Type="http://schemas.openxmlformats.org/officeDocument/2006/relationships/hyperlink" Target="https://statiz.sporki.com/player/?m=playerinfo&amp;p_no=14841" TargetMode="External"/><Relationship Id="rId19155" Type="http://schemas.openxmlformats.org/officeDocument/2006/relationships/hyperlink" Target="https://statiz.sporki.com/add/?m=draft_school01&amp;ps_school=50402" TargetMode="External"/><Relationship Id="rId920" Type="http://schemas.openxmlformats.org/officeDocument/2006/relationships/hyperlink" Target="https://statiz.sporki.com/add/?m=draft_school01&amp;ps_school=50103" TargetMode="External"/><Relationship Id="rId2601" Type="http://schemas.openxmlformats.org/officeDocument/2006/relationships/hyperlink" Target="https://statiz.sporki.com/add/?m=draft_school02&amp;ps_school=" TargetMode="External"/><Relationship Id="rId10093" Type="http://schemas.openxmlformats.org/officeDocument/2006/relationships/hyperlink" Target="https://statiz.sporki.com/player/?m=playerinfo&amp;p_no=1638" TargetMode="External"/><Relationship Id="rId15765" Type="http://schemas.openxmlformats.org/officeDocument/2006/relationships/hyperlink" Target="https://statiz.sporki.com/player/?m=playerinfo&amp;p_no=1378" TargetMode="External"/><Relationship Id="rId5824" Type="http://schemas.openxmlformats.org/officeDocument/2006/relationships/hyperlink" Target="https://statiz.sporki.com/player/?m=playerinfo&amp;p_no=10227" TargetMode="External"/><Relationship Id="rId15418" Type="http://schemas.openxmlformats.org/officeDocument/2006/relationships/hyperlink" Target="https://statiz.sporki.com/player/?m=playerinfo&amp;p_no=1671" TargetMode="External"/><Relationship Id="rId3375" Type="http://schemas.openxmlformats.org/officeDocument/2006/relationships/hyperlink" Target="https://statiz.sporki.com/add/?m=draft_school02&amp;ps_school=" TargetMode="External"/><Relationship Id="rId18988" Type="http://schemas.openxmlformats.org/officeDocument/2006/relationships/hyperlink" Target="https://statiz.sporki.com/add/?m=draft_school01&amp;ps_school=50608" TargetMode="External"/><Relationship Id="rId3028" Type="http://schemas.openxmlformats.org/officeDocument/2006/relationships/hyperlink" Target="https://statiz.sporki.com/player/?m=playerinfo&amp;p_no=12876" TargetMode="External"/><Relationship Id="rId6598" Type="http://schemas.openxmlformats.org/officeDocument/2006/relationships/hyperlink" Target="https://statiz.sporki.com/player/?m=playerinfo&amp;p_no=10267" TargetMode="External"/><Relationship Id="rId9071" Type="http://schemas.openxmlformats.org/officeDocument/2006/relationships/hyperlink" Target="https://statiz.sporki.com/add/?m=draft_school01&amp;ps_school=50403" TargetMode="External"/><Relationship Id="rId12052" Type="http://schemas.openxmlformats.org/officeDocument/2006/relationships/hyperlink" Target="https://statiz.sporki.com/player/?m=playerinfo&amp;p_no=1042" TargetMode="External"/><Relationship Id="rId14501" Type="http://schemas.openxmlformats.org/officeDocument/2006/relationships/hyperlink" Target="https://statiz.sporki.com/player/?m=playerinfo&amp;p_no=2314" TargetMode="External"/><Relationship Id="rId430" Type="http://schemas.openxmlformats.org/officeDocument/2006/relationships/hyperlink" Target="https://statiz.sporki.com/player/?m=playerinfo&amp;p_no=15622" TargetMode="External"/><Relationship Id="rId2111" Type="http://schemas.openxmlformats.org/officeDocument/2006/relationships/hyperlink" Target="https://statiz.sporki.com/add/?m=draft_school01&amp;ps_school=50402" TargetMode="External"/><Relationship Id="rId17724" Type="http://schemas.openxmlformats.org/officeDocument/2006/relationships/hyperlink" Target="https://statiz.sporki.com/add/?m=draft_school01&amp;ps_school=50103" TargetMode="External"/><Relationship Id="rId5681" Type="http://schemas.openxmlformats.org/officeDocument/2006/relationships/hyperlink" Target="https://statiz.sporki.com/add/?m=draft_school01&amp;ps_school=" TargetMode="External"/><Relationship Id="rId15275" Type="http://schemas.openxmlformats.org/officeDocument/2006/relationships/hyperlink" Target="https://statiz.sporki.com/player/?m=playerinfo&amp;p_no=1856" TargetMode="External"/><Relationship Id="rId5334" Type="http://schemas.openxmlformats.org/officeDocument/2006/relationships/hyperlink" Target="https://statiz.sporki.com/add/?m=draft_school02&amp;ps_school=60203" TargetMode="External"/><Relationship Id="rId11885" Type="http://schemas.openxmlformats.org/officeDocument/2006/relationships/hyperlink" Target="https://statiz.sporki.com/add/?m=draft_school01&amp;ps_school=50807" TargetMode="External"/><Relationship Id="rId18498" Type="http://schemas.openxmlformats.org/officeDocument/2006/relationships/hyperlink" Target="https://statiz.sporki.com/add/?m=draft_school01&amp;ps_school=50403" TargetMode="External"/><Relationship Id="rId1944" Type="http://schemas.openxmlformats.org/officeDocument/2006/relationships/hyperlink" Target="https://statiz.sporki.com/add/?m=draft_school02&amp;ps_school=" TargetMode="External"/><Relationship Id="rId8557" Type="http://schemas.openxmlformats.org/officeDocument/2006/relationships/hyperlink" Target="https://statiz.sporki.com/player/?m=playerinfo&amp;p_no=2002" TargetMode="External"/><Relationship Id="rId11538" Type="http://schemas.openxmlformats.org/officeDocument/2006/relationships/hyperlink" Target="https://statiz.sporki.com/add/?m=draft_school02&amp;ps_school=" TargetMode="External"/><Relationship Id="rId14011" Type="http://schemas.openxmlformats.org/officeDocument/2006/relationships/hyperlink" Target="https://statiz.sporki.com/player/?m=playerinfo&amp;p_no=10757" TargetMode="External"/><Relationship Id="rId17581" Type="http://schemas.openxmlformats.org/officeDocument/2006/relationships/hyperlink" Target="https://statiz.sporki.com/add/?m=draft_school01&amp;ps_school=50103" TargetMode="External"/><Relationship Id="rId5191" Type="http://schemas.openxmlformats.org/officeDocument/2006/relationships/hyperlink" Target="https://statiz.sporki.com/player/?m=playerinfo&amp;p_no=10681" TargetMode="External"/><Relationship Id="rId7640" Type="http://schemas.openxmlformats.org/officeDocument/2006/relationships/hyperlink" Target="https://statiz.sporki.com/add/?m=draft_school01&amp;ps_school=50113" TargetMode="External"/><Relationship Id="rId10621" Type="http://schemas.openxmlformats.org/officeDocument/2006/relationships/hyperlink" Target="https://statiz.sporki.com/player/?m=playerinfo&amp;p_no=1448" TargetMode="External"/><Relationship Id="rId17234" Type="http://schemas.openxmlformats.org/officeDocument/2006/relationships/hyperlink" Target="https://statiz.sporki.com/add/?m=draft_school01&amp;ps_school=50605" TargetMode="External"/><Relationship Id="rId13844" Type="http://schemas.openxmlformats.org/officeDocument/2006/relationships/hyperlink" Target="https://statiz.sporki.com/player/?m=playerinfo&amp;p_no=10846" TargetMode="External"/><Relationship Id="rId3903" Type="http://schemas.openxmlformats.org/officeDocument/2006/relationships/hyperlink" Target="https://statiz.sporki.com/add/?m=draft_school02&amp;ps_school=" TargetMode="External"/><Relationship Id="rId11395" Type="http://schemas.openxmlformats.org/officeDocument/2006/relationships/hyperlink" Target="https://statiz.sporki.com/player/?m=playerinfo&amp;p_no=1365" TargetMode="External"/><Relationship Id="rId1454" Type="http://schemas.openxmlformats.org/officeDocument/2006/relationships/hyperlink" Target="https://statiz.sporki.com/add/?m=draft_school01&amp;ps_school=50101" TargetMode="External"/><Relationship Id="rId8067" Type="http://schemas.openxmlformats.org/officeDocument/2006/relationships/hyperlink" Target="https://statiz.sporki.com/add/?m=draft_school02&amp;ps_school=" TargetMode="External"/><Relationship Id="rId11048" Type="http://schemas.openxmlformats.org/officeDocument/2006/relationships/hyperlink" Target="https://statiz.sporki.com/add/?m=draft_school01&amp;ps_school=50701" TargetMode="External"/><Relationship Id="rId19540" Type="http://schemas.openxmlformats.org/officeDocument/2006/relationships/hyperlink" Target="https://statiz.sporki.com/add/?m=draft_school01&amp;ps_school=50108" TargetMode="External"/><Relationship Id="rId1107" Type="http://schemas.openxmlformats.org/officeDocument/2006/relationships/hyperlink" Target="https://statiz.sporki.com/add/?m=draft_school02&amp;ps_school=" TargetMode="External"/><Relationship Id="rId4677" Type="http://schemas.openxmlformats.org/officeDocument/2006/relationships/hyperlink" Target="https://statiz.sporki.com/add/?m=draft_school02&amp;ps_school=" TargetMode="External"/><Relationship Id="rId17091" Type="http://schemas.openxmlformats.org/officeDocument/2006/relationships/hyperlink" Target="https://statiz.sporki.com/add/?m=draft_school01&amp;ps_school=50113" TargetMode="External"/><Relationship Id="rId7150" Type="http://schemas.openxmlformats.org/officeDocument/2006/relationships/hyperlink" Target="https://statiz.sporki.com/player/?m=playerinfo&amp;p_no=10068" TargetMode="External"/><Relationship Id="rId10131" Type="http://schemas.openxmlformats.org/officeDocument/2006/relationships/hyperlink" Target="https://statiz.sporki.com/add/?m=draft_school02&amp;ps_school=60501" TargetMode="External"/><Relationship Id="rId15803" Type="http://schemas.openxmlformats.org/officeDocument/2006/relationships/hyperlink" Target="https://statiz.sporki.com/player/?m=playerinfo&amp;p_no=1353" TargetMode="External"/><Relationship Id="rId3760" Type="http://schemas.openxmlformats.org/officeDocument/2006/relationships/hyperlink" Target="https://statiz.sporki.com/player/?m=playerinfo&amp;p_no=13242" TargetMode="External"/><Relationship Id="rId13354" Type="http://schemas.openxmlformats.org/officeDocument/2006/relationships/hyperlink" Target="https://statiz.sporki.com/player/?m=playerinfo&amp;p_no=11411" TargetMode="External"/><Relationship Id="rId3413" Type="http://schemas.openxmlformats.org/officeDocument/2006/relationships/hyperlink" Target="https://statiz.sporki.com/add/?m=draft_school01&amp;ps_school=50703" TargetMode="External"/><Relationship Id="rId6983" Type="http://schemas.openxmlformats.org/officeDocument/2006/relationships/hyperlink" Target="https://statiz.sporki.com/add/?m=draft_school01&amp;ps_school=50401" TargetMode="External"/><Relationship Id="rId13007" Type="http://schemas.openxmlformats.org/officeDocument/2006/relationships/hyperlink" Target="https://statiz.sporki.com/player/?m=playerinfo&amp;p_no=13112" TargetMode="External"/><Relationship Id="rId16577" Type="http://schemas.openxmlformats.org/officeDocument/2006/relationships/hyperlink" Target="https://statiz.sporki.com/add/?m=draft_school01&amp;ps_school=51108" TargetMode="External"/><Relationship Id="rId6636" Type="http://schemas.openxmlformats.org/officeDocument/2006/relationships/hyperlink" Target="https://statiz.sporki.com/add/?m=draft_school02&amp;ps_school=" TargetMode="External"/><Relationship Id="rId19050" Type="http://schemas.openxmlformats.org/officeDocument/2006/relationships/hyperlink" Target="https://statiz.sporki.com/add/?m=draft_school01&amp;ps_school=50202" TargetMode="External"/><Relationship Id="rId4187" Type="http://schemas.openxmlformats.org/officeDocument/2006/relationships/hyperlink" Target="https://statiz.sporki.com/add/?m=draft_school01&amp;ps_school=50208" TargetMode="External"/><Relationship Id="rId9859" Type="http://schemas.openxmlformats.org/officeDocument/2006/relationships/hyperlink" Target="https://statiz.sporki.com/player/?m=playerinfo&amp;p_no=1673" TargetMode="External"/><Relationship Id="rId15660" Type="http://schemas.openxmlformats.org/officeDocument/2006/relationships/hyperlink" Target="https://statiz.sporki.com/player/?m=playerinfo&amp;p_no=1425" TargetMode="External"/><Relationship Id="rId3270" Type="http://schemas.openxmlformats.org/officeDocument/2006/relationships/hyperlink" Target="https://statiz.sporki.com/add/?m=draft_school02&amp;ps_school=" TargetMode="External"/><Relationship Id="rId15313" Type="http://schemas.openxmlformats.org/officeDocument/2006/relationships/hyperlink" Target="https://statiz.sporki.com/player/?m=playerinfo&amp;p_no=1848" TargetMode="External"/><Relationship Id="rId18883" Type="http://schemas.openxmlformats.org/officeDocument/2006/relationships/hyperlink" Target="https://statiz.sporki.com/add/?m=draft_school01&amp;ps_school=50806" TargetMode="External"/><Relationship Id="rId8942" Type="http://schemas.openxmlformats.org/officeDocument/2006/relationships/hyperlink" Target="https://statiz.sporki.com/add/?m=draft_school01&amp;ps_school=50802" TargetMode="External"/><Relationship Id="rId11923" Type="http://schemas.openxmlformats.org/officeDocument/2006/relationships/hyperlink" Target="https://statiz.sporki.com/player/?m=playerinfo&amp;p_no=1032" TargetMode="External"/><Relationship Id="rId18536" Type="http://schemas.openxmlformats.org/officeDocument/2006/relationships/hyperlink" Target="https://statiz.sporki.com/add/?m=draft_school01&amp;ps_school=50108" TargetMode="External"/><Relationship Id="rId6493" Type="http://schemas.openxmlformats.org/officeDocument/2006/relationships/hyperlink" Target="https://statiz.sporki.com/player/?m=playerinfo&amp;p_no=10503" TargetMode="External"/><Relationship Id="rId16087" Type="http://schemas.openxmlformats.org/officeDocument/2006/relationships/hyperlink" Target="https://statiz.sporki.com/player/?m=playerinfo&amp;p_no=1105" TargetMode="External"/><Relationship Id="rId6146" Type="http://schemas.openxmlformats.org/officeDocument/2006/relationships/hyperlink" Target="https://statiz.sporki.com/add/?m=draft_school01&amp;ps_school=50203" TargetMode="External"/><Relationship Id="rId12697" Type="http://schemas.openxmlformats.org/officeDocument/2006/relationships/hyperlink" Target="https://statiz.sporki.com/player/?m=playerinfo&amp;p_no=14733" TargetMode="External"/><Relationship Id="rId2756" Type="http://schemas.openxmlformats.org/officeDocument/2006/relationships/hyperlink" Target="https://statiz.sporki.com/add/?m=draft_school01&amp;ps_school=50116" TargetMode="External"/><Relationship Id="rId9369" Type="http://schemas.openxmlformats.org/officeDocument/2006/relationships/hyperlink" Target="https://statiz.sporki.com/add/?m=draft_school02&amp;ps_school=60102" TargetMode="External"/><Relationship Id="rId15170" Type="http://schemas.openxmlformats.org/officeDocument/2006/relationships/hyperlink" Target="https://statiz.sporki.com/player/?m=playerinfo&amp;p_no=2006" TargetMode="External"/><Relationship Id="rId728" Type="http://schemas.openxmlformats.org/officeDocument/2006/relationships/hyperlink" Target="https://statiz.sporki.com/add/?m=draft_school01&amp;ps_school=50901" TargetMode="External"/><Relationship Id="rId2409" Type="http://schemas.openxmlformats.org/officeDocument/2006/relationships/hyperlink" Target="https://statiz.sporki.com/add/?m=draft_school02&amp;ps_school=" TargetMode="External"/><Relationship Id="rId5979" Type="http://schemas.openxmlformats.org/officeDocument/2006/relationships/hyperlink" Target="https://statiz.sporki.com/add/?m=draft_school02&amp;ps_school=" TargetMode="External"/><Relationship Id="rId18393" Type="http://schemas.openxmlformats.org/officeDocument/2006/relationships/hyperlink" Target="https://statiz.sporki.com/add/?m=draft_school01&amp;ps_school=50705" TargetMode="External"/><Relationship Id="rId8452" Type="http://schemas.openxmlformats.org/officeDocument/2006/relationships/hyperlink" Target="https://statiz.sporki.com/player/?m=playerinfo&amp;p_no=2079" TargetMode="External"/><Relationship Id="rId11780" Type="http://schemas.openxmlformats.org/officeDocument/2006/relationships/hyperlink" Target="https://statiz.sporki.com/add/?m=draft_school01&amp;ps_school=50114" TargetMode="External"/><Relationship Id="rId18046" Type="http://schemas.openxmlformats.org/officeDocument/2006/relationships/hyperlink" Target="https://statiz.sporki.com/add/?m=draft_school01&amp;ps_school=50402" TargetMode="External"/><Relationship Id="rId8105" Type="http://schemas.openxmlformats.org/officeDocument/2006/relationships/hyperlink" Target="https://statiz.sporki.com/add/?m=draft_school01&amp;ps_school=50101" TargetMode="External"/><Relationship Id="rId11433" Type="http://schemas.openxmlformats.org/officeDocument/2006/relationships/hyperlink" Target="https://statiz.sporki.com/add/?m=draft_school02&amp;ps_school=60109" TargetMode="External"/><Relationship Id="rId14656" Type="http://schemas.openxmlformats.org/officeDocument/2006/relationships/hyperlink" Target="https://statiz.sporki.com/player/?m=playerinfo&amp;p_no=2258" TargetMode="External"/><Relationship Id="rId4715" Type="http://schemas.openxmlformats.org/officeDocument/2006/relationships/hyperlink" Target="https://statiz.sporki.com/add/?m=draft_school01&amp;ps_school=50107" TargetMode="External"/><Relationship Id="rId14309" Type="http://schemas.openxmlformats.org/officeDocument/2006/relationships/hyperlink" Target="https://statiz.sporki.com/player/?m=playerinfo&amp;p_no=10359" TargetMode="External"/><Relationship Id="rId17879" Type="http://schemas.openxmlformats.org/officeDocument/2006/relationships/hyperlink" Target="https://statiz.sporki.com/add/?m=draft_school01&amp;ps_school=50402" TargetMode="External"/><Relationship Id="rId585" Type="http://schemas.openxmlformats.org/officeDocument/2006/relationships/hyperlink" Target="https://statiz.sporki.com/add/?m=draft_school02&amp;ps_school=" TargetMode="External"/><Relationship Id="rId2266" Type="http://schemas.openxmlformats.org/officeDocument/2006/relationships/hyperlink" Target="https://statiz.sporki.com/player/?m=playerinfo&amp;p_no=14213" TargetMode="External"/><Relationship Id="rId7938" Type="http://schemas.openxmlformats.org/officeDocument/2006/relationships/hyperlink" Target="https://statiz.sporki.com/add/?m=draft_school02&amp;ps_school=60801" TargetMode="External"/><Relationship Id="rId238" Type="http://schemas.openxmlformats.org/officeDocument/2006/relationships/hyperlink" Target="https://statiz.sporki.com/player/?m=playerinfo&amp;p_no=15524" TargetMode="External"/><Relationship Id="rId5489" Type="http://schemas.openxmlformats.org/officeDocument/2006/relationships/hyperlink" Target="https://statiz.sporki.com/add/?m=draft_school01&amp;ps_school=50604" TargetMode="External"/><Relationship Id="rId10919" Type="http://schemas.openxmlformats.org/officeDocument/2006/relationships/hyperlink" Target="https://statiz.sporki.com/add/?m=draft_school01&amp;ps_school=50815" TargetMode="External"/><Relationship Id="rId11290" Type="http://schemas.openxmlformats.org/officeDocument/2006/relationships/hyperlink" Target="https://statiz.sporki.com/player/?m=playerinfo&amp;p_no=1242" TargetMode="External"/><Relationship Id="rId16962" Type="http://schemas.openxmlformats.org/officeDocument/2006/relationships/hyperlink" Target="https://statiz.sporki.com/add/?m=draft_school01&amp;ps_school=50209" TargetMode="External"/><Relationship Id="rId1002" Type="http://schemas.openxmlformats.org/officeDocument/2006/relationships/hyperlink" Target="https://statiz.sporki.com/add/?m=draft_school02&amp;ps_school=" TargetMode="External"/><Relationship Id="rId16615" Type="http://schemas.openxmlformats.org/officeDocument/2006/relationships/hyperlink" Target="https://statiz.sporki.com/add/?m=draft_school01&amp;ps_school=50802" TargetMode="External"/><Relationship Id="rId4572" Type="http://schemas.openxmlformats.org/officeDocument/2006/relationships/hyperlink" Target="https://statiz.sporki.com/add/?m=draft_school02&amp;ps_school=" TargetMode="External"/><Relationship Id="rId14166" Type="http://schemas.openxmlformats.org/officeDocument/2006/relationships/hyperlink" Target="https://statiz.sporki.com/player/?m=playerinfo&amp;p_no=10196" TargetMode="External"/><Relationship Id="rId4225" Type="http://schemas.openxmlformats.org/officeDocument/2006/relationships/hyperlink" Target="https://statiz.sporki.com/player/?m=playerinfo&amp;p_no=11274" TargetMode="External"/><Relationship Id="rId7795" Type="http://schemas.openxmlformats.org/officeDocument/2006/relationships/hyperlink" Target="https://statiz.sporki.com/player/?m=playerinfo&amp;p_no=10558" TargetMode="External"/><Relationship Id="rId10776" Type="http://schemas.openxmlformats.org/officeDocument/2006/relationships/hyperlink" Target="https://statiz.sporki.com/add/?m=draft_school02&amp;ps_school=60102" TargetMode="External"/><Relationship Id="rId17389" Type="http://schemas.openxmlformats.org/officeDocument/2006/relationships/hyperlink" Target="https://statiz.sporki.com/add/?m=draft_school01&amp;ps_school=50903" TargetMode="External"/><Relationship Id="rId7448" Type="http://schemas.openxmlformats.org/officeDocument/2006/relationships/hyperlink" Target="https://statiz.sporki.com/add/?m=draft_school01&amp;ps_school=50502" TargetMode="External"/><Relationship Id="rId10429" Type="http://schemas.openxmlformats.org/officeDocument/2006/relationships/hyperlink" Target="https://statiz.sporki.com/player/?m=playerinfo&amp;p_no=1519" TargetMode="External"/><Relationship Id="rId13999" Type="http://schemas.openxmlformats.org/officeDocument/2006/relationships/hyperlink" Target="https://statiz.sporki.com/player/?m=playerinfo&amp;p_no=10609" TargetMode="External"/><Relationship Id="rId16472" Type="http://schemas.openxmlformats.org/officeDocument/2006/relationships/hyperlink" Target="https://statiz.sporki.com/add/?m=draft_school01&amp;ps_school=50103" TargetMode="External"/><Relationship Id="rId18921" Type="http://schemas.openxmlformats.org/officeDocument/2006/relationships/hyperlink" Target="https://statiz.sporki.com/add/?m=draft_school01&amp;ps_school=50706" TargetMode="External"/><Relationship Id="rId6531" Type="http://schemas.openxmlformats.org/officeDocument/2006/relationships/hyperlink" Target="https://statiz.sporki.com/add/?m=draft_school02&amp;ps_school=" TargetMode="External"/><Relationship Id="rId16125" Type="http://schemas.openxmlformats.org/officeDocument/2006/relationships/hyperlink" Target="https://statiz.sporki.com/player/?m=playerinfo&amp;p_no=12714" TargetMode="External"/><Relationship Id="rId4082" Type="http://schemas.openxmlformats.org/officeDocument/2006/relationships/hyperlink" Target="https://statiz.sporki.com/add/?m=draft_school01&amp;ps_school=50103" TargetMode="External"/><Relationship Id="rId9754" Type="http://schemas.openxmlformats.org/officeDocument/2006/relationships/hyperlink" Target="https://statiz.sporki.com/player/?m=playerinfo&amp;p_no=1826" TargetMode="External"/><Relationship Id="rId12735" Type="http://schemas.openxmlformats.org/officeDocument/2006/relationships/hyperlink" Target="https://statiz.sporki.com/player/?m=playerinfo&amp;p_no=14726" TargetMode="External"/><Relationship Id="rId19348" Type="http://schemas.openxmlformats.org/officeDocument/2006/relationships/hyperlink" Target="https://statiz.sporki.com/add/?m=draft_school01&amp;ps_school=50711" TargetMode="External"/><Relationship Id="rId9407" Type="http://schemas.openxmlformats.org/officeDocument/2006/relationships/hyperlink" Target="https://statiz.sporki.com/add/?m=draft_school01&amp;ps_school=50126" TargetMode="External"/><Relationship Id="rId10286" Type="http://schemas.openxmlformats.org/officeDocument/2006/relationships/hyperlink" Target="https://statiz.sporki.com/add/?m=draft_school01&amp;ps_school=50807" TargetMode="External"/><Relationship Id="rId15958" Type="http://schemas.openxmlformats.org/officeDocument/2006/relationships/hyperlink" Target="https://statiz.sporki.com/player/?m=playerinfo&amp;p_no=1311" TargetMode="External"/><Relationship Id="rId18431" Type="http://schemas.openxmlformats.org/officeDocument/2006/relationships/hyperlink" Target="https://statiz.sporki.com/add/?m=draft_school01&amp;ps_school=50401" TargetMode="External"/><Relationship Id="rId3568" Type="http://schemas.openxmlformats.org/officeDocument/2006/relationships/hyperlink" Target="https://statiz.sporki.com/player/?m=playerinfo&amp;p_no=14887" TargetMode="External"/><Relationship Id="rId6041" Type="http://schemas.openxmlformats.org/officeDocument/2006/relationships/hyperlink" Target="https://statiz.sporki.com/add/?m=draft_school01&amp;ps_school=50602" TargetMode="External"/><Relationship Id="rId9264" Type="http://schemas.openxmlformats.org/officeDocument/2006/relationships/hyperlink" Target="https://statiz.sporki.com/add/?m=draft_school02&amp;ps_school=" TargetMode="External"/><Relationship Id="rId12592" Type="http://schemas.openxmlformats.org/officeDocument/2006/relationships/hyperlink" Target="https://statiz.sporki.com/player/?m=playerinfo&amp;p_no=14835" TargetMode="External"/><Relationship Id="rId970" Type="http://schemas.openxmlformats.org/officeDocument/2006/relationships/hyperlink" Target="https://statiz.sporki.com/player/?m=playerinfo&amp;p_no=14771" TargetMode="External"/><Relationship Id="rId2651" Type="http://schemas.openxmlformats.org/officeDocument/2006/relationships/hyperlink" Target="https://statiz.sporki.com/add/?m=draft_school01&amp;ps_school=" TargetMode="External"/><Relationship Id="rId12245" Type="http://schemas.openxmlformats.org/officeDocument/2006/relationships/hyperlink" Target="https://statiz.sporki.com/player/?m=playerinfo&amp;p_no=15483" TargetMode="External"/><Relationship Id="rId17917" Type="http://schemas.openxmlformats.org/officeDocument/2006/relationships/hyperlink" Target="https://statiz.sporki.com/add/?m=draft_school01&amp;ps_school=50401" TargetMode="External"/><Relationship Id="rId623" Type="http://schemas.openxmlformats.org/officeDocument/2006/relationships/hyperlink" Target="https://statiz.sporki.com/add/?m=draft_school01&amp;ps_school=50403" TargetMode="External"/><Relationship Id="rId2304" Type="http://schemas.openxmlformats.org/officeDocument/2006/relationships/hyperlink" Target="https://statiz.sporki.com/add/?m=draft_school02&amp;ps_school=" TargetMode="External"/><Relationship Id="rId5874" Type="http://schemas.openxmlformats.org/officeDocument/2006/relationships/hyperlink" Target="https://statiz.sporki.com/add/?m=draft_school02&amp;ps_school=60103" TargetMode="External"/><Relationship Id="rId15468" Type="http://schemas.openxmlformats.org/officeDocument/2006/relationships/hyperlink" Target="https://statiz.sporki.com/player/?m=playerinfo&amp;p_no=1744" TargetMode="External"/><Relationship Id="rId5527" Type="http://schemas.openxmlformats.org/officeDocument/2006/relationships/hyperlink" Target="https://statiz.sporki.com/player/?m=playerinfo&amp;p_no=10313" TargetMode="External"/><Relationship Id="rId3078" Type="http://schemas.openxmlformats.org/officeDocument/2006/relationships/hyperlink" Target="https://statiz.sporki.com/add/?m=draft_school02&amp;ps_school=" TargetMode="External"/><Relationship Id="rId8000" Type="http://schemas.openxmlformats.org/officeDocument/2006/relationships/hyperlink" Target="https://statiz.sporki.com/add/?m=draft_school01&amp;ps_school=" TargetMode="External"/><Relationship Id="rId14551" Type="http://schemas.openxmlformats.org/officeDocument/2006/relationships/hyperlink" Target="https://statiz.sporki.com/player/?m=playerinfo&amp;p_no=10159" TargetMode="External"/><Relationship Id="rId4610" Type="http://schemas.openxmlformats.org/officeDocument/2006/relationships/hyperlink" Target="https://statiz.sporki.com/add/?m=draft_school01&amp;ps_school=50803" TargetMode="External"/><Relationship Id="rId14204" Type="http://schemas.openxmlformats.org/officeDocument/2006/relationships/hyperlink" Target="https://statiz.sporki.com/player/?m=playerinfo&amp;p_no=2418" TargetMode="External"/><Relationship Id="rId480" Type="http://schemas.openxmlformats.org/officeDocument/2006/relationships/hyperlink" Target="https://statiz.sporki.com/add/?m=draft_school02&amp;ps_school=" TargetMode="External"/><Relationship Id="rId2161" Type="http://schemas.openxmlformats.org/officeDocument/2006/relationships/hyperlink" Target="https://statiz.sporki.com/player/?m=playerinfo&amp;p_no=14169" TargetMode="External"/><Relationship Id="rId17774" Type="http://schemas.openxmlformats.org/officeDocument/2006/relationships/hyperlink" Target="https://statiz.sporki.com/add/?m=draft_school01&amp;ps_school=50501" TargetMode="External"/><Relationship Id="rId133" Type="http://schemas.openxmlformats.org/officeDocument/2006/relationships/hyperlink" Target="https://statiz.sporki.com/player/?m=playerinfo&amp;p_no=15465" TargetMode="External"/><Relationship Id="rId5384" Type="http://schemas.openxmlformats.org/officeDocument/2006/relationships/hyperlink" Target="https://statiz.sporki.com/add/?m=draft_school01&amp;ps_school=" TargetMode="External"/><Relationship Id="rId7833" Type="http://schemas.openxmlformats.org/officeDocument/2006/relationships/hyperlink" Target="https://statiz.sporki.com/add/?m=draft_school02&amp;ps_school=" TargetMode="External"/><Relationship Id="rId10814" Type="http://schemas.openxmlformats.org/officeDocument/2006/relationships/hyperlink" Target="https://statiz.sporki.com/add/?m=draft_school01&amp;ps_school=50501" TargetMode="External"/><Relationship Id="rId17427" Type="http://schemas.openxmlformats.org/officeDocument/2006/relationships/hyperlink" Target="https://statiz.sporki.com/add/?m=draft_school01&amp;ps_school=50802" TargetMode="External"/><Relationship Id="rId5037" Type="http://schemas.openxmlformats.org/officeDocument/2006/relationships/hyperlink" Target="https://statiz.sporki.com/add/?m=draft_school02&amp;ps_school=" TargetMode="External"/><Relationship Id="rId1994" Type="http://schemas.openxmlformats.org/officeDocument/2006/relationships/hyperlink" Target="https://statiz.sporki.com/add/?m=draft_school01&amp;ps_school=50110" TargetMode="External"/><Relationship Id="rId11588" Type="http://schemas.openxmlformats.org/officeDocument/2006/relationships/hyperlink" Target="https://statiz.sporki.com/add/?m=draft_school01&amp;ps_school=50802" TargetMode="External"/><Relationship Id="rId16510" Type="http://schemas.openxmlformats.org/officeDocument/2006/relationships/hyperlink" Target="https://statiz.sporki.com/add/?m=draft_school01&amp;ps_school=50215" TargetMode="External"/><Relationship Id="rId1647" Type="http://schemas.openxmlformats.org/officeDocument/2006/relationships/hyperlink" Target="https://statiz.sporki.com/add/?m=draft_school02&amp;ps_school=" TargetMode="External"/><Relationship Id="rId14061" Type="http://schemas.openxmlformats.org/officeDocument/2006/relationships/hyperlink" Target="https://statiz.sporki.com/player/?m=playerinfo&amp;p_no=10014" TargetMode="External"/><Relationship Id="rId4120" Type="http://schemas.openxmlformats.org/officeDocument/2006/relationships/hyperlink" Target="https://statiz.sporki.com/player/?m=playerinfo&amp;p_no=11340" TargetMode="External"/><Relationship Id="rId7690" Type="http://schemas.openxmlformats.org/officeDocument/2006/relationships/hyperlink" Target="https://statiz.sporki.com/player/?m=playerinfo&amp;p_no=2352" TargetMode="External"/><Relationship Id="rId17284" Type="http://schemas.openxmlformats.org/officeDocument/2006/relationships/hyperlink" Target="https://statiz.sporki.com/add/?m=draft_school01&amp;ps_school=50705" TargetMode="External"/><Relationship Id="rId7343" Type="http://schemas.openxmlformats.org/officeDocument/2006/relationships/hyperlink" Target="https://statiz.sporki.com/add/?m=draft_school01&amp;ps_school=50301" TargetMode="External"/><Relationship Id="rId10671" Type="http://schemas.openxmlformats.org/officeDocument/2006/relationships/hyperlink" Target="https://statiz.sporki.com/add/?m=draft_school02&amp;ps_school=60705" TargetMode="External"/><Relationship Id="rId10324" Type="http://schemas.openxmlformats.org/officeDocument/2006/relationships/hyperlink" Target="https://statiz.sporki.com/player/?m=playerinfo&amp;p_no=1516" TargetMode="External"/><Relationship Id="rId13894" Type="http://schemas.openxmlformats.org/officeDocument/2006/relationships/hyperlink" Target="https://statiz.sporki.com/player/?m=playerinfo&amp;p_no=10640" TargetMode="External"/><Relationship Id="rId3953" Type="http://schemas.openxmlformats.org/officeDocument/2006/relationships/hyperlink" Target="https://statiz.sporki.com/add/?m=draft_school01&amp;ps_school=" TargetMode="External"/><Relationship Id="rId13547" Type="http://schemas.openxmlformats.org/officeDocument/2006/relationships/hyperlink" Target="https://statiz.sporki.com/player/?m=playerinfo&amp;p_no=11207" TargetMode="External"/><Relationship Id="rId3606" Type="http://schemas.openxmlformats.org/officeDocument/2006/relationships/hyperlink" Target="https://statiz.sporki.com/add/?m=draft_school02&amp;ps_school=60108" TargetMode="External"/><Relationship Id="rId11098" Type="http://schemas.openxmlformats.org/officeDocument/2006/relationships/hyperlink" Target="https://statiz.sporki.com/player/?m=playerinfo&amp;p_no=1305" TargetMode="External"/><Relationship Id="rId16020" Type="http://schemas.openxmlformats.org/officeDocument/2006/relationships/hyperlink" Target="https://statiz.sporki.com/player/?m=playerinfo&amp;p_no=1173" TargetMode="External"/><Relationship Id="rId19590" Type="http://schemas.openxmlformats.org/officeDocument/2006/relationships/hyperlink" Target="https://statiz.sporki.com/add/?m=draft_school01&amp;ps_school=50807" TargetMode="External"/><Relationship Id="rId1157" Type="http://schemas.openxmlformats.org/officeDocument/2006/relationships/hyperlink" Target="https://statiz.sporki.com/add/?m=draft_school01&amp;ps_school=50108" TargetMode="External"/><Relationship Id="rId6829" Type="http://schemas.openxmlformats.org/officeDocument/2006/relationships/hyperlink" Target="https://statiz.sporki.com/player/?m=playerinfo&amp;p_no=2354" TargetMode="External"/><Relationship Id="rId12630" Type="http://schemas.openxmlformats.org/officeDocument/2006/relationships/hyperlink" Target="https://statiz.sporki.com/player/?m=playerinfo&amp;p_no=14695" TargetMode="External"/><Relationship Id="rId19243" Type="http://schemas.openxmlformats.org/officeDocument/2006/relationships/hyperlink" Target="https://statiz.sporki.com/add/?m=draft_school01&amp;ps_school=50804" TargetMode="External"/><Relationship Id="rId9302" Type="http://schemas.openxmlformats.org/officeDocument/2006/relationships/hyperlink" Target="https://statiz.sporki.com/add/?m=draft_school01&amp;ps_school=50114" TargetMode="External"/><Relationship Id="rId10181" Type="http://schemas.openxmlformats.org/officeDocument/2006/relationships/hyperlink" Target="https://statiz.sporki.com/add/?m=draft_school01&amp;ps_school=50806" TargetMode="External"/><Relationship Id="rId15853" Type="http://schemas.openxmlformats.org/officeDocument/2006/relationships/hyperlink" Target="https://statiz.sporki.com/player/?m=playerinfo&amp;p_no=1312" TargetMode="External"/><Relationship Id="rId3463" Type="http://schemas.openxmlformats.org/officeDocument/2006/relationships/hyperlink" Target="https://statiz.sporki.com/player/?m=playerinfo&amp;p_no=12636" TargetMode="External"/><Relationship Id="rId5912" Type="http://schemas.openxmlformats.org/officeDocument/2006/relationships/hyperlink" Target="https://statiz.sporki.com/add/?m=draft_school01&amp;ps_school=50109" TargetMode="External"/><Relationship Id="rId13057" Type="http://schemas.openxmlformats.org/officeDocument/2006/relationships/hyperlink" Target="https://statiz.sporki.com/player/?m=playerinfo&amp;p_no=12907" TargetMode="External"/><Relationship Id="rId15506" Type="http://schemas.openxmlformats.org/officeDocument/2006/relationships/hyperlink" Target="https://statiz.sporki.com/player/?m=playerinfo&amp;p_no=1638" TargetMode="External"/><Relationship Id="rId3116" Type="http://schemas.openxmlformats.org/officeDocument/2006/relationships/hyperlink" Target="https://statiz.sporki.com/add/?m=draft_school01&amp;ps_school=" TargetMode="External"/><Relationship Id="rId18729" Type="http://schemas.openxmlformats.org/officeDocument/2006/relationships/hyperlink" Target="https://statiz.sporki.com/add/?m=draft_school01&amp;ps_school=50111" TargetMode="External"/><Relationship Id="rId6686" Type="http://schemas.openxmlformats.org/officeDocument/2006/relationships/hyperlink" Target="https://statiz.sporki.com/add/?m=draft_school01&amp;ps_school=50806" TargetMode="External"/><Relationship Id="rId6339" Type="http://schemas.openxmlformats.org/officeDocument/2006/relationships/hyperlink" Target="https://statiz.sporki.com/add/?m=draft_school02&amp;ps_school=" TargetMode="External"/><Relationship Id="rId12140" Type="http://schemas.openxmlformats.org/officeDocument/2006/relationships/hyperlink" Target="https://statiz.sporki.com/add/?m=draft_school01&amp;ps_school=50114" TargetMode="External"/><Relationship Id="rId2949" Type="http://schemas.openxmlformats.org/officeDocument/2006/relationships/hyperlink" Target="https://statiz.sporki.com/add/?m=draft_school02&amp;ps_school=" TargetMode="External"/><Relationship Id="rId15363" Type="http://schemas.openxmlformats.org/officeDocument/2006/relationships/hyperlink" Target="https://statiz.sporki.com/player/?m=playerinfo&amp;p_no=1824" TargetMode="External"/><Relationship Id="rId17812" Type="http://schemas.openxmlformats.org/officeDocument/2006/relationships/hyperlink" Target="https://statiz.sporki.com/add/?m=draft_school01&amp;ps_school=50805" TargetMode="External"/><Relationship Id="rId5422" Type="http://schemas.openxmlformats.org/officeDocument/2006/relationships/hyperlink" Target="https://statiz.sporki.com/player/?m=playerinfo&amp;p_no=10935" TargetMode="External"/><Relationship Id="rId15016" Type="http://schemas.openxmlformats.org/officeDocument/2006/relationships/hyperlink" Target="https://statiz.sporki.com/player/?m=playerinfo&amp;p_no=1974" TargetMode="External"/><Relationship Id="rId8992" Type="http://schemas.openxmlformats.org/officeDocument/2006/relationships/hyperlink" Target="https://statiz.sporki.com/player/?m=playerinfo&amp;p_no=2232" TargetMode="External"/><Relationship Id="rId11973" Type="http://schemas.openxmlformats.org/officeDocument/2006/relationships/hyperlink" Target="https://statiz.sporki.com/add/?m=draft_school02&amp;ps_school=" TargetMode="External"/><Relationship Id="rId18586" Type="http://schemas.openxmlformats.org/officeDocument/2006/relationships/hyperlink" Target="https://statiz.sporki.com/add/?m=draft_school01&amp;ps_school=50805" TargetMode="External"/><Relationship Id="rId6196" Type="http://schemas.openxmlformats.org/officeDocument/2006/relationships/hyperlink" Target="https://statiz.sporki.com/player/?m=playerinfo&amp;p_no=2425" TargetMode="External"/><Relationship Id="rId8645" Type="http://schemas.openxmlformats.org/officeDocument/2006/relationships/hyperlink" Target="https://statiz.sporki.com/add/?m=draft_school01&amp;ps_school=50701" TargetMode="External"/><Relationship Id="rId11626" Type="http://schemas.openxmlformats.org/officeDocument/2006/relationships/hyperlink" Target="https://statiz.sporki.com/player/?m=playerinfo&amp;p_no=1180" TargetMode="External"/><Relationship Id="rId18239" Type="http://schemas.openxmlformats.org/officeDocument/2006/relationships/hyperlink" Target="https://statiz.sporki.com/add/?m=draft_school01&amp;ps_school=50107" TargetMode="External"/><Relationship Id="rId14849" Type="http://schemas.openxmlformats.org/officeDocument/2006/relationships/hyperlink" Target="https://statiz.sporki.com/player/?m=playerinfo&amp;p_no=2102" TargetMode="External"/><Relationship Id="rId4908" Type="http://schemas.openxmlformats.org/officeDocument/2006/relationships/hyperlink" Target="https://statiz.sporki.com/add/?m=draft_school02&amp;ps_school=" TargetMode="External"/><Relationship Id="rId17322" Type="http://schemas.openxmlformats.org/officeDocument/2006/relationships/hyperlink" Target="https://statiz.sporki.com/add/?m=draft_school01&amp;ps_school=50403" TargetMode="External"/><Relationship Id="rId778" Type="http://schemas.openxmlformats.org/officeDocument/2006/relationships/hyperlink" Target="https://statiz.sporki.com/player/?m=playerinfo&amp;p_no=15098" TargetMode="External"/><Relationship Id="rId2459" Type="http://schemas.openxmlformats.org/officeDocument/2006/relationships/hyperlink" Target="https://statiz.sporki.com/add/?m=draft_school01&amp;ps_school=50701" TargetMode="External"/><Relationship Id="rId13932" Type="http://schemas.openxmlformats.org/officeDocument/2006/relationships/hyperlink" Target="https://statiz.sporki.com/player/?m=playerinfo&amp;p_no=10670" TargetMode="External"/><Relationship Id="rId18096" Type="http://schemas.openxmlformats.org/officeDocument/2006/relationships/hyperlink" Target="https://statiz.sporki.com/add/?m=draft_school01&amp;ps_school=50108" TargetMode="External"/><Relationship Id="rId1542" Type="http://schemas.openxmlformats.org/officeDocument/2006/relationships/hyperlink" Target="https://statiz.sporki.com/add/?m=draft_school02&amp;ps_school=" TargetMode="External"/><Relationship Id="rId8155" Type="http://schemas.openxmlformats.org/officeDocument/2006/relationships/hyperlink" Target="https://statiz.sporki.com/player/?m=playerinfo&amp;p_no=2063" TargetMode="External"/><Relationship Id="rId11136" Type="http://schemas.openxmlformats.org/officeDocument/2006/relationships/hyperlink" Target="https://statiz.sporki.com/add/?m=draft_school02&amp;ps_school=60103" TargetMode="External"/><Relationship Id="rId11483" Type="http://schemas.openxmlformats.org/officeDocument/2006/relationships/hyperlink" Target="https://statiz.sporki.com/add/?m=draft_school01&amp;ps_school=50701" TargetMode="External"/><Relationship Id="rId16808" Type="http://schemas.openxmlformats.org/officeDocument/2006/relationships/hyperlink" Target="https://statiz.sporki.com/add/?m=draft_school01&amp;ps_school=50709" TargetMode="External"/><Relationship Id="rId4765" Type="http://schemas.openxmlformats.org/officeDocument/2006/relationships/hyperlink" Target="https://statiz.sporki.com/player/?m=playerinfo&amp;p_no=10863" TargetMode="External"/><Relationship Id="rId14359" Type="http://schemas.openxmlformats.org/officeDocument/2006/relationships/hyperlink" Target="https://statiz.sporki.com/player/?m=playerinfo&amp;p_no=2388" TargetMode="External"/><Relationship Id="rId288" Type="http://schemas.openxmlformats.org/officeDocument/2006/relationships/hyperlink" Target="https://statiz.sporki.com/add/?m=draft_school02&amp;ps_school=" TargetMode="External"/><Relationship Id="rId4418" Type="http://schemas.openxmlformats.org/officeDocument/2006/relationships/hyperlink" Target="https://statiz.sporki.com/add/?m=draft_school01&amp;ps_school=50105" TargetMode="External"/><Relationship Id="rId7988" Type="http://schemas.openxmlformats.org/officeDocument/2006/relationships/hyperlink" Target="https://statiz.sporki.com/add/?m=draft_school01&amp;ps_school=" TargetMode="External"/><Relationship Id="rId10969" Type="http://schemas.openxmlformats.org/officeDocument/2006/relationships/hyperlink" Target="https://statiz.sporki.com/player/?m=playerinfo&amp;p_no=1362" TargetMode="External"/><Relationship Id="rId13442" Type="http://schemas.openxmlformats.org/officeDocument/2006/relationships/hyperlink" Target="https://statiz.sporki.com/player/?m=playerinfo&amp;p_no=11493" TargetMode="External"/><Relationship Id="rId3501" Type="http://schemas.openxmlformats.org/officeDocument/2006/relationships/hyperlink" Target="https://statiz.sporki.com/add/?m=draft_school02&amp;ps_school=" TargetMode="External"/><Relationship Id="rId1052" Type="http://schemas.openxmlformats.org/officeDocument/2006/relationships/hyperlink" Target="https://statiz.sporki.com/add/?m=draft_school01&amp;ps_school=50107" TargetMode="External"/><Relationship Id="rId16665" Type="http://schemas.openxmlformats.org/officeDocument/2006/relationships/hyperlink" Target="https://statiz.sporki.com/add/?m=draft_school01&amp;ps_school=50114" TargetMode="External"/><Relationship Id="rId4275" Type="http://schemas.openxmlformats.org/officeDocument/2006/relationships/hyperlink" Target="https://statiz.sporki.com/add/?m=draft_school02&amp;ps_school=60501" TargetMode="External"/><Relationship Id="rId6724" Type="http://schemas.openxmlformats.org/officeDocument/2006/relationships/hyperlink" Target="https://statiz.sporki.com/player/?m=playerinfo&amp;p_no=10367" TargetMode="External"/><Relationship Id="rId16318" Type="http://schemas.openxmlformats.org/officeDocument/2006/relationships/hyperlink" Target="https://statiz.sporki.com/add/?m=draft_school01&amp;ps_school=50302" TargetMode="External"/><Relationship Id="rId9947" Type="http://schemas.openxmlformats.org/officeDocument/2006/relationships/hyperlink" Target="https://statiz.sporki.com/add/?m=draft_school01&amp;ps_school=50703" TargetMode="External"/><Relationship Id="rId12928" Type="http://schemas.openxmlformats.org/officeDocument/2006/relationships/hyperlink" Target="https://statiz.sporki.com/player/?m=playerinfo&amp;p_no=13082" TargetMode="External"/><Relationship Id="rId7498" Type="http://schemas.openxmlformats.org/officeDocument/2006/relationships/hyperlink" Target="https://statiz.sporki.com/player/?m=playerinfo&amp;p_no=2246" TargetMode="External"/><Relationship Id="rId10479" Type="http://schemas.openxmlformats.org/officeDocument/2006/relationships/hyperlink" Target="https://statiz.sporki.com/add/?m=draft_school02&amp;ps_school=" TargetMode="External"/><Relationship Id="rId15401" Type="http://schemas.openxmlformats.org/officeDocument/2006/relationships/hyperlink" Target="https://statiz.sporki.com/player/?m=playerinfo&amp;p_no=1852" TargetMode="External"/><Relationship Id="rId18971" Type="http://schemas.openxmlformats.org/officeDocument/2006/relationships/hyperlink" Target="https://statiz.sporki.com/add/?m=draft_school01&amp;ps_school=50108" TargetMode="External"/><Relationship Id="rId18624" Type="http://schemas.openxmlformats.org/officeDocument/2006/relationships/hyperlink" Target="https://statiz.sporki.com/add/?m=draft_school01&amp;ps_school=50105" TargetMode="External"/><Relationship Id="rId3011" Type="http://schemas.openxmlformats.org/officeDocument/2006/relationships/hyperlink" Target="https://statiz.sporki.com/add/?m=draft_school01&amp;ps_school=50109" TargetMode="External"/><Relationship Id="rId6581" Type="http://schemas.openxmlformats.org/officeDocument/2006/relationships/hyperlink" Target="https://statiz.sporki.com/add/?m=draft_school01&amp;ps_school=50605" TargetMode="External"/><Relationship Id="rId16175" Type="http://schemas.openxmlformats.org/officeDocument/2006/relationships/hyperlink" Target="https://statiz.sporki.com/player/?m=playerinfo&amp;p_no=1092" TargetMode="External"/><Relationship Id="rId6234" Type="http://schemas.openxmlformats.org/officeDocument/2006/relationships/hyperlink" Target="https://statiz.sporki.com/add/?m=draft_school02&amp;ps_school=60103" TargetMode="External"/><Relationship Id="rId19398" Type="http://schemas.openxmlformats.org/officeDocument/2006/relationships/hyperlink" Target="https://statiz.sporki.com/add/?m=draft_school01&amp;ps_school=50711" TargetMode="External"/><Relationship Id="rId9457" Type="http://schemas.openxmlformats.org/officeDocument/2006/relationships/hyperlink" Target="https://statiz.sporki.com/player/?m=playerinfo&amp;p_no=1827" TargetMode="External"/><Relationship Id="rId12785" Type="http://schemas.openxmlformats.org/officeDocument/2006/relationships/hyperlink" Target="https://statiz.sporki.com/player/?m=playerinfo&amp;p_no=14115" TargetMode="External"/><Relationship Id="rId2844" Type="http://schemas.openxmlformats.org/officeDocument/2006/relationships/hyperlink" Target="https://statiz.sporki.com/add/?m=draft_school02&amp;ps_school=" TargetMode="External"/><Relationship Id="rId12438" Type="http://schemas.openxmlformats.org/officeDocument/2006/relationships/hyperlink" Target="https://statiz.sporki.com/player/?m=playerinfo&amp;p_no=15125" TargetMode="External"/><Relationship Id="rId816" Type="http://schemas.openxmlformats.org/officeDocument/2006/relationships/hyperlink" Target="https://statiz.sporki.com/add/?m=draft_school02&amp;ps_school=" TargetMode="External"/><Relationship Id="rId18481" Type="http://schemas.openxmlformats.org/officeDocument/2006/relationships/hyperlink" Target="https://statiz.sporki.com/add/?m=draft_school01&amp;ps_school=50402" TargetMode="External"/><Relationship Id="rId8540" Type="http://schemas.openxmlformats.org/officeDocument/2006/relationships/hyperlink" Target="https://statiz.sporki.com/add/?m=draft_school01&amp;ps_school=" TargetMode="External"/><Relationship Id="rId11521" Type="http://schemas.openxmlformats.org/officeDocument/2006/relationships/hyperlink" Target="https://statiz.sporki.com/player/?m=playerinfo&amp;p_no=1199" TargetMode="External"/><Relationship Id="rId18134" Type="http://schemas.openxmlformats.org/officeDocument/2006/relationships/hyperlink" Target="https://statiz.sporki.com/add/?m=draft_school01&amp;ps_school=50113" TargetMode="External"/><Relationship Id="rId6091" Type="http://schemas.openxmlformats.org/officeDocument/2006/relationships/hyperlink" Target="https://statiz.sporki.com/player/?m=playerinfo&amp;p_no=10710" TargetMode="External"/><Relationship Id="rId12295" Type="http://schemas.openxmlformats.org/officeDocument/2006/relationships/hyperlink" Target="https://statiz.sporki.com/player/?m=playerinfo&amp;p_no=15632" TargetMode="External"/><Relationship Id="rId14744" Type="http://schemas.openxmlformats.org/officeDocument/2006/relationships/hyperlink" Target="https://statiz.sporki.com/player/?m=playerinfo&amp;p_no=10226" TargetMode="External"/><Relationship Id="rId673" Type="http://schemas.openxmlformats.org/officeDocument/2006/relationships/hyperlink" Target="https://statiz.sporki.com/player/?m=playerinfo&amp;p_no=15051" TargetMode="External"/><Relationship Id="rId2354" Type="http://schemas.openxmlformats.org/officeDocument/2006/relationships/hyperlink" Target="https://statiz.sporki.com/add/?m=draft_school01&amp;ps_school=50111" TargetMode="External"/><Relationship Id="rId4803" Type="http://schemas.openxmlformats.org/officeDocument/2006/relationships/hyperlink" Target="https://statiz.sporki.com/add/?m=draft_school02&amp;ps_school=60803" TargetMode="External"/><Relationship Id="rId17967" Type="http://schemas.openxmlformats.org/officeDocument/2006/relationships/hyperlink" Target="https://statiz.sporki.com/add/?m=draft_school01&amp;ps_school=50210" TargetMode="External"/><Relationship Id="rId326" Type="http://schemas.openxmlformats.org/officeDocument/2006/relationships/hyperlink" Target="https://statiz.sporki.com/add/?m=draft_school01&amp;ps_school=" TargetMode="External"/><Relationship Id="rId2007" Type="http://schemas.openxmlformats.org/officeDocument/2006/relationships/hyperlink" Target="https://statiz.sporki.com/add/?m=draft_school02&amp;ps_school=" TargetMode="External"/><Relationship Id="rId5577" Type="http://schemas.openxmlformats.org/officeDocument/2006/relationships/hyperlink" Target="https://statiz.sporki.com/add/?m=draft_school02&amp;ps_school=60204" TargetMode="External"/><Relationship Id="rId8050" Type="http://schemas.openxmlformats.org/officeDocument/2006/relationships/hyperlink" Target="https://statiz.sporki.com/player/?m=playerinfo&amp;p_no=10479" TargetMode="External"/><Relationship Id="rId11031" Type="http://schemas.openxmlformats.org/officeDocument/2006/relationships/hyperlink" Target="https://statiz.sporki.com/add/?m=draft_school02&amp;ps_school=60703" TargetMode="External"/><Relationship Id="rId16703" Type="http://schemas.openxmlformats.org/officeDocument/2006/relationships/hyperlink" Target="https://statiz.sporki.com/add/?m=draft_school01&amp;ps_school=51107" TargetMode="External"/><Relationship Id="rId4660" Type="http://schemas.openxmlformats.org/officeDocument/2006/relationships/hyperlink" Target="https://statiz.sporki.com/player/?m=playerinfo&amp;p_no=11175" TargetMode="External"/><Relationship Id="rId14254" Type="http://schemas.openxmlformats.org/officeDocument/2006/relationships/hyperlink" Target="https://statiz.sporki.com/player/?m=playerinfo&amp;p_no=10179" TargetMode="External"/><Relationship Id="rId4313" Type="http://schemas.openxmlformats.org/officeDocument/2006/relationships/hyperlink" Target="https://statiz.sporki.com/add/?m=draft_school01&amp;ps_school=" TargetMode="External"/><Relationship Id="rId7883" Type="http://schemas.openxmlformats.org/officeDocument/2006/relationships/hyperlink" Target="https://statiz.sporki.com/add/?m=draft_school01&amp;ps_school=50105" TargetMode="External"/><Relationship Id="rId17477" Type="http://schemas.openxmlformats.org/officeDocument/2006/relationships/hyperlink" Target="https://statiz.sporki.com/add/?m=draft_school01&amp;ps_school=50111" TargetMode="External"/><Relationship Id="rId183" Type="http://schemas.openxmlformats.org/officeDocument/2006/relationships/hyperlink" Target="https://statiz.sporki.com/add/?m=draft_school02&amp;ps_school=" TargetMode="External"/><Relationship Id="rId7536" Type="http://schemas.openxmlformats.org/officeDocument/2006/relationships/hyperlink" Target="https://statiz.sporki.com/add/?m=draft_school02&amp;ps_school=" TargetMode="External"/><Relationship Id="rId10864" Type="http://schemas.openxmlformats.org/officeDocument/2006/relationships/hyperlink" Target="https://statiz.sporki.com/player/?m=playerinfo&amp;p_no=1389" TargetMode="External"/><Relationship Id="rId5087" Type="http://schemas.openxmlformats.org/officeDocument/2006/relationships/hyperlink" Target="https://statiz.sporki.com/add/?m=draft_school01&amp;ps_school=50209" TargetMode="External"/><Relationship Id="rId10517" Type="http://schemas.openxmlformats.org/officeDocument/2006/relationships/hyperlink" Target="https://statiz.sporki.com/add/?m=draft_school01&amp;ps_school=50604" TargetMode="External"/><Relationship Id="rId16560" Type="http://schemas.openxmlformats.org/officeDocument/2006/relationships/hyperlink" Target="https://statiz.sporki.com/add/?m=draft_school01&amp;ps_school=50210" TargetMode="External"/><Relationship Id="rId1697" Type="http://schemas.openxmlformats.org/officeDocument/2006/relationships/hyperlink" Target="https://statiz.sporki.com/add/?m=draft_school01&amp;ps_school=" TargetMode="External"/><Relationship Id="rId16213" Type="http://schemas.openxmlformats.org/officeDocument/2006/relationships/hyperlink" Target="https://statiz.sporki.com/add/?m=draft_school01&amp;ps_school=50802" TargetMode="External"/><Relationship Id="rId4170" Type="http://schemas.openxmlformats.org/officeDocument/2006/relationships/hyperlink" Target="https://statiz.sporki.com/add/?m=draft_school02&amp;ps_school=" TargetMode="External"/><Relationship Id="rId9842" Type="http://schemas.openxmlformats.org/officeDocument/2006/relationships/hyperlink" Target="https://statiz.sporki.com/add/?m=draft_school01&amp;ps_school=" TargetMode="External"/><Relationship Id="rId19436" Type="http://schemas.openxmlformats.org/officeDocument/2006/relationships/hyperlink" Target="https://statiz.sporki.com/add/?m=draft_school01&amp;ps_school=50701" TargetMode="External"/><Relationship Id="rId56" Type="http://schemas.openxmlformats.org/officeDocument/2006/relationships/hyperlink" Target="https://statiz.sporki.com/add/?m=draft_school01&amp;ps_school=50809" TargetMode="External"/><Relationship Id="rId7393" Type="http://schemas.openxmlformats.org/officeDocument/2006/relationships/hyperlink" Target="https://statiz.sporki.com/player/?m=playerinfo&amp;p_no=10435" TargetMode="External"/><Relationship Id="rId10374" Type="http://schemas.openxmlformats.org/officeDocument/2006/relationships/hyperlink" Target="https://statiz.sporki.com/add/?m=draft_school02&amp;ps_school=60108" TargetMode="External"/><Relationship Id="rId12823" Type="http://schemas.openxmlformats.org/officeDocument/2006/relationships/hyperlink" Target="https://statiz.sporki.com/player/?m=playerinfo&amp;p_no=14569" TargetMode="External"/><Relationship Id="rId7046" Type="http://schemas.openxmlformats.org/officeDocument/2006/relationships/hyperlink" Target="https://statiz.sporki.com/add/?m=draft_school01&amp;ps_school=50705" TargetMode="External"/><Relationship Id="rId10027" Type="http://schemas.openxmlformats.org/officeDocument/2006/relationships/hyperlink" Target="https://statiz.sporki.com/player/?m=playerinfo&amp;p_no=1609" TargetMode="External"/><Relationship Id="rId13597" Type="http://schemas.openxmlformats.org/officeDocument/2006/relationships/hyperlink" Target="https://statiz.sporki.com/player/?m=playerinfo&amp;p_no=11195" TargetMode="External"/><Relationship Id="rId3656" Type="http://schemas.openxmlformats.org/officeDocument/2006/relationships/hyperlink" Target="https://statiz.sporki.com/add/?m=draft_school01&amp;ps_school=50402" TargetMode="External"/><Relationship Id="rId16070" Type="http://schemas.openxmlformats.org/officeDocument/2006/relationships/hyperlink" Target="https://statiz.sporki.com/player/?m=playerinfo&amp;p_no=1080" TargetMode="External"/><Relationship Id="rId3309" Type="http://schemas.openxmlformats.org/officeDocument/2006/relationships/hyperlink" Target="https://statiz.sporki.com/add/?m=draft_school02&amp;ps_school=" TargetMode="External"/><Relationship Id="rId6879" Type="http://schemas.openxmlformats.org/officeDocument/2006/relationships/hyperlink" Target="https://statiz.sporki.com/add/?m=draft_school02&amp;ps_school=" TargetMode="External"/><Relationship Id="rId12680" Type="http://schemas.openxmlformats.org/officeDocument/2006/relationships/hyperlink" Target="https://statiz.sporki.com/player/?m=playerinfo&amp;p_no=14701" TargetMode="External"/><Relationship Id="rId19293" Type="http://schemas.openxmlformats.org/officeDocument/2006/relationships/hyperlink" Target="https://statiz.sporki.com/add/?m=draft_school01&amp;ps_school=50403" TargetMode="External"/><Relationship Id="rId9352" Type="http://schemas.openxmlformats.org/officeDocument/2006/relationships/hyperlink" Target="https://statiz.sporki.com/player/?m=playerinfo&amp;p_no=1840" TargetMode="External"/><Relationship Id="rId12333" Type="http://schemas.openxmlformats.org/officeDocument/2006/relationships/hyperlink" Target="https://statiz.sporki.com/player/?m=playerinfo&amp;p_no=15026" TargetMode="External"/><Relationship Id="rId711" Type="http://schemas.openxmlformats.org/officeDocument/2006/relationships/hyperlink" Target="https://statiz.sporki.com/add/?m=draft_school02&amp;ps_school=" TargetMode="External"/><Relationship Id="rId5962" Type="http://schemas.openxmlformats.org/officeDocument/2006/relationships/hyperlink" Target="https://statiz.sporki.com/player/?m=playerinfo&amp;p_no=10366" TargetMode="External"/><Relationship Id="rId9005" Type="http://schemas.openxmlformats.org/officeDocument/2006/relationships/hyperlink" Target="https://statiz.sporki.com/add/?m=draft_school01&amp;ps_school=50703" TargetMode="External"/><Relationship Id="rId15556" Type="http://schemas.openxmlformats.org/officeDocument/2006/relationships/hyperlink" Target="https://statiz.sporki.com/player/?m=playerinfo&amp;p_no=1593" TargetMode="External"/><Relationship Id="rId5615" Type="http://schemas.openxmlformats.org/officeDocument/2006/relationships/hyperlink" Target="https://statiz.sporki.com/add/?m=draft_school01&amp;ps_school=50805" TargetMode="External"/><Relationship Id="rId15209" Type="http://schemas.openxmlformats.org/officeDocument/2006/relationships/hyperlink" Target="https://statiz.sporki.com/player/?m=playerinfo&amp;p_no=11445" TargetMode="External"/><Relationship Id="rId3166" Type="http://schemas.openxmlformats.org/officeDocument/2006/relationships/hyperlink" Target="https://statiz.sporki.com/player/?m=playerinfo&amp;p_no=12568" TargetMode="External"/><Relationship Id="rId18779" Type="http://schemas.openxmlformats.org/officeDocument/2006/relationships/hyperlink" Target="https://statiz.sporki.com/add/?m=draft_school01&amp;ps_school=50202" TargetMode="External"/><Relationship Id="rId6389" Type="http://schemas.openxmlformats.org/officeDocument/2006/relationships/hyperlink" Target="https://statiz.sporki.com/add/?m=draft_school01&amp;ps_school=50202" TargetMode="External"/><Relationship Id="rId8838" Type="http://schemas.openxmlformats.org/officeDocument/2006/relationships/hyperlink" Target="https://statiz.sporki.com/add/?m=draft_school02&amp;ps_school=60102" TargetMode="External"/><Relationship Id="rId11819" Type="http://schemas.openxmlformats.org/officeDocument/2006/relationships/hyperlink" Target="https://statiz.sporki.com/add/?m=draft_school01&amp;ps_school=50122" TargetMode="External"/><Relationship Id="rId12190" Type="http://schemas.openxmlformats.org/officeDocument/2006/relationships/hyperlink" Target="https://statiz.sporki.com/player/?m=playerinfo&amp;p_no=15512" TargetMode="External"/><Relationship Id="rId17862" Type="http://schemas.openxmlformats.org/officeDocument/2006/relationships/hyperlink" Target="https://statiz.sporki.com/add/?m=draft_school01&amp;ps_school=50604" TargetMode="External"/><Relationship Id="rId2999" Type="http://schemas.openxmlformats.org/officeDocument/2006/relationships/hyperlink" Target="https://statiz.sporki.com/add/?m=draft_school01&amp;ps_school=50701" TargetMode="External"/><Relationship Id="rId7921" Type="http://schemas.openxmlformats.org/officeDocument/2006/relationships/hyperlink" Target="https://statiz.sporki.com/player/?m=playerinfo&amp;p_no=2320" TargetMode="External"/><Relationship Id="rId17515" Type="http://schemas.openxmlformats.org/officeDocument/2006/relationships/hyperlink" Target="https://statiz.sporki.com/add/?m=draft_school01&amp;ps_school=50403" TargetMode="External"/><Relationship Id="rId221" Type="http://schemas.openxmlformats.org/officeDocument/2006/relationships/hyperlink" Target="https://statiz.sporki.com/add/?m=draft_school01&amp;ps_school=50701" TargetMode="External"/><Relationship Id="rId5472" Type="http://schemas.openxmlformats.org/officeDocument/2006/relationships/hyperlink" Target="https://statiz.sporki.com/add/?m=draft_school02&amp;ps_school=" TargetMode="External"/><Relationship Id="rId10902" Type="http://schemas.openxmlformats.org/officeDocument/2006/relationships/hyperlink" Target="https://statiz.sporki.com/add/?m=draft_school02&amp;ps_school=" TargetMode="External"/><Relationship Id="rId15066" Type="http://schemas.openxmlformats.org/officeDocument/2006/relationships/hyperlink" Target="https://statiz.sporki.com/player/?m=playerinfo&amp;p_no=10009" TargetMode="External"/><Relationship Id="rId5125" Type="http://schemas.openxmlformats.org/officeDocument/2006/relationships/hyperlink" Target="https://statiz.sporki.com/player/?m=playerinfo&amp;p_no=10835" TargetMode="External"/><Relationship Id="rId8695" Type="http://schemas.openxmlformats.org/officeDocument/2006/relationships/hyperlink" Target="https://statiz.sporki.com/player/?m=playerinfo&amp;p_no=2164" TargetMode="External"/><Relationship Id="rId18289" Type="http://schemas.openxmlformats.org/officeDocument/2006/relationships/hyperlink" Target="https://statiz.sporki.com/add/?m=draft_school01&amp;ps_school=50604" TargetMode="External"/><Relationship Id="rId8348" Type="http://schemas.openxmlformats.org/officeDocument/2006/relationships/hyperlink" Target="https://statiz.sporki.com/add/?m=draft_school01&amp;ps_school=50402" TargetMode="External"/><Relationship Id="rId11676" Type="http://schemas.openxmlformats.org/officeDocument/2006/relationships/hyperlink" Target="https://statiz.sporki.com/add/?m=draft_school02&amp;ps_school=" TargetMode="External"/><Relationship Id="rId1735" Type="http://schemas.openxmlformats.org/officeDocument/2006/relationships/hyperlink" Target="https://statiz.sporki.com/player/?m=playerinfo&amp;p_no=14744" TargetMode="External"/><Relationship Id="rId11329" Type="http://schemas.openxmlformats.org/officeDocument/2006/relationships/hyperlink" Target="https://statiz.sporki.com/player/?m=playerinfo&amp;p_no=1244" TargetMode="External"/><Relationship Id="rId14899" Type="http://schemas.openxmlformats.org/officeDocument/2006/relationships/hyperlink" Target="https://statiz.sporki.com/player/?m=playerinfo&amp;p_no=2094" TargetMode="External"/><Relationship Id="rId4958" Type="http://schemas.openxmlformats.org/officeDocument/2006/relationships/hyperlink" Target="https://statiz.sporki.com/add/?m=draft_school01&amp;ps_school=50402" TargetMode="External"/><Relationship Id="rId17372" Type="http://schemas.openxmlformats.org/officeDocument/2006/relationships/hyperlink" Target="https://statiz.sporki.com/add/?m=draft_school01&amp;ps_school=50501" TargetMode="External"/><Relationship Id="rId7431" Type="http://schemas.openxmlformats.org/officeDocument/2006/relationships/hyperlink" Target="https://statiz.sporki.com/add/?m=draft_school02&amp;ps_school=" TargetMode="External"/><Relationship Id="rId10412" Type="http://schemas.openxmlformats.org/officeDocument/2006/relationships/hyperlink" Target="https://statiz.sporki.com/add/?m=draft_school01&amp;ps_school=51100" TargetMode="External"/><Relationship Id="rId13982" Type="http://schemas.openxmlformats.org/officeDocument/2006/relationships/hyperlink" Target="https://statiz.sporki.com/player/?m=playerinfo&amp;p_no=10018" TargetMode="External"/><Relationship Id="rId17025" Type="http://schemas.openxmlformats.org/officeDocument/2006/relationships/hyperlink" Target="https://statiz.sporki.com/add/?m=draft_school01&amp;ps_school=50117" TargetMode="External"/><Relationship Id="rId13635" Type="http://schemas.openxmlformats.org/officeDocument/2006/relationships/hyperlink" Target="https://statiz.sporki.com/player/?m=playerinfo&amp;p_no=11071" TargetMode="External"/><Relationship Id="rId1592" Type="http://schemas.openxmlformats.org/officeDocument/2006/relationships/hyperlink" Target="https://statiz.sporki.com/add/?m=draft_school01&amp;ps_school=50702" TargetMode="External"/><Relationship Id="rId11186" Type="http://schemas.openxmlformats.org/officeDocument/2006/relationships/hyperlink" Target="https://statiz.sporki.com/add/?m=draft_school01&amp;ps_school=50805" TargetMode="External"/><Relationship Id="rId1245" Type="http://schemas.openxmlformats.org/officeDocument/2006/relationships/hyperlink" Target="https://statiz.sporki.com/add/?m=draft_school02&amp;ps_school=" TargetMode="External"/><Relationship Id="rId16858" Type="http://schemas.openxmlformats.org/officeDocument/2006/relationships/hyperlink" Target="https://statiz.sporki.com/add/?m=draft_school01&amp;ps_school=50601" TargetMode="External"/><Relationship Id="rId4468" Type="http://schemas.openxmlformats.org/officeDocument/2006/relationships/hyperlink" Target="https://statiz.sporki.com/player/?m=playerinfo&amp;p_no=11099" TargetMode="External"/><Relationship Id="rId6917" Type="http://schemas.openxmlformats.org/officeDocument/2006/relationships/hyperlink" Target="https://statiz.sporki.com/add/?m=draft_school01&amp;ps_school=50112" TargetMode="External"/><Relationship Id="rId19331" Type="http://schemas.openxmlformats.org/officeDocument/2006/relationships/hyperlink" Target="https://statiz.sporki.com/add/?m=draft_school01&amp;ps_school=50403" TargetMode="External"/><Relationship Id="rId15941" Type="http://schemas.openxmlformats.org/officeDocument/2006/relationships/hyperlink" Target="https://statiz.sporki.com/player/?m=playerinfo&amp;p_no=1224" TargetMode="External"/><Relationship Id="rId13492" Type="http://schemas.openxmlformats.org/officeDocument/2006/relationships/hyperlink" Target="https://statiz.sporki.com/player/?m=playerinfo&amp;p_no=11328" TargetMode="External"/><Relationship Id="rId3551" Type="http://schemas.openxmlformats.org/officeDocument/2006/relationships/hyperlink" Target="https://statiz.sporki.com/add/?m=draft_school01&amp;ps_school=50803" TargetMode="External"/><Relationship Id="rId13145" Type="http://schemas.openxmlformats.org/officeDocument/2006/relationships/hyperlink" Target="https://statiz.sporki.com/player/?m=playerinfo&amp;p_no=12863" TargetMode="External"/><Relationship Id="rId3204" Type="http://schemas.openxmlformats.org/officeDocument/2006/relationships/hyperlink" Target="https://statiz.sporki.com/add/?m=draft_school02&amp;ps_school=" TargetMode="External"/><Relationship Id="rId6774" Type="http://schemas.openxmlformats.org/officeDocument/2006/relationships/hyperlink" Target="https://statiz.sporki.com/add/?m=draft_school02&amp;ps_school=" TargetMode="External"/><Relationship Id="rId16368" Type="http://schemas.openxmlformats.org/officeDocument/2006/relationships/hyperlink" Target="https://statiz.sporki.com/add/?m=draft_school01&amp;ps_school=50504" TargetMode="External"/><Relationship Id="rId18817" Type="http://schemas.openxmlformats.org/officeDocument/2006/relationships/hyperlink" Target="https://statiz.sporki.com/add/?m=draft_school01&amp;ps_school=50604" TargetMode="External"/><Relationship Id="rId6427" Type="http://schemas.openxmlformats.org/officeDocument/2006/relationships/hyperlink" Target="https://statiz.sporki.com/player/?m=playerinfo&amp;p_no=10285" TargetMode="External"/><Relationship Id="rId9997" Type="http://schemas.openxmlformats.org/officeDocument/2006/relationships/hyperlink" Target="https://statiz.sporki.com/player/?m=playerinfo&amp;p_no=1760" TargetMode="External"/><Relationship Id="rId12978" Type="http://schemas.openxmlformats.org/officeDocument/2006/relationships/hyperlink" Target="https://statiz.sporki.com/player/?m=playerinfo&amp;p_no=13087" TargetMode="External"/><Relationship Id="rId17900" Type="http://schemas.openxmlformats.org/officeDocument/2006/relationships/hyperlink" Target="https://statiz.sporki.com/add/?m=draft_school01&amp;ps_school=50807" TargetMode="External"/><Relationship Id="rId15451" Type="http://schemas.openxmlformats.org/officeDocument/2006/relationships/hyperlink" Target="https://statiz.sporki.com/player/?m=playerinfo&amp;p_no=1647" TargetMode="External"/><Relationship Id="rId3061" Type="http://schemas.openxmlformats.org/officeDocument/2006/relationships/hyperlink" Target="https://statiz.sporki.com/player/?m=playerinfo&amp;p_no=12960" TargetMode="External"/><Relationship Id="rId5510" Type="http://schemas.openxmlformats.org/officeDocument/2006/relationships/hyperlink" Target="https://statiz.sporki.com/add/?m=draft_school01&amp;ps_school=50303" TargetMode="External"/><Relationship Id="rId15104" Type="http://schemas.openxmlformats.org/officeDocument/2006/relationships/hyperlink" Target="https://statiz.sporki.com/player/?m=playerinfo&amp;p_no=1929" TargetMode="External"/><Relationship Id="rId18674" Type="http://schemas.openxmlformats.org/officeDocument/2006/relationships/hyperlink" Target="https://statiz.sporki.com/add/?m=draft_school01&amp;ps_school=50602" TargetMode="External"/><Relationship Id="rId8733" Type="http://schemas.openxmlformats.org/officeDocument/2006/relationships/hyperlink" Target="https://statiz.sporki.com/add/?m=draft_school02&amp;ps_school=60802" TargetMode="External"/><Relationship Id="rId11714" Type="http://schemas.openxmlformats.org/officeDocument/2006/relationships/hyperlink" Target="https://statiz.sporki.com/add/?m=draft_school01&amp;ps_school=" TargetMode="External"/><Relationship Id="rId18327" Type="http://schemas.openxmlformats.org/officeDocument/2006/relationships/hyperlink" Target="https://statiz.sporki.com/add/?m=draft_school01&amp;ps_school=50711" TargetMode="External"/><Relationship Id="rId6284" Type="http://schemas.openxmlformats.org/officeDocument/2006/relationships/hyperlink" Target="https://statiz.sporki.com/add/?m=draft_school01&amp;ps_school=50107" TargetMode="External"/><Relationship Id="rId2894" Type="http://schemas.openxmlformats.org/officeDocument/2006/relationships/hyperlink" Target="https://statiz.sporki.com/add/?m=draft_school01&amp;ps_school=50801" TargetMode="External"/><Relationship Id="rId12488" Type="http://schemas.openxmlformats.org/officeDocument/2006/relationships/hyperlink" Target="https://statiz.sporki.com/player/?m=playerinfo&amp;p_no=14848" TargetMode="External"/><Relationship Id="rId14937" Type="http://schemas.openxmlformats.org/officeDocument/2006/relationships/hyperlink" Target="https://statiz.sporki.com/player/?m=playerinfo&amp;p_no=2148" TargetMode="External"/><Relationship Id="rId866" Type="http://schemas.openxmlformats.org/officeDocument/2006/relationships/hyperlink" Target="https://statiz.sporki.com/add/?m=draft_school01&amp;ps_school=" TargetMode="External"/><Relationship Id="rId2547" Type="http://schemas.openxmlformats.org/officeDocument/2006/relationships/hyperlink" Target="https://statiz.sporki.com/add/?m=draft_school02&amp;ps_school=" TargetMode="External"/><Relationship Id="rId17410" Type="http://schemas.openxmlformats.org/officeDocument/2006/relationships/hyperlink" Target="https://statiz.sporki.com/add/?m=draft_school01&amp;ps_school=50106" TargetMode="External"/><Relationship Id="rId519" Type="http://schemas.openxmlformats.org/officeDocument/2006/relationships/hyperlink" Target="https://statiz.sporki.com/add/?m=draft_school02&amp;ps_school=" TargetMode="External"/><Relationship Id="rId5020" Type="http://schemas.openxmlformats.org/officeDocument/2006/relationships/hyperlink" Target="https://statiz.sporki.com/player/?m=playerinfo&amp;p_no=11151" TargetMode="External"/><Relationship Id="rId8590" Type="http://schemas.openxmlformats.org/officeDocument/2006/relationships/hyperlink" Target="https://statiz.sporki.com/player/?m=playerinfo&amp;p_no=2008" TargetMode="External"/><Relationship Id="rId11571" Type="http://schemas.openxmlformats.org/officeDocument/2006/relationships/hyperlink" Target="https://statiz.sporki.com/add/?m=draft_school02&amp;ps_school=60103" TargetMode="External"/><Relationship Id="rId18184" Type="http://schemas.openxmlformats.org/officeDocument/2006/relationships/hyperlink" Target="https://statiz.sporki.com/add/?m=draft_school01&amp;ps_school=50401" TargetMode="External"/><Relationship Id="rId1630" Type="http://schemas.openxmlformats.org/officeDocument/2006/relationships/hyperlink" Target="https://statiz.sporki.com/player/?m=playerinfo&amp;p_no=14659" TargetMode="External"/><Relationship Id="rId8243" Type="http://schemas.openxmlformats.org/officeDocument/2006/relationships/hyperlink" Target="https://statiz.sporki.com/add/?m=draft_school01&amp;ps_school=50110" TargetMode="External"/><Relationship Id="rId11224" Type="http://schemas.openxmlformats.org/officeDocument/2006/relationships/hyperlink" Target="https://statiz.sporki.com/player/?m=playerinfo&amp;p_no=1279" TargetMode="External"/><Relationship Id="rId14794" Type="http://schemas.openxmlformats.org/officeDocument/2006/relationships/hyperlink" Target="https://statiz.sporki.com/player/?m=playerinfo&amp;p_no=2161" TargetMode="External"/><Relationship Id="rId4853" Type="http://schemas.openxmlformats.org/officeDocument/2006/relationships/hyperlink" Target="https://statiz.sporki.com/add/?m=draft_school01&amp;ps_school=50806" TargetMode="External"/><Relationship Id="rId14447" Type="http://schemas.openxmlformats.org/officeDocument/2006/relationships/hyperlink" Target="https://statiz.sporki.com/player/?m=playerinfo&amp;p_no=10174" TargetMode="External"/><Relationship Id="rId4506" Type="http://schemas.openxmlformats.org/officeDocument/2006/relationships/hyperlink" Target="https://statiz.sporki.com/add/?m=draft_school02&amp;ps_school=60102" TargetMode="External"/><Relationship Id="rId376" Type="http://schemas.openxmlformats.org/officeDocument/2006/relationships/hyperlink" Target="https://statiz.sporki.com/player/?m=playerinfo&amp;p_no=15646" TargetMode="External"/><Relationship Id="rId2057" Type="http://schemas.openxmlformats.org/officeDocument/2006/relationships/hyperlink" Target="https://statiz.sporki.com/add/?m=draft_school01&amp;ps_school=50802" TargetMode="External"/><Relationship Id="rId7729" Type="http://schemas.openxmlformats.org/officeDocument/2006/relationships/hyperlink" Target="https://statiz.sporki.com/player/?m=playerinfo&amp;p_no=2179" TargetMode="External"/><Relationship Id="rId13530" Type="http://schemas.openxmlformats.org/officeDocument/2006/relationships/hyperlink" Target="https://statiz.sporki.com/player/?m=playerinfo&amp;p_no=13279" TargetMode="External"/><Relationship Id="rId1140" Type="http://schemas.openxmlformats.org/officeDocument/2006/relationships/hyperlink" Target="https://statiz.sporki.com/add/?m=draft_school02&amp;ps_school=" TargetMode="External"/><Relationship Id="rId11081" Type="http://schemas.openxmlformats.org/officeDocument/2006/relationships/hyperlink" Target="https://statiz.sporki.com/add/?m=draft_school01&amp;ps_school=50110" TargetMode="External"/><Relationship Id="rId16753" Type="http://schemas.openxmlformats.org/officeDocument/2006/relationships/hyperlink" Target="https://statiz.sporki.com/add/?m=draft_school01&amp;ps_school=50802" TargetMode="External"/><Relationship Id="rId6812" Type="http://schemas.openxmlformats.org/officeDocument/2006/relationships/hyperlink" Target="https://statiz.sporki.com/add/?m=draft_school01&amp;ps_school=50115" TargetMode="External"/><Relationship Id="rId16406" Type="http://schemas.openxmlformats.org/officeDocument/2006/relationships/hyperlink" Target="https://statiz.sporki.com/add/?m=draft_school01&amp;ps_school=50705" TargetMode="External"/><Relationship Id="rId4363" Type="http://schemas.openxmlformats.org/officeDocument/2006/relationships/hyperlink" Target="https://statiz.sporki.com/player/?m=playerinfo&amp;p_no=11228" TargetMode="External"/><Relationship Id="rId19629" Type="http://schemas.openxmlformats.org/officeDocument/2006/relationships/hyperlink" Target="https://statiz.sporki.com/add/?m=draft_school01&amp;ps_school=50202" TargetMode="External"/><Relationship Id="rId4016" Type="http://schemas.openxmlformats.org/officeDocument/2006/relationships/hyperlink" Target="https://statiz.sporki.com/add/?m=draft_school01&amp;ps_school=50701" TargetMode="External"/><Relationship Id="rId7586" Type="http://schemas.openxmlformats.org/officeDocument/2006/relationships/hyperlink" Target="https://statiz.sporki.com/add/?m=draft_school01&amp;ps_school=" TargetMode="External"/><Relationship Id="rId10567" Type="http://schemas.openxmlformats.org/officeDocument/2006/relationships/hyperlink" Target="https://statiz.sporki.com/player/?m=playerinfo&amp;p_no=1428" TargetMode="External"/><Relationship Id="rId7239" Type="http://schemas.openxmlformats.org/officeDocument/2006/relationships/hyperlink" Target="https://statiz.sporki.com/add/?m=draft_school02&amp;ps_school=" TargetMode="External"/><Relationship Id="rId13040" Type="http://schemas.openxmlformats.org/officeDocument/2006/relationships/hyperlink" Target="https://statiz.sporki.com/player/?m=playerinfo&amp;p_no=13195" TargetMode="External"/><Relationship Id="rId18712" Type="http://schemas.openxmlformats.org/officeDocument/2006/relationships/hyperlink" Target="https://statiz.sporki.com/add/?m=draft_school01&amp;ps_school=50106" TargetMode="External"/><Relationship Id="rId3849" Type="http://schemas.openxmlformats.org/officeDocument/2006/relationships/hyperlink" Target="https://statiz.sporki.com/add/?m=draft_school02&amp;ps_school=60204" TargetMode="External"/><Relationship Id="rId16263" Type="http://schemas.openxmlformats.org/officeDocument/2006/relationships/hyperlink" Target="https://statiz.sporki.com/add/?m=draft_school01&amp;ps_school=50219" TargetMode="External"/><Relationship Id="rId6322" Type="http://schemas.openxmlformats.org/officeDocument/2006/relationships/hyperlink" Target="https://statiz.sporki.com/player/?m=playerinfo&amp;p_no=10587" TargetMode="External"/><Relationship Id="rId9892" Type="http://schemas.openxmlformats.org/officeDocument/2006/relationships/hyperlink" Target="https://statiz.sporki.com/player/?m=playerinfo&amp;p_no=1684" TargetMode="External"/><Relationship Id="rId12873" Type="http://schemas.openxmlformats.org/officeDocument/2006/relationships/hyperlink" Target="https://statiz.sporki.com/player/?m=playerinfo&amp;p_no=13935" TargetMode="External"/><Relationship Id="rId19486" Type="http://schemas.openxmlformats.org/officeDocument/2006/relationships/hyperlink" Target="https://statiz.sporki.com/add/?m=draft_school01&amp;ps_school=50804" TargetMode="External"/><Relationship Id="rId2932" Type="http://schemas.openxmlformats.org/officeDocument/2006/relationships/hyperlink" Target="https://statiz.sporki.com/player/?m=playerinfo&amp;p_no=12919" TargetMode="External"/><Relationship Id="rId9545" Type="http://schemas.openxmlformats.org/officeDocument/2006/relationships/hyperlink" Target="https://statiz.sporki.com/add/?m=draft_school01&amp;ps_school=50107" TargetMode="External"/><Relationship Id="rId12526" Type="http://schemas.openxmlformats.org/officeDocument/2006/relationships/hyperlink" Target="https://statiz.sporki.com/player/?m=playerinfo&amp;p_no=14795" TargetMode="External"/><Relationship Id="rId19139" Type="http://schemas.openxmlformats.org/officeDocument/2006/relationships/hyperlink" Target="https://statiz.sporki.com/add/?m=draft_school01&amp;ps_school=50602" TargetMode="External"/><Relationship Id="rId904" Type="http://schemas.openxmlformats.org/officeDocument/2006/relationships/hyperlink" Target="https://statiz.sporki.com/player/?m=playerinfo&amp;p_no=15121" TargetMode="External"/><Relationship Id="rId7096" Type="http://schemas.openxmlformats.org/officeDocument/2006/relationships/hyperlink" Target="https://statiz.sporki.com/player/?m=playerinfo&amp;p_no=2307" TargetMode="External"/><Relationship Id="rId10077" Type="http://schemas.openxmlformats.org/officeDocument/2006/relationships/hyperlink" Target="https://statiz.sporki.com/add/?m=draft_school02&amp;ps_school=60113" TargetMode="External"/><Relationship Id="rId15749" Type="http://schemas.openxmlformats.org/officeDocument/2006/relationships/hyperlink" Target="https://statiz.sporki.com/player/?m=playerinfo&amp;p_no=1386" TargetMode="External"/><Relationship Id="rId18222" Type="http://schemas.openxmlformats.org/officeDocument/2006/relationships/hyperlink" Target="https://statiz.sporki.com/add/?m=draft_school01&amp;ps_school=50101" TargetMode="External"/><Relationship Id="rId3359" Type="http://schemas.openxmlformats.org/officeDocument/2006/relationships/hyperlink" Target="https://statiz.sporki.com/add/?m=draft_school01&amp;ps_school=50109" TargetMode="External"/><Relationship Id="rId5808" Type="http://schemas.openxmlformats.org/officeDocument/2006/relationships/hyperlink" Target="https://statiz.sporki.com/add/?m=draft_school02&amp;ps_school=60102" TargetMode="External"/><Relationship Id="rId14832" Type="http://schemas.openxmlformats.org/officeDocument/2006/relationships/hyperlink" Target="https://statiz.sporki.com/player/?m=playerinfo&amp;p_no=2097" TargetMode="External"/><Relationship Id="rId9055" Type="http://schemas.openxmlformats.org/officeDocument/2006/relationships/hyperlink" Target="https://statiz.sporki.com/player/?m=playerinfo&amp;p_no=1963" TargetMode="External"/><Relationship Id="rId12383" Type="http://schemas.openxmlformats.org/officeDocument/2006/relationships/hyperlink" Target="https://statiz.sporki.com/player/?m=playerinfo&amp;p_no=15118" TargetMode="External"/><Relationship Id="rId761" Type="http://schemas.openxmlformats.org/officeDocument/2006/relationships/hyperlink" Target="https://statiz.sporki.com/add/?m=draft_school01&amp;ps_school=50102" TargetMode="External"/><Relationship Id="rId2442" Type="http://schemas.openxmlformats.org/officeDocument/2006/relationships/hyperlink" Target="https://statiz.sporki.com/add/?m=draft_school02&amp;ps_school=60802" TargetMode="External"/><Relationship Id="rId12036" Type="http://schemas.openxmlformats.org/officeDocument/2006/relationships/hyperlink" Target="https://statiz.sporki.com/add/?m=draft_school02&amp;ps_school=" TargetMode="External"/><Relationship Id="rId17708" Type="http://schemas.openxmlformats.org/officeDocument/2006/relationships/hyperlink" Target="https://statiz.sporki.com/add/?m=draft_school01&amp;ps_school=50601" TargetMode="External"/><Relationship Id="rId414" Type="http://schemas.openxmlformats.org/officeDocument/2006/relationships/hyperlink" Target="https://statiz.sporki.com/add/?m=draft_school02&amp;ps_school=" TargetMode="External"/><Relationship Id="rId5665" Type="http://schemas.openxmlformats.org/officeDocument/2006/relationships/hyperlink" Target="https://statiz.sporki.com/player/?m=playerinfo&amp;p_no=10499" TargetMode="External"/><Relationship Id="rId15259" Type="http://schemas.openxmlformats.org/officeDocument/2006/relationships/hyperlink" Target="https://statiz.sporki.com/player/?m=playerinfo&amp;p_no=1840" TargetMode="External"/><Relationship Id="rId5318" Type="http://schemas.openxmlformats.org/officeDocument/2006/relationships/hyperlink" Target="https://statiz.sporki.com/add/?m=draft_school01&amp;ps_school=50702" TargetMode="External"/><Relationship Id="rId8888" Type="http://schemas.openxmlformats.org/officeDocument/2006/relationships/hyperlink" Target="https://statiz.sporki.com/add/?m=draft_school01&amp;ps_school=50209" TargetMode="External"/><Relationship Id="rId11869" Type="http://schemas.openxmlformats.org/officeDocument/2006/relationships/hyperlink" Target="https://statiz.sporki.com/player/?m=playerinfo&amp;p_no=1020" TargetMode="External"/><Relationship Id="rId1928" Type="http://schemas.openxmlformats.org/officeDocument/2006/relationships/hyperlink" Target="https://statiz.sporki.com/add/?m=draft_school01&amp;ps_school=50108" TargetMode="External"/><Relationship Id="rId14342" Type="http://schemas.openxmlformats.org/officeDocument/2006/relationships/hyperlink" Target="https://statiz.sporki.com/player/?m=playerinfo&amp;p_no=10791" TargetMode="External"/><Relationship Id="rId271" Type="http://schemas.openxmlformats.org/officeDocument/2006/relationships/hyperlink" Target="https://statiz.sporki.com/player/?m=playerinfo&amp;p_no=15430" TargetMode="External"/><Relationship Id="rId4401" Type="http://schemas.openxmlformats.org/officeDocument/2006/relationships/hyperlink" Target="https://statiz.sporki.com/add/?m=draft_school02&amp;ps_school=60104" TargetMode="External"/><Relationship Id="rId7971" Type="http://schemas.openxmlformats.org/officeDocument/2006/relationships/hyperlink" Target="https://statiz.sporki.com/add/?m=draft_school02&amp;ps_school=" TargetMode="External"/><Relationship Id="rId10952" Type="http://schemas.openxmlformats.org/officeDocument/2006/relationships/hyperlink" Target="https://statiz.sporki.com/add/?m=draft_school01&amp;ps_school=50701" TargetMode="External"/><Relationship Id="rId17565" Type="http://schemas.openxmlformats.org/officeDocument/2006/relationships/hyperlink" Target="https://statiz.sporki.com/add/?m=draft_school01&amp;ps_school=50602" TargetMode="External"/><Relationship Id="rId7624" Type="http://schemas.openxmlformats.org/officeDocument/2006/relationships/hyperlink" Target="https://statiz.sporki.com/player/?m=playerinfo&amp;p_no=10242" TargetMode="External"/><Relationship Id="rId10605" Type="http://schemas.openxmlformats.org/officeDocument/2006/relationships/hyperlink" Target="https://statiz.sporki.com/add/?m=draft_school02&amp;ps_school=60803" TargetMode="External"/><Relationship Id="rId17218" Type="http://schemas.openxmlformats.org/officeDocument/2006/relationships/hyperlink" Target="https://statiz.sporki.com/add/?m=draft_school01&amp;ps_school=50103" TargetMode="External"/><Relationship Id="rId5175" Type="http://schemas.openxmlformats.org/officeDocument/2006/relationships/hyperlink" Target="https://statiz.sporki.com/add/?m=draft_school02&amp;ps_school=" TargetMode="External"/><Relationship Id="rId1785" Type="http://schemas.openxmlformats.org/officeDocument/2006/relationships/hyperlink" Target="https://statiz.sporki.com/add/?m=draft_school02&amp;ps_school=60113" TargetMode="External"/><Relationship Id="rId8398" Type="http://schemas.openxmlformats.org/officeDocument/2006/relationships/hyperlink" Target="https://statiz.sporki.com/player/?m=playerinfo&amp;p_no=2180" TargetMode="External"/><Relationship Id="rId11379" Type="http://schemas.openxmlformats.org/officeDocument/2006/relationships/hyperlink" Target="https://statiz.sporki.com/add/?m=draft_school02&amp;ps_school=60501" TargetMode="External"/><Relationship Id="rId13828" Type="http://schemas.openxmlformats.org/officeDocument/2006/relationships/hyperlink" Target="https://statiz.sporki.com/player/?m=playerinfo&amp;p_no=10828" TargetMode="External"/><Relationship Id="rId16301" Type="http://schemas.openxmlformats.org/officeDocument/2006/relationships/hyperlink" Target="https://statiz.sporki.com/add/?m=draft_school01&amp;ps_school=50116" TargetMode="External"/><Relationship Id="rId1438" Type="http://schemas.openxmlformats.org/officeDocument/2006/relationships/hyperlink" Target="https://statiz.sporki.com/player/?m=playerinfo&amp;p_no=14619" TargetMode="External"/><Relationship Id="rId7481" Type="http://schemas.openxmlformats.org/officeDocument/2006/relationships/hyperlink" Target="https://statiz.sporki.com/add/?m=draft_school01&amp;ps_school=" TargetMode="External"/><Relationship Id="rId9930" Type="http://schemas.openxmlformats.org/officeDocument/2006/relationships/hyperlink" Target="https://statiz.sporki.com/add/?m=draft_school02&amp;ps_school=60101" TargetMode="External"/><Relationship Id="rId12911" Type="http://schemas.openxmlformats.org/officeDocument/2006/relationships/hyperlink" Target="https://statiz.sporki.com/player/?m=playerinfo&amp;p_no=13061" TargetMode="External"/><Relationship Id="rId17075" Type="http://schemas.openxmlformats.org/officeDocument/2006/relationships/hyperlink" Target="https://statiz.sporki.com/add/?m=draft_school01&amp;ps_school=50804" TargetMode="External"/><Relationship Id="rId19524" Type="http://schemas.openxmlformats.org/officeDocument/2006/relationships/hyperlink" Target="https://statiz.sporki.com/add/?m=draft_school01&amp;ps_school=50701" TargetMode="External"/><Relationship Id="rId7134" Type="http://schemas.openxmlformats.org/officeDocument/2006/relationships/hyperlink" Target="https://statiz.sporki.com/add/?m=draft_school02&amp;ps_school=61002" TargetMode="External"/><Relationship Id="rId10462" Type="http://schemas.openxmlformats.org/officeDocument/2006/relationships/hyperlink" Target="https://statiz.sporki.com/player/?m=playerinfo&amp;p_no=1549" TargetMode="External"/><Relationship Id="rId10115" Type="http://schemas.openxmlformats.org/officeDocument/2006/relationships/hyperlink" Target="https://statiz.sporki.com/add/?m=draft_school01&amp;ps_school=50110" TargetMode="External"/><Relationship Id="rId13685" Type="http://schemas.openxmlformats.org/officeDocument/2006/relationships/hyperlink" Target="https://statiz.sporki.com/player/?m=playerinfo&amp;p_no=11083" TargetMode="External"/><Relationship Id="rId3744" Type="http://schemas.openxmlformats.org/officeDocument/2006/relationships/hyperlink" Target="https://statiz.sporki.com/add/?m=draft_school02&amp;ps_school=" TargetMode="External"/><Relationship Id="rId13338" Type="http://schemas.openxmlformats.org/officeDocument/2006/relationships/hyperlink" Target="https://statiz.sporki.com/player/?m=playerinfo&amp;p_no=12601" TargetMode="External"/><Relationship Id="rId1295" Type="http://schemas.openxmlformats.org/officeDocument/2006/relationships/hyperlink" Target="https://statiz.sporki.com/add/?m=draft_school01&amp;ps_school=" TargetMode="External"/><Relationship Id="rId6967" Type="http://schemas.openxmlformats.org/officeDocument/2006/relationships/hyperlink" Target="https://statiz.sporki.com/player/?m=playerinfo&amp;p_no=11112" TargetMode="External"/><Relationship Id="rId19381" Type="http://schemas.openxmlformats.org/officeDocument/2006/relationships/hyperlink" Target="https://statiz.sporki.com/add/?m=draft_school01&amp;ps_school=50703" TargetMode="External"/><Relationship Id="rId9440" Type="http://schemas.openxmlformats.org/officeDocument/2006/relationships/hyperlink" Target="https://statiz.sporki.com/add/?m=draft_school01&amp;ps_school=51100" TargetMode="External"/><Relationship Id="rId19034" Type="http://schemas.openxmlformats.org/officeDocument/2006/relationships/hyperlink" Target="https://statiz.sporki.com/add/?m=draft_school01&amp;ps_school=50403" TargetMode="External"/><Relationship Id="rId12421" Type="http://schemas.openxmlformats.org/officeDocument/2006/relationships/hyperlink" Target="https://statiz.sporki.com/player/?m=playerinfo&amp;p_no=15008" TargetMode="External"/><Relationship Id="rId15991" Type="http://schemas.openxmlformats.org/officeDocument/2006/relationships/hyperlink" Target="https://statiz.sporki.com/player/?m=playerinfo&amp;p_no=1170" TargetMode="External"/><Relationship Id="rId15644" Type="http://schemas.openxmlformats.org/officeDocument/2006/relationships/hyperlink" Target="https://statiz.sporki.com/player/?m=playerinfo&amp;p_no=1517" TargetMode="External"/><Relationship Id="rId5703" Type="http://schemas.openxmlformats.org/officeDocument/2006/relationships/hyperlink" Target="https://statiz.sporki.com/add/?m=draft_school02&amp;ps_school=" TargetMode="External"/><Relationship Id="rId13195" Type="http://schemas.openxmlformats.org/officeDocument/2006/relationships/hyperlink" Target="https://statiz.sporki.com/player/?m=playerinfo&amp;p_no=12571" TargetMode="External"/><Relationship Id="rId18867" Type="http://schemas.openxmlformats.org/officeDocument/2006/relationships/hyperlink" Target="https://statiz.sporki.com/add/?m=draft_school01&amp;ps_school=50805" TargetMode="External"/><Relationship Id="rId3254" Type="http://schemas.openxmlformats.org/officeDocument/2006/relationships/hyperlink" Target="https://statiz.sporki.com/add/?m=draft_school01&amp;ps_school=50202" TargetMode="External"/><Relationship Id="rId8926" Type="http://schemas.openxmlformats.org/officeDocument/2006/relationships/hyperlink" Target="https://statiz.sporki.com/player/?m=playerinfo&amp;p_no=10102" TargetMode="External"/><Relationship Id="rId6477" Type="http://schemas.openxmlformats.org/officeDocument/2006/relationships/hyperlink" Target="https://statiz.sporki.com/add/?m=draft_school02&amp;ps_school=" TargetMode="External"/><Relationship Id="rId11907" Type="http://schemas.openxmlformats.org/officeDocument/2006/relationships/hyperlink" Target="https://statiz.sporki.com/add/?m=draft_school02&amp;ps_school=60113" TargetMode="External"/><Relationship Id="rId17950" Type="http://schemas.openxmlformats.org/officeDocument/2006/relationships/hyperlink" Target="https://statiz.sporki.com/add/?m=draft_school01&amp;ps_school=50703" TargetMode="External"/><Relationship Id="rId5560" Type="http://schemas.openxmlformats.org/officeDocument/2006/relationships/hyperlink" Target="https://statiz.sporki.com/player/?m=playerinfo&amp;p_no=10922" TargetMode="External"/><Relationship Id="rId15154" Type="http://schemas.openxmlformats.org/officeDocument/2006/relationships/hyperlink" Target="https://statiz.sporki.com/player/?m=playerinfo&amp;p_no=1943" TargetMode="External"/><Relationship Id="rId17603" Type="http://schemas.openxmlformats.org/officeDocument/2006/relationships/hyperlink" Target="https://statiz.sporki.com/add/?m=draft_school01&amp;ps_school=50501" TargetMode="External"/><Relationship Id="rId5213" Type="http://schemas.openxmlformats.org/officeDocument/2006/relationships/hyperlink" Target="https://statiz.sporki.com/add/?m=draft_school01&amp;ps_school=50102" TargetMode="External"/><Relationship Id="rId8783" Type="http://schemas.openxmlformats.org/officeDocument/2006/relationships/hyperlink" Target="https://statiz.sporki.com/add/?m=draft_school01&amp;ps_school=50804" TargetMode="External"/><Relationship Id="rId11764" Type="http://schemas.openxmlformats.org/officeDocument/2006/relationships/hyperlink" Target="https://statiz.sporki.com/player/?m=playerinfo&amp;p_no=1109" TargetMode="External"/><Relationship Id="rId18377" Type="http://schemas.openxmlformats.org/officeDocument/2006/relationships/hyperlink" Target="https://statiz.sporki.com/add/?m=draft_school01&amp;ps_school=50802" TargetMode="External"/><Relationship Id="rId1823" Type="http://schemas.openxmlformats.org/officeDocument/2006/relationships/hyperlink" Target="https://statiz.sporki.com/add/?m=draft_school01&amp;ps_school=50102" TargetMode="External"/><Relationship Id="rId8436" Type="http://schemas.openxmlformats.org/officeDocument/2006/relationships/hyperlink" Target="https://statiz.sporki.com/add/?m=draft_school02&amp;ps_school=60203" TargetMode="External"/><Relationship Id="rId11417" Type="http://schemas.openxmlformats.org/officeDocument/2006/relationships/hyperlink" Target="https://statiz.sporki.com/add/?m=draft_school01&amp;ps_school=50401" TargetMode="External"/><Relationship Id="rId14987" Type="http://schemas.openxmlformats.org/officeDocument/2006/relationships/hyperlink" Target="https://statiz.sporki.com/player/?m=playerinfo&amp;p_no=2054" TargetMode="External"/><Relationship Id="rId17460" Type="http://schemas.openxmlformats.org/officeDocument/2006/relationships/hyperlink" Target="https://statiz.sporki.com/add/?m=draft_school01&amp;ps_school=50302" TargetMode="External"/><Relationship Id="rId2597" Type="http://schemas.openxmlformats.org/officeDocument/2006/relationships/hyperlink" Target="https://statiz.sporki.com/add/?m=draft_school01&amp;ps_school=50701" TargetMode="External"/><Relationship Id="rId17113" Type="http://schemas.openxmlformats.org/officeDocument/2006/relationships/hyperlink" Target="https://statiz.sporki.com/add/?m=draft_school01&amp;ps_school=50109" TargetMode="External"/><Relationship Id="rId569" Type="http://schemas.openxmlformats.org/officeDocument/2006/relationships/hyperlink" Target="https://statiz.sporki.com/add/?m=draft_school01&amp;ps_school=50108" TargetMode="External"/><Relationship Id="rId5070" Type="http://schemas.openxmlformats.org/officeDocument/2006/relationships/hyperlink" Target="https://statiz.sporki.com/add/?m=draft_school02&amp;ps_school=" TargetMode="External"/><Relationship Id="rId10500" Type="http://schemas.openxmlformats.org/officeDocument/2006/relationships/hyperlink" Target="https://statiz.sporki.com/add/?m=draft_school02&amp;ps_school=" TargetMode="External"/><Relationship Id="rId8293" Type="http://schemas.openxmlformats.org/officeDocument/2006/relationships/hyperlink" Target="https://statiz.sporki.com/player/?m=playerinfo&amp;p_no=2047" TargetMode="External"/><Relationship Id="rId13723" Type="http://schemas.openxmlformats.org/officeDocument/2006/relationships/hyperlink" Target="https://statiz.sporki.com/player/?m=playerinfo&amp;p_no=13188" TargetMode="External"/><Relationship Id="rId1680" Type="http://schemas.openxmlformats.org/officeDocument/2006/relationships/hyperlink" Target="https://statiz.sporki.com/add/?m=draft_school02&amp;ps_school=" TargetMode="External"/><Relationship Id="rId11274" Type="http://schemas.openxmlformats.org/officeDocument/2006/relationships/hyperlink" Target="https://statiz.sporki.com/add/?m=draft_school02&amp;ps_school=60103" TargetMode="External"/><Relationship Id="rId16946" Type="http://schemas.openxmlformats.org/officeDocument/2006/relationships/hyperlink" Target="https://statiz.sporki.com/add/?m=draft_school01&amp;ps_school=50209" TargetMode="External"/><Relationship Id="rId1333" Type="http://schemas.openxmlformats.org/officeDocument/2006/relationships/hyperlink" Target="https://statiz.sporki.com/player/?m=playerinfo&amp;p_no=14991" TargetMode="External"/><Relationship Id="rId14497" Type="http://schemas.openxmlformats.org/officeDocument/2006/relationships/hyperlink" Target="https://statiz.sporki.com/player/?m=playerinfo&amp;p_no=2309" TargetMode="External"/><Relationship Id="rId4556" Type="http://schemas.openxmlformats.org/officeDocument/2006/relationships/hyperlink" Target="https://statiz.sporki.com/add/?m=draft_school01&amp;ps_school=50601" TargetMode="External"/><Relationship Id="rId4209" Type="http://schemas.openxmlformats.org/officeDocument/2006/relationships/hyperlink" Target="https://statiz.sporki.com/add/?m=draft_school02&amp;ps_school=" TargetMode="External"/><Relationship Id="rId7779" Type="http://schemas.openxmlformats.org/officeDocument/2006/relationships/hyperlink" Target="https://statiz.sporki.com/add/?m=draft_school02&amp;ps_school=" TargetMode="External"/><Relationship Id="rId10010" Type="http://schemas.openxmlformats.org/officeDocument/2006/relationships/hyperlink" Target="https://statiz.sporki.com/add/?m=draft_school01&amp;ps_school=50208" TargetMode="External"/><Relationship Id="rId13580" Type="http://schemas.openxmlformats.org/officeDocument/2006/relationships/hyperlink" Target="https://statiz.sporki.com/player/?m=playerinfo&amp;p_no=11325" TargetMode="External"/><Relationship Id="rId1190" Type="http://schemas.openxmlformats.org/officeDocument/2006/relationships/hyperlink" Target="https://statiz.sporki.com/add/?m=draft_school01&amp;ps_school=50210" TargetMode="External"/><Relationship Id="rId13233" Type="http://schemas.openxmlformats.org/officeDocument/2006/relationships/hyperlink" Target="https://statiz.sporki.com/player/?m=playerinfo&amp;p_no=12549" TargetMode="External"/><Relationship Id="rId18905" Type="http://schemas.openxmlformats.org/officeDocument/2006/relationships/hyperlink" Target="https://statiz.sporki.com/add/?m=draft_school01&amp;ps_school=50403" TargetMode="External"/><Relationship Id="rId6862" Type="http://schemas.openxmlformats.org/officeDocument/2006/relationships/hyperlink" Target="https://statiz.sporki.com/player/?m=playerinfo&amp;p_no=2356" TargetMode="External"/><Relationship Id="rId16456" Type="http://schemas.openxmlformats.org/officeDocument/2006/relationships/hyperlink" Target="https://statiz.sporki.com/add/?m=draft_school01&amp;ps_school=50114" TargetMode="External"/><Relationship Id="rId4066" Type="http://schemas.openxmlformats.org/officeDocument/2006/relationships/hyperlink" Target="https://statiz.sporki.com/player/?m=playerinfo&amp;p_no=11248" TargetMode="External"/><Relationship Id="rId6515" Type="http://schemas.openxmlformats.org/officeDocument/2006/relationships/hyperlink" Target="https://statiz.sporki.com/add/?m=draft_school01&amp;ps_school=50202" TargetMode="External"/><Relationship Id="rId16109" Type="http://schemas.openxmlformats.org/officeDocument/2006/relationships/hyperlink" Target="https://statiz.sporki.com/player/?m=playerinfo&amp;p_no=1082" TargetMode="External"/><Relationship Id="rId9738" Type="http://schemas.openxmlformats.org/officeDocument/2006/relationships/hyperlink" Target="https://statiz.sporki.com/add/?m=draft_school02&amp;ps_school=" TargetMode="External"/><Relationship Id="rId12719" Type="http://schemas.openxmlformats.org/officeDocument/2006/relationships/hyperlink" Target="https://statiz.sporki.com/player/?m=playerinfo&amp;p_no=14583" TargetMode="External"/><Relationship Id="rId7289" Type="http://schemas.openxmlformats.org/officeDocument/2006/relationships/hyperlink" Target="https://statiz.sporki.com/add/?m=draft_school01&amp;ps_school=50606" TargetMode="External"/><Relationship Id="rId13090" Type="http://schemas.openxmlformats.org/officeDocument/2006/relationships/hyperlink" Target="https://statiz.sporki.com/player/?m=playerinfo&amp;p_no=12855" TargetMode="External"/><Relationship Id="rId3899" Type="http://schemas.openxmlformats.org/officeDocument/2006/relationships/hyperlink" Target="https://statiz.sporki.com/add/?m=draft_school01&amp;ps_school=" TargetMode="External"/><Relationship Id="rId18762" Type="http://schemas.openxmlformats.org/officeDocument/2006/relationships/hyperlink" Target="https://statiz.sporki.com/add/?m=draft_school01&amp;ps_school=50114" TargetMode="External"/><Relationship Id="rId6372" Type="http://schemas.openxmlformats.org/officeDocument/2006/relationships/hyperlink" Target="https://statiz.sporki.com/add/?m=draft_school02&amp;ps_school=" TargetMode="External"/><Relationship Id="rId8821" Type="http://schemas.openxmlformats.org/officeDocument/2006/relationships/hyperlink" Target="https://statiz.sporki.com/player/?m=playerinfo&amp;p_no=1924" TargetMode="External"/><Relationship Id="rId11802" Type="http://schemas.openxmlformats.org/officeDocument/2006/relationships/hyperlink" Target="https://statiz.sporki.com/add/?m=draft_school02&amp;ps_school=60108" TargetMode="External"/><Relationship Id="rId18415" Type="http://schemas.openxmlformats.org/officeDocument/2006/relationships/hyperlink" Target="https://statiz.sporki.com/add/?m=draft_school01&amp;ps_school=50401" TargetMode="External"/><Relationship Id="rId6025" Type="http://schemas.openxmlformats.org/officeDocument/2006/relationships/hyperlink" Target="https://statiz.sporki.com/player/?m=playerinfo&amp;p_no=10229" TargetMode="External"/><Relationship Id="rId2982" Type="http://schemas.openxmlformats.org/officeDocument/2006/relationships/hyperlink" Target="https://statiz.sporki.com/add/?m=draft_school02&amp;ps_school=" TargetMode="External"/><Relationship Id="rId9595" Type="http://schemas.openxmlformats.org/officeDocument/2006/relationships/hyperlink" Target="https://statiz.sporki.com/player/?m=playerinfo&amp;p_no=1742" TargetMode="External"/><Relationship Id="rId12576" Type="http://schemas.openxmlformats.org/officeDocument/2006/relationships/hyperlink" Target="https://statiz.sporki.com/player/?m=playerinfo&amp;p_no=14758" TargetMode="External"/><Relationship Id="rId19189" Type="http://schemas.openxmlformats.org/officeDocument/2006/relationships/hyperlink" Target="https://statiz.sporki.com/add/?m=draft_school01&amp;ps_school=50604" TargetMode="External"/><Relationship Id="rId954" Type="http://schemas.openxmlformats.org/officeDocument/2006/relationships/hyperlink" Target="https://statiz.sporki.com/add/?m=draft_school02&amp;ps_school=60103" TargetMode="External"/><Relationship Id="rId2635" Type="http://schemas.openxmlformats.org/officeDocument/2006/relationships/hyperlink" Target="https://statiz.sporki.com/player/?m=playerinfo&amp;p_no=13059" TargetMode="External"/><Relationship Id="rId9248" Type="http://schemas.openxmlformats.org/officeDocument/2006/relationships/hyperlink" Target="https://statiz.sporki.com/add/?m=draft_school01&amp;ps_school=50105" TargetMode="External"/><Relationship Id="rId12229" Type="http://schemas.openxmlformats.org/officeDocument/2006/relationships/hyperlink" Target="https://statiz.sporki.com/player/?m=playerinfo&amp;p_no=15505" TargetMode="External"/><Relationship Id="rId15799" Type="http://schemas.openxmlformats.org/officeDocument/2006/relationships/hyperlink" Target="https://statiz.sporki.com/player/?m=playerinfo&amp;p_no=1340" TargetMode="External"/><Relationship Id="rId607" Type="http://schemas.openxmlformats.org/officeDocument/2006/relationships/hyperlink" Target="https://statiz.sporki.com/player/?m=playerinfo&amp;p_no=15114" TargetMode="External"/><Relationship Id="rId5858" Type="http://schemas.openxmlformats.org/officeDocument/2006/relationships/hyperlink" Target="https://statiz.sporki.com/add/?m=draft_school01&amp;ps_school=50112" TargetMode="External"/><Relationship Id="rId18272" Type="http://schemas.openxmlformats.org/officeDocument/2006/relationships/hyperlink" Target="https://statiz.sporki.com/add/?m=draft_school01&amp;ps_school=50502" TargetMode="External"/><Relationship Id="rId8331" Type="http://schemas.openxmlformats.org/officeDocument/2006/relationships/hyperlink" Target="https://statiz.sporki.com/add/?m=draft_school02&amp;ps_school=60113" TargetMode="External"/><Relationship Id="rId11312" Type="http://schemas.openxmlformats.org/officeDocument/2006/relationships/hyperlink" Target="https://statiz.sporki.com/add/?m=draft_school01&amp;ps_school=50403" TargetMode="External"/><Relationship Id="rId14882" Type="http://schemas.openxmlformats.org/officeDocument/2006/relationships/hyperlink" Target="https://statiz.sporki.com/player/?m=playerinfo&amp;p_no=2131" TargetMode="External"/><Relationship Id="rId2492" Type="http://schemas.openxmlformats.org/officeDocument/2006/relationships/hyperlink" Target="https://statiz.sporki.com/add/?m=draft_school01&amp;ps_school=50602" TargetMode="External"/><Relationship Id="rId4941" Type="http://schemas.openxmlformats.org/officeDocument/2006/relationships/hyperlink" Target="https://statiz.sporki.com/add/?m=draft_school02&amp;ps_school=" TargetMode="External"/><Relationship Id="rId14535" Type="http://schemas.openxmlformats.org/officeDocument/2006/relationships/hyperlink" Target="https://statiz.sporki.com/player/?m=playerinfo&amp;p_no=2319" TargetMode="External"/><Relationship Id="rId464" Type="http://schemas.openxmlformats.org/officeDocument/2006/relationships/hyperlink" Target="https://statiz.sporki.com/add/?m=draft_school01&amp;ps_school=50105" TargetMode="External"/><Relationship Id="rId2145" Type="http://schemas.openxmlformats.org/officeDocument/2006/relationships/hyperlink" Target="https://statiz.sporki.com/add/?m=draft_school02&amp;ps_school=60603" TargetMode="External"/><Relationship Id="rId12086" Type="http://schemas.openxmlformats.org/officeDocument/2006/relationships/hyperlink" Target="https://statiz.sporki.com/add/?m=draft_school01&amp;ps_school=" TargetMode="External"/><Relationship Id="rId17758" Type="http://schemas.openxmlformats.org/officeDocument/2006/relationships/hyperlink" Target="https://statiz.sporki.com/add/?m=draft_school01&amp;ps_school=50601" TargetMode="External"/><Relationship Id="rId117" Type="http://schemas.openxmlformats.org/officeDocument/2006/relationships/hyperlink" Target="https://statiz.sporki.com/add/?m=draft_school02&amp;ps_school=" TargetMode="External"/><Relationship Id="rId7817" Type="http://schemas.openxmlformats.org/officeDocument/2006/relationships/hyperlink" Target="https://statiz.sporki.com/add/?m=draft_school01&amp;ps_school=50701" TargetMode="External"/><Relationship Id="rId5368" Type="http://schemas.openxmlformats.org/officeDocument/2006/relationships/hyperlink" Target="https://statiz.sporki.com/player/?m=playerinfo&amp;p_no=10649" TargetMode="External"/><Relationship Id="rId1978" Type="http://schemas.openxmlformats.org/officeDocument/2006/relationships/hyperlink" Target="https://statiz.sporki.com/player/?m=playerinfo&amp;p_no=14149" TargetMode="External"/><Relationship Id="rId14392" Type="http://schemas.openxmlformats.org/officeDocument/2006/relationships/hyperlink" Target="https://statiz.sporki.com/player/?m=playerinfo&amp;p_no=2411" TargetMode="External"/><Relationship Id="rId16841" Type="http://schemas.openxmlformats.org/officeDocument/2006/relationships/hyperlink" Target="https://statiz.sporki.com/add/?m=draft_school01&amp;ps_school=50107" TargetMode="External"/><Relationship Id="rId4451" Type="http://schemas.openxmlformats.org/officeDocument/2006/relationships/hyperlink" Target="https://statiz.sporki.com/add/?m=draft_school01&amp;ps_school=50203" TargetMode="External"/><Relationship Id="rId6900" Type="http://schemas.openxmlformats.org/officeDocument/2006/relationships/hyperlink" Target="https://statiz.sporki.com/add/?m=draft_school02&amp;ps_school=" TargetMode="External"/><Relationship Id="rId14045" Type="http://schemas.openxmlformats.org/officeDocument/2006/relationships/hyperlink" Target="https://statiz.sporki.com/player/?m=playerinfo&amp;p_no=10797" TargetMode="External"/><Relationship Id="rId4104" Type="http://schemas.openxmlformats.org/officeDocument/2006/relationships/hyperlink" Target="https://statiz.sporki.com/add/?m=draft_school02&amp;ps_school=" TargetMode="External"/><Relationship Id="rId7674" Type="http://schemas.openxmlformats.org/officeDocument/2006/relationships/hyperlink" Target="https://statiz.sporki.com/add/?m=draft_school02&amp;ps_school=" TargetMode="External"/><Relationship Id="rId10655" Type="http://schemas.openxmlformats.org/officeDocument/2006/relationships/hyperlink" Target="https://statiz.sporki.com/add/?m=draft_school01&amp;ps_school=50609" TargetMode="External"/><Relationship Id="rId17268" Type="http://schemas.openxmlformats.org/officeDocument/2006/relationships/hyperlink" Target="https://statiz.sporki.com/add/?m=draft_school01&amp;ps_school=50302" TargetMode="External"/><Relationship Id="rId7327" Type="http://schemas.openxmlformats.org/officeDocument/2006/relationships/hyperlink" Target="https://statiz.sporki.com/player/?m=playerinfo&amp;p_no=10055" TargetMode="External"/><Relationship Id="rId10308" Type="http://schemas.openxmlformats.org/officeDocument/2006/relationships/hyperlink" Target="https://statiz.sporki.com/add/?m=draft_school02&amp;ps_school=60103" TargetMode="External"/><Relationship Id="rId13878" Type="http://schemas.openxmlformats.org/officeDocument/2006/relationships/hyperlink" Target="https://statiz.sporki.com/player/?m=playerinfo&amp;p_no=10721" TargetMode="External"/><Relationship Id="rId18800" Type="http://schemas.openxmlformats.org/officeDocument/2006/relationships/hyperlink" Target="https://statiz.sporki.com/add/?m=draft_school01&amp;ps_school=50103" TargetMode="External"/><Relationship Id="rId3937" Type="http://schemas.openxmlformats.org/officeDocument/2006/relationships/hyperlink" Target="https://statiz.sporki.com/player/?m=playerinfo&amp;p_no=11494" TargetMode="External"/><Relationship Id="rId16351" Type="http://schemas.openxmlformats.org/officeDocument/2006/relationships/hyperlink" Target="https://statiz.sporki.com/add/?m=draft_school01&amp;ps_school=50207" TargetMode="External"/><Relationship Id="rId1488" Type="http://schemas.openxmlformats.org/officeDocument/2006/relationships/hyperlink" Target="https://statiz.sporki.com/add/?m=draft_school02&amp;ps_school=" TargetMode="External"/><Relationship Id="rId6410" Type="http://schemas.openxmlformats.org/officeDocument/2006/relationships/hyperlink" Target="https://statiz.sporki.com/add/?m=draft_school01&amp;ps_school=50604" TargetMode="External"/><Relationship Id="rId9980" Type="http://schemas.openxmlformats.org/officeDocument/2006/relationships/hyperlink" Target="https://statiz.sporki.com/add/?m=draft_school01&amp;ps_school=50608" TargetMode="External"/><Relationship Id="rId16004" Type="http://schemas.openxmlformats.org/officeDocument/2006/relationships/hyperlink" Target="https://statiz.sporki.com/player/?m=playerinfo&amp;p_no=1161" TargetMode="External"/><Relationship Id="rId19574" Type="http://schemas.openxmlformats.org/officeDocument/2006/relationships/hyperlink" Target="https://statiz.sporki.com/add/?m=draft_school01&amp;ps_school=50112" TargetMode="External"/><Relationship Id="rId9633" Type="http://schemas.openxmlformats.org/officeDocument/2006/relationships/hyperlink" Target="https://statiz.sporki.com/add/?m=draft_school02&amp;ps_school=60113" TargetMode="External"/><Relationship Id="rId12961" Type="http://schemas.openxmlformats.org/officeDocument/2006/relationships/hyperlink" Target="https://statiz.sporki.com/player/?m=playerinfo&amp;p_no=13074" TargetMode="External"/><Relationship Id="rId19227" Type="http://schemas.openxmlformats.org/officeDocument/2006/relationships/hyperlink" Target="https://statiz.sporki.com/add/?m=draft_school01&amp;ps_school=50802" TargetMode="External"/><Relationship Id="rId7184" Type="http://schemas.openxmlformats.org/officeDocument/2006/relationships/hyperlink" Target="https://statiz.sporki.com/add/?m=draft_school01&amp;ps_school=50402" TargetMode="External"/><Relationship Id="rId12614" Type="http://schemas.openxmlformats.org/officeDocument/2006/relationships/hyperlink" Target="https://statiz.sporki.com/player/?m=playerinfo&amp;p_no=14588" TargetMode="External"/><Relationship Id="rId10165" Type="http://schemas.openxmlformats.org/officeDocument/2006/relationships/hyperlink" Target="https://statiz.sporki.com/player/?m=playerinfo&amp;p_no=1690" TargetMode="External"/><Relationship Id="rId15837" Type="http://schemas.openxmlformats.org/officeDocument/2006/relationships/hyperlink" Target="https://statiz.sporki.com/player/?m=playerinfo&amp;p_no=1275" TargetMode="External"/><Relationship Id="rId3794" Type="http://schemas.openxmlformats.org/officeDocument/2006/relationships/hyperlink" Target="https://statiz.sporki.com/add/?m=draft_school01&amp;ps_school=50109" TargetMode="External"/><Relationship Id="rId13388" Type="http://schemas.openxmlformats.org/officeDocument/2006/relationships/hyperlink" Target="https://statiz.sporki.com/player/?m=playerinfo&amp;p_no=11303" TargetMode="External"/><Relationship Id="rId18310" Type="http://schemas.openxmlformats.org/officeDocument/2006/relationships/hyperlink" Target="https://statiz.sporki.com/add/?m=draft_school01&amp;ps_school=50112" TargetMode="External"/><Relationship Id="rId3447" Type="http://schemas.openxmlformats.org/officeDocument/2006/relationships/hyperlink" Target="https://statiz.sporki.com/add/?m=draft_school02&amp;ps_school=60203" TargetMode="External"/><Relationship Id="rId9490" Type="http://schemas.openxmlformats.org/officeDocument/2006/relationships/hyperlink" Target="https://statiz.sporki.com/player/?m=playerinfo&amp;p_no=1791" TargetMode="External"/><Relationship Id="rId12471" Type="http://schemas.openxmlformats.org/officeDocument/2006/relationships/hyperlink" Target="https://statiz.sporki.com/player/?m=playerinfo&amp;p_no=14777" TargetMode="External"/><Relationship Id="rId14920" Type="http://schemas.openxmlformats.org/officeDocument/2006/relationships/hyperlink" Target="https://statiz.sporki.com/player/?m=playerinfo&amp;p_no=2150" TargetMode="External"/><Relationship Id="rId19084" Type="http://schemas.openxmlformats.org/officeDocument/2006/relationships/hyperlink" Target="https://statiz.sporki.com/add/?m=draft_school01&amp;ps_school=50901" TargetMode="External"/><Relationship Id="rId2530" Type="http://schemas.openxmlformats.org/officeDocument/2006/relationships/hyperlink" Target="https://statiz.sporki.com/player/?m=playerinfo&amp;p_no=13121" TargetMode="External"/><Relationship Id="rId9143" Type="http://schemas.openxmlformats.org/officeDocument/2006/relationships/hyperlink" Target="https://statiz.sporki.com/add/?m=draft_school01&amp;ps_school=50107" TargetMode="External"/><Relationship Id="rId12124" Type="http://schemas.openxmlformats.org/officeDocument/2006/relationships/hyperlink" Target="https://statiz.sporki.com/player/?m=playerinfo&amp;p_no=1015" TargetMode="External"/><Relationship Id="rId502" Type="http://schemas.openxmlformats.org/officeDocument/2006/relationships/hyperlink" Target="https://statiz.sporki.com/player/?m=playerinfo&amp;p_no=15013" TargetMode="External"/><Relationship Id="rId15694" Type="http://schemas.openxmlformats.org/officeDocument/2006/relationships/hyperlink" Target="https://statiz.sporki.com/player/?m=playerinfo&amp;p_no=1492" TargetMode="External"/><Relationship Id="rId5753" Type="http://schemas.openxmlformats.org/officeDocument/2006/relationships/hyperlink" Target="https://statiz.sporki.com/add/?m=draft_school01&amp;ps_school=50301" TargetMode="External"/><Relationship Id="rId15347" Type="http://schemas.openxmlformats.org/officeDocument/2006/relationships/hyperlink" Target="https://statiz.sporki.com/player/?m=playerinfo&amp;p_no=1728" TargetMode="External"/><Relationship Id="rId5406" Type="http://schemas.openxmlformats.org/officeDocument/2006/relationships/hyperlink" Target="https://statiz.sporki.com/add/?m=draft_school02&amp;ps_school=" TargetMode="External"/><Relationship Id="rId8976" Type="http://schemas.openxmlformats.org/officeDocument/2006/relationships/hyperlink" Target="https://statiz.sporki.com/add/?m=draft_school02&amp;ps_school=" TargetMode="External"/><Relationship Id="rId11957" Type="http://schemas.openxmlformats.org/officeDocument/2006/relationships/hyperlink" Target="https://statiz.sporki.com/add/?m=draft_school01&amp;ps_school=50209" TargetMode="External"/><Relationship Id="rId8629" Type="http://schemas.openxmlformats.org/officeDocument/2006/relationships/hyperlink" Target="https://statiz.sporki.com/player/?m=playerinfo&amp;p_no=10457" TargetMode="External"/><Relationship Id="rId14430" Type="http://schemas.openxmlformats.org/officeDocument/2006/relationships/hyperlink" Target="https://statiz.sporki.com/player/?m=playerinfo&amp;p_no=2344" TargetMode="External"/><Relationship Id="rId17653" Type="http://schemas.openxmlformats.org/officeDocument/2006/relationships/hyperlink" Target="https://statiz.sporki.com/add/?m=draft_school01&amp;ps_school=50111" TargetMode="External"/><Relationship Id="rId2040" Type="http://schemas.openxmlformats.org/officeDocument/2006/relationships/hyperlink" Target="https://statiz.sporki.com/add/?m=draft_school02&amp;ps_school=60114" TargetMode="External"/><Relationship Id="rId7712" Type="http://schemas.openxmlformats.org/officeDocument/2006/relationships/hyperlink" Target="https://statiz.sporki.com/add/?m=draft_school01&amp;ps_school=" TargetMode="External"/><Relationship Id="rId17306" Type="http://schemas.openxmlformats.org/officeDocument/2006/relationships/hyperlink" Target="https://statiz.sporki.com/add/?m=draft_school01&amp;ps_school=50207" TargetMode="External"/><Relationship Id="rId5263" Type="http://schemas.openxmlformats.org/officeDocument/2006/relationships/hyperlink" Target="https://statiz.sporki.com/player/?m=playerinfo&amp;p_no=10645" TargetMode="External"/><Relationship Id="rId8486" Type="http://schemas.openxmlformats.org/officeDocument/2006/relationships/hyperlink" Target="https://statiz.sporki.com/add/?m=draft_school01&amp;ps_school=50711" TargetMode="External"/><Relationship Id="rId13916" Type="http://schemas.openxmlformats.org/officeDocument/2006/relationships/hyperlink" Target="https://statiz.sporki.com/player/?m=playerinfo&amp;p_no=10826" TargetMode="External"/><Relationship Id="rId1873" Type="http://schemas.openxmlformats.org/officeDocument/2006/relationships/hyperlink" Target="https://statiz.sporki.com/player/?m=playerinfo&amp;p_no=14124" TargetMode="External"/><Relationship Id="rId8139" Type="http://schemas.openxmlformats.org/officeDocument/2006/relationships/hyperlink" Target="https://statiz.sporki.com/add/?m=draft_school02&amp;ps_school=60204" TargetMode="External"/><Relationship Id="rId11467" Type="http://schemas.openxmlformats.org/officeDocument/2006/relationships/hyperlink" Target="https://statiz.sporki.com/player/?m=playerinfo&amp;p_no=1215" TargetMode="External"/><Relationship Id="rId1526" Type="http://schemas.openxmlformats.org/officeDocument/2006/relationships/hyperlink" Target="https://statiz.sporki.com/add/?m=draft_school01&amp;ps_school=50111" TargetMode="External"/><Relationship Id="rId19612" Type="http://schemas.openxmlformats.org/officeDocument/2006/relationships/hyperlink" Target="https://statiz.sporki.com/add/?m=draft_school01&amp;ps_school=50803" TargetMode="External"/><Relationship Id="rId4749" Type="http://schemas.openxmlformats.org/officeDocument/2006/relationships/hyperlink" Target="https://statiz.sporki.com/add/?m=draft_school02&amp;ps_school=60203" TargetMode="External"/><Relationship Id="rId10550" Type="http://schemas.openxmlformats.org/officeDocument/2006/relationships/hyperlink" Target="https://statiz.sporki.com/add/?m=draft_school01&amp;ps_school=50105" TargetMode="External"/><Relationship Id="rId17163" Type="http://schemas.openxmlformats.org/officeDocument/2006/relationships/hyperlink" Target="https://statiz.sporki.com/add/?m=draft_school01&amp;ps_school=50206" TargetMode="External"/><Relationship Id="rId7222" Type="http://schemas.openxmlformats.org/officeDocument/2006/relationships/hyperlink" Target="https://statiz.sporki.com/player/?m=playerinfo&amp;p_no=2402" TargetMode="External"/><Relationship Id="rId10203" Type="http://schemas.openxmlformats.org/officeDocument/2006/relationships/hyperlink" Target="https://statiz.sporki.com/add/?m=draft_school02&amp;ps_school=" TargetMode="External"/><Relationship Id="rId13773" Type="http://schemas.openxmlformats.org/officeDocument/2006/relationships/hyperlink" Target="https://statiz.sporki.com/player/?m=playerinfo&amp;p_no=10813" TargetMode="External"/><Relationship Id="rId1383" Type="http://schemas.openxmlformats.org/officeDocument/2006/relationships/hyperlink" Target="https://statiz.sporki.com/add/?m=draft_school02&amp;ps_school=" TargetMode="External"/><Relationship Id="rId3832" Type="http://schemas.openxmlformats.org/officeDocument/2006/relationships/hyperlink" Target="https://statiz.sporki.com/player/?m=playerinfo&amp;p_no=11531" TargetMode="External"/><Relationship Id="rId13426" Type="http://schemas.openxmlformats.org/officeDocument/2006/relationships/hyperlink" Target="https://statiz.sporki.com/player/?m=playerinfo&amp;p_no=11386" TargetMode="External"/><Relationship Id="rId16996" Type="http://schemas.openxmlformats.org/officeDocument/2006/relationships/hyperlink" Target="https://statiz.sporki.com/add/?m=draft_school01&amp;ps_school=50207" TargetMode="External"/><Relationship Id="rId1036" Type="http://schemas.openxmlformats.org/officeDocument/2006/relationships/hyperlink" Target="https://statiz.sporki.com/player/?m=playerinfo&amp;p_no=14800" TargetMode="External"/><Relationship Id="rId16649" Type="http://schemas.openxmlformats.org/officeDocument/2006/relationships/hyperlink" Target="https://statiz.sporki.com/add/?m=draft_school01&amp;ps_school=50205" TargetMode="External"/><Relationship Id="rId6708" Type="http://schemas.openxmlformats.org/officeDocument/2006/relationships/hyperlink" Target="https://statiz.sporki.com/add/?m=draft_school02&amp;ps_school=60703" TargetMode="External"/><Relationship Id="rId19122" Type="http://schemas.openxmlformats.org/officeDocument/2006/relationships/hyperlink" Target="https://statiz.sporki.com/add/?m=draft_school01&amp;ps_school=50403" TargetMode="External"/><Relationship Id="rId4259" Type="http://schemas.openxmlformats.org/officeDocument/2006/relationships/hyperlink" Target="https://statiz.sporki.com/add/?m=draft_school01&amp;ps_school=50103" TargetMode="External"/><Relationship Id="rId10060" Type="http://schemas.openxmlformats.org/officeDocument/2006/relationships/hyperlink" Target="https://statiz.sporki.com/player/?m=playerinfo&amp;p_no=1583" TargetMode="External"/><Relationship Id="rId13283" Type="http://schemas.openxmlformats.org/officeDocument/2006/relationships/hyperlink" Target="https://statiz.sporki.com/player/?m=playerinfo&amp;p_no=12556" TargetMode="External"/><Relationship Id="rId15732" Type="http://schemas.openxmlformats.org/officeDocument/2006/relationships/hyperlink" Target="https://statiz.sporki.com/player/?m=playerinfo&amp;p_no=1481" TargetMode="External"/><Relationship Id="rId3342" Type="http://schemas.openxmlformats.org/officeDocument/2006/relationships/hyperlink" Target="https://statiz.sporki.com/add/?m=draft_school02&amp;ps_school=" TargetMode="External"/><Relationship Id="rId18955" Type="http://schemas.openxmlformats.org/officeDocument/2006/relationships/hyperlink" Target="https://statiz.sporki.com/add/?m=draft_school01&amp;ps_school=50802" TargetMode="External"/><Relationship Id="rId6565" Type="http://schemas.openxmlformats.org/officeDocument/2006/relationships/hyperlink" Target="https://statiz.sporki.com/player/?m=playerinfo&amp;p_no=10636" TargetMode="External"/><Relationship Id="rId16159" Type="http://schemas.openxmlformats.org/officeDocument/2006/relationships/hyperlink" Target="https://statiz.sporki.com/player/?m=playerinfo&amp;p_no=1042" TargetMode="External"/><Relationship Id="rId18608" Type="http://schemas.openxmlformats.org/officeDocument/2006/relationships/hyperlink" Target="https://statiz.sporki.com/add/?m=draft_school01&amp;ps_school=50111" TargetMode="External"/><Relationship Id="rId6218" Type="http://schemas.openxmlformats.org/officeDocument/2006/relationships/hyperlink" Target="https://statiz.sporki.com/add/?m=draft_school01&amp;ps_school=" TargetMode="External"/><Relationship Id="rId9788" Type="http://schemas.openxmlformats.org/officeDocument/2006/relationships/hyperlink" Target="https://statiz.sporki.com/add/?m=draft_school01&amp;ps_school=50108" TargetMode="External"/><Relationship Id="rId12769" Type="http://schemas.openxmlformats.org/officeDocument/2006/relationships/hyperlink" Target="https://statiz.sporki.com/player/?m=playerinfo&amp;p_no=14135" TargetMode="External"/><Relationship Id="rId2828" Type="http://schemas.openxmlformats.org/officeDocument/2006/relationships/hyperlink" Target="https://statiz.sporki.com/add/?m=draft_school01&amp;ps_school=50101" TargetMode="External"/><Relationship Id="rId15242" Type="http://schemas.openxmlformats.org/officeDocument/2006/relationships/hyperlink" Target="https://statiz.sporki.com/player/?m=playerinfo&amp;p_no=1783" TargetMode="External"/><Relationship Id="rId5301" Type="http://schemas.openxmlformats.org/officeDocument/2006/relationships/hyperlink" Target="https://statiz.sporki.com/add/?m=draft_school02&amp;ps_school=" TargetMode="External"/><Relationship Id="rId8871" Type="http://schemas.openxmlformats.org/officeDocument/2006/relationships/hyperlink" Target="https://statiz.sporki.com/add/?m=draft_school02&amp;ps_school=" TargetMode="External"/><Relationship Id="rId18465" Type="http://schemas.openxmlformats.org/officeDocument/2006/relationships/hyperlink" Target="https://statiz.sporki.com/add/?m=draft_school01&amp;ps_school=50705" TargetMode="External"/><Relationship Id="rId8524" Type="http://schemas.openxmlformats.org/officeDocument/2006/relationships/hyperlink" Target="https://statiz.sporki.com/player/?m=playerinfo&amp;p_no=2041" TargetMode="External"/><Relationship Id="rId11852" Type="http://schemas.openxmlformats.org/officeDocument/2006/relationships/hyperlink" Target="https://statiz.sporki.com/add/?m=draft_school01&amp;ps_school=" TargetMode="External"/><Relationship Id="rId18118" Type="http://schemas.openxmlformats.org/officeDocument/2006/relationships/hyperlink" Target="https://statiz.sporki.com/add/?m=draft_school01&amp;ps_school=50805" TargetMode="External"/><Relationship Id="rId1911" Type="http://schemas.openxmlformats.org/officeDocument/2006/relationships/hyperlink" Target="https://statiz.sporki.com/add/?m=draft_school02&amp;ps_school=" TargetMode="External"/><Relationship Id="rId6075" Type="http://schemas.openxmlformats.org/officeDocument/2006/relationships/hyperlink" Target="https://statiz.sporki.com/add/?m=draft_school02&amp;ps_school=60802" TargetMode="External"/><Relationship Id="rId11505" Type="http://schemas.openxmlformats.org/officeDocument/2006/relationships/hyperlink" Target="https://statiz.sporki.com/add/?m=draft_school02&amp;ps_school=60103" TargetMode="External"/><Relationship Id="rId9298" Type="http://schemas.openxmlformats.org/officeDocument/2006/relationships/hyperlink" Target="https://statiz.sporki.com/player/?m=playerinfo&amp;p_no=1909" TargetMode="External"/><Relationship Id="rId14728" Type="http://schemas.openxmlformats.org/officeDocument/2006/relationships/hyperlink" Target="https://statiz.sporki.com/player/?m=playerinfo&amp;p_no=2214" TargetMode="External"/><Relationship Id="rId2685" Type="http://schemas.openxmlformats.org/officeDocument/2006/relationships/hyperlink" Target="https://statiz.sporki.com/add/?m=draft_school02&amp;ps_school=60204" TargetMode="External"/><Relationship Id="rId12279" Type="http://schemas.openxmlformats.org/officeDocument/2006/relationships/hyperlink" Target="https://statiz.sporki.com/player/?m=playerinfo&amp;p_no=16144" TargetMode="External"/><Relationship Id="rId17201" Type="http://schemas.openxmlformats.org/officeDocument/2006/relationships/hyperlink" Target="https://statiz.sporki.com/add/?m=draft_school01&amp;ps_school=50110" TargetMode="External"/><Relationship Id="rId657" Type="http://schemas.openxmlformats.org/officeDocument/2006/relationships/hyperlink" Target="https://statiz.sporki.com/add/?m=draft_school02&amp;ps_school=60109" TargetMode="External"/><Relationship Id="rId2338" Type="http://schemas.openxmlformats.org/officeDocument/2006/relationships/hyperlink" Target="https://statiz.sporki.com/player/?m=playerinfo&amp;p_no=13070" TargetMode="External"/><Relationship Id="rId8381" Type="http://schemas.openxmlformats.org/officeDocument/2006/relationships/hyperlink" Target="https://statiz.sporki.com/add/?m=draft_school01&amp;ps_school=50203" TargetMode="External"/><Relationship Id="rId11362" Type="http://schemas.openxmlformats.org/officeDocument/2006/relationships/hyperlink" Target="https://statiz.sporki.com/player/?m=playerinfo&amp;p_no=1267" TargetMode="External"/><Relationship Id="rId13811" Type="http://schemas.openxmlformats.org/officeDocument/2006/relationships/hyperlink" Target="https://statiz.sporki.com/player/?m=playerinfo&amp;p_no=11159" TargetMode="External"/><Relationship Id="rId1421" Type="http://schemas.openxmlformats.org/officeDocument/2006/relationships/hyperlink" Target="https://statiz.sporki.com/add/?m=draft_school01&amp;ps_school=50103" TargetMode="External"/><Relationship Id="rId4991" Type="http://schemas.openxmlformats.org/officeDocument/2006/relationships/hyperlink" Target="https://statiz.sporki.com/add/?m=draft_school01&amp;ps_school=50701" TargetMode="External"/><Relationship Id="rId8034" Type="http://schemas.openxmlformats.org/officeDocument/2006/relationships/hyperlink" Target="https://statiz.sporki.com/add/?m=draft_school02&amp;ps_school=60802" TargetMode="External"/><Relationship Id="rId11015" Type="http://schemas.openxmlformats.org/officeDocument/2006/relationships/hyperlink" Target="https://statiz.sporki.com/add/?m=draft_school01&amp;ps_school=50703" TargetMode="External"/><Relationship Id="rId4644" Type="http://schemas.openxmlformats.org/officeDocument/2006/relationships/hyperlink" Target="https://statiz.sporki.com/add/?m=draft_school02&amp;ps_school=60203" TargetMode="External"/><Relationship Id="rId14238" Type="http://schemas.openxmlformats.org/officeDocument/2006/relationships/hyperlink" Target="https://statiz.sporki.com/player/?m=playerinfo&amp;p_no=10126" TargetMode="External"/><Relationship Id="rId14585" Type="http://schemas.openxmlformats.org/officeDocument/2006/relationships/hyperlink" Target="https://statiz.sporki.com/player/?m=playerinfo&amp;p_no=2227" TargetMode="External"/><Relationship Id="rId2195" Type="http://schemas.openxmlformats.org/officeDocument/2006/relationships/hyperlink" Target="https://statiz.sporki.com/add/?m=draft_school01&amp;ps_school=" TargetMode="External"/><Relationship Id="rId167" Type="http://schemas.openxmlformats.org/officeDocument/2006/relationships/hyperlink" Target="https://statiz.sporki.com/add/?m=draft_school01&amp;ps_school=50114" TargetMode="External"/><Relationship Id="rId7867" Type="http://schemas.openxmlformats.org/officeDocument/2006/relationships/hyperlink" Target="https://statiz.sporki.com/player/?m=playerinfo&amp;p_no=10627" TargetMode="External"/><Relationship Id="rId10848" Type="http://schemas.openxmlformats.org/officeDocument/2006/relationships/hyperlink" Target="https://statiz.sporki.com/add/?m=draft_school02&amp;ps_school=60109" TargetMode="External"/><Relationship Id="rId13321" Type="http://schemas.openxmlformats.org/officeDocument/2006/relationships/hyperlink" Target="https://statiz.sporki.com/player/?m=playerinfo&amp;p_no=12511" TargetMode="External"/><Relationship Id="rId16891" Type="http://schemas.openxmlformats.org/officeDocument/2006/relationships/hyperlink" Target="https://statiz.sporki.com/add/?m=draft_school01&amp;ps_school=50212" TargetMode="External"/><Relationship Id="rId6950" Type="http://schemas.openxmlformats.org/officeDocument/2006/relationships/hyperlink" Target="https://statiz.sporki.com/add/?m=draft_school01&amp;ps_school=50601" TargetMode="External"/><Relationship Id="rId16544" Type="http://schemas.openxmlformats.org/officeDocument/2006/relationships/hyperlink" Target="https://statiz.sporki.com/add/?m=draft_school01&amp;ps_school=50601" TargetMode="External"/><Relationship Id="rId6603" Type="http://schemas.openxmlformats.org/officeDocument/2006/relationships/hyperlink" Target="https://statiz.sporki.com/add/?m=draft_school02&amp;ps_school=" TargetMode="External"/><Relationship Id="rId14095" Type="http://schemas.openxmlformats.org/officeDocument/2006/relationships/hyperlink" Target="https://statiz.sporki.com/player/?m=playerinfo&amp;p_no=10480" TargetMode="External"/><Relationship Id="rId4154" Type="http://schemas.openxmlformats.org/officeDocument/2006/relationships/hyperlink" Target="https://statiz.sporki.com/add/?m=draft_school01&amp;ps_school=50210" TargetMode="External"/><Relationship Id="rId7377" Type="http://schemas.openxmlformats.org/officeDocument/2006/relationships/hyperlink" Target="https://statiz.sporki.com/add/?m=draft_school02&amp;ps_school=60203" TargetMode="External"/><Relationship Id="rId9826" Type="http://schemas.openxmlformats.org/officeDocument/2006/relationships/hyperlink" Target="https://statiz.sporki.com/player/?m=playerinfo&amp;p_no=10339" TargetMode="External"/><Relationship Id="rId12807" Type="http://schemas.openxmlformats.org/officeDocument/2006/relationships/hyperlink" Target="https://statiz.sporki.com/player/?m=playerinfo&amp;p_no=14181" TargetMode="External"/><Relationship Id="rId10358" Type="http://schemas.openxmlformats.org/officeDocument/2006/relationships/hyperlink" Target="https://statiz.sporki.com/add/?m=draft_school01&amp;ps_school=50807" TargetMode="External"/><Relationship Id="rId18850" Type="http://schemas.openxmlformats.org/officeDocument/2006/relationships/hyperlink" Target="https://statiz.sporki.com/add/?m=draft_school01&amp;ps_school=50805" TargetMode="External"/><Relationship Id="rId3987" Type="http://schemas.openxmlformats.org/officeDocument/2006/relationships/hyperlink" Target="https://statiz.sporki.com/add/?m=draft_school02&amp;ps_school=" TargetMode="External"/><Relationship Id="rId18503" Type="http://schemas.openxmlformats.org/officeDocument/2006/relationships/hyperlink" Target="https://statiz.sporki.com/add/?m=draft_school01&amp;ps_school=50105" TargetMode="External"/><Relationship Id="rId6460" Type="http://schemas.openxmlformats.org/officeDocument/2006/relationships/hyperlink" Target="https://statiz.sporki.com/player/?m=playerinfo&amp;p_no=2408" TargetMode="External"/><Relationship Id="rId16054" Type="http://schemas.openxmlformats.org/officeDocument/2006/relationships/hyperlink" Target="https://statiz.sporki.com/player/?m=playerinfo&amp;p_no=1101" TargetMode="External"/><Relationship Id="rId6113" Type="http://schemas.openxmlformats.org/officeDocument/2006/relationships/hyperlink" Target="https://statiz.sporki.com/add/?m=draft_school01&amp;ps_school=50108" TargetMode="External"/><Relationship Id="rId9683" Type="http://schemas.openxmlformats.org/officeDocument/2006/relationships/hyperlink" Target="https://statiz.sporki.com/add/?m=draft_school01&amp;ps_school=50208" TargetMode="External"/><Relationship Id="rId19277" Type="http://schemas.openxmlformats.org/officeDocument/2006/relationships/hyperlink" Target="https://statiz.sporki.com/add/?m=draft_school01&amp;ps_school=50703" TargetMode="External"/><Relationship Id="rId2723" Type="http://schemas.openxmlformats.org/officeDocument/2006/relationships/hyperlink" Target="https://statiz.sporki.com/add/?m=draft_school01&amp;ps_school=50805" TargetMode="External"/><Relationship Id="rId9336" Type="http://schemas.openxmlformats.org/officeDocument/2006/relationships/hyperlink" Target="https://statiz.sporki.com/add/?m=draft_school02&amp;ps_school=60203" TargetMode="External"/><Relationship Id="rId12317" Type="http://schemas.openxmlformats.org/officeDocument/2006/relationships/hyperlink" Target="https://statiz.sporki.com/player/?m=playerinfo&amp;p_no=15035" TargetMode="External"/><Relationship Id="rId12664" Type="http://schemas.openxmlformats.org/officeDocument/2006/relationships/hyperlink" Target="https://statiz.sporki.com/player/?m=playerinfo&amp;p_no=14671" TargetMode="External"/><Relationship Id="rId15887" Type="http://schemas.openxmlformats.org/officeDocument/2006/relationships/hyperlink" Target="https://statiz.sporki.com/player/?m=playerinfo&amp;p_no=1278" TargetMode="External"/><Relationship Id="rId3497" Type="http://schemas.openxmlformats.org/officeDocument/2006/relationships/hyperlink" Target="https://statiz.sporki.com/add/?m=draft_school01&amp;ps_school=" TargetMode="External"/><Relationship Id="rId5946" Type="http://schemas.openxmlformats.org/officeDocument/2006/relationships/hyperlink" Target="https://statiz.sporki.com/add/?m=draft_school02&amp;ps_school=" TargetMode="External"/><Relationship Id="rId18360" Type="http://schemas.openxmlformats.org/officeDocument/2006/relationships/hyperlink" Target="https://statiz.sporki.com/add/?m=draft_school01&amp;ps_school=50202" TargetMode="External"/><Relationship Id="rId11400" Type="http://schemas.openxmlformats.org/officeDocument/2006/relationships/hyperlink" Target="https://statiz.sporki.com/add/?m=draft_school02&amp;ps_school=60803" TargetMode="External"/><Relationship Id="rId14970" Type="http://schemas.openxmlformats.org/officeDocument/2006/relationships/hyperlink" Target="https://statiz.sporki.com/player/?m=playerinfo&amp;p_no=2239" TargetMode="External"/><Relationship Id="rId18013" Type="http://schemas.openxmlformats.org/officeDocument/2006/relationships/hyperlink" Target="https://statiz.sporki.com/add/?m=draft_school01&amp;ps_school=50502" TargetMode="External"/><Relationship Id="rId14623" Type="http://schemas.openxmlformats.org/officeDocument/2006/relationships/hyperlink" Target="https://statiz.sporki.com/player/?m=playerinfo&amp;p_no=10553" TargetMode="External"/><Relationship Id="rId2580" Type="http://schemas.openxmlformats.org/officeDocument/2006/relationships/hyperlink" Target="https://statiz.sporki.com/add/?m=draft_school02&amp;ps_school=" TargetMode="External"/><Relationship Id="rId9193" Type="http://schemas.openxmlformats.org/officeDocument/2006/relationships/hyperlink" Target="https://statiz.sporki.com/player/?m=playerinfo&amp;p_no=2130" TargetMode="External"/><Relationship Id="rId12174" Type="http://schemas.openxmlformats.org/officeDocument/2006/relationships/hyperlink" Target="https://statiz.sporki.com/player/?m=playerinfo&amp;p_no=15442" TargetMode="External"/><Relationship Id="rId552" Type="http://schemas.openxmlformats.org/officeDocument/2006/relationships/hyperlink" Target="https://statiz.sporki.com/add/?m=draft_school02&amp;ps_school=" TargetMode="External"/><Relationship Id="rId2233" Type="http://schemas.openxmlformats.org/officeDocument/2006/relationships/hyperlink" Target="https://statiz.sporki.com/player/?m=playerinfo&amp;p_no=13937" TargetMode="External"/><Relationship Id="rId15397" Type="http://schemas.openxmlformats.org/officeDocument/2006/relationships/hyperlink" Target="https://statiz.sporki.com/player/?m=playerinfo&amp;p_no=2013" TargetMode="External"/><Relationship Id="rId17846" Type="http://schemas.openxmlformats.org/officeDocument/2006/relationships/hyperlink" Target="https://statiz.sporki.com/add/?m=draft_school01&amp;ps_school=50805" TargetMode="External"/><Relationship Id="rId205" Type="http://schemas.openxmlformats.org/officeDocument/2006/relationships/hyperlink" Target="https://statiz.sporki.com/player/?m=playerinfo&amp;p_no=15514" TargetMode="External"/><Relationship Id="rId5456" Type="http://schemas.openxmlformats.org/officeDocument/2006/relationships/hyperlink" Target="https://statiz.sporki.com/add/?m=draft_school01&amp;ps_school=50805" TargetMode="External"/><Relationship Id="rId7905" Type="http://schemas.openxmlformats.org/officeDocument/2006/relationships/hyperlink" Target="https://statiz.sporki.com/add/?m=draft_school02&amp;ps_school=" TargetMode="External"/><Relationship Id="rId5109" Type="http://schemas.openxmlformats.org/officeDocument/2006/relationships/hyperlink" Target="https://statiz.sporki.com/add/?m=draft_school02&amp;ps_school=60103" TargetMode="External"/><Relationship Id="rId8679" Type="http://schemas.openxmlformats.org/officeDocument/2006/relationships/hyperlink" Target="https://statiz.sporki.com/add/?m=draft_school02&amp;ps_school=60101" TargetMode="External"/><Relationship Id="rId14480" Type="http://schemas.openxmlformats.org/officeDocument/2006/relationships/hyperlink" Target="https://statiz.sporki.com/player/?m=playerinfo&amp;p_no=10120" TargetMode="External"/><Relationship Id="rId1719" Type="http://schemas.openxmlformats.org/officeDocument/2006/relationships/hyperlink" Target="https://statiz.sporki.com/add/?m=draft_school02&amp;ps_school=" TargetMode="External"/><Relationship Id="rId14133" Type="http://schemas.openxmlformats.org/officeDocument/2006/relationships/hyperlink" Target="https://statiz.sporki.com/player/?m=playerinfo&amp;p_no=10941" TargetMode="External"/><Relationship Id="rId2090" Type="http://schemas.openxmlformats.org/officeDocument/2006/relationships/hyperlink" Target="https://statiz.sporki.com/add/?m=draft_school01&amp;ps_school=50604" TargetMode="External"/><Relationship Id="rId7762" Type="http://schemas.openxmlformats.org/officeDocument/2006/relationships/hyperlink" Target="https://statiz.sporki.com/player/?m=playerinfo&amp;p_no=2213" TargetMode="External"/><Relationship Id="rId17356" Type="http://schemas.openxmlformats.org/officeDocument/2006/relationships/hyperlink" Target="https://statiz.sporki.com/add/?m=draft_school01&amp;ps_school=50206" TargetMode="External"/><Relationship Id="rId7415" Type="http://schemas.openxmlformats.org/officeDocument/2006/relationships/hyperlink" Target="https://statiz.sporki.com/add/?m=draft_school01&amp;ps_school=50109" TargetMode="External"/><Relationship Id="rId10743" Type="http://schemas.openxmlformats.org/officeDocument/2006/relationships/hyperlink" Target="https://statiz.sporki.com/add/?m=draft_school02&amp;ps_school=" TargetMode="External"/><Relationship Id="rId17009" Type="http://schemas.openxmlformats.org/officeDocument/2006/relationships/hyperlink" Target="https://statiz.sporki.com/add/?m=draft_school01&amp;ps_school=50807" TargetMode="External"/><Relationship Id="rId13966" Type="http://schemas.openxmlformats.org/officeDocument/2006/relationships/hyperlink" Target="https://statiz.sporki.com/player/?m=playerinfo&amp;p_no=10056" TargetMode="External"/><Relationship Id="rId1576" Type="http://schemas.openxmlformats.org/officeDocument/2006/relationships/hyperlink" Target="https://statiz.sporki.com/player/?m=playerinfo&amp;p_no=14737" TargetMode="External"/><Relationship Id="rId8189" Type="http://schemas.openxmlformats.org/officeDocument/2006/relationships/hyperlink" Target="https://statiz.sporki.com/add/?m=draft_school01&amp;ps_school=50107" TargetMode="External"/><Relationship Id="rId13619" Type="http://schemas.openxmlformats.org/officeDocument/2006/relationships/hyperlink" Target="https://statiz.sporki.com/player/?m=playerinfo&amp;p_no=11164" TargetMode="External"/><Relationship Id="rId1229" Type="http://schemas.openxmlformats.org/officeDocument/2006/relationships/hyperlink" Target="https://statiz.sporki.com/add/?m=draft_school01&amp;ps_school=50102" TargetMode="External"/><Relationship Id="rId19662" Type="http://schemas.openxmlformats.org/officeDocument/2006/relationships/hyperlink" Target="https://statiz.sporki.com/add/?m=draft_school01&amp;ps_school=50501" TargetMode="External"/><Relationship Id="rId4799" Type="http://schemas.openxmlformats.org/officeDocument/2006/relationships/hyperlink" Target="https://statiz.sporki.com/add/?m=draft_school01&amp;ps_school=50114" TargetMode="External"/><Relationship Id="rId9721" Type="http://schemas.openxmlformats.org/officeDocument/2006/relationships/hyperlink" Target="https://statiz.sporki.com/player/?m=playerinfo&amp;p_no=1859" TargetMode="External"/><Relationship Id="rId12702" Type="http://schemas.openxmlformats.org/officeDocument/2006/relationships/hyperlink" Target="https://statiz.sporki.com/player/?m=playerinfo&amp;p_no=14658" TargetMode="External"/><Relationship Id="rId19315" Type="http://schemas.openxmlformats.org/officeDocument/2006/relationships/hyperlink" Target="https://statiz.sporki.com/add/?m=draft_school01&amp;ps_school=50904" TargetMode="External"/><Relationship Id="rId7272" Type="http://schemas.openxmlformats.org/officeDocument/2006/relationships/hyperlink" Target="https://statiz.sporki.com/add/?m=draft_school02&amp;ps_school=" TargetMode="External"/><Relationship Id="rId10253" Type="http://schemas.openxmlformats.org/officeDocument/2006/relationships/hyperlink" Target="https://statiz.sporki.com/add/?m=draft_school01&amp;ps_school=50203" TargetMode="External"/><Relationship Id="rId3882" Type="http://schemas.openxmlformats.org/officeDocument/2006/relationships/hyperlink" Target="https://statiz.sporki.com/add/?m=draft_school02&amp;ps_school=" TargetMode="External"/><Relationship Id="rId13476" Type="http://schemas.openxmlformats.org/officeDocument/2006/relationships/hyperlink" Target="https://statiz.sporki.com/player/?m=playerinfo&amp;p_no=11418" TargetMode="External"/><Relationship Id="rId15925" Type="http://schemas.openxmlformats.org/officeDocument/2006/relationships/hyperlink" Target="https://statiz.sporki.com/player/?m=playerinfo&amp;p_no=1238" TargetMode="External"/><Relationship Id="rId3535" Type="http://schemas.openxmlformats.org/officeDocument/2006/relationships/hyperlink" Target="https://statiz.sporki.com/player/?m=playerinfo&amp;p_no=12505" TargetMode="External"/><Relationship Id="rId13129" Type="http://schemas.openxmlformats.org/officeDocument/2006/relationships/hyperlink" Target="https://statiz.sporki.com/player/?m=playerinfo&amp;p_no=13193" TargetMode="External"/><Relationship Id="rId1086" Type="http://schemas.openxmlformats.org/officeDocument/2006/relationships/hyperlink" Target="https://statiz.sporki.com/add/?m=draft_school02&amp;ps_school=" TargetMode="External"/><Relationship Id="rId16699" Type="http://schemas.openxmlformats.org/officeDocument/2006/relationships/hyperlink" Target="https://statiz.sporki.com/add/?m=draft_school01&amp;ps_school=50116" TargetMode="External"/><Relationship Id="rId6758" Type="http://schemas.openxmlformats.org/officeDocument/2006/relationships/hyperlink" Target="https://statiz.sporki.com/add/?m=draft_school01&amp;ps_school=50116" TargetMode="External"/><Relationship Id="rId9231" Type="http://schemas.openxmlformats.org/officeDocument/2006/relationships/hyperlink" Target="https://statiz.sporki.com/add/?m=draft_school02&amp;ps_school=" TargetMode="External"/><Relationship Id="rId19172" Type="http://schemas.openxmlformats.org/officeDocument/2006/relationships/hyperlink" Target="https://statiz.sporki.com/add/?m=draft_school01&amp;ps_school=50119" TargetMode="External"/><Relationship Id="rId12212" Type="http://schemas.openxmlformats.org/officeDocument/2006/relationships/hyperlink" Target="https://statiz.sporki.com/player/?m=playerinfo&amp;p_no=15428" TargetMode="External"/><Relationship Id="rId15782" Type="http://schemas.openxmlformats.org/officeDocument/2006/relationships/hyperlink" Target="https://statiz.sporki.com/player/?m=playerinfo&amp;p_no=1400" TargetMode="External"/><Relationship Id="rId5841" Type="http://schemas.openxmlformats.org/officeDocument/2006/relationships/hyperlink" Target="https://statiz.sporki.com/add/?m=draft_school02&amp;ps_school=" TargetMode="External"/><Relationship Id="rId15435" Type="http://schemas.openxmlformats.org/officeDocument/2006/relationships/hyperlink" Target="https://statiz.sporki.com/player/?m=playerinfo&amp;p_no=1652" TargetMode="External"/><Relationship Id="rId3392" Type="http://schemas.openxmlformats.org/officeDocument/2006/relationships/hyperlink" Target="https://statiz.sporki.com/add/?m=draft_school01&amp;ps_school=50208" TargetMode="External"/><Relationship Id="rId18658" Type="http://schemas.openxmlformats.org/officeDocument/2006/relationships/hyperlink" Target="https://statiz.sporki.com/add/?m=draft_school01&amp;ps_school=50401" TargetMode="External"/><Relationship Id="rId3045" Type="http://schemas.openxmlformats.org/officeDocument/2006/relationships/hyperlink" Target="https://statiz.sporki.com/add/?m=draft_school02&amp;ps_school=" TargetMode="External"/><Relationship Id="rId8717" Type="http://schemas.openxmlformats.org/officeDocument/2006/relationships/hyperlink" Target="https://statiz.sporki.com/add/?m=draft_school01&amp;ps_school=50802" TargetMode="External"/><Relationship Id="rId6268" Type="http://schemas.openxmlformats.org/officeDocument/2006/relationships/hyperlink" Target="https://statiz.sporki.com/player/?m=playerinfo&amp;p_no=10626" TargetMode="External"/><Relationship Id="rId17741" Type="http://schemas.openxmlformats.org/officeDocument/2006/relationships/hyperlink" Target="https://statiz.sporki.com/add/?m=draft_school01&amp;ps_school=50112" TargetMode="External"/><Relationship Id="rId100" Type="http://schemas.openxmlformats.org/officeDocument/2006/relationships/hyperlink" Target="https://statiz.sporki.com/player/?m=playerinfo&amp;p_no=15453" TargetMode="External"/><Relationship Id="rId2878" Type="http://schemas.openxmlformats.org/officeDocument/2006/relationships/hyperlink" Target="https://statiz.sporki.com/player/?m=playerinfo&amp;p_no=12848" TargetMode="External"/><Relationship Id="rId7800" Type="http://schemas.openxmlformats.org/officeDocument/2006/relationships/hyperlink" Target="https://statiz.sporki.com/add/?m=draft_school02&amp;ps_school=60102" TargetMode="External"/><Relationship Id="rId15292" Type="http://schemas.openxmlformats.org/officeDocument/2006/relationships/hyperlink" Target="https://statiz.sporki.com/player/?m=playerinfo&amp;p_no=1846" TargetMode="External"/><Relationship Id="rId5351" Type="http://schemas.openxmlformats.org/officeDocument/2006/relationships/hyperlink" Target="https://statiz.sporki.com/add/?m=draft_school01&amp;ps_school=50802" TargetMode="External"/><Relationship Id="rId1961" Type="http://schemas.openxmlformats.org/officeDocument/2006/relationships/hyperlink" Target="https://statiz.sporki.com/add/?m=draft_school01&amp;ps_school=50114" TargetMode="External"/><Relationship Id="rId5004" Type="http://schemas.openxmlformats.org/officeDocument/2006/relationships/hyperlink" Target="https://statiz.sporki.com/add/?m=draft_school02&amp;ps_school=" TargetMode="External"/><Relationship Id="rId8574" Type="http://schemas.openxmlformats.org/officeDocument/2006/relationships/hyperlink" Target="https://statiz.sporki.com/add/?m=draft_school02&amp;ps_school=60102" TargetMode="External"/><Relationship Id="rId11555" Type="http://schemas.openxmlformats.org/officeDocument/2006/relationships/hyperlink" Target="https://statiz.sporki.com/add/?m=draft_school01&amp;ps_school=50105" TargetMode="External"/><Relationship Id="rId18168" Type="http://schemas.openxmlformats.org/officeDocument/2006/relationships/hyperlink" Target="https://statiz.sporki.com/add/?m=draft_school01&amp;ps_school=50606" TargetMode="External"/><Relationship Id="rId1614" Type="http://schemas.openxmlformats.org/officeDocument/2006/relationships/hyperlink" Target="https://statiz.sporki.com/add/?m=draft_school02&amp;ps_school=60109" TargetMode="External"/><Relationship Id="rId8227" Type="http://schemas.openxmlformats.org/officeDocument/2006/relationships/hyperlink" Target="https://statiz.sporki.com/player/?m=playerinfo&amp;p_no=2147" TargetMode="External"/><Relationship Id="rId11208" Type="http://schemas.openxmlformats.org/officeDocument/2006/relationships/hyperlink" Target="https://statiz.sporki.com/add/?m=draft_school02&amp;ps_school=60108" TargetMode="External"/><Relationship Id="rId14778" Type="http://schemas.openxmlformats.org/officeDocument/2006/relationships/hyperlink" Target="https://statiz.sporki.com/player/?m=playerinfo&amp;p_no=10509" TargetMode="External"/><Relationship Id="rId2388" Type="http://schemas.openxmlformats.org/officeDocument/2006/relationships/hyperlink" Target="https://statiz.sporki.com/add/?m=draft_school02&amp;ps_school=" TargetMode="External"/><Relationship Id="rId4837" Type="http://schemas.openxmlformats.org/officeDocument/2006/relationships/hyperlink" Target="https://statiz.sporki.com/player/?m=playerinfo&amp;p_no=11153" TargetMode="External"/><Relationship Id="rId7310" Type="http://schemas.openxmlformats.org/officeDocument/2006/relationships/hyperlink" Target="https://statiz.sporki.com/add/?m=draft_school01&amp;ps_school=50303" TargetMode="External"/><Relationship Id="rId17251" Type="http://schemas.openxmlformats.org/officeDocument/2006/relationships/hyperlink" Target="https://statiz.sporki.com/add/?m=draft_school01&amp;ps_school=50402" TargetMode="External"/><Relationship Id="rId13861" Type="http://schemas.openxmlformats.org/officeDocument/2006/relationships/hyperlink" Target="https://statiz.sporki.com/player/?m=playerinfo&amp;p_no=10657" TargetMode="External"/><Relationship Id="rId3920" Type="http://schemas.openxmlformats.org/officeDocument/2006/relationships/hyperlink" Target="https://statiz.sporki.com/add/?m=draft_school01&amp;ps_school=" TargetMode="External"/><Relationship Id="rId8084" Type="http://schemas.openxmlformats.org/officeDocument/2006/relationships/hyperlink" Target="https://statiz.sporki.com/add/?m=draft_school01&amp;ps_school=" TargetMode="External"/><Relationship Id="rId13514" Type="http://schemas.openxmlformats.org/officeDocument/2006/relationships/hyperlink" Target="https://statiz.sporki.com/player/?m=playerinfo&amp;p_no=11257" TargetMode="External"/><Relationship Id="rId1471" Type="http://schemas.openxmlformats.org/officeDocument/2006/relationships/hyperlink" Target="https://statiz.sporki.com/player/?m=playerinfo&amp;p_no=14655" TargetMode="External"/><Relationship Id="rId11065" Type="http://schemas.openxmlformats.org/officeDocument/2006/relationships/hyperlink" Target="https://statiz.sporki.com/player/?m=playerinfo&amp;p_no=1347" TargetMode="External"/><Relationship Id="rId16737" Type="http://schemas.openxmlformats.org/officeDocument/2006/relationships/hyperlink" Target="https://statiz.sporki.com/add/?m=draft_school01&amp;ps_school=50807" TargetMode="External"/><Relationship Id="rId1124" Type="http://schemas.openxmlformats.org/officeDocument/2006/relationships/hyperlink" Target="https://statiz.sporki.com/add/?m=draft_school01&amp;ps_school=50207" TargetMode="External"/><Relationship Id="rId4694" Type="http://schemas.openxmlformats.org/officeDocument/2006/relationships/hyperlink" Target="https://statiz.sporki.com/add/?m=draft_school01&amp;ps_school=" TargetMode="External"/><Relationship Id="rId14288" Type="http://schemas.openxmlformats.org/officeDocument/2006/relationships/hyperlink" Target="https://statiz.sporki.com/player/?m=playerinfo&amp;p_no=2413" TargetMode="External"/><Relationship Id="rId19210" Type="http://schemas.openxmlformats.org/officeDocument/2006/relationships/hyperlink" Target="https://statiz.sporki.com/add/?m=draft_school01&amp;ps_school=50501" TargetMode="External"/><Relationship Id="rId4347" Type="http://schemas.openxmlformats.org/officeDocument/2006/relationships/hyperlink" Target="https://statiz.sporki.com/add/?m=draft_school02&amp;ps_school=" TargetMode="External"/><Relationship Id="rId10898" Type="http://schemas.openxmlformats.org/officeDocument/2006/relationships/hyperlink" Target="https://statiz.sporki.com/add/?m=draft_school01&amp;ps_school=50502" TargetMode="External"/><Relationship Id="rId15820" Type="http://schemas.openxmlformats.org/officeDocument/2006/relationships/hyperlink" Target="https://statiz.sporki.com/player/?m=playerinfo&amp;p_no=12713" TargetMode="External"/><Relationship Id="rId13371" Type="http://schemas.openxmlformats.org/officeDocument/2006/relationships/hyperlink" Target="https://statiz.sporki.com/player/?m=playerinfo&amp;p_no=11355" TargetMode="External"/><Relationship Id="rId3430" Type="http://schemas.openxmlformats.org/officeDocument/2006/relationships/hyperlink" Target="https://statiz.sporki.com/player/?m=playerinfo&amp;p_no=12548" TargetMode="External"/><Relationship Id="rId13024" Type="http://schemas.openxmlformats.org/officeDocument/2006/relationships/hyperlink" Target="https://statiz.sporki.com/player/?m=playerinfo&amp;p_no=13178" TargetMode="External"/><Relationship Id="rId16594" Type="http://schemas.openxmlformats.org/officeDocument/2006/relationships/hyperlink" Target="https://statiz.sporki.com/add/?m=draft_school01&amp;ps_school=50208" TargetMode="External"/><Relationship Id="rId6653" Type="http://schemas.openxmlformats.org/officeDocument/2006/relationships/hyperlink" Target="https://statiz.sporki.com/add/?m=draft_school01&amp;ps_school=" TargetMode="External"/><Relationship Id="rId16247" Type="http://schemas.openxmlformats.org/officeDocument/2006/relationships/hyperlink" Target="https://statiz.sporki.com/add/?m=draft_school01&amp;ps_school=50602" TargetMode="External"/><Relationship Id="rId6306" Type="http://schemas.openxmlformats.org/officeDocument/2006/relationships/hyperlink" Target="https://statiz.sporki.com/add/?m=draft_school02&amp;ps_school=" TargetMode="External"/><Relationship Id="rId9876" Type="http://schemas.openxmlformats.org/officeDocument/2006/relationships/hyperlink" Target="https://statiz.sporki.com/add/?m=draft_school02&amp;ps_school=60204" TargetMode="External"/><Relationship Id="rId9529" Type="http://schemas.openxmlformats.org/officeDocument/2006/relationships/hyperlink" Target="https://statiz.sporki.com/player/?m=playerinfo&amp;p_no=11238" TargetMode="External"/><Relationship Id="rId12857" Type="http://schemas.openxmlformats.org/officeDocument/2006/relationships/hyperlink" Target="https://statiz.sporki.com/player/?m=playerinfo&amp;p_no=14192" TargetMode="External"/><Relationship Id="rId2916" Type="http://schemas.openxmlformats.org/officeDocument/2006/relationships/hyperlink" Target="https://statiz.sporki.com/add/?m=draft_school02&amp;ps_school=61001" TargetMode="External"/><Relationship Id="rId15330" Type="http://schemas.openxmlformats.org/officeDocument/2006/relationships/hyperlink" Target="https://statiz.sporki.com/player/?m=playerinfo&amp;p_no=1724" TargetMode="External"/><Relationship Id="rId11940" Type="http://schemas.openxmlformats.org/officeDocument/2006/relationships/hyperlink" Target="https://statiz.sporki.com/add/?m=draft_school02&amp;ps_school=60703" TargetMode="External"/><Relationship Id="rId18553" Type="http://schemas.openxmlformats.org/officeDocument/2006/relationships/hyperlink" Target="https://statiz.sporki.com/add/?m=draft_school01&amp;ps_school=50303" TargetMode="External"/><Relationship Id="rId6163" Type="http://schemas.openxmlformats.org/officeDocument/2006/relationships/hyperlink" Target="https://statiz.sporki.com/player/?m=playerinfo&amp;p_no=10115" TargetMode="External"/><Relationship Id="rId8612" Type="http://schemas.openxmlformats.org/officeDocument/2006/relationships/hyperlink" Target="https://statiz.sporki.com/add/?m=draft_school01&amp;ps_school=50105" TargetMode="External"/><Relationship Id="rId18206" Type="http://schemas.openxmlformats.org/officeDocument/2006/relationships/hyperlink" Target="https://statiz.sporki.com/add/?m=draft_school01&amp;ps_school=50705" TargetMode="External"/><Relationship Id="rId14816" Type="http://schemas.openxmlformats.org/officeDocument/2006/relationships/hyperlink" Target="https://statiz.sporki.com/player/?m=playerinfo&amp;p_no=2186" TargetMode="External"/><Relationship Id="rId2773" Type="http://schemas.openxmlformats.org/officeDocument/2006/relationships/hyperlink" Target="https://statiz.sporki.com/player/?m=playerinfo&amp;p_no=12937" TargetMode="External"/><Relationship Id="rId9386" Type="http://schemas.openxmlformats.org/officeDocument/2006/relationships/hyperlink" Target="https://statiz.sporki.com/add/?m=draft_school01&amp;ps_school=50701" TargetMode="External"/><Relationship Id="rId12367" Type="http://schemas.openxmlformats.org/officeDocument/2006/relationships/hyperlink" Target="https://statiz.sporki.com/player/?m=playerinfo&amp;p_no=15040" TargetMode="External"/><Relationship Id="rId745" Type="http://schemas.openxmlformats.org/officeDocument/2006/relationships/hyperlink" Target="https://statiz.sporki.com/player/?m=playerinfo&amp;p_no=15065" TargetMode="External"/><Relationship Id="rId2426" Type="http://schemas.openxmlformats.org/officeDocument/2006/relationships/hyperlink" Target="https://statiz.sporki.com/add/?m=draft_school01&amp;ps_school=50701" TargetMode="External"/><Relationship Id="rId5996" Type="http://schemas.openxmlformats.org/officeDocument/2006/relationships/hyperlink" Target="https://statiz.sporki.com/add/?m=draft_school01&amp;ps_school=50108" TargetMode="External"/><Relationship Id="rId9039" Type="http://schemas.openxmlformats.org/officeDocument/2006/relationships/hyperlink" Target="https://statiz.sporki.com/add/?m=draft_school02&amp;ps_school=" TargetMode="External"/><Relationship Id="rId5649" Type="http://schemas.openxmlformats.org/officeDocument/2006/relationships/hyperlink" Target="https://statiz.sporki.com/add/?m=draft_school02&amp;ps_school=60703" TargetMode="External"/><Relationship Id="rId18063" Type="http://schemas.openxmlformats.org/officeDocument/2006/relationships/hyperlink" Target="https://statiz.sporki.com/add/?m=draft_school01&amp;ps_school=50202" TargetMode="External"/><Relationship Id="rId8122" Type="http://schemas.openxmlformats.org/officeDocument/2006/relationships/hyperlink" Target="https://statiz.sporki.com/player/?m=playerinfo&amp;p_no=2102" TargetMode="External"/><Relationship Id="rId11450" Type="http://schemas.openxmlformats.org/officeDocument/2006/relationships/hyperlink" Target="https://statiz.sporki.com/add/?m=draft_school01&amp;ps_school=50301" TargetMode="External"/><Relationship Id="rId11103" Type="http://schemas.openxmlformats.org/officeDocument/2006/relationships/hyperlink" Target="https://statiz.sporki.com/add/?m=draft_school02&amp;ps_school=60113" TargetMode="External"/><Relationship Id="rId14673" Type="http://schemas.openxmlformats.org/officeDocument/2006/relationships/hyperlink" Target="https://statiz.sporki.com/player/?m=playerinfo&amp;p_no=2192" TargetMode="External"/><Relationship Id="rId4732" Type="http://schemas.openxmlformats.org/officeDocument/2006/relationships/hyperlink" Target="https://statiz.sporki.com/player/?m=playerinfo&amp;p_no=11152" TargetMode="External"/><Relationship Id="rId14326" Type="http://schemas.openxmlformats.org/officeDocument/2006/relationships/hyperlink" Target="https://statiz.sporki.com/player/?m=playerinfo&amp;p_no=10431" TargetMode="External"/><Relationship Id="rId17896" Type="http://schemas.openxmlformats.org/officeDocument/2006/relationships/hyperlink" Target="https://statiz.sporki.com/add/?m=draft_school01&amp;ps_school=50601" TargetMode="External"/><Relationship Id="rId2283" Type="http://schemas.openxmlformats.org/officeDocument/2006/relationships/hyperlink" Target="https://statiz.sporki.com/add/?m=draft_school02&amp;ps_school=60114" TargetMode="External"/><Relationship Id="rId7955" Type="http://schemas.openxmlformats.org/officeDocument/2006/relationships/hyperlink" Target="https://statiz.sporki.com/add/?m=draft_school01&amp;ps_school=50116" TargetMode="External"/><Relationship Id="rId17549" Type="http://schemas.openxmlformats.org/officeDocument/2006/relationships/hyperlink" Target="https://statiz.sporki.com/add/?m=draft_school01&amp;ps_school=50201" TargetMode="External"/><Relationship Id="rId255" Type="http://schemas.openxmlformats.org/officeDocument/2006/relationships/hyperlink" Target="https://statiz.sporki.com/add/?m=draft_school02&amp;ps_school=" TargetMode="External"/><Relationship Id="rId7608" Type="http://schemas.openxmlformats.org/officeDocument/2006/relationships/hyperlink" Target="https://statiz.sporki.com/add/?m=draft_school02&amp;ps_school=" TargetMode="External"/><Relationship Id="rId10936" Type="http://schemas.openxmlformats.org/officeDocument/2006/relationships/hyperlink" Target="https://statiz.sporki.com/player/?m=playerinfo&amp;p_no=1431" TargetMode="External"/><Relationship Id="rId5159" Type="http://schemas.openxmlformats.org/officeDocument/2006/relationships/hyperlink" Target="https://statiz.sporki.com/add/?m=draft_school01&amp;ps_school=50806" TargetMode="External"/><Relationship Id="rId16632" Type="http://schemas.openxmlformats.org/officeDocument/2006/relationships/hyperlink" Target="https://statiz.sporki.com/add/?m=draft_school01&amp;ps_school=50403" TargetMode="External"/><Relationship Id="rId1769" Type="http://schemas.openxmlformats.org/officeDocument/2006/relationships/hyperlink" Target="https://statiz.sporki.com/add/?m=draft_school01&amp;ps_school=50101" TargetMode="External"/><Relationship Id="rId4242" Type="http://schemas.openxmlformats.org/officeDocument/2006/relationships/hyperlink" Target="https://statiz.sporki.com/add/?m=draft_school02&amp;ps_school=" TargetMode="External"/><Relationship Id="rId14183" Type="http://schemas.openxmlformats.org/officeDocument/2006/relationships/hyperlink" Target="https://statiz.sporki.com/player/?m=playerinfo&amp;p_no=10506" TargetMode="External"/><Relationship Id="rId9914" Type="http://schemas.openxmlformats.org/officeDocument/2006/relationships/hyperlink" Target="https://statiz.sporki.com/add/?m=draft_school01&amp;ps_school=50802" TargetMode="External"/><Relationship Id="rId10793" Type="http://schemas.openxmlformats.org/officeDocument/2006/relationships/hyperlink" Target="https://statiz.sporki.com/add/?m=draft_school01&amp;ps_school=50302" TargetMode="External"/><Relationship Id="rId19508" Type="http://schemas.openxmlformats.org/officeDocument/2006/relationships/hyperlink" Target="https://statiz.sporki.com/add/?m=draft_school01&amp;ps_school=50802" TargetMode="External"/><Relationship Id="rId7465" Type="http://schemas.openxmlformats.org/officeDocument/2006/relationships/hyperlink" Target="https://statiz.sporki.com/player/?m=playerinfo&amp;p_no=10375" TargetMode="External"/><Relationship Id="rId10446" Type="http://schemas.openxmlformats.org/officeDocument/2006/relationships/hyperlink" Target="https://statiz.sporki.com/add/?m=draft_school02&amp;ps_school=" TargetMode="External"/><Relationship Id="rId17059" Type="http://schemas.openxmlformats.org/officeDocument/2006/relationships/hyperlink" Target="https://statiz.sporki.com/add/?m=draft_school01&amp;ps_school=50207" TargetMode="External"/><Relationship Id="rId7118" Type="http://schemas.openxmlformats.org/officeDocument/2006/relationships/hyperlink" Target="https://statiz.sporki.com/add/?m=draft_school01&amp;ps_school=50403" TargetMode="External"/><Relationship Id="rId3728" Type="http://schemas.openxmlformats.org/officeDocument/2006/relationships/hyperlink" Target="https://statiz.sporki.com/add/?m=draft_school01&amp;ps_school=50111" TargetMode="External"/><Relationship Id="rId13669" Type="http://schemas.openxmlformats.org/officeDocument/2006/relationships/hyperlink" Target="https://statiz.sporki.com/player/?m=playerinfo&amp;p_no=11068" TargetMode="External"/><Relationship Id="rId16142" Type="http://schemas.openxmlformats.org/officeDocument/2006/relationships/hyperlink" Target="https://statiz.sporki.com/player/?m=playerinfo&amp;p_no=1102" TargetMode="External"/><Relationship Id="rId1279" Type="http://schemas.openxmlformats.org/officeDocument/2006/relationships/hyperlink" Target="https://statiz.sporki.com/player/?m=playerinfo&amp;p_no=14874" TargetMode="External"/><Relationship Id="rId6201" Type="http://schemas.openxmlformats.org/officeDocument/2006/relationships/hyperlink" Target="https://statiz.sporki.com/add/?m=draft_school02&amp;ps_school=" TargetMode="External"/><Relationship Id="rId9771" Type="http://schemas.openxmlformats.org/officeDocument/2006/relationships/hyperlink" Target="https://statiz.sporki.com/add/?m=draft_school02&amp;ps_school=60203" TargetMode="External"/><Relationship Id="rId12752" Type="http://schemas.openxmlformats.org/officeDocument/2006/relationships/hyperlink" Target="https://statiz.sporki.com/player/?m=playerinfo&amp;p_no=14635" TargetMode="External"/><Relationship Id="rId19365" Type="http://schemas.openxmlformats.org/officeDocument/2006/relationships/hyperlink" Target="https://statiz.sporki.com/add/?m=draft_school01&amp;ps_school=50110" TargetMode="External"/><Relationship Id="rId2811" Type="http://schemas.openxmlformats.org/officeDocument/2006/relationships/hyperlink" Target="https://statiz.sporki.com/add/?m=draft_school02&amp;ps_school=" TargetMode="External"/><Relationship Id="rId9424" Type="http://schemas.openxmlformats.org/officeDocument/2006/relationships/hyperlink" Target="https://statiz.sporki.com/player/?m=playerinfo&amp;p_no=1812" TargetMode="External"/><Relationship Id="rId12405" Type="http://schemas.openxmlformats.org/officeDocument/2006/relationships/hyperlink" Target="https://statiz.sporki.com/player/?m=playerinfo&amp;p_no=15109" TargetMode="External"/><Relationship Id="rId15975" Type="http://schemas.openxmlformats.org/officeDocument/2006/relationships/hyperlink" Target="https://statiz.sporki.com/player/?m=playerinfo&amp;p_no=1230" TargetMode="External"/><Relationship Id="rId19018" Type="http://schemas.openxmlformats.org/officeDocument/2006/relationships/hyperlink" Target="https://statiz.sporki.com/add/?m=draft_school01&amp;ps_school=50901" TargetMode="External"/><Relationship Id="rId15628" Type="http://schemas.openxmlformats.org/officeDocument/2006/relationships/hyperlink" Target="https://statiz.sporki.com/player/?m=playerinfo&amp;p_no=1603" TargetMode="External"/><Relationship Id="rId3585" Type="http://schemas.openxmlformats.org/officeDocument/2006/relationships/hyperlink" Target="https://statiz.sporki.com/add/?m=draft_school02&amp;ps_school=" TargetMode="External"/><Relationship Id="rId13179" Type="http://schemas.openxmlformats.org/officeDocument/2006/relationships/hyperlink" Target="https://statiz.sporki.com/player/?m=playerinfo&amp;p_no=12954" TargetMode="External"/><Relationship Id="rId18101" Type="http://schemas.openxmlformats.org/officeDocument/2006/relationships/hyperlink" Target="https://statiz.sporki.com/add/?m=draft_school01&amp;ps_school=50701" TargetMode="External"/><Relationship Id="rId3238" Type="http://schemas.openxmlformats.org/officeDocument/2006/relationships/hyperlink" Target="https://statiz.sporki.com/player/?m=playerinfo&amp;p_no=12536" TargetMode="External"/><Relationship Id="rId9281" Type="http://schemas.openxmlformats.org/officeDocument/2006/relationships/hyperlink" Target="https://statiz.sporki.com/add/?m=draft_school01&amp;ps_school=50203" TargetMode="External"/><Relationship Id="rId14711" Type="http://schemas.openxmlformats.org/officeDocument/2006/relationships/hyperlink" Target="https://statiz.sporki.com/player/?m=playerinfo&amp;p_no=2198" TargetMode="External"/><Relationship Id="rId12262" Type="http://schemas.openxmlformats.org/officeDocument/2006/relationships/hyperlink" Target="https://statiz.sporki.com/player/?m=playerinfo&amp;p_no=15528" TargetMode="External"/><Relationship Id="rId17934" Type="http://schemas.openxmlformats.org/officeDocument/2006/relationships/hyperlink" Target="https://statiz.sporki.com/add/?m=draft_school01&amp;ps_school=50111" TargetMode="External"/><Relationship Id="rId640" Type="http://schemas.openxmlformats.org/officeDocument/2006/relationships/hyperlink" Target="https://statiz.sporki.com/player/?m=playerinfo&amp;p_no=15104" TargetMode="External"/><Relationship Id="rId2321" Type="http://schemas.openxmlformats.org/officeDocument/2006/relationships/hyperlink" Target="https://statiz.sporki.com/add/?m=draft_school01&amp;ps_school=50301" TargetMode="External"/><Relationship Id="rId5891" Type="http://schemas.openxmlformats.org/officeDocument/2006/relationships/hyperlink" Target="https://statiz.sporki.com/add/?m=draft_school01&amp;ps_school=50102" TargetMode="External"/><Relationship Id="rId15485" Type="http://schemas.openxmlformats.org/officeDocument/2006/relationships/hyperlink" Target="https://statiz.sporki.com/player/?m=playerinfo&amp;p_no=1567" TargetMode="External"/><Relationship Id="rId5544" Type="http://schemas.openxmlformats.org/officeDocument/2006/relationships/hyperlink" Target="https://statiz.sporki.com/add/?m=draft_school02&amp;ps_school=" TargetMode="External"/><Relationship Id="rId15138" Type="http://schemas.openxmlformats.org/officeDocument/2006/relationships/hyperlink" Target="https://statiz.sporki.com/player/?m=playerinfo&amp;p_no=2168" TargetMode="External"/><Relationship Id="rId3095" Type="http://schemas.openxmlformats.org/officeDocument/2006/relationships/hyperlink" Target="https://statiz.sporki.com/add/?m=draft_school01&amp;ps_school=" TargetMode="External"/><Relationship Id="rId8767" Type="http://schemas.openxmlformats.org/officeDocument/2006/relationships/hyperlink" Target="https://statiz.sporki.com/player/?m=playerinfo&amp;p_no=10327" TargetMode="External"/><Relationship Id="rId1807" Type="http://schemas.openxmlformats.org/officeDocument/2006/relationships/hyperlink" Target="https://statiz.sporki.com/player/?m=playerinfo&amp;p_no=14688" TargetMode="External"/><Relationship Id="rId11748" Type="http://schemas.openxmlformats.org/officeDocument/2006/relationships/hyperlink" Target="https://statiz.sporki.com/add/?m=draft_school02&amp;ps_school=" TargetMode="External"/><Relationship Id="rId14221" Type="http://schemas.openxmlformats.org/officeDocument/2006/relationships/hyperlink" Target="https://statiz.sporki.com/player/?m=playerinfo&amp;p_no=10081" TargetMode="External"/><Relationship Id="rId17791" Type="http://schemas.openxmlformats.org/officeDocument/2006/relationships/hyperlink" Target="https://statiz.sporki.com/add/?m=draft_school01&amp;ps_school=50701" TargetMode="External"/><Relationship Id="rId150" Type="http://schemas.openxmlformats.org/officeDocument/2006/relationships/hyperlink" Target="https://statiz.sporki.com/add/?m=draft_school02&amp;ps_school=" TargetMode="External"/><Relationship Id="rId7850" Type="http://schemas.openxmlformats.org/officeDocument/2006/relationships/hyperlink" Target="https://statiz.sporki.com/add/?m=draft_school01&amp;ps_school=50705" TargetMode="External"/><Relationship Id="rId10831" Type="http://schemas.openxmlformats.org/officeDocument/2006/relationships/hyperlink" Target="https://statiz.sporki.com/player/?m=playerinfo&amp;p_no=1371" TargetMode="External"/><Relationship Id="rId17444" Type="http://schemas.openxmlformats.org/officeDocument/2006/relationships/hyperlink" Target="https://statiz.sporki.com/add/?m=draft_school01&amp;ps_school=51001" TargetMode="External"/><Relationship Id="rId5054" Type="http://schemas.openxmlformats.org/officeDocument/2006/relationships/hyperlink" Target="https://statiz.sporki.com/add/?m=draft_school01&amp;ps_school=" TargetMode="External"/><Relationship Id="rId7503" Type="http://schemas.openxmlformats.org/officeDocument/2006/relationships/hyperlink" Target="https://statiz.sporki.com/add/?m=draft_school02&amp;ps_school=" TargetMode="External"/><Relationship Id="rId13707" Type="http://schemas.openxmlformats.org/officeDocument/2006/relationships/hyperlink" Target="https://statiz.sporki.com/player/?m=playerinfo&amp;p_no=11113" TargetMode="External"/><Relationship Id="rId1664" Type="http://schemas.openxmlformats.org/officeDocument/2006/relationships/hyperlink" Target="https://statiz.sporki.com/add/?m=draft_school01&amp;ps_school=50116" TargetMode="External"/><Relationship Id="rId8277" Type="http://schemas.openxmlformats.org/officeDocument/2006/relationships/hyperlink" Target="https://statiz.sporki.com/add/?m=draft_school02&amp;ps_school=" TargetMode="External"/><Relationship Id="rId11258" Type="http://schemas.openxmlformats.org/officeDocument/2006/relationships/hyperlink" Target="https://statiz.sporki.com/add/?m=draft_school01&amp;ps_school=50609" TargetMode="External"/><Relationship Id="rId1317" Type="http://schemas.openxmlformats.org/officeDocument/2006/relationships/hyperlink" Target="https://statiz.sporki.com/add/?m=draft_school02&amp;ps_school=" TargetMode="External"/><Relationship Id="rId4887" Type="http://schemas.openxmlformats.org/officeDocument/2006/relationships/hyperlink" Target="https://statiz.sporki.com/add/?m=draft_school02&amp;ps_school=" TargetMode="External"/><Relationship Id="rId19403" Type="http://schemas.openxmlformats.org/officeDocument/2006/relationships/hyperlink" Target="https://statiz.sporki.com/add/?m=draft_school01&amp;ps_school=50301" TargetMode="External"/><Relationship Id="rId23" Type="http://schemas.openxmlformats.org/officeDocument/2006/relationships/hyperlink" Target="https://statiz.sporki.com/add/?m=draft_school01&amp;ps_school=50209" TargetMode="External"/><Relationship Id="rId7360" Type="http://schemas.openxmlformats.org/officeDocument/2006/relationships/hyperlink" Target="https://statiz.sporki.com/player/?m=playerinfo&amp;p_no=10175" TargetMode="External"/><Relationship Id="rId7013" Type="http://schemas.openxmlformats.org/officeDocument/2006/relationships/hyperlink" Target="https://statiz.sporki.com/add/?m=draft_school01&amp;ps_school=50104" TargetMode="External"/><Relationship Id="rId10341" Type="http://schemas.openxmlformats.org/officeDocument/2006/relationships/hyperlink" Target="https://statiz.sporki.com/add/?m=draft_school02&amp;ps_school=" TargetMode="External"/><Relationship Id="rId3970" Type="http://schemas.openxmlformats.org/officeDocument/2006/relationships/hyperlink" Target="https://statiz.sporki.com/player/?m=playerinfo&amp;p_no=14197" TargetMode="External"/><Relationship Id="rId13564" Type="http://schemas.openxmlformats.org/officeDocument/2006/relationships/hyperlink" Target="https://statiz.sporki.com/player/?m=playerinfo&amp;p_no=11271" TargetMode="External"/><Relationship Id="rId3623" Type="http://schemas.openxmlformats.org/officeDocument/2006/relationships/hyperlink" Target="https://statiz.sporki.com/add/?m=draft_school01&amp;ps_school=50210" TargetMode="External"/><Relationship Id="rId13217" Type="http://schemas.openxmlformats.org/officeDocument/2006/relationships/hyperlink" Target="https://statiz.sporki.com/player/?m=playerinfo&amp;p_no=12604" TargetMode="External"/><Relationship Id="rId16787" Type="http://schemas.openxmlformats.org/officeDocument/2006/relationships/hyperlink" Target="https://statiz.sporki.com/add/?m=draft_school01&amp;ps_school=50703" TargetMode="External"/><Relationship Id="rId1174" Type="http://schemas.openxmlformats.org/officeDocument/2006/relationships/hyperlink" Target="https://statiz.sporki.com/player/?m=playerinfo&amp;p_no=14828" TargetMode="External"/><Relationship Id="rId6846" Type="http://schemas.openxmlformats.org/officeDocument/2006/relationships/hyperlink" Target="https://statiz.sporki.com/add/?m=draft_school02&amp;ps_school=" TargetMode="External"/><Relationship Id="rId19260" Type="http://schemas.openxmlformats.org/officeDocument/2006/relationships/hyperlink" Target="https://statiz.sporki.com/add/?m=draft_school01&amp;ps_school=50302" TargetMode="External"/><Relationship Id="rId4397" Type="http://schemas.openxmlformats.org/officeDocument/2006/relationships/hyperlink" Target="https://statiz.sporki.com/add/?m=draft_school01&amp;ps_school=50209" TargetMode="External"/><Relationship Id="rId12300" Type="http://schemas.openxmlformats.org/officeDocument/2006/relationships/hyperlink" Target="https://statiz.sporki.com/player/?m=playerinfo&amp;p_no=15056" TargetMode="External"/><Relationship Id="rId15870" Type="http://schemas.openxmlformats.org/officeDocument/2006/relationships/hyperlink" Target="https://statiz.sporki.com/player/?m=playerinfo&amp;p_no=1539" TargetMode="External"/><Relationship Id="rId3480" Type="http://schemas.openxmlformats.org/officeDocument/2006/relationships/hyperlink" Target="https://statiz.sporki.com/add/?m=draft_school02&amp;ps_school=" TargetMode="External"/><Relationship Id="rId13074" Type="http://schemas.openxmlformats.org/officeDocument/2006/relationships/hyperlink" Target="https://statiz.sporki.com/player/?m=playerinfo&amp;p_no=12926" TargetMode="External"/><Relationship Id="rId15523" Type="http://schemas.openxmlformats.org/officeDocument/2006/relationships/hyperlink" Target="https://statiz.sporki.com/player/?m=playerinfo&amp;p_no=1703" TargetMode="External"/><Relationship Id="rId3133" Type="http://schemas.openxmlformats.org/officeDocument/2006/relationships/hyperlink" Target="https://statiz.sporki.com/player/?m=playerinfo&amp;p_no=13269" TargetMode="External"/><Relationship Id="rId18746" Type="http://schemas.openxmlformats.org/officeDocument/2006/relationships/hyperlink" Target="https://statiz.sporki.com/add/?m=draft_school01&amp;ps_school=50502" TargetMode="External"/><Relationship Id="rId8805" Type="http://schemas.openxmlformats.org/officeDocument/2006/relationships/hyperlink" Target="https://statiz.sporki.com/add/?m=draft_school02&amp;ps_school=60102" TargetMode="External"/><Relationship Id="rId16297" Type="http://schemas.openxmlformats.org/officeDocument/2006/relationships/hyperlink" Target="https://statiz.sporki.com/add/?m=draft_school01&amp;ps_school=50215" TargetMode="External"/><Relationship Id="rId6356" Type="http://schemas.openxmlformats.org/officeDocument/2006/relationships/hyperlink" Target="https://statiz.sporki.com/add/?m=draft_school01&amp;ps_school=50116" TargetMode="External"/><Relationship Id="rId2966" Type="http://schemas.openxmlformats.org/officeDocument/2006/relationships/hyperlink" Target="https://statiz.sporki.com/add/?m=draft_school01&amp;ps_school=50106" TargetMode="External"/><Relationship Id="rId6009" Type="http://schemas.openxmlformats.org/officeDocument/2006/relationships/hyperlink" Target="https://statiz.sporki.com/add/?m=draft_school02&amp;ps_school=60503" TargetMode="External"/><Relationship Id="rId9579" Type="http://schemas.openxmlformats.org/officeDocument/2006/relationships/hyperlink" Target="https://statiz.sporki.com/add/?m=draft_school02&amp;ps_school=60203" TargetMode="External"/><Relationship Id="rId15380" Type="http://schemas.openxmlformats.org/officeDocument/2006/relationships/hyperlink" Target="https://statiz.sporki.com/player/?m=playerinfo&amp;p_no=1887" TargetMode="External"/><Relationship Id="rId938" Type="http://schemas.openxmlformats.org/officeDocument/2006/relationships/hyperlink" Target="https://statiz.sporki.com/add/?m=draft_school01&amp;ps_school=50202" TargetMode="External"/><Relationship Id="rId2619" Type="http://schemas.openxmlformats.org/officeDocument/2006/relationships/hyperlink" Target="https://statiz.sporki.com/add/?m=draft_school02&amp;ps_school=" TargetMode="External"/><Relationship Id="rId15033" Type="http://schemas.openxmlformats.org/officeDocument/2006/relationships/hyperlink" Target="https://statiz.sporki.com/player/?m=playerinfo&amp;p_no=1984" TargetMode="External"/><Relationship Id="rId8662" Type="http://schemas.openxmlformats.org/officeDocument/2006/relationships/hyperlink" Target="https://statiz.sporki.com/player/?m=playerinfo&amp;p_no=2217" TargetMode="External"/><Relationship Id="rId11990" Type="http://schemas.openxmlformats.org/officeDocument/2006/relationships/hyperlink" Target="https://statiz.sporki.com/add/?m=draft_school01&amp;ps_school=50209" TargetMode="External"/><Relationship Id="rId8315" Type="http://schemas.openxmlformats.org/officeDocument/2006/relationships/hyperlink" Target="https://statiz.sporki.com/add/?m=draft_school01&amp;ps_school=50802" TargetMode="External"/><Relationship Id="rId11643" Type="http://schemas.openxmlformats.org/officeDocument/2006/relationships/hyperlink" Target="https://statiz.sporki.com/add/?m=draft_school02&amp;ps_school=60101" TargetMode="External"/><Relationship Id="rId18256" Type="http://schemas.openxmlformats.org/officeDocument/2006/relationships/hyperlink" Target="https://statiz.sporki.com/add/?m=draft_school01&amp;ps_school=51100" TargetMode="External"/><Relationship Id="rId1702" Type="http://schemas.openxmlformats.org/officeDocument/2006/relationships/hyperlink" Target="https://statiz.sporki.com/player/?m=playerinfo&amp;p_no=14694" TargetMode="External"/><Relationship Id="rId14866" Type="http://schemas.openxmlformats.org/officeDocument/2006/relationships/hyperlink" Target="https://statiz.sporki.com/player/?m=playerinfo&amp;p_no=2064" TargetMode="External"/><Relationship Id="rId4925" Type="http://schemas.openxmlformats.org/officeDocument/2006/relationships/hyperlink" Target="https://statiz.sporki.com/add/?m=draft_school01&amp;ps_school=50109" TargetMode="External"/><Relationship Id="rId9089" Type="http://schemas.openxmlformats.org/officeDocument/2006/relationships/hyperlink" Target="https://statiz.sporki.com/add/?m=draft_school01&amp;ps_school=50209" TargetMode="External"/><Relationship Id="rId14519" Type="http://schemas.openxmlformats.org/officeDocument/2006/relationships/hyperlink" Target="https://statiz.sporki.com/player/?m=playerinfo&amp;p_no=10319" TargetMode="External"/><Relationship Id="rId795" Type="http://schemas.openxmlformats.org/officeDocument/2006/relationships/hyperlink" Target="https://statiz.sporki.com/add/?m=draft_school02&amp;ps_school=" TargetMode="External"/><Relationship Id="rId2476" Type="http://schemas.openxmlformats.org/officeDocument/2006/relationships/hyperlink" Target="https://statiz.sporki.com/player/?m=playerinfo&amp;p_no=13108" TargetMode="External"/><Relationship Id="rId448" Type="http://schemas.openxmlformats.org/officeDocument/2006/relationships/hyperlink" Target="https://statiz.sporki.com/player/?m=playerinfo&amp;p_no=15624" TargetMode="External"/><Relationship Id="rId2129" Type="http://schemas.openxmlformats.org/officeDocument/2006/relationships/hyperlink" Target="https://statiz.sporki.com/add/?m=draft_school01&amp;ps_school=50212" TargetMode="External"/><Relationship Id="rId5699" Type="http://schemas.openxmlformats.org/officeDocument/2006/relationships/hyperlink" Target="https://statiz.sporki.com/add/?m=draft_school01&amp;ps_school=50904" TargetMode="External"/><Relationship Id="rId8172" Type="http://schemas.openxmlformats.org/officeDocument/2006/relationships/hyperlink" Target="https://statiz.sporki.com/add/?m=draft_school02&amp;ps_school=60801" TargetMode="External"/><Relationship Id="rId11153" Type="http://schemas.openxmlformats.org/officeDocument/2006/relationships/hyperlink" Target="https://statiz.sporki.com/add/?m=draft_school01&amp;ps_school=50209" TargetMode="External"/><Relationship Id="rId13602" Type="http://schemas.openxmlformats.org/officeDocument/2006/relationships/hyperlink" Target="https://statiz.sporki.com/player/?m=playerinfo&amp;p_no=11272" TargetMode="External"/><Relationship Id="rId1212" Type="http://schemas.openxmlformats.org/officeDocument/2006/relationships/hyperlink" Target="https://statiz.sporki.com/add/?m=draft_school02&amp;ps_school=" TargetMode="External"/><Relationship Id="rId16825" Type="http://schemas.openxmlformats.org/officeDocument/2006/relationships/hyperlink" Target="https://statiz.sporki.com/add/?m=draft_school01&amp;ps_school=50205" TargetMode="External"/><Relationship Id="rId4782" Type="http://schemas.openxmlformats.org/officeDocument/2006/relationships/hyperlink" Target="https://statiz.sporki.com/add/?m=draft_school02&amp;ps_school=" TargetMode="External"/><Relationship Id="rId14376" Type="http://schemas.openxmlformats.org/officeDocument/2006/relationships/hyperlink" Target="https://statiz.sporki.com/player/?m=playerinfo&amp;p_no=10740" TargetMode="External"/><Relationship Id="rId4435" Type="http://schemas.openxmlformats.org/officeDocument/2006/relationships/hyperlink" Target="https://statiz.sporki.com/player/?m=playerinfo&amp;p_no=11078" TargetMode="External"/><Relationship Id="rId10986" Type="http://schemas.openxmlformats.org/officeDocument/2006/relationships/hyperlink" Target="https://statiz.sporki.com/add/?m=draft_school02&amp;ps_school=60104" TargetMode="External"/><Relationship Id="rId14029" Type="http://schemas.openxmlformats.org/officeDocument/2006/relationships/hyperlink" Target="https://statiz.sporki.com/player/?m=playerinfo&amp;p_no=10520" TargetMode="External"/><Relationship Id="rId17599" Type="http://schemas.openxmlformats.org/officeDocument/2006/relationships/hyperlink" Target="https://statiz.sporki.com/add/?m=draft_school01&amp;ps_school=50110" TargetMode="External"/><Relationship Id="rId7658" Type="http://schemas.openxmlformats.org/officeDocument/2006/relationships/hyperlink" Target="https://statiz.sporki.com/add/?m=draft_school01&amp;ps_school=50804" TargetMode="External"/><Relationship Id="rId10639" Type="http://schemas.openxmlformats.org/officeDocument/2006/relationships/hyperlink" Target="https://statiz.sporki.com/player/?m=playerinfo&amp;p_no=1464" TargetMode="External"/><Relationship Id="rId13112" Type="http://schemas.openxmlformats.org/officeDocument/2006/relationships/hyperlink" Target="https://statiz.sporki.com/player/?m=playerinfo&amp;p_no=12879" TargetMode="External"/><Relationship Id="rId6741" Type="http://schemas.openxmlformats.org/officeDocument/2006/relationships/hyperlink" Target="https://statiz.sporki.com/add/?m=draft_school02&amp;ps_school=" TargetMode="External"/><Relationship Id="rId16682" Type="http://schemas.openxmlformats.org/officeDocument/2006/relationships/hyperlink" Target="https://statiz.sporki.com/add/?m=draft_school01&amp;ps_school=50208" TargetMode="External"/><Relationship Id="rId4292" Type="http://schemas.openxmlformats.org/officeDocument/2006/relationships/hyperlink" Target="https://statiz.sporki.com/add/?m=draft_school01&amp;ps_school=50705" TargetMode="External"/><Relationship Id="rId16335" Type="http://schemas.openxmlformats.org/officeDocument/2006/relationships/hyperlink" Target="https://statiz.sporki.com/add/?m=draft_school01&amp;ps_school=50802" TargetMode="External"/><Relationship Id="rId9964" Type="http://schemas.openxmlformats.org/officeDocument/2006/relationships/hyperlink" Target="https://statiz.sporki.com/player/?m=playerinfo&amp;p_no=1711" TargetMode="External"/><Relationship Id="rId12945" Type="http://schemas.openxmlformats.org/officeDocument/2006/relationships/hyperlink" Target="https://statiz.sporki.com/player/?m=playerinfo&amp;p_no=13117" TargetMode="External"/><Relationship Id="rId19558" Type="http://schemas.openxmlformats.org/officeDocument/2006/relationships/hyperlink" Target="https://statiz.sporki.com/add/?m=draft_school01&amp;ps_school=50114" TargetMode="External"/><Relationship Id="rId7168" Type="http://schemas.openxmlformats.org/officeDocument/2006/relationships/hyperlink" Target="https://statiz.sporki.com/player/?m=playerinfo&amp;p_no=2274" TargetMode="External"/><Relationship Id="rId9617" Type="http://schemas.openxmlformats.org/officeDocument/2006/relationships/hyperlink" Target="https://statiz.sporki.com/add/?m=draft_school01&amp;ps_school=50114" TargetMode="External"/><Relationship Id="rId10496" Type="http://schemas.openxmlformats.org/officeDocument/2006/relationships/hyperlink" Target="https://statiz.sporki.com/add/?m=draft_school01&amp;ps_school=50209" TargetMode="External"/><Relationship Id="rId10149" Type="http://schemas.openxmlformats.org/officeDocument/2006/relationships/hyperlink" Target="https://statiz.sporki.com/add/?m=draft_school02&amp;ps_school=60101" TargetMode="External"/><Relationship Id="rId18641" Type="http://schemas.openxmlformats.org/officeDocument/2006/relationships/hyperlink" Target="https://statiz.sporki.com/add/?m=draft_school01&amp;ps_school=50116" TargetMode="External"/><Relationship Id="rId3778" Type="http://schemas.openxmlformats.org/officeDocument/2006/relationships/hyperlink" Target="https://statiz.sporki.com/player/?m=playerinfo&amp;p_no=11376" TargetMode="External"/><Relationship Id="rId8700" Type="http://schemas.openxmlformats.org/officeDocument/2006/relationships/hyperlink" Target="https://statiz.sporki.com/add/?m=draft_school02&amp;ps_school=60111" TargetMode="External"/><Relationship Id="rId16192" Type="http://schemas.openxmlformats.org/officeDocument/2006/relationships/hyperlink" Target="https://statiz.sporki.com/add/?m=draft_school01&amp;ps_school=50802" TargetMode="External"/><Relationship Id="rId6251" Type="http://schemas.openxmlformats.org/officeDocument/2006/relationships/hyperlink" Target="https://statiz.sporki.com/add/?m=draft_school01&amp;ps_school=50111" TargetMode="External"/><Relationship Id="rId9474" Type="http://schemas.openxmlformats.org/officeDocument/2006/relationships/hyperlink" Target="https://statiz.sporki.com/add/?m=draft_school02&amp;ps_school=" TargetMode="External"/><Relationship Id="rId14904" Type="http://schemas.openxmlformats.org/officeDocument/2006/relationships/hyperlink" Target="https://statiz.sporki.com/player/?m=playerinfo&amp;p_no=10564" TargetMode="External"/><Relationship Id="rId19068" Type="http://schemas.openxmlformats.org/officeDocument/2006/relationships/hyperlink" Target="https://statiz.sporki.com/add/?m=draft_school01&amp;ps_school=50110" TargetMode="External"/><Relationship Id="rId2861" Type="http://schemas.openxmlformats.org/officeDocument/2006/relationships/hyperlink" Target="https://statiz.sporki.com/add/?m=draft_school01&amp;ps_school=50201" TargetMode="External"/><Relationship Id="rId9127" Type="http://schemas.openxmlformats.org/officeDocument/2006/relationships/hyperlink" Target="https://statiz.sporki.com/player/?m=playerinfo&amp;p_no=1907" TargetMode="External"/><Relationship Id="rId12455" Type="http://schemas.openxmlformats.org/officeDocument/2006/relationships/hyperlink" Target="https://statiz.sporki.com/player/?m=playerinfo&amp;p_no=15137" TargetMode="External"/><Relationship Id="rId833" Type="http://schemas.openxmlformats.org/officeDocument/2006/relationships/hyperlink" Target="https://statiz.sporki.com/add/?m=draft_school01&amp;ps_school=51121" TargetMode="External"/><Relationship Id="rId2514" Type="http://schemas.openxmlformats.org/officeDocument/2006/relationships/hyperlink" Target="https://statiz.sporki.com/add/?m=draft_school02&amp;ps_school=" TargetMode="External"/><Relationship Id="rId12108" Type="http://schemas.openxmlformats.org/officeDocument/2006/relationships/hyperlink" Target="https://statiz.sporki.com/add/?m=draft_school02&amp;ps_school=60104" TargetMode="External"/><Relationship Id="rId15678" Type="http://schemas.openxmlformats.org/officeDocument/2006/relationships/hyperlink" Target="https://statiz.sporki.com/player/?m=playerinfo&amp;p_no=1462" TargetMode="External"/><Relationship Id="rId5737" Type="http://schemas.openxmlformats.org/officeDocument/2006/relationships/hyperlink" Target="https://statiz.sporki.com/player/?m=playerinfo&amp;p_no=10475" TargetMode="External"/><Relationship Id="rId18151" Type="http://schemas.openxmlformats.org/officeDocument/2006/relationships/hyperlink" Target="https://statiz.sporki.com/add/?m=draft_school01&amp;ps_school=50110" TargetMode="External"/><Relationship Id="rId3288" Type="http://schemas.openxmlformats.org/officeDocument/2006/relationships/hyperlink" Target="https://statiz.sporki.com/add/?m=draft_school02&amp;ps_school=" TargetMode="External"/><Relationship Id="rId8210" Type="http://schemas.openxmlformats.org/officeDocument/2006/relationships/hyperlink" Target="https://statiz.sporki.com/add/?m=draft_school01&amp;ps_school=" TargetMode="External"/><Relationship Id="rId14761" Type="http://schemas.openxmlformats.org/officeDocument/2006/relationships/hyperlink" Target="https://statiz.sporki.com/player/?m=playerinfo&amp;p_no=10260" TargetMode="External"/><Relationship Id="rId690" Type="http://schemas.openxmlformats.org/officeDocument/2006/relationships/hyperlink" Target="https://statiz.sporki.com/add/?m=draft_school02&amp;ps_school=" TargetMode="External"/><Relationship Id="rId2371" Type="http://schemas.openxmlformats.org/officeDocument/2006/relationships/hyperlink" Target="https://statiz.sporki.com/player/?m=playerinfo&amp;p_no=13147" TargetMode="External"/><Relationship Id="rId4820" Type="http://schemas.openxmlformats.org/officeDocument/2006/relationships/hyperlink" Target="https://statiz.sporki.com/add/?m=draft_school01&amp;ps_school=50103" TargetMode="External"/><Relationship Id="rId14414" Type="http://schemas.openxmlformats.org/officeDocument/2006/relationships/hyperlink" Target="https://statiz.sporki.com/player/?m=playerinfo&amp;p_no=10588" TargetMode="External"/><Relationship Id="rId17984" Type="http://schemas.openxmlformats.org/officeDocument/2006/relationships/hyperlink" Target="https://statiz.sporki.com/add/?m=draft_school01&amp;ps_school=50108" TargetMode="External"/><Relationship Id="rId343" Type="http://schemas.openxmlformats.org/officeDocument/2006/relationships/hyperlink" Target="https://statiz.sporki.com/player/?m=playerinfo&amp;p_no=15537" TargetMode="External"/><Relationship Id="rId2024" Type="http://schemas.openxmlformats.org/officeDocument/2006/relationships/hyperlink" Target="https://statiz.sporki.com/add/?m=draft_school01&amp;ps_school=50802" TargetMode="External"/><Relationship Id="rId17637" Type="http://schemas.openxmlformats.org/officeDocument/2006/relationships/hyperlink" Target="https://statiz.sporki.com/add/?m=draft_school01&amp;ps_school=50403" TargetMode="External"/><Relationship Id="rId5247" Type="http://schemas.openxmlformats.org/officeDocument/2006/relationships/hyperlink" Target="https://statiz.sporki.com/add/?m=draft_school02&amp;ps_school=" TargetMode="External"/><Relationship Id="rId5594" Type="http://schemas.openxmlformats.org/officeDocument/2006/relationships/hyperlink" Target="https://statiz.sporki.com/add/?m=draft_school01&amp;ps_school=50703" TargetMode="External"/><Relationship Id="rId15188" Type="http://schemas.openxmlformats.org/officeDocument/2006/relationships/hyperlink" Target="https://statiz.sporki.com/player/?m=playerinfo&amp;p_no=1894" TargetMode="External"/><Relationship Id="rId11798" Type="http://schemas.openxmlformats.org/officeDocument/2006/relationships/hyperlink" Target="https://statiz.sporki.com/add/?m=draft_school01&amp;ps_school=50109" TargetMode="External"/><Relationship Id="rId16720" Type="http://schemas.openxmlformats.org/officeDocument/2006/relationships/hyperlink" Target="https://statiz.sporki.com/add/?m=draft_school01&amp;ps_school=50114" TargetMode="External"/><Relationship Id="rId1857" Type="http://schemas.openxmlformats.org/officeDocument/2006/relationships/hyperlink" Target="https://statiz.sporki.com/add/?m=draft_school02&amp;ps_school=" TargetMode="External"/><Relationship Id="rId14271" Type="http://schemas.openxmlformats.org/officeDocument/2006/relationships/hyperlink" Target="https://statiz.sporki.com/player/?m=playerinfo&amp;p_no=2405" TargetMode="External"/><Relationship Id="rId4330" Type="http://schemas.openxmlformats.org/officeDocument/2006/relationships/hyperlink" Target="https://statiz.sporki.com/player/?m=playerinfo&amp;p_no=11216" TargetMode="External"/><Relationship Id="rId17494" Type="http://schemas.openxmlformats.org/officeDocument/2006/relationships/hyperlink" Target="https://statiz.sporki.com/add/?m=draft_school01&amp;ps_school=50105" TargetMode="External"/><Relationship Id="rId7553" Type="http://schemas.openxmlformats.org/officeDocument/2006/relationships/hyperlink" Target="https://statiz.sporki.com/add/?m=draft_school01&amp;ps_school=50116" TargetMode="External"/><Relationship Id="rId10881" Type="http://schemas.openxmlformats.org/officeDocument/2006/relationships/hyperlink" Target="https://statiz.sporki.com/add/?m=draft_school02&amp;ps_school=60803" TargetMode="External"/><Relationship Id="rId17147" Type="http://schemas.openxmlformats.org/officeDocument/2006/relationships/hyperlink" Target="https://statiz.sporki.com/add/?m=draft_school01&amp;ps_school=50210" TargetMode="External"/><Relationship Id="rId7206" Type="http://schemas.openxmlformats.org/officeDocument/2006/relationships/hyperlink" Target="https://statiz.sporki.com/add/?m=draft_school02&amp;ps_school=60102" TargetMode="External"/><Relationship Id="rId10534" Type="http://schemas.openxmlformats.org/officeDocument/2006/relationships/hyperlink" Target="https://statiz.sporki.com/player/?m=playerinfo&amp;p_no=1645" TargetMode="External"/><Relationship Id="rId13757" Type="http://schemas.openxmlformats.org/officeDocument/2006/relationships/hyperlink" Target="https://statiz.sporki.com/player/?m=playerinfo&amp;p_no=10899" TargetMode="External"/><Relationship Id="rId3816" Type="http://schemas.openxmlformats.org/officeDocument/2006/relationships/hyperlink" Target="https://statiz.sporki.com/add/?m=draft_school02&amp;ps_school=" TargetMode="External"/><Relationship Id="rId16230" Type="http://schemas.openxmlformats.org/officeDocument/2006/relationships/hyperlink" Target="https://statiz.sporki.com/add/?m=draft_school01&amp;ps_school=50401" TargetMode="External"/><Relationship Id="rId1367" Type="http://schemas.openxmlformats.org/officeDocument/2006/relationships/hyperlink" Target="https://statiz.sporki.com/add/?m=draft_school01&amp;ps_school=50802" TargetMode="External"/><Relationship Id="rId19453" Type="http://schemas.openxmlformats.org/officeDocument/2006/relationships/hyperlink" Target="https://statiz.sporki.com/add/?m=draft_school01&amp;ps_school=50604" TargetMode="External"/><Relationship Id="rId73" Type="http://schemas.openxmlformats.org/officeDocument/2006/relationships/hyperlink" Target="https://statiz.sporki.com/player/?m=playerinfo&amp;p_no=15463" TargetMode="External"/><Relationship Id="rId9512" Type="http://schemas.openxmlformats.org/officeDocument/2006/relationships/hyperlink" Target="https://statiz.sporki.com/add/?m=draft_school01&amp;ps_school=50701" TargetMode="External"/><Relationship Id="rId10391" Type="http://schemas.openxmlformats.org/officeDocument/2006/relationships/hyperlink" Target="https://statiz.sporki.com/add/?m=draft_school01&amp;ps_school=50107" TargetMode="External"/><Relationship Id="rId12840" Type="http://schemas.openxmlformats.org/officeDocument/2006/relationships/hyperlink" Target="https://statiz.sporki.com/player/?m=playerinfo&amp;p_no=14153" TargetMode="External"/><Relationship Id="rId19106" Type="http://schemas.openxmlformats.org/officeDocument/2006/relationships/hyperlink" Target="https://statiz.sporki.com/add/?m=draft_school01&amp;ps_school=50502" TargetMode="External"/><Relationship Id="rId7063" Type="http://schemas.openxmlformats.org/officeDocument/2006/relationships/hyperlink" Target="https://statiz.sporki.com/player/?m=playerinfo&amp;p_no=2334" TargetMode="External"/><Relationship Id="rId10044" Type="http://schemas.openxmlformats.org/officeDocument/2006/relationships/hyperlink" Target="https://statiz.sporki.com/add/?m=draft_school02&amp;ps_school=60109" TargetMode="External"/><Relationship Id="rId15716" Type="http://schemas.openxmlformats.org/officeDocument/2006/relationships/hyperlink" Target="https://statiz.sporki.com/player/?m=playerinfo&amp;p_no=1642" TargetMode="External"/><Relationship Id="rId3326" Type="http://schemas.openxmlformats.org/officeDocument/2006/relationships/hyperlink" Target="https://statiz.sporki.com/add/?m=draft_school01&amp;ps_school=50903" TargetMode="External"/><Relationship Id="rId3673" Type="http://schemas.openxmlformats.org/officeDocument/2006/relationships/hyperlink" Target="https://statiz.sporki.com/player/?m=playerinfo&amp;p_no=11404" TargetMode="External"/><Relationship Id="rId13267" Type="http://schemas.openxmlformats.org/officeDocument/2006/relationships/hyperlink" Target="https://statiz.sporki.com/player/?m=playerinfo&amp;p_no=12608" TargetMode="External"/><Relationship Id="rId18939" Type="http://schemas.openxmlformats.org/officeDocument/2006/relationships/hyperlink" Target="https://statiz.sporki.com/add/?m=draft_school01&amp;ps_school=50208" TargetMode="External"/><Relationship Id="rId6896" Type="http://schemas.openxmlformats.org/officeDocument/2006/relationships/hyperlink" Target="https://statiz.sporki.com/add/?m=draft_school01&amp;ps_school=50602" TargetMode="External"/><Relationship Id="rId6549" Type="http://schemas.openxmlformats.org/officeDocument/2006/relationships/hyperlink" Target="https://statiz.sporki.com/add/?m=draft_school02&amp;ps_school=" TargetMode="External"/><Relationship Id="rId12350" Type="http://schemas.openxmlformats.org/officeDocument/2006/relationships/hyperlink" Target="https://statiz.sporki.com/player/?m=playerinfo&amp;p_no=15061" TargetMode="External"/><Relationship Id="rId9022" Type="http://schemas.openxmlformats.org/officeDocument/2006/relationships/hyperlink" Target="https://statiz.sporki.com/player/?m=playerinfo&amp;p_no=1930" TargetMode="External"/><Relationship Id="rId12003" Type="http://schemas.openxmlformats.org/officeDocument/2006/relationships/hyperlink" Target="https://statiz.sporki.com/add/?m=draft_school02&amp;ps_school=60111" TargetMode="External"/><Relationship Id="rId15573" Type="http://schemas.openxmlformats.org/officeDocument/2006/relationships/hyperlink" Target="https://statiz.sporki.com/player/?m=playerinfo&amp;p_no=1560" TargetMode="External"/><Relationship Id="rId5632" Type="http://schemas.openxmlformats.org/officeDocument/2006/relationships/hyperlink" Target="https://statiz.sporki.com/player/?m=playerinfo&amp;p_no=10065" TargetMode="External"/><Relationship Id="rId15226" Type="http://schemas.openxmlformats.org/officeDocument/2006/relationships/hyperlink" Target="https://statiz.sporki.com/player/?m=playerinfo&amp;p_no=1900" TargetMode="External"/><Relationship Id="rId3183" Type="http://schemas.openxmlformats.org/officeDocument/2006/relationships/hyperlink" Target="https://statiz.sporki.com/add/?m=draft_school02&amp;ps_school=" TargetMode="External"/><Relationship Id="rId18796" Type="http://schemas.openxmlformats.org/officeDocument/2006/relationships/hyperlink" Target="https://statiz.sporki.com/add/?m=draft_school01&amp;ps_school=50108" TargetMode="External"/><Relationship Id="rId8855" Type="http://schemas.openxmlformats.org/officeDocument/2006/relationships/hyperlink" Target="https://statiz.sporki.com/add/?m=draft_school01&amp;ps_school=50116" TargetMode="External"/><Relationship Id="rId11836" Type="http://schemas.openxmlformats.org/officeDocument/2006/relationships/hyperlink" Target="https://statiz.sporki.com/player/?m=playerinfo&amp;p_no=1105" TargetMode="External"/><Relationship Id="rId18449" Type="http://schemas.openxmlformats.org/officeDocument/2006/relationships/hyperlink" Target="https://statiz.sporki.com/add/?m=draft_school01&amp;ps_school=50110" TargetMode="External"/><Relationship Id="rId6059" Type="http://schemas.openxmlformats.org/officeDocument/2006/relationships/hyperlink" Target="https://statiz.sporki.com/add/?m=draft_school01&amp;ps_school=50111" TargetMode="External"/><Relationship Id="rId8508" Type="http://schemas.openxmlformats.org/officeDocument/2006/relationships/hyperlink" Target="https://statiz.sporki.com/add/?m=draft_school02&amp;ps_school=60109" TargetMode="External"/><Relationship Id="rId17532" Type="http://schemas.openxmlformats.org/officeDocument/2006/relationships/hyperlink" Target="https://statiz.sporki.com/add/?m=draft_school01&amp;ps_school=50805" TargetMode="External"/><Relationship Id="rId988" Type="http://schemas.openxmlformats.org/officeDocument/2006/relationships/hyperlink" Target="https://statiz.sporki.com/player/?m=playerinfo&amp;p_no=14777" TargetMode="External"/><Relationship Id="rId2669" Type="http://schemas.openxmlformats.org/officeDocument/2006/relationships/hyperlink" Target="https://statiz.sporki.com/add/?m=draft_school01&amp;ps_school=50602" TargetMode="External"/><Relationship Id="rId15083" Type="http://schemas.openxmlformats.org/officeDocument/2006/relationships/hyperlink" Target="https://statiz.sporki.com/player/?m=playerinfo&amp;p_no=1920" TargetMode="External"/><Relationship Id="rId5142" Type="http://schemas.openxmlformats.org/officeDocument/2006/relationships/hyperlink" Target="https://statiz.sporki.com/add/?m=draft_school02&amp;ps_school=60108" TargetMode="External"/><Relationship Id="rId8365" Type="http://schemas.openxmlformats.org/officeDocument/2006/relationships/hyperlink" Target="https://statiz.sporki.com/player/?m=playerinfo&amp;p_no=10091" TargetMode="External"/><Relationship Id="rId11693" Type="http://schemas.openxmlformats.org/officeDocument/2006/relationships/hyperlink" Target="https://statiz.sporki.com/add/?m=draft_school01&amp;ps_school=" TargetMode="External"/><Relationship Id="rId1405" Type="http://schemas.openxmlformats.org/officeDocument/2006/relationships/hyperlink" Target="https://statiz.sporki.com/player/?m=playerinfo&amp;p_no=14580" TargetMode="External"/><Relationship Id="rId1752" Type="http://schemas.openxmlformats.org/officeDocument/2006/relationships/hyperlink" Target="https://statiz.sporki.com/add/?m=draft_school02&amp;ps_school=" TargetMode="External"/><Relationship Id="rId8018" Type="http://schemas.openxmlformats.org/officeDocument/2006/relationships/hyperlink" Target="https://statiz.sporki.com/add/?m=draft_school01&amp;ps_school=" TargetMode="External"/><Relationship Id="rId11346" Type="http://schemas.openxmlformats.org/officeDocument/2006/relationships/hyperlink" Target="https://statiz.sporki.com/add/?m=draft_school02&amp;ps_school=60703" TargetMode="External"/><Relationship Id="rId4975" Type="http://schemas.openxmlformats.org/officeDocument/2006/relationships/hyperlink" Target="https://statiz.sporki.com/player/?m=playerinfo&amp;p_no=10836" TargetMode="External"/><Relationship Id="rId14569" Type="http://schemas.openxmlformats.org/officeDocument/2006/relationships/hyperlink" Target="https://statiz.sporki.com/player/?m=playerinfo&amp;p_no=2376" TargetMode="External"/><Relationship Id="rId498" Type="http://schemas.openxmlformats.org/officeDocument/2006/relationships/hyperlink" Target="https://statiz.sporki.com/add/?m=draft_school02&amp;ps_school=" TargetMode="External"/><Relationship Id="rId2179" Type="http://schemas.openxmlformats.org/officeDocument/2006/relationships/hyperlink" Target="https://statiz.sporki.com/player/?m=playerinfo&amp;p_no=13925" TargetMode="External"/><Relationship Id="rId4628" Type="http://schemas.openxmlformats.org/officeDocument/2006/relationships/hyperlink" Target="https://statiz.sporki.com/add/?m=draft_school01&amp;ps_school=50101" TargetMode="External"/><Relationship Id="rId17042" Type="http://schemas.openxmlformats.org/officeDocument/2006/relationships/hyperlink" Target="https://statiz.sporki.com/add/?m=draft_school01&amp;ps_school=50209" TargetMode="External"/><Relationship Id="rId7101" Type="http://schemas.openxmlformats.org/officeDocument/2006/relationships/hyperlink" Target="https://statiz.sporki.com/add/?m=draft_school02&amp;ps_school=61002" TargetMode="External"/><Relationship Id="rId13652" Type="http://schemas.openxmlformats.org/officeDocument/2006/relationships/hyperlink" Target="https://statiz.sporki.com/player/?m=playerinfo&amp;p_no=11086" TargetMode="External"/><Relationship Id="rId3711" Type="http://schemas.openxmlformats.org/officeDocument/2006/relationships/hyperlink" Target="https://statiz.sporki.com/add/?m=draft_school02&amp;ps_school=60602" TargetMode="External"/><Relationship Id="rId13305" Type="http://schemas.openxmlformats.org/officeDocument/2006/relationships/hyperlink" Target="https://statiz.sporki.com/player/?m=playerinfo&amp;p_no=12508" TargetMode="External"/><Relationship Id="rId1262" Type="http://schemas.openxmlformats.org/officeDocument/2006/relationships/hyperlink" Target="https://statiz.sporki.com/add/?m=draft_school01&amp;ps_school=50705" TargetMode="External"/><Relationship Id="rId16875" Type="http://schemas.openxmlformats.org/officeDocument/2006/relationships/hyperlink" Target="https://statiz.sporki.com/add/?m=draft_school01&amp;ps_school=50807" TargetMode="External"/><Relationship Id="rId4485" Type="http://schemas.openxmlformats.org/officeDocument/2006/relationships/hyperlink" Target="https://statiz.sporki.com/add/?m=draft_school02&amp;ps_school=" TargetMode="External"/><Relationship Id="rId6934" Type="http://schemas.openxmlformats.org/officeDocument/2006/relationships/hyperlink" Target="https://statiz.sporki.com/player/?m=playerinfo&amp;p_no=10598" TargetMode="External"/><Relationship Id="rId14079" Type="http://schemas.openxmlformats.org/officeDocument/2006/relationships/hyperlink" Target="https://statiz.sporki.com/player/?m=playerinfo&amp;p_no=10387" TargetMode="External"/><Relationship Id="rId16528" Type="http://schemas.openxmlformats.org/officeDocument/2006/relationships/hyperlink" Target="https://statiz.sporki.com/add/?m=draft_school01&amp;ps_school=50703" TargetMode="External"/><Relationship Id="rId4138" Type="http://schemas.openxmlformats.org/officeDocument/2006/relationships/hyperlink" Target="https://statiz.sporki.com/player/?m=playerinfo&amp;p_no=11231" TargetMode="External"/><Relationship Id="rId19001" Type="http://schemas.openxmlformats.org/officeDocument/2006/relationships/hyperlink" Target="https://statiz.sporki.com/add/?m=draft_school01&amp;ps_school=50113" TargetMode="External"/><Relationship Id="rId10689" Type="http://schemas.openxmlformats.org/officeDocument/2006/relationships/hyperlink" Target="https://statiz.sporki.com/add/?m=draft_school02&amp;ps_school=" TargetMode="External"/><Relationship Id="rId15611" Type="http://schemas.openxmlformats.org/officeDocument/2006/relationships/hyperlink" Target="https://statiz.sporki.com/player/?m=playerinfo&amp;p_no=1530" TargetMode="External"/><Relationship Id="rId13162" Type="http://schemas.openxmlformats.org/officeDocument/2006/relationships/hyperlink" Target="https://statiz.sporki.com/player/?m=playerinfo&amp;p_no=12960" TargetMode="External"/><Relationship Id="rId3221" Type="http://schemas.openxmlformats.org/officeDocument/2006/relationships/hyperlink" Target="https://statiz.sporki.com/add/?m=draft_school01&amp;ps_school=50108" TargetMode="External"/><Relationship Id="rId6791" Type="http://schemas.openxmlformats.org/officeDocument/2006/relationships/hyperlink" Target="https://statiz.sporki.com/add/?m=draft_school01&amp;ps_school=50403" TargetMode="External"/><Relationship Id="rId16385" Type="http://schemas.openxmlformats.org/officeDocument/2006/relationships/hyperlink" Target="https://statiz.sporki.com/add/?m=draft_school01&amp;ps_school=50805" TargetMode="External"/><Relationship Id="rId18834" Type="http://schemas.openxmlformats.org/officeDocument/2006/relationships/hyperlink" Target="https://statiz.sporki.com/add/?m=draft_school01&amp;ps_school=50115" TargetMode="External"/><Relationship Id="rId8" Type="http://schemas.openxmlformats.org/officeDocument/2006/relationships/hyperlink" Target="https://statiz.sporki.com/add/?m=draft_school01&amp;ps_school=50116" TargetMode="External"/><Relationship Id="rId6444" Type="http://schemas.openxmlformats.org/officeDocument/2006/relationships/hyperlink" Target="https://statiz.sporki.com/add/?m=draft_school02&amp;ps_school=" TargetMode="External"/><Relationship Id="rId16038" Type="http://schemas.openxmlformats.org/officeDocument/2006/relationships/hyperlink" Target="https://statiz.sporki.com/player/?m=playerinfo&amp;p_no=1166" TargetMode="External"/><Relationship Id="rId9667" Type="http://schemas.openxmlformats.org/officeDocument/2006/relationships/hyperlink" Target="https://statiz.sporki.com/player/?m=playerinfo&amp;p_no=1746" TargetMode="External"/><Relationship Id="rId12995" Type="http://schemas.openxmlformats.org/officeDocument/2006/relationships/hyperlink" Target="https://statiz.sporki.com/player/?m=playerinfo&amp;p_no=13122" TargetMode="External"/><Relationship Id="rId12648" Type="http://schemas.openxmlformats.org/officeDocument/2006/relationships/hyperlink" Target="https://statiz.sporki.com/player/?m=playerinfo&amp;p_no=14628" TargetMode="External"/><Relationship Id="rId2707" Type="http://schemas.openxmlformats.org/officeDocument/2006/relationships/hyperlink" Target="https://statiz.sporki.com/player/?m=playerinfo&amp;p_no=13196" TargetMode="External"/><Relationship Id="rId10199" Type="http://schemas.openxmlformats.org/officeDocument/2006/relationships/hyperlink" Target="https://statiz.sporki.com/add/?m=draft_school01&amp;ps_school=50111" TargetMode="External"/><Relationship Id="rId15121" Type="http://schemas.openxmlformats.org/officeDocument/2006/relationships/hyperlink" Target="https://statiz.sporki.com/player/?m=playerinfo&amp;p_no=1952" TargetMode="External"/><Relationship Id="rId18691" Type="http://schemas.openxmlformats.org/officeDocument/2006/relationships/hyperlink" Target="https://statiz.sporki.com/add/?m=draft_school01&amp;ps_school=50202" TargetMode="External"/><Relationship Id="rId8750" Type="http://schemas.openxmlformats.org/officeDocument/2006/relationships/hyperlink" Target="https://statiz.sporki.com/add/?m=draft_school01&amp;ps_school=50802" TargetMode="External"/><Relationship Id="rId11731" Type="http://schemas.openxmlformats.org/officeDocument/2006/relationships/hyperlink" Target="https://statiz.sporki.com/player/?m=playerinfo&amp;p_no=1062" TargetMode="External"/><Relationship Id="rId18344" Type="http://schemas.openxmlformats.org/officeDocument/2006/relationships/hyperlink" Target="https://statiz.sporki.com/add/?m=draft_school01&amp;ps_school=50801" TargetMode="External"/><Relationship Id="rId8403" Type="http://schemas.openxmlformats.org/officeDocument/2006/relationships/hyperlink" Target="https://statiz.sporki.com/add/?m=draft_school02&amp;ps_school=60111" TargetMode="External"/><Relationship Id="rId14954" Type="http://schemas.openxmlformats.org/officeDocument/2006/relationships/hyperlink" Target="https://statiz.sporki.com/player/?m=playerinfo&amp;p_no=11446" TargetMode="External"/><Relationship Id="rId883" Type="http://schemas.openxmlformats.org/officeDocument/2006/relationships/hyperlink" Target="https://statiz.sporki.com/player/?m=playerinfo&amp;p_no=15012" TargetMode="External"/><Relationship Id="rId2564" Type="http://schemas.openxmlformats.org/officeDocument/2006/relationships/hyperlink" Target="https://statiz.sporki.com/add/?m=draft_school01&amp;ps_school=50705" TargetMode="External"/><Relationship Id="rId9177" Type="http://schemas.openxmlformats.org/officeDocument/2006/relationships/hyperlink" Target="https://statiz.sporki.com/add/?m=draft_school02&amp;ps_school=60204" TargetMode="External"/><Relationship Id="rId12158" Type="http://schemas.openxmlformats.org/officeDocument/2006/relationships/hyperlink" Target="https://statiz.sporki.com/player/?m=playerinfo&amp;p_no=15485" TargetMode="External"/><Relationship Id="rId14607" Type="http://schemas.openxmlformats.org/officeDocument/2006/relationships/hyperlink" Target="https://statiz.sporki.com/player/?m=playerinfo&amp;p_no=2391" TargetMode="External"/><Relationship Id="rId536" Type="http://schemas.openxmlformats.org/officeDocument/2006/relationships/hyperlink" Target="https://statiz.sporki.com/add/?m=draft_school01&amp;ps_school=50602" TargetMode="External"/><Relationship Id="rId2217" Type="http://schemas.openxmlformats.org/officeDocument/2006/relationships/hyperlink" Target="https://statiz.sporki.com/add/?m=draft_school02&amp;ps_school=61112" TargetMode="External"/><Relationship Id="rId5787" Type="http://schemas.openxmlformats.org/officeDocument/2006/relationships/hyperlink" Target="https://statiz.sporki.com/add/?m=draft_school02&amp;ps_school=" TargetMode="External"/><Relationship Id="rId8260" Type="http://schemas.openxmlformats.org/officeDocument/2006/relationships/hyperlink" Target="https://statiz.sporki.com/player/?m=playerinfo&amp;p_no=2101" TargetMode="External"/><Relationship Id="rId11241" Type="http://schemas.openxmlformats.org/officeDocument/2006/relationships/hyperlink" Target="https://statiz.sporki.com/add/?m=draft_school02&amp;ps_school=" TargetMode="External"/><Relationship Id="rId1300" Type="http://schemas.openxmlformats.org/officeDocument/2006/relationships/hyperlink" Target="https://statiz.sporki.com/player/?m=playerinfo&amp;p_no=14759" TargetMode="External"/><Relationship Id="rId4870" Type="http://schemas.openxmlformats.org/officeDocument/2006/relationships/hyperlink" Target="https://statiz.sporki.com/player/?m=playerinfo&amp;p_no=10867" TargetMode="External"/><Relationship Id="rId14464" Type="http://schemas.openxmlformats.org/officeDocument/2006/relationships/hyperlink" Target="https://statiz.sporki.com/player/?m=playerinfo&amp;p_no=11112" TargetMode="External"/><Relationship Id="rId16913" Type="http://schemas.openxmlformats.org/officeDocument/2006/relationships/hyperlink" Target="https://statiz.sporki.com/add/?m=draft_school01&amp;ps_school=50210" TargetMode="External"/><Relationship Id="rId4523" Type="http://schemas.openxmlformats.org/officeDocument/2006/relationships/hyperlink" Target="https://statiz.sporki.com/add/?m=draft_school01&amp;ps_school=50210" TargetMode="External"/><Relationship Id="rId14117" Type="http://schemas.openxmlformats.org/officeDocument/2006/relationships/hyperlink" Target="https://statiz.sporki.com/player/?m=playerinfo&amp;p_no=10044" TargetMode="External"/><Relationship Id="rId393" Type="http://schemas.openxmlformats.org/officeDocument/2006/relationships/hyperlink" Target="https://statiz.sporki.com/add/?m=draft_school02&amp;ps_school=" TargetMode="External"/><Relationship Id="rId2074" Type="http://schemas.openxmlformats.org/officeDocument/2006/relationships/hyperlink" Target="https://statiz.sporki.com/player/?m=playerinfo&amp;p_no=14166" TargetMode="External"/><Relationship Id="rId7746" Type="http://schemas.openxmlformats.org/officeDocument/2006/relationships/hyperlink" Target="https://statiz.sporki.com/add/?m=draft_school02&amp;ps_school=" TargetMode="External"/><Relationship Id="rId17687" Type="http://schemas.openxmlformats.org/officeDocument/2006/relationships/hyperlink" Target="https://statiz.sporki.com/add/?m=draft_school01&amp;ps_school=50210" TargetMode="External"/><Relationship Id="rId5297" Type="http://schemas.openxmlformats.org/officeDocument/2006/relationships/hyperlink" Target="https://statiz.sporki.com/add/?m=draft_school01&amp;ps_school=50107" TargetMode="External"/><Relationship Id="rId10727" Type="http://schemas.openxmlformats.org/officeDocument/2006/relationships/hyperlink" Target="https://statiz.sporki.com/add/?m=draft_school01&amp;ps_school=50127" TargetMode="External"/><Relationship Id="rId13200" Type="http://schemas.openxmlformats.org/officeDocument/2006/relationships/hyperlink" Target="https://statiz.sporki.com/player/?m=playerinfo&amp;p_no=12570" TargetMode="External"/><Relationship Id="rId16770" Type="http://schemas.openxmlformats.org/officeDocument/2006/relationships/hyperlink" Target="https://statiz.sporki.com/add/?m=draft_school01&amp;ps_school=50107" TargetMode="External"/><Relationship Id="rId16423" Type="http://schemas.openxmlformats.org/officeDocument/2006/relationships/hyperlink" Target="https://statiz.sporki.com/add/?m=draft_school01&amp;ps_school=50121" TargetMode="External"/><Relationship Id="rId4380" Type="http://schemas.openxmlformats.org/officeDocument/2006/relationships/hyperlink" Target="https://statiz.sporki.com/add/?m=draft_school02&amp;ps_school=" TargetMode="External"/><Relationship Id="rId19646" Type="http://schemas.openxmlformats.org/officeDocument/2006/relationships/hyperlink" Target="https://statiz.sporki.com/add/?m=draft_school01&amp;ps_school=50701" TargetMode="External"/><Relationship Id="rId4033" Type="http://schemas.openxmlformats.org/officeDocument/2006/relationships/hyperlink" Target="https://statiz.sporki.com/player/?m=playerinfo&amp;p_no=11229" TargetMode="External"/><Relationship Id="rId9705" Type="http://schemas.openxmlformats.org/officeDocument/2006/relationships/hyperlink" Target="https://statiz.sporki.com/add/?m=draft_school02&amp;ps_school=60114" TargetMode="External"/><Relationship Id="rId10584" Type="http://schemas.openxmlformats.org/officeDocument/2006/relationships/hyperlink" Target="https://statiz.sporki.com/add/?m=draft_school02&amp;ps_school=60104" TargetMode="External"/><Relationship Id="rId17197" Type="http://schemas.openxmlformats.org/officeDocument/2006/relationships/hyperlink" Target="https://statiz.sporki.com/add/?m=draft_school01&amp;ps_school=50602" TargetMode="External"/><Relationship Id="rId7256" Type="http://schemas.openxmlformats.org/officeDocument/2006/relationships/hyperlink" Target="https://statiz.sporki.com/add/?m=draft_school01&amp;ps_school=" TargetMode="External"/><Relationship Id="rId10237" Type="http://schemas.openxmlformats.org/officeDocument/2006/relationships/hyperlink" Target="https://statiz.sporki.com/player/?m=playerinfo&amp;p_no=1591" TargetMode="External"/><Relationship Id="rId15909" Type="http://schemas.openxmlformats.org/officeDocument/2006/relationships/hyperlink" Target="https://statiz.sporki.com/player/?m=playerinfo&amp;p_no=1265" TargetMode="External"/><Relationship Id="rId3866" Type="http://schemas.openxmlformats.org/officeDocument/2006/relationships/hyperlink" Target="https://statiz.sporki.com/add/?m=draft_school01&amp;ps_school=50708" TargetMode="External"/><Relationship Id="rId16280" Type="http://schemas.openxmlformats.org/officeDocument/2006/relationships/hyperlink" Target="https://statiz.sporki.com/add/?m=draft_school01&amp;ps_school=50101" TargetMode="External"/><Relationship Id="rId3519" Type="http://schemas.openxmlformats.org/officeDocument/2006/relationships/hyperlink" Target="https://statiz.sporki.com/add/?m=draft_school02&amp;ps_school=" TargetMode="External"/><Relationship Id="rId12890" Type="http://schemas.openxmlformats.org/officeDocument/2006/relationships/hyperlink" Target="https://statiz.sporki.com/player/?m=playerinfo&amp;p_no=13938" TargetMode="External"/><Relationship Id="rId9562" Type="http://schemas.openxmlformats.org/officeDocument/2006/relationships/hyperlink" Target="https://statiz.sporki.com/player/?m=playerinfo&amp;p_no=10036" TargetMode="External"/><Relationship Id="rId12543" Type="http://schemas.openxmlformats.org/officeDocument/2006/relationships/hyperlink" Target="https://statiz.sporki.com/player/?m=playerinfo&amp;p_no=14829" TargetMode="External"/><Relationship Id="rId19156" Type="http://schemas.openxmlformats.org/officeDocument/2006/relationships/hyperlink" Target="https://statiz.sporki.com/add/?m=draft_school01&amp;ps_school=51100" TargetMode="External"/><Relationship Id="rId921" Type="http://schemas.openxmlformats.org/officeDocument/2006/relationships/hyperlink" Target="https://statiz.sporki.com/add/?m=draft_school02&amp;ps_school=60203" TargetMode="External"/><Relationship Id="rId2602" Type="http://schemas.openxmlformats.org/officeDocument/2006/relationships/hyperlink" Target="https://statiz.sporki.com/player/?m=playerinfo&amp;p_no=13101" TargetMode="External"/><Relationship Id="rId9215" Type="http://schemas.openxmlformats.org/officeDocument/2006/relationships/hyperlink" Target="https://statiz.sporki.com/add/?m=draft_school01&amp;ps_school=50802" TargetMode="External"/><Relationship Id="rId10094" Type="http://schemas.openxmlformats.org/officeDocument/2006/relationships/hyperlink" Target="https://statiz.sporki.com/add/?m=draft_school01&amp;ps_school=50703" TargetMode="External"/><Relationship Id="rId5825" Type="http://schemas.openxmlformats.org/officeDocument/2006/relationships/hyperlink" Target="https://statiz.sporki.com/add/?m=draft_school01&amp;ps_school=50116" TargetMode="External"/><Relationship Id="rId15766" Type="http://schemas.openxmlformats.org/officeDocument/2006/relationships/hyperlink" Target="https://statiz.sporki.com/player/?m=playerinfo&amp;p_no=1374" TargetMode="External"/><Relationship Id="rId3376" Type="http://schemas.openxmlformats.org/officeDocument/2006/relationships/hyperlink" Target="https://statiz.sporki.com/player/?m=playerinfo&amp;p_no=12608" TargetMode="External"/><Relationship Id="rId15419" Type="http://schemas.openxmlformats.org/officeDocument/2006/relationships/hyperlink" Target="https://statiz.sporki.com/player/?m=playerinfo&amp;p_no=1787" TargetMode="External"/><Relationship Id="rId18989" Type="http://schemas.openxmlformats.org/officeDocument/2006/relationships/hyperlink" Target="https://statiz.sporki.com/add/?m=draft_school01&amp;ps_school=50114" TargetMode="External"/><Relationship Id="rId3029" Type="http://schemas.openxmlformats.org/officeDocument/2006/relationships/hyperlink" Target="https://statiz.sporki.com/add/?m=draft_school01&amp;ps_school=50601" TargetMode="External"/><Relationship Id="rId6599" Type="http://schemas.openxmlformats.org/officeDocument/2006/relationships/hyperlink" Target="https://statiz.sporki.com/add/?m=draft_school01&amp;ps_school=50805" TargetMode="External"/><Relationship Id="rId9072" Type="http://schemas.openxmlformats.org/officeDocument/2006/relationships/hyperlink" Target="https://statiz.sporki.com/add/?m=draft_school02&amp;ps_school=" TargetMode="External"/><Relationship Id="rId14502" Type="http://schemas.openxmlformats.org/officeDocument/2006/relationships/hyperlink" Target="https://statiz.sporki.com/player/?m=playerinfo&amp;p_no=2336" TargetMode="External"/><Relationship Id="rId12053" Type="http://schemas.openxmlformats.org/officeDocument/2006/relationships/hyperlink" Target="https://statiz.sporki.com/add/?m=draft_school01&amp;ps_school=50701" TargetMode="External"/><Relationship Id="rId17725" Type="http://schemas.openxmlformats.org/officeDocument/2006/relationships/hyperlink" Target="https://statiz.sporki.com/add/?m=draft_school01&amp;ps_school=50107" TargetMode="External"/><Relationship Id="rId431" Type="http://schemas.openxmlformats.org/officeDocument/2006/relationships/hyperlink" Target="https://statiz.sporki.com/add/?m=draft_school01&amp;ps_school=50208" TargetMode="External"/><Relationship Id="rId2112" Type="http://schemas.openxmlformats.org/officeDocument/2006/relationships/hyperlink" Target="https://statiz.sporki.com/add/?m=draft_school02&amp;ps_school=" TargetMode="External"/><Relationship Id="rId5682" Type="http://schemas.openxmlformats.org/officeDocument/2006/relationships/hyperlink" Target="https://statiz.sporki.com/add/?m=draft_school02&amp;ps_school=" TargetMode="External"/><Relationship Id="rId15276" Type="http://schemas.openxmlformats.org/officeDocument/2006/relationships/hyperlink" Target="https://statiz.sporki.com/player/?m=playerinfo&amp;p_no=1787" TargetMode="External"/><Relationship Id="rId5335" Type="http://schemas.openxmlformats.org/officeDocument/2006/relationships/hyperlink" Target="https://statiz.sporki.com/player/?m=playerinfo&amp;p_no=10685" TargetMode="External"/><Relationship Id="rId18499" Type="http://schemas.openxmlformats.org/officeDocument/2006/relationships/hyperlink" Target="https://statiz.sporki.com/add/?m=draft_school01&amp;ps_school=50110" TargetMode="External"/><Relationship Id="rId8558" Type="http://schemas.openxmlformats.org/officeDocument/2006/relationships/hyperlink" Target="https://statiz.sporki.com/add/?m=draft_school01&amp;ps_school=50703" TargetMode="External"/><Relationship Id="rId11886" Type="http://schemas.openxmlformats.org/officeDocument/2006/relationships/hyperlink" Target="https://statiz.sporki.com/add/?m=draft_school02&amp;ps_school=" TargetMode="External"/><Relationship Id="rId1945" Type="http://schemas.openxmlformats.org/officeDocument/2006/relationships/hyperlink" Target="https://statiz.sporki.com/player/?m=playerinfo&amp;p_no=14157" TargetMode="External"/><Relationship Id="rId11539" Type="http://schemas.openxmlformats.org/officeDocument/2006/relationships/hyperlink" Target="https://statiz.sporki.com/player/?m=playerinfo&amp;p_no=1208" TargetMode="External"/><Relationship Id="rId14012" Type="http://schemas.openxmlformats.org/officeDocument/2006/relationships/hyperlink" Target="https://statiz.sporki.com/player/?m=playerinfo&amp;p_no=10391" TargetMode="External"/><Relationship Id="rId17582" Type="http://schemas.openxmlformats.org/officeDocument/2006/relationships/hyperlink" Target="https://statiz.sporki.com/add/?m=draft_school01&amp;ps_school=50808" TargetMode="External"/><Relationship Id="rId7641" Type="http://schemas.openxmlformats.org/officeDocument/2006/relationships/hyperlink" Target="https://statiz.sporki.com/add/?m=draft_school02&amp;ps_school=" TargetMode="External"/><Relationship Id="rId10622" Type="http://schemas.openxmlformats.org/officeDocument/2006/relationships/hyperlink" Target="https://statiz.sporki.com/add/?m=draft_school01&amp;ps_school=50121" TargetMode="External"/><Relationship Id="rId17235" Type="http://schemas.openxmlformats.org/officeDocument/2006/relationships/hyperlink" Target="https://statiz.sporki.com/add/?m=draft_school01&amp;ps_school=50602" TargetMode="External"/><Relationship Id="rId5192" Type="http://schemas.openxmlformats.org/officeDocument/2006/relationships/hyperlink" Target="https://statiz.sporki.com/add/?m=draft_school01&amp;ps_school=50302" TargetMode="External"/><Relationship Id="rId3904" Type="http://schemas.openxmlformats.org/officeDocument/2006/relationships/hyperlink" Target="https://statiz.sporki.com/player/?m=playerinfo&amp;p_no=11338" TargetMode="External"/><Relationship Id="rId11396" Type="http://schemas.openxmlformats.org/officeDocument/2006/relationships/hyperlink" Target="https://statiz.sporki.com/add/?m=draft_school01&amp;ps_school=50604" TargetMode="External"/><Relationship Id="rId13845" Type="http://schemas.openxmlformats.org/officeDocument/2006/relationships/hyperlink" Target="https://statiz.sporki.com/player/?m=playerinfo&amp;p_no=10842" TargetMode="External"/><Relationship Id="rId1455" Type="http://schemas.openxmlformats.org/officeDocument/2006/relationships/hyperlink" Target="https://statiz.sporki.com/add/?m=draft_school02&amp;ps_school=" TargetMode="External"/><Relationship Id="rId8068" Type="http://schemas.openxmlformats.org/officeDocument/2006/relationships/hyperlink" Target="https://statiz.sporki.com/player/?m=playerinfo&amp;p_no=10350" TargetMode="External"/><Relationship Id="rId11049" Type="http://schemas.openxmlformats.org/officeDocument/2006/relationships/hyperlink" Target="https://statiz.sporki.com/add/?m=draft_school02&amp;ps_school=" TargetMode="External"/><Relationship Id="rId1108" Type="http://schemas.openxmlformats.org/officeDocument/2006/relationships/hyperlink" Target="https://statiz.sporki.com/player/?m=playerinfo&amp;p_no=14869" TargetMode="External"/><Relationship Id="rId4678" Type="http://schemas.openxmlformats.org/officeDocument/2006/relationships/hyperlink" Target="https://statiz.sporki.com/player/?m=playerinfo&amp;p_no=11081" TargetMode="External"/><Relationship Id="rId17092" Type="http://schemas.openxmlformats.org/officeDocument/2006/relationships/hyperlink" Target="https://statiz.sporki.com/add/?m=draft_school01&amp;ps_school=50703" TargetMode="External"/><Relationship Id="rId19541" Type="http://schemas.openxmlformats.org/officeDocument/2006/relationships/hyperlink" Target="https://statiz.sporki.com/add/?m=draft_school01&amp;ps_school=50124" TargetMode="External"/><Relationship Id="rId7151" Type="http://schemas.openxmlformats.org/officeDocument/2006/relationships/hyperlink" Target="https://statiz.sporki.com/add/?m=draft_school01&amp;ps_school=50202" TargetMode="External"/><Relationship Id="rId9600" Type="http://schemas.openxmlformats.org/officeDocument/2006/relationships/hyperlink" Target="https://statiz.sporki.com/add/?m=draft_school02&amp;ps_school=60109" TargetMode="External"/><Relationship Id="rId10132" Type="http://schemas.openxmlformats.org/officeDocument/2006/relationships/hyperlink" Target="https://statiz.sporki.com/player/?m=playerinfo&amp;p_no=1630" TargetMode="External"/><Relationship Id="rId15804" Type="http://schemas.openxmlformats.org/officeDocument/2006/relationships/hyperlink" Target="https://statiz.sporki.com/player/?m=playerinfo&amp;p_no=1358" TargetMode="External"/><Relationship Id="rId3761" Type="http://schemas.openxmlformats.org/officeDocument/2006/relationships/hyperlink" Target="https://statiz.sporki.com/add/?m=draft_school01&amp;ps_school=50114" TargetMode="External"/><Relationship Id="rId13355" Type="http://schemas.openxmlformats.org/officeDocument/2006/relationships/hyperlink" Target="https://statiz.sporki.com/player/?m=playerinfo&amp;p_no=11306" TargetMode="External"/><Relationship Id="rId3414" Type="http://schemas.openxmlformats.org/officeDocument/2006/relationships/hyperlink" Target="https://statiz.sporki.com/add/?m=draft_school02&amp;ps_school=" TargetMode="External"/><Relationship Id="rId6984" Type="http://schemas.openxmlformats.org/officeDocument/2006/relationships/hyperlink" Target="https://statiz.sporki.com/add/?m=draft_school02&amp;ps_school=" TargetMode="External"/><Relationship Id="rId13008" Type="http://schemas.openxmlformats.org/officeDocument/2006/relationships/hyperlink" Target="https://statiz.sporki.com/player/?m=playerinfo&amp;p_no=13090" TargetMode="External"/><Relationship Id="rId16578" Type="http://schemas.openxmlformats.org/officeDocument/2006/relationships/hyperlink" Target="https://statiz.sporki.com/add/?m=draft_school01&amp;ps_school=51116" TargetMode="External"/><Relationship Id="rId6637" Type="http://schemas.openxmlformats.org/officeDocument/2006/relationships/hyperlink" Target="https://statiz.sporki.com/player/?m=playerinfo&amp;p_no=2394" TargetMode="External"/><Relationship Id="rId19051" Type="http://schemas.openxmlformats.org/officeDocument/2006/relationships/hyperlink" Target="https://statiz.sporki.com/add/?m=draft_school01&amp;ps_school=50209" TargetMode="External"/><Relationship Id="rId4188" Type="http://schemas.openxmlformats.org/officeDocument/2006/relationships/hyperlink" Target="https://statiz.sporki.com/add/?m=draft_school02&amp;ps_school=60602" TargetMode="External"/><Relationship Id="rId9110" Type="http://schemas.openxmlformats.org/officeDocument/2006/relationships/hyperlink" Target="https://statiz.sporki.com/add/?m=draft_school01&amp;ps_school=50609" TargetMode="External"/><Relationship Id="rId15661" Type="http://schemas.openxmlformats.org/officeDocument/2006/relationships/hyperlink" Target="https://statiz.sporki.com/player/?m=playerinfo&amp;p_no=1491" TargetMode="External"/><Relationship Id="rId5720" Type="http://schemas.openxmlformats.org/officeDocument/2006/relationships/hyperlink" Target="https://statiz.sporki.com/add/?m=draft_school01&amp;ps_school=50112" TargetMode="External"/><Relationship Id="rId15314" Type="http://schemas.openxmlformats.org/officeDocument/2006/relationships/hyperlink" Target="https://statiz.sporki.com/player/?m=playerinfo&amp;p_no=10153" TargetMode="External"/><Relationship Id="rId18884" Type="http://schemas.openxmlformats.org/officeDocument/2006/relationships/hyperlink" Target="https://statiz.sporki.com/add/?m=draft_school01&amp;ps_school=50802" TargetMode="External"/><Relationship Id="rId3271" Type="http://schemas.openxmlformats.org/officeDocument/2006/relationships/hyperlink" Target="https://statiz.sporki.com/player/?m=playerinfo&amp;p_no=12576" TargetMode="External"/><Relationship Id="rId8943" Type="http://schemas.openxmlformats.org/officeDocument/2006/relationships/hyperlink" Target="https://statiz.sporki.com/add/?m=draft_school02&amp;ps_school=60103" TargetMode="External"/><Relationship Id="rId18537" Type="http://schemas.openxmlformats.org/officeDocument/2006/relationships/hyperlink" Target="https://statiz.sporki.com/add/?m=draft_school01&amp;ps_school=50802" TargetMode="External"/><Relationship Id="rId6494" Type="http://schemas.openxmlformats.org/officeDocument/2006/relationships/hyperlink" Target="https://statiz.sporki.com/add/?m=draft_school01&amp;ps_school=50101" TargetMode="External"/><Relationship Id="rId11924" Type="http://schemas.openxmlformats.org/officeDocument/2006/relationships/hyperlink" Target="https://statiz.sporki.com/add/?m=draft_school01&amp;ps_school=50802" TargetMode="External"/><Relationship Id="rId16088" Type="http://schemas.openxmlformats.org/officeDocument/2006/relationships/hyperlink" Target="https://statiz.sporki.com/player/?m=playerinfo&amp;p_no=1071" TargetMode="External"/><Relationship Id="rId6147" Type="http://schemas.openxmlformats.org/officeDocument/2006/relationships/hyperlink" Target="https://statiz.sporki.com/add/?m=draft_school02&amp;ps_school=60801" TargetMode="External"/><Relationship Id="rId12698" Type="http://schemas.openxmlformats.org/officeDocument/2006/relationships/hyperlink" Target="https://statiz.sporki.com/player/?m=playerinfo&amp;p_no=14638" TargetMode="External"/><Relationship Id="rId15171" Type="http://schemas.openxmlformats.org/officeDocument/2006/relationships/hyperlink" Target="https://statiz.sporki.com/player/?m=playerinfo&amp;p_no=10323" TargetMode="External"/><Relationship Id="rId17620" Type="http://schemas.openxmlformats.org/officeDocument/2006/relationships/hyperlink" Target="https://statiz.sporki.com/add/?m=draft_school01&amp;ps_school=50402" TargetMode="External"/><Relationship Id="rId729" Type="http://schemas.openxmlformats.org/officeDocument/2006/relationships/hyperlink" Target="https://statiz.sporki.com/add/?m=draft_school02&amp;ps_school=60902" TargetMode="External"/><Relationship Id="rId2757" Type="http://schemas.openxmlformats.org/officeDocument/2006/relationships/hyperlink" Target="https://statiz.sporki.com/add/?m=draft_school02&amp;ps_school=" TargetMode="External"/><Relationship Id="rId5230" Type="http://schemas.openxmlformats.org/officeDocument/2006/relationships/hyperlink" Target="https://statiz.sporki.com/player/?m=playerinfo&amp;p_no=10729" TargetMode="External"/><Relationship Id="rId11781" Type="http://schemas.openxmlformats.org/officeDocument/2006/relationships/hyperlink" Target="https://statiz.sporki.com/add/?m=draft_school02&amp;ps_school=60703" TargetMode="External"/><Relationship Id="rId18394" Type="http://schemas.openxmlformats.org/officeDocument/2006/relationships/hyperlink" Target="https://statiz.sporki.com/add/?m=draft_school01&amp;ps_school=50403" TargetMode="External"/><Relationship Id="rId1840" Type="http://schemas.openxmlformats.org/officeDocument/2006/relationships/hyperlink" Target="https://statiz.sporki.com/player/?m=playerinfo&amp;p_no=14705" TargetMode="External"/><Relationship Id="rId8453" Type="http://schemas.openxmlformats.org/officeDocument/2006/relationships/hyperlink" Target="https://statiz.sporki.com/add/?m=draft_school01&amp;ps_school=50111" TargetMode="External"/><Relationship Id="rId11434" Type="http://schemas.openxmlformats.org/officeDocument/2006/relationships/hyperlink" Target="https://statiz.sporki.com/player/?m=playerinfo&amp;p_no=1205" TargetMode="External"/><Relationship Id="rId18047" Type="http://schemas.openxmlformats.org/officeDocument/2006/relationships/hyperlink" Target="https://statiz.sporki.com/add/?m=draft_school01&amp;ps_school=50301" TargetMode="External"/><Relationship Id="rId8106" Type="http://schemas.openxmlformats.org/officeDocument/2006/relationships/hyperlink" Target="https://statiz.sporki.com/add/?m=draft_school02&amp;ps_school=60114" TargetMode="External"/><Relationship Id="rId14657" Type="http://schemas.openxmlformats.org/officeDocument/2006/relationships/hyperlink" Target="https://statiz.sporki.com/player/?m=playerinfo&amp;p_no=2232" TargetMode="External"/><Relationship Id="rId4716" Type="http://schemas.openxmlformats.org/officeDocument/2006/relationships/hyperlink" Target="https://statiz.sporki.com/add/?m=draft_school02&amp;ps_school=60204" TargetMode="External"/><Relationship Id="rId17130" Type="http://schemas.openxmlformats.org/officeDocument/2006/relationships/hyperlink" Target="https://statiz.sporki.com/add/?m=draft_school01&amp;ps_school=50902" TargetMode="External"/><Relationship Id="rId586" Type="http://schemas.openxmlformats.org/officeDocument/2006/relationships/hyperlink" Target="https://statiz.sporki.com/player/?m=playerinfo&amp;p_no=15037" TargetMode="External"/><Relationship Id="rId2267" Type="http://schemas.openxmlformats.org/officeDocument/2006/relationships/hyperlink" Target="https://statiz.sporki.com/add/?m=draft_school01&amp;ps_school=50807" TargetMode="External"/><Relationship Id="rId239" Type="http://schemas.openxmlformats.org/officeDocument/2006/relationships/hyperlink" Target="https://statiz.sporki.com/add/?m=draft_school01&amp;ps_school=50701" TargetMode="External"/><Relationship Id="rId7939" Type="http://schemas.openxmlformats.org/officeDocument/2006/relationships/hyperlink" Target="https://statiz.sporki.com/player/?m=playerinfo&amp;p_no=2348" TargetMode="External"/><Relationship Id="rId13740" Type="http://schemas.openxmlformats.org/officeDocument/2006/relationships/hyperlink" Target="https://statiz.sporki.com/player/?m=playerinfo&amp;p_no=10892" TargetMode="External"/><Relationship Id="rId11291" Type="http://schemas.openxmlformats.org/officeDocument/2006/relationships/hyperlink" Target="https://statiz.sporki.com/add/?m=draft_school01&amp;ps_school=50802" TargetMode="External"/><Relationship Id="rId16963" Type="http://schemas.openxmlformats.org/officeDocument/2006/relationships/hyperlink" Target="https://statiz.sporki.com/add/?m=draft_school01&amp;ps_school=50901" TargetMode="External"/><Relationship Id="rId1350" Type="http://schemas.openxmlformats.org/officeDocument/2006/relationships/hyperlink" Target="https://statiz.sporki.com/add/?m=draft_school02&amp;ps_school=60501" TargetMode="External"/><Relationship Id="rId16616" Type="http://schemas.openxmlformats.org/officeDocument/2006/relationships/hyperlink" Target="https://statiz.sporki.com/add/?m=draft_school01&amp;ps_school=50602" TargetMode="External"/><Relationship Id="rId1003" Type="http://schemas.openxmlformats.org/officeDocument/2006/relationships/hyperlink" Target="https://statiz.sporki.com/player/?m=playerinfo&amp;p_no=14792" TargetMode="External"/><Relationship Id="rId4573" Type="http://schemas.openxmlformats.org/officeDocument/2006/relationships/hyperlink" Target="https://statiz.sporki.com/player/?m=playerinfo&amp;p_no=11122" TargetMode="External"/><Relationship Id="rId14167" Type="http://schemas.openxmlformats.org/officeDocument/2006/relationships/hyperlink" Target="https://statiz.sporki.com/player/?m=playerinfo&amp;p_no=10136" TargetMode="External"/><Relationship Id="rId4226" Type="http://schemas.openxmlformats.org/officeDocument/2006/relationships/hyperlink" Target="https://statiz.sporki.com/add/?m=draft_school01&amp;ps_school=50108" TargetMode="External"/><Relationship Id="rId7796" Type="http://schemas.openxmlformats.org/officeDocument/2006/relationships/hyperlink" Target="https://statiz.sporki.com/add/?m=draft_school01&amp;ps_school=50501" TargetMode="External"/><Relationship Id="rId7449" Type="http://schemas.openxmlformats.org/officeDocument/2006/relationships/hyperlink" Target="https://statiz.sporki.com/add/?m=draft_school02&amp;ps_school=60108" TargetMode="External"/><Relationship Id="rId10777" Type="http://schemas.openxmlformats.org/officeDocument/2006/relationships/hyperlink" Target="https://statiz.sporki.com/player/?m=playerinfo&amp;p_no=1414" TargetMode="External"/><Relationship Id="rId13250" Type="http://schemas.openxmlformats.org/officeDocument/2006/relationships/hyperlink" Target="https://statiz.sporki.com/player/?m=playerinfo&amp;p_no=12584" TargetMode="External"/><Relationship Id="rId18922" Type="http://schemas.openxmlformats.org/officeDocument/2006/relationships/hyperlink" Target="https://statiz.sporki.com/add/?m=draft_school01&amp;ps_school=50701" TargetMode="External"/><Relationship Id="rId16473" Type="http://schemas.openxmlformats.org/officeDocument/2006/relationships/hyperlink" Target="https://statiz.sporki.com/add/?m=draft_school01&amp;ps_school=50805" TargetMode="External"/><Relationship Id="rId4083" Type="http://schemas.openxmlformats.org/officeDocument/2006/relationships/hyperlink" Target="https://statiz.sporki.com/add/?m=draft_school02&amp;ps_school=" TargetMode="External"/><Relationship Id="rId6532" Type="http://schemas.openxmlformats.org/officeDocument/2006/relationships/hyperlink" Target="https://statiz.sporki.com/player/?m=playerinfo&amp;p_no=2383" TargetMode="External"/><Relationship Id="rId16126" Type="http://schemas.openxmlformats.org/officeDocument/2006/relationships/hyperlink" Target="https://statiz.sporki.com/player/?m=playerinfo&amp;p_no=1118" TargetMode="External"/><Relationship Id="rId9755" Type="http://schemas.openxmlformats.org/officeDocument/2006/relationships/hyperlink" Target="https://statiz.sporki.com/add/?m=draft_school01&amp;ps_school=50608" TargetMode="External"/><Relationship Id="rId12736" Type="http://schemas.openxmlformats.org/officeDocument/2006/relationships/hyperlink" Target="https://statiz.sporki.com/player/?m=playerinfo&amp;p_no=14725" TargetMode="External"/><Relationship Id="rId19349" Type="http://schemas.openxmlformats.org/officeDocument/2006/relationships/hyperlink" Target="https://statiz.sporki.com/add/?m=draft_school01&amp;ps_school=50803" TargetMode="External"/><Relationship Id="rId9408" Type="http://schemas.openxmlformats.org/officeDocument/2006/relationships/hyperlink" Target="https://statiz.sporki.com/add/?m=draft_school02&amp;ps_school=60111" TargetMode="External"/><Relationship Id="rId10287" Type="http://schemas.openxmlformats.org/officeDocument/2006/relationships/hyperlink" Target="https://statiz.sporki.com/add/?m=draft_school02&amp;ps_school=60802" TargetMode="External"/><Relationship Id="rId15959" Type="http://schemas.openxmlformats.org/officeDocument/2006/relationships/hyperlink" Target="https://statiz.sporki.com/player/?m=playerinfo&amp;p_no=1207" TargetMode="External"/><Relationship Id="rId3569" Type="http://schemas.openxmlformats.org/officeDocument/2006/relationships/hyperlink" Target="https://statiz.sporki.com/add/?m=draft_school01&amp;ps_school=50602" TargetMode="External"/><Relationship Id="rId18432" Type="http://schemas.openxmlformats.org/officeDocument/2006/relationships/hyperlink" Target="https://statiz.sporki.com/add/?m=draft_school01&amp;ps_school=50103" TargetMode="External"/><Relationship Id="rId6042" Type="http://schemas.openxmlformats.org/officeDocument/2006/relationships/hyperlink" Target="https://statiz.sporki.com/add/?m=draft_school02&amp;ps_school=" TargetMode="External"/><Relationship Id="rId12593" Type="http://schemas.openxmlformats.org/officeDocument/2006/relationships/hyperlink" Target="https://statiz.sporki.com/player/?m=playerinfo&amp;p_no=14837" TargetMode="External"/><Relationship Id="rId971" Type="http://schemas.openxmlformats.org/officeDocument/2006/relationships/hyperlink" Target="https://statiz.sporki.com/add/?m=draft_school01&amp;ps_school=50107" TargetMode="External"/><Relationship Id="rId2652" Type="http://schemas.openxmlformats.org/officeDocument/2006/relationships/hyperlink" Target="https://statiz.sporki.com/add/?m=draft_school02&amp;ps_school=" TargetMode="External"/><Relationship Id="rId9265" Type="http://schemas.openxmlformats.org/officeDocument/2006/relationships/hyperlink" Target="https://statiz.sporki.com/player/?m=playerinfo&amp;p_no=1964" TargetMode="External"/><Relationship Id="rId12246" Type="http://schemas.openxmlformats.org/officeDocument/2006/relationships/hyperlink" Target="https://statiz.sporki.com/player/?m=playerinfo&amp;p_no=15495" TargetMode="External"/><Relationship Id="rId624" Type="http://schemas.openxmlformats.org/officeDocument/2006/relationships/hyperlink" Target="https://statiz.sporki.com/add/?m=draft_school02&amp;ps_school=" TargetMode="External"/><Relationship Id="rId2305" Type="http://schemas.openxmlformats.org/officeDocument/2006/relationships/hyperlink" Target="https://statiz.sporki.com/player/?m=playerinfo&amp;p_no=13091" TargetMode="External"/><Relationship Id="rId5875" Type="http://schemas.openxmlformats.org/officeDocument/2006/relationships/hyperlink" Target="https://statiz.sporki.com/player/?m=playerinfo&amp;p_no=10127" TargetMode="External"/><Relationship Id="rId15469" Type="http://schemas.openxmlformats.org/officeDocument/2006/relationships/hyperlink" Target="https://statiz.sporki.com/player/?m=playerinfo&amp;p_no=1751" TargetMode="External"/><Relationship Id="rId17918" Type="http://schemas.openxmlformats.org/officeDocument/2006/relationships/hyperlink" Target="https://statiz.sporki.com/add/?m=draft_school01&amp;ps_school=50703" TargetMode="External"/><Relationship Id="rId5528" Type="http://schemas.openxmlformats.org/officeDocument/2006/relationships/hyperlink" Target="https://statiz.sporki.com/add/?m=draft_school01&amp;ps_school=50801" TargetMode="External"/><Relationship Id="rId3079" Type="http://schemas.openxmlformats.org/officeDocument/2006/relationships/hyperlink" Target="https://statiz.sporki.com/player/?m=playerinfo&amp;p_no=12951" TargetMode="External"/><Relationship Id="rId8001" Type="http://schemas.openxmlformats.org/officeDocument/2006/relationships/hyperlink" Target="https://statiz.sporki.com/add/?m=draft_school02&amp;ps_school=" TargetMode="External"/><Relationship Id="rId14552" Type="http://schemas.openxmlformats.org/officeDocument/2006/relationships/hyperlink" Target="https://statiz.sporki.com/player/?m=playerinfo&amp;p_no=2294" TargetMode="External"/><Relationship Id="rId481" Type="http://schemas.openxmlformats.org/officeDocument/2006/relationships/hyperlink" Target="https://statiz.sporki.com/player/?m=playerinfo&amp;p_no=15078" TargetMode="External"/><Relationship Id="rId2162" Type="http://schemas.openxmlformats.org/officeDocument/2006/relationships/hyperlink" Target="https://statiz.sporki.com/add/?m=draft_school01&amp;ps_school=50803" TargetMode="External"/><Relationship Id="rId4611" Type="http://schemas.openxmlformats.org/officeDocument/2006/relationships/hyperlink" Target="https://statiz.sporki.com/add/?m=draft_school02&amp;ps_school=60109" TargetMode="External"/><Relationship Id="rId14205" Type="http://schemas.openxmlformats.org/officeDocument/2006/relationships/hyperlink" Target="https://statiz.sporki.com/player/?m=playerinfo&amp;p_no=2419" TargetMode="External"/><Relationship Id="rId17775" Type="http://schemas.openxmlformats.org/officeDocument/2006/relationships/hyperlink" Target="https://statiz.sporki.com/add/?m=draft_school01&amp;ps_school=50703" TargetMode="External"/><Relationship Id="rId134" Type="http://schemas.openxmlformats.org/officeDocument/2006/relationships/hyperlink" Target="https://statiz.sporki.com/add/?m=draft_school01&amp;ps_school=50605" TargetMode="External"/><Relationship Id="rId7834" Type="http://schemas.openxmlformats.org/officeDocument/2006/relationships/hyperlink" Target="https://statiz.sporki.com/player/?m=playerinfo&amp;p_no=10502" TargetMode="External"/><Relationship Id="rId10815" Type="http://schemas.openxmlformats.org/officeDocument/2006/relationships/hyperlink" Target="https://statiz.sporki.com/add/?m=draft_school02&amp;ps_school=60109" TargetMode="External"/><Relationship Id="rId17428" Type="http://schemas.openxmlformats.org/officeDocument/2006/relationships/hyperlink" Target="https://statiz.sporki.com/add/?m=draft_school01&amp;ps_school=50103" TargetMode="External"/><Relationship Id="rId5385" Type="http://schemas.openxmlformats.org/officeDocument/2006/relationships/hyperlink" Target="https://statiz.sporki.com/add/?m=draft_school02&amp;ps_school=" TargetMode="External"/><Relationship Id="rId1995" Type="http://schemas.openxmlformats.org/officeDocument/2006/relationships/hyperlink" Target="https://statiz.sporki.com/add/?m=draft_school02&amp;ps_school=" TargetMode="External"/><Relationship Id="rId5038" Type="http://schemas.openxmlformats.org/officeDocument/2006/relationships/hyperlink" Target="https://statiz.sporki.com/player/?m=playerinfo&amp;p_no=11140" TargetMode="External"/><Relationship Id="rId11589" Type="http://schemas.openxmlformats.org/officeDocument/2006/relationships/hyperlink" Target="https://statiz.sporki.com/add/?m=draft_school02&amp;ps_school=60103" TargetMode="External"/><Relationship Id="rId1648" Type="http://schemas.openxmlformats.org/officeDocument/2006/relationships/hyperlink" Target="https://statiz.sporki.com/player/?m=playerinfo&amp;p_no=14704" TargetMode="External"/><Relationship Id="rId14062" Type="http://schemas.openxmlformats.org/officeDocument/2006/relationships/hyperlink" Target="https://statiz.sporki.com/player/?m=playerinfo&amp;p_no=10301" TargetMode="External"/><Relationship Id="rId16511" Type="http://schemas.openxmlformats.org/officeDocument/2006/relationships/hyperlink" Target="https://statiz.sporki.com/add/?m=draft_school01&amp;ps_school=50105" TargetMode="External"/><Relationship Id="rId4121" Type="http://schemas.openxmlformats.org/officeDocument/2006/relationships/hyperlink" Target="https://statiz.sporki.com/add/?m=draft_school01&amp;ps_school=50705" TargetMode="External"/><Relationship Id="rId7691" Type="http://schemas.openxmlformats.org/officeDocument/2006/relationships/hyperlink" Target="https://statiz.sporki.com/add/?m=draft_school01&amp;ps_school=50802" TargetMode="External"/><Relationship Id="rId10672" Type="http://schemas.openxmlformats.org/officeDocument/2006/relationships/hyperlink" Target="https://statiz.sporki.com/player/?m=playerinfo&amp;p_no=1437" TargetMode="External"/><Relationship Id="rId17285" Type="http://schemas.openxmlformats.org/officeDocument/2006/relationships/hyperlink" Target="https://statiz.sporki.com/add/?m=draft_school01&amp;ps_school=50601" TargetMode="External"/><Relationship Id="rId7344" Type="http://schemas.openxmlformats.org/officeDocument/2006/relationships/hyperlink" Target="https://statiz.sporki.com/add/?m=draft_school02&amp;ps_school=" TargetMode="External"/><Relationship Id="rId10325" Type="http://schemas.openxmlformats.org/officeDocument/2006/relationships/hyperlink" Target="https://statiz.sporki.com/add/?m=draft_school01&amp;ps_school=50706" TargetMode="External"/><Relationship Id="rId13895" Type="http://schemas.openxmlformats.org/officeDocument/2006/relationships/hyperlink" Target="https://statiz.sporki.com/player/?m=playerinfo&amp;p_no=10742" TargetMode="External"/><Relationship Id="rId3954" Type="http://schemas.openxmlformats.org/officeDocument/2006/relationships/hyperlink" Target="https://statiz.sporki.com/add/?m=draft_school02&amp;ps_school=" TargetMode="External"/><Relationship Id="rId13548" Type="http://schemas.openxmlformats.org/officeDocument/2006/relationships/hyperlink" Target="https://statiz.sporki.com/player/?m=playerinfo&amp;p_no=11233" TargetMode="External"/><Relationship Id="rId3607" Type="http://schemas.openxmlformats.org/officeDocument/2006/relationships/hyperlink" Target="https://statiz.sporki.com/player/?m=playerinfo&amp;p_no=12996" TargetMode="External"/><Relationship Id="rId11099" Type="http://schemas.openxmlformats.org/officeDocument/2006/relationships/hyperlink" Target="https://statiz.sporki.com/add/?m=draft_school01&amp;ps_school=" TargetMode="External"/><Relationship Id="rId16021" Type="http://schemas.openxmlformats.org/officeDocument/2006/relationships/hyperlink" Target="https://statiz.sporki.com/player/?m=playerinfo&amp;p_no=1171" TargetMode="External"/><Relationship Id="rId19591" Type="http://schemas.openxmlformats.org/officeDocument/2006/relationships/hyperlink" Target="https://statiz.sporki.com/add/?m=draft_school01&amp;ps_school=50812" TargetMode="External"/><Relationship Id="rId1158" Type="http://schemas.openxmlformats.org/officeDocument/2006/relationships/hyperlink" Target="https://statiz.sporki.com/add/?m=draft_school02&amp;ps_school=" TargetMode="External"/><Relationship Id="rId9650" Type="http://schemas.openxmlformats.org/officeDocument/2006/relationships/hyperlink" Target="https://statiz.sporki.com/add/?m=draft_school01&amp;ps_school=50114" TargetMode="External"/><Relationship Id="rId19244" Type="http://schemas.openxmlformats.org/officeDocument/2006/relationships/hyperlink" Target="https://statiz.sporki.com/add/?m=draft_school01&amp;ps_school=50105" TargetMode="External"/><Relationship Id="rId9303" Type="http://schemas.openxmlformats.org/officeDocument/2006/relationships/hyperlink" Target="https://statiz.sporki.com/add/?m=draft_school02&amp;ps_school=60113" TargetMode="External"/><Relationship Id="rId12631" Type="http://schemas.openxmlformats.org/officeDocument/2006/relationships/hyperlink" Target="https://statiz.sporki.com/player/?m=playerinfo&amp;p_no=14621" TargetMode="External"/><Relationship Id="rId10182" Type="http://schemas.openxmlformats.org/officeDocument/2006/relationships/hyperlink" Target="https://statiz.sporki.com/add/?m=draft_school02&amp;ps_school=" TargetMode="External"/><Relationship Id="rId15854" Type="http://schemas.openxmlformats.org/officeDocument/2006/relationships/hyperlink" Target="https://statiz.sporki.com/player/?m=playerinfo&amp;p_no=1303" TargetMode="External"/><Relationship Id="rId5913" Type="http://schemas.openxmlformats.org/officeDocument/2006/relationships/hyperlink" Target="https://statiz.sporki.com/add/?m=draft_school02&amp;ps_school=" TargetMode="External"/><Relationship Id="rId15507" Type="http://schemas.openxmlformats.org/officeDocument/2006/relationships/hyperlink" Target="https://statiz.sporki.com/player/?m=playerinfo&amp;p_no=1606" TargetMode="External"/><Relationship Id="rId3464" Type="http://schemas.openxmlformats.org/officeDocument/2006/relationships/hyperlink" Target="https://statiz.sporki.com/add/?m=draft_school01&amp;ps_school=50109" TargetMode="External"/><Relationship Id="rId13058" Type="http://schemas.openxmlformats.org/officeDocument/2006/relationships/hyperlink" Target="https://statiz.sporki.com/player/?m=playerinfo&amp;p_no=12898" TargetMode="External"/><Relationship Id="rId3117" Type="http://schemas.openxmlformats.org/officeDocument/2006/relationships/hyperlink" Target="https://statiz.sporki.com/add/?m=draft_school02&amp;ps_school=" TargetMode="External"/><Relationship Id="rId6687" Type="http://schemas.openxmlformats.org/officeDocument/2006/relationships/hyperlink" Target="https://statiz.sporki.com/add/?m=draft_school02&amp;ps_school=60104" TargetMode="External"/><Relationship Id="rId9160" Type="http://schemas.openxmlformats.org/officeDocument/2006/relationships/hyperlink" Target="https://statiz.sporki.com/player/?m=playerinfo&amp;p_no=1899" TargetMode="External"/><Relationship Id="rId12141" Type="http://schemas.openxmlformats.org/officeDocument/2006/relationships/hyperlink" Target="https://statiz.sporki.com/add/?m=draft_school02&amp;ps_school=60204" TargetMode="External"/><Relationship Id="rId2200" Type="http://schemas.openxmlformats.org/officeDocument/2006/relationships/hyperlink" Target="https://statiz.sporki.com/player/?m=playerinfo&amp;p_no=13930" TargetMode="External"/><Relationship Id="rId17813" Type="http://schemas.openxmlformats.org/officeDocument/2006/relationships/hyperlink" Target="https://statiz.sporki.com/add/?m=draft_school01&amp;ps_school=50703" TargetMode="External"/><Relationship Id="rId5770" Type="http://schemas.openxmlformats.org/officeDocument/2006/relationships/hyperlink" Target="https://statiz.sporki.com/player/?m=playerinfo&amp;p_no=10361" TargetMode="External"/><Relationship Id="rId15364" Type="http://schemas.openxmlformats.org/officeDocument/2006/relationships/hyperlink" Target="https://statiz.sporki.com/player/?m=playerinfo&amp;p_no=1746" TargetMode="External"/><Relationship Id="rId5423" Type="http://schemas.openxmlformats.org/officeDocument/2006/relationships/hyperlink" Target="https://statiz.sporki.com/add/?m=draft_school01&amp;ps_school=50204" TargetMode="External"/><Relationship Id="rId8993" Type="http://schemas.openxmlformats.org/officeDocument/2006/relationships/hyperlink" Target="https://statiz.sporki.com/add/?m=draft_school01&amp;ps_school=50116" TargetMode="External"/><Relationship Id="rId11974" Type="http://schemas.openxmlformats.org/officeDocument/2006/relationships/hyperlink" Target="https://statiz.sporki.com/player/?m=playerinfo&amp;p_no=1004" TargetMode="External"/><Relationship Id="rId15017" Type="http://schemas.openxmlformats.org/officeDocument/2006/relationships/hyperlink" Target="https://statiz.sporki.com/player/?m=playerinfo&amp;p_no=1989" TargetMode="External"/><Relationship Id="rId18587" Type="http://schemas.openxmlformats.org/officeDocument/2006/relationships/hyperlink" Target="https://statiz.sporki.com/add/?m=draft_school01&amp;ps_school=50208" TargetMode="External"/><Relationship Id="rId8646" Type="http://schemas.openxmlformats.org/officeDocument/2006/relationships/hyperlink" Target="https://statiz.sporki.com/add/?m=draft_school02&amp;ps_school=60803" TargetMode="External"/><Relationship Id="rId11627" Type="http://schemas.openxmlformats.org/officeDocument/2006/relationships/hyperlink" Target="https://statiz.sporki.com/add/?m=draft_school01&amp;ps_school=50209" TargetMode="External"/><Relationship Id="rId6197" Type="http://schemas.openxmlformats.org/officeDocument/2006/relationships/hyperlink" Target="https://statiz.sporki.com/add/?m=draft_school01&amp;ps_school=" TargetMode="External"/><Relationship Id="rId14100" Type="http://schemas.openxmlformats.org/officeDocument/2006/relationships/hyperlink" Target="https://statiz.sporki.com/player/?m=playerinfo&amp;p_no=10127" TargetMode="External"/><Relationship Id="rId17670" Type="http://schemas.openxmlformats.org/officeDocument/2006/relationships/hyperlink" Target="https://statiz.sporki.com/add/?m=draft_school01&amp;ps_school=50206" TargetMode="External"/><Relationship Id="rId4909" Type="http://schemas.openxmlformats.org/officeDocument/2006/relationships/hyperlink" Target="https://statiz.sporki.com/player/?m=playerinfo&amp;p_no=10868" TargetMode="External"/><Relationship Id="rId17323" Type="http://schemas.openxmlformats.org/officeDocument/2006/relationships/hyperlink" Target="https://statiz.sporki.com/add/?m=draft_school01&amp;ps_school=50207" TargetMode="External"/><Relationship Id="rId779" Type="http://schemas.openxmlformats.org/officeDocument/2006/relationships/hyperlink" Target="https://statiz.sporki.com/add/?m=draft_school01&amp;ps_school=50121" TargetMode="External"/><Relationship Id="rId5280" Type="http://schemas.openxmlformats.org/officeDocument/2006/relationships/hyperlink" Target="https://statiz.sporki.com/add/?m=draft_school02&amp;ps_school=" TargetMode="External"/><Relationship Id="rId10710" Type="http://schemas.openxmlformats.org/officeDocument/2006/relationships/hyperlink" Target="https://statiz.sporki.com/add/?m=draft_school02&amp;ps_school=60705" TargetMode="External"/><Relationship Id="rId13933" Type="http://schemas.openxmlformats.org/officeDocument/2006/relationships/hyperlink" Target="https://statiz.sporki.com/player/?m=playerinfo&amp;p_no=10653" TargetMode="External"/><Relationship Id="rId18097" Type="http://schemas.openxmlformats.org/officeDocument/2006/relationships/hyperlink" Target="https://statiz.sporki.com/add/?m=draft_school01&amp;ps_school=50101" TargetMode="External"/><Relationship Id="rId1890" Type="http://schemas.openxmlformats.org/officeDocument/2006/relationships/hyperlink" Target="https://statiz.sporki.com/add/?m=draft_school02&amp;ps_school=" TargetMode="External"/><Relationship Id="rId8156" Type="http://schemas.openxmlformats.org/officeDocument/2006/relationships/hyperlink" Target="https://statiz.sporki.com/add/?m=draft_school01&amp;ps_school=50602" TargetMode="External"/><Relationship Id="rId11484" Type="http://schemas.openxmlformats.org/officeDocument/2006/relationships/hyperlink" Target="https://statiz.sporki.com/add/?m=draft_school02&amp;ps_school=60109" TargetMode="External"/><Relationship Id="rId1543" Type="http://schemas.openxmlformats.org/officeDocument/2006/relationships/hyperlink" Target="https://statiz.sporki.com/player/?m=playerinfo&amp;p_no=14684" TargetMode="External"/><Relationship Id="rId11137" Type="http://schemas.openxmlformats.org/officeDocument/2006/relationships/hyperlink" Target="https://statiz.sporki.com/player/?m=playerinfo&amp;p_no=1303" TargetMode="External"/><Relationship Id="rId16809" Type="http://schemas.openxmlformats.org/officeDocument/2006/relationships/hyperlink" Target="https://statiz.sporki.com/add/?m=draft_school01&amp;ps_school=50202" TargetMode="External"/><Relationship Id="rId4766" Type="http://schemas.openxmlformats.org/officeDocument/2006/relationships/hyperlink" Target="https://statiz.sporki.com/add/?m=draft_school01&amp;ps_school=50802" TargetMode="External"/><Relationship Id="rId17180" Type="http://schemas.openxmlformats.org/officeDocument/2006/relationships/hyperlink" Target="https://statiz.sporki.com/add/?m=draft_school01&amp;ps_school=50801" TargetMode="External"/><Relationship Id="rId4419" Type="http://schemas.openxmlformats.org/officeDocument/2006/relationships/hyperlink" Target="https://statiz.sporki.com/add/?m=draft_school02&amp;ps_school=60104" TargetMode="External"/><Relationship Id="rId7989" Type="http://schemas.openxmlformats.org/officeDocument/2006/relationships/hyperlink" Target="https://statiz.sporki.com/add/?m=draft_school02&amp;ps_school=" TargetMode="External"/><Relationship Id="rId10220" Type="http://schemas.openxmlformats.org/officeDocument/2006/relationships/hyperlink" Target="https://statiz.sporki.com/add/?m=draft_school01&amp;ps_school=50805" TargetMode="External"/><Relationship Id="rId289" Type="http://schemas.openxmlformats.org/officeDocument/2006/relationships/hyperlink" Target="https://statiz.sporki.com/player/?m=playerinfo&amp;p_no=15494" TargetMode="External"/><Relationship Id="rId13790" Type="http://schemas.openxmlformats.org/officeDocument/2006/relationships/hyperlink" Target="https://statiz.sporki.com/player/?m=playerinfo&amp;p_no=10810" TargetMode="External"/><Relationship Id="rId13443" Type="http://schemas.openxmlformats.org/officeDocument/2006/relationships/hyperlink" Target="https://statiz.sporki.com/player/?m=playerinfo&amp;p_no=11338" TargetMode="External"/><Relationship Id="rId1053" Type="http://schemas.openxmlformats.org/officeDocument/2006/relationships/hyperlink" Target="https://statiz.sporki.com/add/?m=draft_school02&amp;ps_school=" TargetMode="External"/><Relationship Id="rId3502" Type="http://schemas.openxmlformats.org/officeDocument/2006/relationships/hyperlink" Target="https://statiz.sporki.com/player/?m=playerinfo&amp;p_no=12514" TargetMode="External"/><Relationship Id="rId16666" Type="http://schemas.openxmlformats.org/officeDocument/2006/relationships/hyperlink" Target="https://statiz.sporki.com/add/?m=draft_school01&amp;ps_school=50106" TargetMode="External"/><Relationship Id="rId6725" Type="http://schemas.openxmlformats.org/officeDocument/2006/relationships/hyperlink" Target="https://statiz.sporki.com/add/?m=draft_school01&amp;ps_school=50101" TargetMode="External"/><Relationship Id="rId16319" Type="http://schemas.openxmlformats.org/officeDocument/2006/relationships/hyperlink" Target="https://statiz.sporki.com/add/?m=draft_school01&amp;ps_school=50105" TargetMode="External"/><Relationship Id="rId4276" Type="http://schemas.openxmlformats.org/officeDocument/2006/relationships/hyperlink" Target="https://statiz.sporki.com/player/?m=playerinfo&amp;p_no=13255" TargetMode="External"/><Relationship Id="rId9948" Type="http://schemas.openxmlformats.org/officeDocument/2006/relationships/hyperlink" Target="https://statiz.sporki.com/add/?m=draft_school02&amp;ps_school=" TargetMode="External"/><Relationship Id="rId7499" Type="http://schemas.openxmlformats.org/officeDocument/2006/relationships/hyperlink" Target="https://statiz.sporki.com/add/?m=draft_school01&amp;ps_school=" TargetMode="External"/><Relationship Id="rId12929" Type="http://schemas.openxmlformats.org/officeDocument/2006/relationships/hyperlink" Target="https://statiz.sporki.com/player/?m=playerinfo&amp;p_no=13126" TargetMode="External"/><Relationship Id="rId15402" Type="http://schemas.openxmlformats.org/officeDocument/2006/relationships/hyperlink" Target="https://statiz.sporki.com/player/?m=playerinfo&amp;p_no=1716" TargetMode="External"/><Relationship Id="rId18972" Type="http://schemas.openxmlformats.org/officeDocument/2006/relationships/hyperlink" Target="https://statiz.sporki.com/add/?m=draft_school01&amp;ps_school=50209" TargetMode="External"/><Relationship Id="rId3012" Type="http://schemas.openxmlformats.org/officeDocument/2006/relationships/hyperlink" Target="https://statiz.sporki.com/add/?m=draft_school02&amp;ps_school=" TargetMode="External"/><Relationship Id="rId6582" Type="http://schemas.openxmlformats.org/officeDocument/2006/relationships/hyperlink" Target="https://statiz.sporki.com/add/?m=draft_school02&amp;ps_school=" TargetMode="External"/><Relationship Id="rId16176" Type="http://schemas.openxmlformats.org/officeDocument/2006/relationships/hyperlink" Target="https://statiz.sporki.com/player/?m=playerinfo&amp;p_no=1059" TargetMode="External"/><Relationship Id="rId18625" Type="http://schemas.openxmlformats.org/officeDocument/2006/relationships/hyperlink" Target="https://statiz.sporki.com/add/?m=draft_school01&amp;ps_school=50604" TargetMode="External"/><Relationship Id="rId6235" Type="http://schemas.openxmlformats.org/officeDocument/2006/relationships/hyperlink" Target="https://statiz.sporki.com/player/?m=playerinfo&amp;p_no=10107" TargetMode="External"/><Relationship Id="rId12786" Type="http://schemas.openxmlformats.org/officeDocument/2006/relationships/hyperlink" Target="https://statiz.sporki.com/player/?m=playerinfo&amp;p_no=14126" TargetMode="External"/><Relationship Id="rId19399" Type="http://schemas.openxmlformats.org/officeDocument/2006/relationships/hyperlink" Target="https://statiz.sporki.com/add/?m=draft_school01&amp;ps_school=50112" TargetMode="External"/><Relationship Id="rId2845" Type="http://schemas.openxmlformats.org/officeDocument/2006/relationships/hyperlink" Target="https://statiz.sporki.com/player/?m=playerinfo&amp;p_no=12855" TargetMode="External"/><Relationship Id="rId9458" Type="http://schemas.openxmlformats.org/officeDocument/2006/relationships/hyperlink" Target="https://statiz.sporki.com/add/?m=draft_school01&amp;ps_school=" TargetMode="External"/><Relationship Id="rId12439" Type="http://schemas.openxmlformats.org/officeDocument/2006/relationships/hyperlink" Target="https://statiz.sporki.com/player/?m=playerinfo&amp;p_no=15124" TargetMode="External"/><Relationship Id="rId817" Type="http://schemas.openxmlformats.org/officeDocument/2006/relationships/hyperlink" Target="https://statiz.sporki.com/player/?m=playerinfo&amp;p_no=15143" TargetMode="External"/><Relationship Id="rId18482" Type="http://schemas.openxmlformats.org/officeDocument/2006/relationships/hyperlink" Target="https://statiz.sporki.com/add/?m=draft_school01&amp;ps_school=50303" TargetMode="External"/><Relationship Id="rId8541" Type="http://schemas.openxmlformats.org/officeDocument/2006/relationships/hyperlink" Target="https://statiz.sporki.com/add/?m=draft_school02&amp;ps_school=" TargetMode="External"/><Relationship Id="rId18135" Type="http://schemas.openxmlformats.org/officeDocument/2006/relationships/hyperlink" Target="https://statiz.sporki.com/add/?m=draft_school01&amp;ps_school=50606" TargetMode="External"/><Relationship Id="rId6092" Type="http://schemas.openxmlformats.org/officeDocument/2006/relationships/hyperlink" Target="https://statiz.sporki.com/add/?m=draft_school01&amp;ps_school=50108" TargetMode="External"/><Relationship Id="rId11522" Type="http://schemas.openxmlformats.org/officeDocument/2006/relationships/hyperlink" Target="https://statiz.sporki.com/add/?m=draft_school01&amp;ps_school=51100" TargetMode="External"/><Relationship Id="rId14745" Type="http://schemas.openxmlformats.org/officeDocument/2006/relationships/hyperlink" Target="https://statiz.sporki.com/player/?m=playerinfo&amp;p_no=2340" TargetMode="External"/><Relationship Id="rId4804" Type="http://schemas.openxmlformats.org/officeDocument/2006/relationships/hyperlink" Target="https://statiz.sporki.com/player/?m=playerinfo&amp;p_no=10795" TargetMode="External"/><Relationship Id="rId12296" Type="http://schemas.openxmlformats.org/officeDocument/2006/relationships/hyperlink" Target="https://statiz.sporki.com/player/?m=playerinfo&amp;p_no=15629" TargetMode="External"/><Relationship Id="rId17968" Type="http://schemas.openxmlformats.org/officeDocument/2006/relationships/hyperlink" Target="https://statiz.sporki.com/add/?m=draft_school01&amp;ps_school=50111" TargetMode="External"/><Relationship Id="rId674" Type="http://schemas.openxmlformats.org/officeDocument/2006/relationships/hyperlink" Target="https://statiz.sporki.com/add/?m=draft_school01&amp;ps_school=50103" TargetMode="External"/><Relationship Id="rId2355" Type="http://schemas.openxmlformats.org/officeDocument/2006/relationships/hyperlink" Target="https://statiz.sporki.com/add/?m=draft_school02&amp;ps_school=" TargetMode="External"/><Relationship Id="rId327" Type="http://schemas.openxmlformats.org/officeDocument/2006/relationships/hyperlink" Target="https://statiz.sporki.com/add/?m=draft_school02&amp;ps_school=" TargetMode="External"/><Relationship Id="rId2008" Type="http://schemas.openxmlformats.org/officeDocument/2006/relationships/hyperlink" Target="https://statiz.sporki.com/player/?m=playerinfo&amp;p_no=14150" TargetMode="External"/><Relationship Id="rId5578" Type="http://schemas.openxmlformats.org/officeDocument/2006/relationships/hyperlink" Target="https://statiz.sporki.com/player/?m=playerinfo&amp;p_no=10233" TargetMode="External"/><Relationship Id="rId8051" Type="http://schemas.openxmlformats.org/officeDocument/2006/relationships/hyperlink" Target="https://statiz.sporki.com/add/?m=draft_school01&amp;ps_school=50602" TargetMode="External"/><Relationship Id="rId11032" Type="http://schemas.openxmlformats.org/officeDocument/2006/relationships/hyperlink" Target="https://statiz.sporki.com/player/?m=playerinfo&amp;p_no=1534" TargetMode="External"/><Relationship Id="rId4661" Type="http://schemas.openxmlformats.org/officeDocument/2006/relationships/hyperlink" Target="https://statiz.sporki.com/add/?m=draft_school01&amp;ps_school=50301" TargetMode="External"/><Relationship Id="rId14255" Type="http://schemas.openxmlformats.org/officeDocument/2006/relationships/hyperlink" Target="https://statiz.sporki.com/player/?m=playerinfo&amp;p_no=10110" TargetMode="External"/><Relationship Id="rId16704" Type="http://schemas.openxmlformats.org/officeDocument/2006/relationships/hyperlink" Target="https://statiz.sporki.com/add/?m=draft_school01&amp;ps_school=51120" TargetMode="External"/><Relationship Id="rId4314" Type="http://schemas.openxmlformats.org/officeDocument/2006/relationships/hyperlink" Target="https://statiz.sporki.com/add/?m=draft_school02&amp;ps_school=" TargetMode="External"/><Relationship Id="rId184" Type="http://schemas.openxmlformats.org/officeDocument/2006/relationships/hyperlink" Target="https://statiz.sporki.com/player/?m=playerinfo&amp;p_no=15437" TargetMode="External"/><Relationship Id="rId7884" Type="http://schemas.openxmlformats.org/officeDocument/2006/relationships/hyperlink" Target="https://statiz.sporki.com/add/?m=draft_school02&amp;ps_school=60203" TargetMode="External"/><Relationship Id="rId10865" Type="http://schemas.openxmlformats.org/officeDocument/2006/relationships/hyperlink" Target="https://statiz.sporki.com/add/?m=draft_school01&amp;ps_school=50602" TargetMode="External"/><Relationship Id="rId17478" Type="http://schemas.openxmlformats.org/officeDocument/2006/relationships/hyperlink" Target="https://statiz.sporki.com/add/?m=draft_school01&amp;ps_school=50705" TargetMode="External"/><Relationship Id="rId5088" Type="http://schemas.openxmlformats.org/officeDocument/2006/relationships/hyperlink" Target="https://statiz.sporki.com/add/?m=draft_school02&amp;ps_school=60204" TargetMode="External"/><Relationship Id="rId7537" Type="http://schemas.openxmlformats.org/officeDocument/2006/relationships/hyperlink" Target="https://statiz.sporki.com/player/?m=playerinfo&amp;p_no=2238" TargetMode="External"/><Relationship Id="rId10518" Type="http://schemas.openxmlformats.org/officeDocument/2006/relationships/hyperlink" Target="https://statiz.sporki.com/add/?m=draft_school02&amp;ps_school=" TargetMode="External"/><Relationship Id="rId16561" Type="http://schemas.openxmlformats.org/officeDocument/2006/relationships/hyperlink" Target="https://statiz.sporki.com/add/?m=draft_school01&amp;ps_school=50801" TargetMode="External"/><Relationship Id="rId1698" Type="http://schemas.openxmlformats.org/officeDocument/2006/relationships/hyperlink" Target="https://statiz.sporki.com/add/?m=draft_school02&amp;ps_school=" TargetMode="External"/><Relationship Id="rId6620" Type="http://schemas.openxmlformats.org/officeDocument/2006/relationships/hyperlink" Target="https://statiz.sporki.com/add/?m=draft_school01&amp;ps_school=50604" TargetMode="External"/><Relationship Id="rId16214" Type="http://schemas.openxmlformats.org/officeDocument/2006/relationships/hyperlink" Target="https://statiz.sporki.com/add/?m=draft_school01&amp;ps_school=50802" TargetMode="External"/><Relationship Id="rId4171" Type="http://schemas.openxmlformats.org/officeDocument/2006/relationships/hyperlink" Target="https://statiz.sporki.com/player/?m=playerinfo&amp;p_no=11261" TargetMode="External"/><Relationship Id="rId57" Type="http://schemas.openxmlformats.org/officeDocument/2006/relationships/hyperlink" Target="https://statiz.sporki.com/add/?m=draft_school02&amp;ps_school=60103" TargetMode="External"/><Relationship Id="rId7394" Type="http://schemas.openxmlformats.org/officeDocument/2006/relationships/hyperlink" Target="https://statiz.sporki.com/add/?m=draft_school01&amp;ps_school=50303" TargetMode="External"/><Relationship Id="rId9843" Type="http://schemas.openxmlformats.org/officeDocument/2006/relationships/hyperlink" Target="https://statiz.sporki.com/add/?m=draft_school02&amp;ps_school=60203" TargetMode="External"/><Relationship Id="rId12824" Type="http://schemas.openxmlformats.org/officeDocument/2006/relationships/hyperlink" Target="https://statiz.sporki.com/player/?m=playerinfo&amp;p_no=14165" TargetMode="External"/><Relationship Id="rId19437" Type="http://schemas.openxmlformats.org/officeDocument/2006/relationships/hyperlink" Target="https://statiz.sporki.com/add/?m=draft_school01&amp;ps_school=50711" TargetMode="External"/><Relationship Id="rId7047" Type="http://schemas.openxmlformats.org/officeDocument/2006/relationships/hyperlink" Target="https://statiz.sporki.com/add/?m=draft_school02&amp;ps_school=60803" TargetMode="External"/><Relationship Id="rId10375" Type="http://schemas.openxmlformats.org/officeDocument/2006/relationships/hyperlink" Target="https://statiz.sporki.com/player/?m=playerinfo&amp;p_no=1545" TargetMode="External"/><Relationship Id="rId10028" Type="http://schemas.openxmlformats.org/officeDocument/2006/relationships/hyperlink" Target="https://statiz.sporki.com/add/?m=draft_school01&amp;ps_school=50604" TargetMode="External"/><Relationship Id="rId13598" Type="http://schemas.openxmlformats.org/officeDocument/2006/relationships/hyperlink" Target="https://statiz.sporki.com/player/?m=playerinfo&amp;p_no=11194" TargetMode="External"/><Relationship Id="rId18520" Type="http://schemas.openxmlformats.org/officeDocument/2006/relationships/hyperlink" Target="https://statiz.sporki.com/add/?m=draft_school01&amp;ps_school=50802" TargetMode="External"/><Relationship Id="rId3657" Type="http://schemas.openxmlformats.org/officeDocument/2006/relationships/hyperlink" Target="https://statiz.sporki.com/add/?m=draft_school02&amp;ps_school=" TargetMode="External"/><Relationship Id="rId16071" Type="http://schemas.openxmlformats.org/officeDocument/2006/relationships/hyperlink" Target="https://statiz.sporki.com/player/?m=playerinfo&amp;p_no=1007" TargetMode="External"/><Relationship Id="rId6130" Type="http://schemas.openxmlformats.org/officeDocument/2006/relationships/hyperlink" Target="https://statiz.sporki.com/player/?m=playerinfo&amp;p_no=10214" TargetMode="External"/><Relationship Id="rId12681" Type="http://schemas.openxmlformats.org/officeDocument/2006/relationships/hyperlink" Target="https://statiz.sporki.com/player/?m=playerinfo&amp;p_no=14715" TargetMode="External"/><Relationship Id="rId19294" Type="http://schemas.openxmlformats.org/officeDocument/2006/relationships/hyperlink" Target="https://statiz.sporki.com/add/?m=draft_school01&amp;ps_school=50602" TargetMode="External"/><Relationship Id="rId2740" Type="http://schemas.openxmlformats.org/officeDocument/2006/relationships/hyperlink" Target="https://statiz.sporki.com/player/?m=playerinfo&amp;p_no=12914" TargetMode="External"/><Relationship Id="rId9353" Type="http://schemas.openxmlformats.org/officeDocument/2006/relationships/hyperlink" Target="https://statiz.sporki.com/add/?m=draft_school01&amp;ps_school=50814" TargetMode="External"/><Relationship Id="rId12334" Type="http://schemas.openxmlformats.org/officeDocument/2006/relationships/hyperlink" Target="https://statiz.sporki.com/player/?m=playerinfo&amp;p_no=15102" TargetMode="External"/><Relationship Id="rId712" Type="http://schemas.openxmlformats.org/officeDocument/2006/relationships/hyperlink" Target="https://statiz.sporki.com/player/?m=playerinfo&amp;p_no=15019" TargetMode="External"/><Relationship Id="rId9006" Type="http://schemas.openxmlformats.org/officeDocument/2006/relationships/hyperlink" Target="https://statiz.sporki.com/add/?m=draft_school02&amp;ps_school=" TargetMode="External"/><Relationship Id="rId5963" Type="http://schemas.openxmlformats.org/officeDocument/2006/relationships/hyperlink" Target="https://statiz.sporki.com/add/?m=draft_school01&amp;ps_school=" TargetMode="External"/><Relationship Id="rId15557" Type="http://schemas.openxmlformats.org/officeDocument/2006/relationships/hyperlink" Target="https://statiz.sporki.com/player/?m=playerinfo&amp;p_no=1704" TargetMode="External"/><Relationship Id="rId3167" Type="http://schemas.openxmlformats.org/officeDocument/2006/relationships/hyperlink" Target="https://statiz.sporki.com/add/?m=draft_school01&amp;ps_school=50109" TargetMode="External"/><Relationship Id="rId5616" Type="http://schemas.openxmlformats.org/officeDocument/2006/relationships/hyperlink" Target="https://statiz.sporki.com/add/?m=draft_school02&amp;ps_school=60103" TargetMode="External"/><Relationship Id="rId18030" Type="http://schemas.openxmlformats.org/officeDocument/2006/relationships/hyperlink" Target="https://statiz.sporki.com/add/?m=draft_school01&amp;ps_school=50103" TargetMode="External"/><Relationship Id="rId8839" Type="http://schemas.openxmlformats.org/officeDocument/2006/relationships/hyperlink" Target="https://statiz.sporki.com/player/?m=playerinfo&amp;p_no=1957" TargetMode="External"/><Relationship Id="rId14640" Type="http://schemas.openxmlformats.org/officeDocument/2006/relationships/hyperlink" Target="https://statiz.sporki.com/player/?m=playerinfo&amp;p_no=2253" TargetMode="External"/><Relationship Id="rId12191" Type="http://schemas.openxmlformats.org/officeDocument/2006/relationships/hyperlink" Target="https://statiz.sporki.com/player/?m=playerinfo&amp;p_no=15489" TargetMode="External"/><Relationship Id="rId2250" Type="http://schemas.openxmlformats.org/officeDocument/2006/relationships/hyperlink" Target="https://statiz.sporki.com/add/?m=draft_school02&amp;ps_school=" TargetMode="External"/><Relationship Id="rId17863" Type="http://schemas.openxmlformats.org/officeDocument/2006/relationships/hyperlink" Target="https://statiz.sporki.com/add/?m=draft_school01&amp;ps_school=50102" TargetMode="External"/><Relationship Id="rId222" Type="http://schemas.openxmlformats.org/officeDocument/2006/relationships/hyperlink" Target="https://statiz.sporki.com/add/?m=draft_school02&amp;ps_school=" TargetMode="External"/><Relationship Id="rId5473" Type="http://schemas.openxmlformats.org/officeDocument/2006/relationships/hyperlink" Target="https://statiz.sporki.com/player/?m=playerinfo&amp;p_no=10056" TargetMode="External"/><Relationship Id="rId7922" Type="http://schemas.openxmlformats.org/officeDocument/2006/relationships/hyperlink" Target="https://statiz.sporki.com/add/?m=draft_school01&amp;ps_school=50104" TargetMode="External"/><Relationship Id="rId10903" Type="http://schemas.openxmlformats.org/officeDocument/2006/relationships/hyperlink" Target="https://statiz.sporki.com/player/?m=playerinfo&amp;p_no=1390" TargetMode="External"/><Relationship Id="rId15067" Type="http://schemas.openxmlformats.org/officeDocument/2006/relationships/hyperlink" Target="https://statiz.sporki.com/player/?m=playerinfo&amp;p_no=2107" TargetMode="External"/><Relationship Id="rId17516" Type="http://schemas.openxmlformats.org/officeDocument/2006/relationships/hyperlink" Target="https://statiz.sporki.com/add/?m=draft_school01&amp;ps_school=50112" TargetMode="External"/><Relationship Id="rId5126" Type="http://schemas.openxmlformats.org/officeDocument/2006/relationships/hyperlink" Target="https://statiz.sporki.com/add/?m=draft_school01&amp;ps_school=50802" TargetMode="External"/><Relationship Id="rId8349" Type="http://schemas.openxmlformats.org/officeDocument/2006/relationships/hyperlink" Target="https://statiz.sporki.com/add/?m=draft_school02&amp;ps_school=60104" TargetMode="External"/><Relationship Id="rId8696" Type="http://schemas.openxmlformats.org/officeDocument/2006/relationships/hyperlink" Target="https://statiz.sporki.com/add/?m=draft_school01&amp;ps_school=50110" TargetMode="External"/><Relationship Id="rId11677" Type="http://schemas.openxmlformats.org/officeDocument/2006/relationships/hyperlink" Target="https://statiz.sporki.com/player/?m=playerinfo&amp;p_no=1188" TargetMode="External"/><Relationship Id="rId1736" Type="http://schemas.openxmlformats.org/officeDocument/2006/relationships/hyperlink" Target="https://statiz.sporki.com/add/?m=draft_school01&amp;ps_school=" TargetMode="External"/><Relationship Id="rId14150" Type="http://schemas.openxmlformats.org/officeDocument/2006/relationships/hyperlink" Target="https://statiz.sporki.com/player/?m=playerinfo&amp;p_no=10229" TargetMode="External"/><Relationship Id="rId4959" Type="http://schemas.openxmlformats.org/officeDocument/2006/relationships/hyperlink" Target="https://statiz.sporki.com/add/?m=draft_school02&amp;ps_school=" TargetMode="External"/><Relationship Id="rId17373" Type="http://schemas.openxmlformats.org/officeDocument/2006/relationships/hyperlink" Target="https://statiz.sporki.com/add/?m=draft_school01&amp;ps_school=50802" TargetMode="External"/><Relationship Id="rId7432" Type="http://schemas.openxmlformats.org/officeDocument/2006/relationships/hyperlink" Target="https://statiz.sporki.com/player/?m=playerinfo&amp;p_no=10074" TargetMode="External"/><Relationship Id="rId10413" Type="http://schemas.openxmlformats.org/officeDocument/2006/relationships/hyperlink" Target="https://statiz.sporki.com/add/?m=draft_school02&amp;ps_school=" TargetMode="External"/><Relationship Id="rId10760" Type="http://schemas.openxmlformats.org/officeDocument/2006/relationships/hyperlink" Target="https://statiz.sporki.com/add/?m=draft_school01&amp;ps_school=50607" TargetMode="External"/><Relationship Id="rId17026" Type="http://schemas.openxmlformats.org/officeDocument/2006/relationships/hyperlink" Target="https://statiz.sporki.com/add/?m=draft_school01&amp;ps_school=50210" TargetMode="External"/><Relationship Id="rId13983" Type="http://schemas.openxmlformats.org/officeDocument/2006/relationships/hyperlink" Target="https://statiz.sporki.com/player/?m=playerinfo&amp;p_no=10629" TargetMode="External"/><Relationship Id="rId1593" Type="http://schemas.openxmlformats.org/officeDocument/2006/relationships/hyperlink" Target="https://statiz.sporki.com/add/?m=draft_school02&amp;ps_school=60603" TargetMode="External"/><Relationship Id="rId11187" Type="http://schemas.openxmlformats.org/officeDocument/2006/relationships/hyperlink" Target="https://statiz.sporki.com/add/?m=draft_school02&amp;ps_school=60103" TargetMode="External"/><Relationship Id="rId13636" Type="http://schemas.openxmlformats.org/officeDocument/2006/relationships/hyperlink" Target="https://statiz.sporki.com/player/?m=playerinfo&amp;p_no=12697" TargetMode="External"/><Relationship Id="rId1246" Type="http://schemas.openxmlformats.org/officeDocument/2006/relationships/hyperlink" Target="https://statiz.sporki.com/player/?m=playerinfo&amp;p_no=14867" TargetMode="External"/><Relationship Id="rId16859" Type="http://schemas.openxmlformats.org/officeDocument/2006/relationships/hyperlink" Target="https://statiz.sporki.com/add/?m=draft_school01&amp;ps_school=50208" TargetMode="External"/><Relationship Id="rId6918" Type="http://schemas.openxmlformats.org/officeDocument/2006/relationships/hyperlink" Target="https://statiz.sporki.com/add/?m=draft_school02&amp;ps_school=" TargetMode="External"/><Relationship Id="rId19332" Type="http://schemas.openxmlformats.org/officeDocument/2006/relationships/hyperlink" Target="https://statiz.sporki.com/add/?m=draft_school01&amp;ps_school=50403" TargetMode="External"/><Relationship Id="rId4469" Type="http://schemas.openxmlformats.org/officeDocument/2006/relationships/hyperlink" Target="https://statiz.sporki.com/add/?m=draft_school01&amp;ps_school=50402" TargetMode="External"/><Relationship Id="rId10270" Type="http://schemas.openxmlformats.org/officeDocument/2006/relationships/hyperlink" Target="https://statiz.sporki.com/player/?m=playerinfo&amp;p_no=1735" TargetMode="External"/><Relationship Id="rId13493" Type="http://schemas.openxmlformats.org/officeDocument/2006/relationships/hyperlink" Target="https://statiz.sporki.com/player/?m=playerinfo&amp;p_no=11330" TargetMode="External"/><Relationship Id="rId15942" Type="http://schemas.openxmlformats.org/officeDocument/2006/relationships/hyperlink" Target="https://statiz.sporki.com/player/?m=playerinfo&amp;p_no=1206" TargetMode="External"/><Relationship Id="rId3552" Type="http://schemas.openxmlformats.org/officeDocument/2006/relationships/hyperlink" Target="https://statiz.sporki.com/add/?m=draft_school02&amp;ps_school=60804" TargetMode="External"/><Relationship Id="rId13146" Type="http://schemas.openxmlformats.org/officeDocument/2006/relationships/hyperlink" Target="https://statiz.sporki.com/player/?m=playerinfo&amp;p_no=12896" TargetMode="External"/><Relationship Id="rId3205" Type="http://schemas.openxmlformats.org/officeDocument/2006/relationships/hyperlink" Target="https://statiz.sporki.com/player/?m=playerinfo&amp;p_no=12547" TargetMode="External"/><Relationship Id="rId18818" Type="http://schemas.openxmlformats.org/officeDocument/2006/relationships/hyperlink" Target="https://statiz.sporki.com/add/?m=draft_school01&amp;ps_school=50502" TargetMode="External"/><Relationship Id="rId6428" Type="http://schemas.openxmlformats.org/officeDocument/2006/relationships/hyperlink" Target="https://statiz.sporki.com/add/?m=draft_school01&amp;ps_school=50802" TargetMode="External"/><Relationship Id="rId6775" Type="http://schemas.openxmlformats.org/officeDocument/2006/relationships/hyperlink" Target="https://statiz.sporki.com/player/?m=playerinfo&amp;p_no=2400" TargetMode="External"/><Relationship Id="rId16369" Type="http://schemas.openxmlformats.org/officeDocument/2006/relationships/hyperlink" Target="https://statiz.sporki.com/add/?m=draft_school01&amp;ps_school=50217" TargetMode="External"/><Relationship Id="rId9998" Type="http://schemas.openxmlformats.org/officeDocument/2006/relationships/hyperlink" Target="https://statiz.sporki.com/add/?m=draft_school01&amp;ps_school=50103" TargetMode="External"/><Relationship Id="rId12979" Type="http://schemas.openxmlformats.org/officeDocument/2006/relationships/hyperlink" Target="https://statiz.sporki.com/player/?m=playerinfo&amp;p_no=13131" TargetMode="External"/><Relationship Id="rId17901" Type="http://schemas.openxmlformats.org/officeDocument/2006/relationships/hyperlink" Target="https://statiz.sporki.com/add/?m=draft_school01&amp;ps_school=50109" TargetMode="External"/><Relationship Id="rId15452" Type="http://schemas.openxmlformats.org/officeDocument/2006/relationships/hyperlink" Target="https://statiz.sporki.com/player/?m=playerinfo&amp;p_no=1668" TargetMode="External"/><Relationship Id="rId5511" Type="http://schemas.openxmlformats.org/officeDocument/2006/relationships/hyperlink" Target="https://statiz.sporki.com/add/?m=draft_school02&amp;ps_school=60501" TargetMode="External"/><Relationship Id="rId15105" Type="http://schemas.openxmlformats.org/officeDocument/2006/relationships/hyperlink" Target="https://statiz.sporki.com/player/?m=playerinfo&amp;p_no=10412" TargetMode="External"/><Relationship Id="rId18675" Type="http://schemas.openxmlformats.org/officeDocument/2006/relationships/hyperlink" Target="https://statiz.sporki.com/add/?m=draft_school01&amp;ps_school=50704" TargetMode="External"/><Relationship Id="rId3062" Type="http://schemas.openxmlformats.org/officeDocument/2006/relationships/hyperlink" Target="https://statiz.sporki.com/add/?m=draft_school01&amp;ps_school=" TargetMode="External"/><Relationship Id="rId8734" Type="http://schemas.openxmlformats.org/officeDocument/2006/relationships/hyperlink" Target="https://statiz.sporki.com/player/?m=playerinfo&amp;p_no=10504" TargetMode="External"/><Relationship Id="rId18328" Type="http://schemas.openxmlformats.org/officeDocument/2006/relationships/hyperlink" Target="https://statiz.sporki.com/add/?m=draft_school01&amp;ps_school=50101" TargetMode="External"/><Relationship Id="rId6285" Type="http://schemas.openxmlformats.org/officeDocument/2006/relationships/hyperlink" Target="https://statiz.sporki.com/add/?m=draft_school02&amp;ps_school=" TargetMode="External"/><Relationship Id="rId11715" Type="http://schemas.openxmlformats.org/officeDocument/2006/relationships/hyperlink" Target="https://statiz.sporki.com/add/?m=draft_school02&amp;ps_school=60101" TargetMode="External"/><Relationship Id="rId14938" Type="http://schemas.openxmlformats.org/officeDocument/2006/relationships/hyperlink" Target="https://statiz.sporki.com/player/?m=playerinfo&amp;p_no=2029" TargetMode="External"/><Relationship Id="rId2895" Type="http://schemas.openxmlformats.org/officeDocument/2006/relationships/hyperlink" Target="https://statiz.sporki.com/add/?m=draft_school02&amp;ps_school=" TargetMode="External"/><Relationship Id="rId12489" Type="http://schemas.openxmlformats.org/officeDocument/2006/relationships/hyperlink" Target="https://statiz.sporki.com/player/?m=playerinfo&amp;p_no=14812" TargetMode="External"/><Relationship Id="rId17411" Type="http://schemas.openxmlformats.org/officeDocument/2006/relationships/hyperlink" Target="https://statiz.sporki.com/add/?m=draft_school01&amp;ps_school=50109" TargetMode="External"/><Relationship Id="rId867" Type="http://schemas.openxmlformats.org/officeDocument/2006/relationships/hyperlink" Target="https://statiz.sporki.com/add/?m=draft_school02&amp;ps_school=" TargetMode="External"/><Relationship Id="rId2548" Type="http://schemas.openxmlformats.org/officeDocument/2006/relationships/hyperlink" Target="https://statiz.sporki.com/player/?m=playerinfo&amp;p_no=13077" TargetMode="External"/><Relationship Id="rId5021" Type="http://schemas.openxmlformats.org/officeDocument/2006/relationships/hyperlink" Target="https://statiz.sporki.com/add/?m=draft_school01&amp;ps_school=50805" TargetMode="External"/><Relationship Id="rId8591" Type="http://schemas.openxmlformats.org/officeDocument/2006/relationships/hyperlink" Target="https://statiz.sporki.com/add/?m=draft_school01&amp;ps_school=50103" TargetMode="External"/><Relationship Id="rId11572" Type="http://schemas.openxmlformats.org/officeDocument/2006/relationships/hyperlink" Target="https://statiz.sporki.com/player/?m=playerinfo&amp;p_no=1144" TargetMode="External"/><Relationship Id="rId18185" Type="http://schemas.openxmlformats.org/officeDocument/2006/relationships/hyperlink" Target="https://statiz.sporki.com/add/?m=draft_school01&amp;ps_school=50401" TargetMode="External"/><Relationship Id="rId1631" Type="http://schemas.openxmlformats.org/officeDocument/2006/relationships/hyperlink" Target="https://statiz.sporki.com/add/?m=draft_school01&amp;ps_school=50801" TargetMode="External"/><Relationship Id="rId8244" Type="http://schemas.openxmlformats.org/officeDocument/2006/relationships/hyperlink" Target="https://statiz.sporki.com/add/?m=draft_school02&amp;ps_school=" TargetMode="External"/><Relationship Id="rId11225" Type="http://schemas.openxmlformats.org/officeDocument/2006/relationships/hyperlink" Target="https://statiz.sporki.com/add/?m=draft_school01&amp;ps_school=50114" TargetMode="External"/><Relationship Id="rId14795" Type="http://schemas.openxmlformats.org/officeDocument/2006/relationships/hyperlink" Target="https://statiz.sporki.com/player/?m=playerinfo&amp;p_no=2115" TargetMode="External"/><Relationship Id="rId4854" Type="http://schemas.openxmlformats.org/officeDocument/2006/relationships/hyperlink" Target="https://statiz.sporki.com/add/?m=draft_school02&amp;ps_school=" TargetMode="External"/><Relationship Id="rId14448" Type="http://schemas.openxmlformats.org/officeDocument/2006/relationships/hyperlink" Target="https://statiz.sporki.com/player/?m=playerinfo&amp;p_no=10299" TargetMode="External"/><Relationship Id="rId377" Type="http://schemas.openxmlformats.org/officeDocument/2006/relationships/hyperlink" Target="https://statiz.sporki.com/add/?m=draft_school01&amp;ps_school=" TargetMode="External"/><Relationship Id="rId2058" Type="http://schemas.openxmlformats.org/officeDocument/2006/relationships/hyperlink" Target="https://statiz.sporki.com/add/?m=draft_school02&amp;ps_school=" TargetMode="External"/><Relationship Id="rId4507" Type="http://schemas.openxmlformats.org/officeDocument/2006/relationships/hyperlink" Target="https://statiz.sporki.com/player/?m=playerinfo&amp;p_no=11118" TargetMode="External"/><Relationship Id="rId13531" Type="http://schemas.openxmlformats.org/officeDocument/2006/relationships/hyperlink" Target="https://statiz.sporki.com/player/?m=playerinfo&amp;p_no=11503" TargetMode="External"/><Relationship Id="rId11082" Type="http://schemas.openxmlformats.org/officeDocument/2006/relationships/hyperlink" Target="https://statiz.sporki.com/add/?m=draft_school02&amp;ps_school=60103" TargetMode="External"/><Relationship Id="rId16754" Type="http://schemas.openxmlformats.org/officeDocument/2006/relationships/hyperlink" Target="https://statiz.sporki.com/add/?m=draft_school01&amp;ps_school=50108" TargetMode="External"/><Relationship Id="rId1141" Type="http://schemas.openxmlformats.org/officeDocument/2006/relationships/hyperlink" Target="https://statiz.sporki.com/player/?m=playerinfo&amp;p_no=14843" TargetMode="External"/><Relationship Id="rId6813" Type="http://schemas.openxmlformats.org/officeDocument/2006/relationships/hyperlink" Target="https://statiz.sporki.com/add/?m=draft_school02&amp;ps_school=60804" TargetMode="External"/><Relationship Id="rId16407" Type="http://schemas.openxmlformats.org/officeDocument/2006/relationships/hyperlink" Target="https://statiz.sporki.com/add/?m=draft_school01&amp;ps_school=50901" TargetMode="External"/><Relationship Id="rId4364" Type="http://schemas.openxmlformats.org/officeDocument/2006/relationships/hyperlink" Target="https://statiz.sporki.com/add/?m=draft_school01&amp;ps_school=" TargetMode="External"/><Relationship Id="rId4017" Type="http://schemas.openxmlformats.org/officeDocument/2006/relationships/hyperlink" Target="https://statiz.sporki.com/add/?m=draft_school02&amp;ps_school=" TargetMode="External"/><Relationship Id="rId7587" Type="http://schemas.openxmlformats.org/officeDocument/2006/relationships/hyperlink" Target="https://statiz.sporki.com/add/?m=draft_school02&amp;ps_school=" TargetMode="External"/><Relationship Id="rId10568" Type="http://schemas.openxmlformats.org/officeDocument/2006/relationships/hyperlink" Target="https://statiz.sporki.com/add/?m=draft_school01&amp;ps_school=50711" TargetMode="External"/><Relationship Id="rId13041" Type="http://schemas.openxmlformats.org/officeDocument/2006/relationships/hyperlink" Target="https://statiz.sporki.com/player/?m=playerinfo&amp;p_no=13192" TargetMode="External"/><Relationship Id="rId18713" Type="http://schemas.openxmlformats.org/officeDocument/2006/relationships/hyperlink" Target="https://statiz.sporki.com/add/?m=draft_school01&amp;ps_school=50110" TargetMode="External"/><Relationship Id="rId3100" Type="http://schemas.openxmlformats.org/officeDocument/2006/relationships/hyperlink" Target="https://statiz.sporki.com/player/?m=playerinfo&amp;p_no=12956" TargetMode="External"/><Relationship Id="rId6670" Type="http://schemas.openxmlformats.org/officeDocument/2006/relationships/hyperlink" Target="https://statiz.sporki.com/player/?m=playerinfo&amp;p_no=10656" TargetMode="External"/><Relationship Id="rId16264" Type="http://schemas.openxmlformats.org/officeDocument/2006/relationships/hyperlink" Target="https://statiz.sporki.com/add/?m=draft_school01&amp;ps_school=50215" TargetMode="External"/><Relationship Id="rId6323" Type="http://schemas.openxmlformats.org/officeDocument/2006/relationships/hyperlink" Target="https://statiz.sporki.com/add/?m=draft_school01&amp;ps_school=50204" TargetMode="External"/><Relationship Id="rId9893" Type="http://schemas.openxmlformats.org/officeDocument/2006/relationships/hyperlink" Target="https://statiz.sporki.com/add/?m=draft_school01&amp;ps_school=50113" TargetMode="External"/><Relationship Id="rId19487" Type="http://schemas.openxmlformats.org/officeDocument/2006/relationships/hyperlink" Target="https://statiz.sporki.com/add/?m=draft_school01&amp;ps_school=50121" TargetMode="External"/><Relationship Id="rId9546" Type="http://schemas.openxmlformats.org/officeDocument/2006/relationships/hyperlink" Target="https://statiz.sporki.com/add/?m=draft_school02&amp;ps_school=60101" TargetMode="External"/><Relationship Id="rId12874" Type="http://schemas.openxmlformats.org/officeDocument/2006/relationships/hyperlink" Target="https://statiz.sporki.com/player/?m=playerinfo&amp;p_no=13932" TargetMode="External"/><Relationship Id="rId2933" Type="http://schemas.openxmlformats.org/officeDocument/2006/relationships/hyperlink" Target="https://statiz.sporki.com/add/?m=draft_school01&amp;ps_school=50110" TargetMode="External"/><Relationship Id="rId7097" Type="http://schemas.openxmlformats.org/officeDocument/2006/relationships/hyperlink" Target="https://statiz.sporki.com/add/?m=draft_school01&amp;ps_school=50604" TargetMode="External"/><Relationship Id="rId10078" Type="http://schemas.openxmlformats.org/officeDocument/2006/relationships/hyperlink" Target="https://statiz.sporki.com/player/?m=playerinfo&amp;p_no=1562" TargetMode="External"/><Relationship Id="rId12527" Type="http://schemas.openxmlformats.org/officeDocument/2006/relationships/hyperlink" Target="https://statiz.sporki.com/player/?m=playerinfo&amp;p_no=14864" TargetMode="External"/><Relationship Id="rId15000" Type="http://schemas.openxmlformats.org/officeDocument/2006/relationships/hyperlink" Target="https://statiz.sporki.com/player/?m=playerinfo&amp;p_no=1983" TargetMode="External"/><Relationship Id="rId905" Type="http://schemas.openxmlformats.org/officeDocument/2006/relationships/hyperlink" Target="https://statiz.sporki.com/add/?m=draft_school01&amp;ps_school=50802" TargetMode="External"/><Relationship Id="rId18570" Type="http://schemas.openxmlformats.org/officeDocument/2006/relationships/hyperlink" Target="https://statiz.sporki.com/add/?m=draft_school01&amp;ps_school=50711" TargetMode="External"/><Relationship Id="rId5809" Type="http://schemas.openxmlformats.org/officeDocument/2006/relationships/hyperlink" Target="https://statiz.sporki.com/player/?m=playerinfo&amp;p_no=10305" TargetMode="External"/><Relationship Id="rId6180" Type="http://schemas.openxmlformats.org/officeDocument/2006/relationships/hyperlink" Target="https://statiz.sporki.com/add/?m=draft_school02&amp;ps_school=" TargetMode="External"/><Relationship Id="rId11610" Type="http://schemas.openxmlformats.org/officeDocument/2006/relationships/hyperlink" Target="https://statiz.sporki.com/add/?m=draft_school02&amp;ps_school=60111" TargetMode="External"/><Relationship Id="rId18223" Type="http://schemas.openxmlformats.org/officeDocument/2006/relationships/hyperlink" Target="https://statiz.sporki.com/add/?m=draft_school01&amp;ps_school=50116" TargetMode="External"/><Relationship Id="rId14833" Type="http://schemas.openxmlformats.org/officeDocument/2006/relationships/hyperlink" Target="https://statiz.sporki.com/player/?m=playerinfo&amp;p_no=2092" TargetMode="External"/><Relationship Id="rId2790" Type="http://schemas.openxmlformats.org/officeDocument/2006/relationships/hyperlink" Target="https://statiz.sporki.com/add/?m=draft_school02&amp;ps_school=" TargetMode="External"/><Relationship Id="rId12384" Type="http://schemas.openxmlformats.org/officeDocument/2006/relationships/hyperlink" Target="https://statiz.sporki.com/player/?m=playerinfo&amp;p_no=15031" TargetMode="External"/><Relationship Id="rId762" Type="http://schemas.openxmlformats.org/officeDocument/2006/relationships/hyperlink" Target="https://statiz.sporki.com/add/?m=draft_school02&amp;ps_school=" TargetMode="External"/><Relationship Id="rId2443" Type="http://schemas.openxmlformats.org/officeDocument/2006/relationships/hyperlink" Target="https://statiz.sporki.com/player/?m=playerinfo&amp;p_no=13172" TargetMode="External"/><Relationship Id="rId9056" Type="http://schemas.openxmlformats.org/officeDocument/2006/relationships/hyperlink" Target="https://statiz.sporki.com/add/?m=draft_school01&amp;ps_school=50803" TargetMode="External"/><Relationship Id="rId12037" Type="http://schemas.openxmlformats.org/officeDocument/2006/relationships/hyperlink" Target="https://statiz.sporki.com/player/?m=playerinfo&amp;p_no=1025" TargetMode="External"/><Relationship Id="rId415" Type="http://schemas.openxmlformats.org/officeDocument/2006/relationships/hyperlink" Target="https://statiz.sporki.com/player/?m=playerinfo&amp;p_no=15617" TargetMode="External"/><Relationship Id="rId5666" Type="http://schemas.openxmlformats.org/officeDocument/2006/relationships/hyperlink" Target="https://statiz.sporki.com/add/?m=draft_school01&amp;ps_school=" TargetMode="External"/><Relationship Id="rId17709" Type="http://schemas.openxmlformats.org/officeDocument/2006/relationships/hyperlink" Target="https://statiz.sporki.com/add/?m=draft_school01&amp;ps_school=50904" TargetMode="External"/><Relationship Id="rId18080" Type="http://schemas.openxmlformats.org/officeDocument/2006/relationships/hyperlink" Target="https://statiz.sporki.com/add/?m=draft_school01&amp;ps_school=50501" TargetMode="External"/><Relationship Id="rId5319" Type="http://schemas.openxmlformats.org/officeDocument/2006/relationships/hyperlink" Target="https://statiz.sporki.com/add/?m=draft_school02&amp;ps_school=60404" TargetMode="External"/><Relationship Id="rId8889" Type="http://schemas.openxmlformats.org/officeDocument/2006/relationships/hyperlink" Target="https://statiz.sporki.com/add/?m=draft_school02&amp;ps_school=60114" TargetMode="External"/><Relationship Id="rId11120" Type="http://schemas.openxmlformats.org/officeDocument/2006/relationships/hyperlink" Target="https://statiz.sporki.com/add/?m=draft_school01&amp;ps_school=50403" TargetMode="External"/><Relationship Id="rId14690" Type="http://schemas.openxmlformats.org/officeDocument/2006/relationships/hyperlink" Target="https://statiz.sporki.com/player/?m=playerinfo&amp;p_no=10438" TargetMode="External"/><Relationship Id="rId1929" Type="http://schemas.openxmlformats.org/officeDocument/2006/relationships/hyperlink" Target="https://statiz.sporki.com/add/?m=draft_school02&amp;ps_school=" TargetMode="External"/><Relationship Id="rId14343" Type="http://schemas.openxmlformats.org/officeDocument/2006/relationships/hyperlink" Target="https://statiz.sporki.com/player/?m=playerinfo&amp;p_no=10182" TargetMode="External"/><Relationship Id="rId4402" Type="http://schemas.openxmlformats.org/officeDocument/2006/relationships/hyperlink" Target="https://statiz.sporki.com/player/?m=playerinfo&amp;p_no=13275" TargetMode="External"/><Relationship Id="rId7972" Type="http://schemas.openxmlformats.org/officeDocument/2006/relationships/hyperlink" Target="https://statiz.sporki.com/player/?m=playerinfo&amp;p_no=2135" TargetMode="External"/><Relationship Id="rId17566" Type="http://schemas.openxmlformats.org/officeDocument/2006/relationships/hyperlink" Target="https://statiz.sporki.com/add/?m=draft_school01&amp;ps_school=50105" TargetMode="External"/><Relationship Id="rId272" Type="http://schemas.openxmlformats.org/officeDocument/2006/relationships/hyperlink" Target="https://statiz.sporki.com/add/?m=draft_school01&amp;ps_school=50210" TargetMode="External"/><Relationship Id="rId7625" Type="http://schemas.openxmlformats.org/officeDocument/2006/relationships/hyperlink" Target="https://statiz.sporki.com/add/?m=draft_school01&amp;ps_school=50601" TargetMode="External"/><Relationship Id="rId10953" Type="http://schemas.openxmlformats.org/officeDocument/2006/relationships/hyperlink" Target="https://statiz.sporki.com/add/?m=draft_school02&amp;ps_school=" TargetMode="External"/><Relationship Id="rId17219" Type="http://schemas.openxmlformats.org/officeDocument/2006/relationships/hyperlink" Target="https://statiz.sporki.com/add/?m=draft_school01&amp;ps_school=50403" TargetMode="External"/><Relationship Id="rId5176" Type="http://schemas.openxmlformats.org/officeDocument/2006/relationships/hyperlink" Target="https://statiz.sporki.com/player/?m=playerinfo&amp;p_no=10696" TargetMode="External"/><Relationship Id="rId10606" Type="http://schemas.openxmlformats.org/officeDocument/2006/relationships/hyperlink" Target="https://statiz.sporki.com/player/?m=playerinfo&amp;p_no=1435" TargetMode="External"/><Relationship Id="rId8399" Type="http://schemas.openxmlformats.org/officeDocument/2006/relationships/hyperlink" Target="https://statiz.sporki.com/add/?m=draft_school01&amp;ps_school=50102" TargetMode="External"/><Relationship Id="rId13829" Type="http://schemas.openxmlformats.org/officeDocument/2006/relationships/hyperlink" Target="https://statiz.sporki.com/player/?m=playerinfo&amp;p_no=10880" TargetMode="External"/><Relationship Id="rId1786" Type="http://schemas.openxmlformats.org/officeDocument/2006/relationships/hyperlink" Target="https://statiz.sporki.com/player/?m=playerinfo&amp;p_no=14719" TargetMode="External"/><Relationship Id="rId16302" Type="http://schemas.openxmlformats.org/officeDocument/2006/relationships/hyperlink" Target="https://statiz.sporki.com/add/?m=draft_school01&amp;ps_school=50802" TargetMode="External"/><Relationship Id="rId1439" Type="http://schemas.openxmlformats.org/officeDocument/2006/relationships/hyperlink" Target="https://statiz.sporki.com/add/?m=draft_school01&amp;ps_school=50810" TargetMode="External"/><Relationship Id="rId9931" Type="http://schemas.openxmlformats.org/officeDocument/2006/relationships/hyperlink" Target="https://statiz.sporki.com/player/?m=playerinfo&amp;p_no=1668" TargetMode="External"/><Relationship Id="rId12912" Type="http://schemas.openxmlformats.org/officeDocument/2006/relationships/hyperlink" Target="https://statiz.sporki.com/player/?m=playerinfo&amp;p_no=13145" TargetMode="External"/><Relationship Id="rId19525" Type="http://schemas.openxmlformats.org/officeDocument/2006/relationships/hyperlink" Target="https://statiz.sporki.com/add/?m=draft_school01&amp;ps_school=50701" TargetMode="External"/><Relationship Id="rId7482" Type="http://schemas.openxmlformats.org/officeDocument/2006/relationships/hyperlink" Target="https://statiz.sporki.com/add/?m=draft_school02&amp;ps_school=" TargetMode="External"/><Relationship Id="rId10463" Type="http://schemas.openxmlformats.org/officeDocument/2006/relationships/hyperlink" Target="https://statiz.sporki.com/add/?m=draft_school01&amp;ps_school=50805" TargetMode="External"/><Relationship Id="rId17076" Type="http://schemas.openxmlformats.org/officeDocument/2006/relationships/hyperlink" Target="https://statiz.sporki.com/add/?m=draft_school01&amp;ps_school=50604" TargetMode="External"/><Relationship Id="rId7135" Type="http://schemas.openxmlformats.org/officeDocument/2006/relationships/hyperlink" Target="https://statiz.sporki.com/player/?m=playerinfo&amp;p_no=10152" TargetMode="External"/><Relationship Id="rId10116" Type="http://schemas.openxmlformats.org/officeDocument/2006/relationships/hyperlink" Target="https://statiz.sporki.com/add/?m=draft_school02&amp;ps_school=60109" TargetMode="External"/><Relationship Id="rId13686" Type="http://schemas.openxmlformats.org/officeDocument/2006/relationships/hyperlink" Target="https://statiz.sporki.com/player/?m=playerinfo&amp;p_no=13238" TargetMode="External"/><Relationship Id="rId3745" Type="http://schemas.openxmlformats.org/officeDocument/2006/relationships/hyperlink" Target="https://statiz.sporki.com/player/?m=playerinfo&amp;p_no=11349" TargetMode="External"/><Relationship Id="rId13339" Type="http://schemas.openxmlformats.org/officeDocument/2006/relationships/hyperlink" Target="https://statiz.sporki.com/player/?m=playerinfo&amp;p_no=12988" TargetMode="External"/><Relationship Id="rId1296" Type="http://schemas.openxmlformats.org/officeDocument/2006/relationships/hyperlink" Target="https://statiz.sporki.com/add/?m=draft_school02&amp;ps_school=61109" TargetMode="External"/><Relationship Id="rId6968" Type="http://schemas.openxmlformats.org/officeDocument/2006/relationships/hyperlink" Target="https://statiz.sporki.com/add/?m=draft_school01&amp;ps_school=50805" TargetMode="External"/><Relationship Id="rId19382" Type="http://schemas.openxmlformats.org/officeDocument/2006/relationships/hyperlink" Target="https://statiz.sporki.com/add/?m=draft_school01&amp;ps_school=50703" TargetMode="External"/><Relationship Id="rId9441" Type="http://schemas.openxmlformats.org/officeDocument/2006/relationships/hyperlink" Target="https://statiz.sporki.com/add/?m=draft_school02&amp;ps_school=" TargetMode="External"/><Relationship Id="rId12422" Type="http://schemas.openxmlformats.org/officeDocument/2006/relationships/hyperlink" Target="https://statiz.sporki.com/player/?m=playerinfo&amp;p_no=15006" TargetMode="External"/><Relationship Id="rId15992" Type="http://schemas.openxmlformats.org/officeDocument/2006/relationships/hyperlink" Target="https://statiz.sporki.com/player/?m=playerinfo&amp;p_no=1165" TargetMode="External"/><Relationship Id="rId19035" Type="http://schemas.openxmlformats.org/officeDocument/2006/relationships/hyperlink" Target="https://statiz.sporki.com/add/?m=draft_school01&amp;ps_school=50501" TargetMode="External"/><Relationship Id="rId800" Type="http://schemas.openxmlformats.org/officeDocument/2006/relationships/hyperlink" Target="https://statiz.sporki.com/add/?m=draft_school01&amp;ps_school=50501" TargetMode="External"/><Relationship Id="rId15645" Type="http://schemas.openxmlformats.org/officeDocument/2006/relationships/hyperlink" Target="https://statiz.sporki.com/player/?m=playerinfo&amp;p_no=1550" TargetMode="External"/><Relationship Id="rId5704" Type="http://schemas.openxmlformats.org/officeDocument/2006/relationships/hyperlink" Target="https://statiz.sporki.com/player/?m=playerinfo&amp;p_no=11304" TargetMode="External"/><Relationship Id="rId13196" Type="http://schemas.openxmlformats.org/officeDocument/2006/relationships/hyperlink" Target="https://statiz.sporki.com/player/?m=playerinfo&amp;p_no=12567" TargetMode="External"/><Relationship Id="rId3255" Type="http://schemas.openxmlformats.org/officeDocument/2006/relationships/hyperlink" Target="https://statiz.sporki.com/add/?m=draft_school02&amp;ps_school=" TargetMode="External"/><Relationship Id="rId8927" Type="http://schemas.openxmlformats.org/officeDocument/2006/relationships/hyperlink" Target="https://statiz.sporki.com/add/?m=draft_school01&amp;ps_school=50209" TargetMode="External"/><Relationship Id="rId18868" Type="http://schemas.openxmlformats.org/officeDocument/2006/relationships/hyperlink" Target="https://statiz.sporki.com/add/?m=draft_school01&amp;ps_school=50702" TargetMode="External"/><Relationship Id="rId6478" Type="http://schemas.openxmlformats.org/officeDocument/2006/relationships/hyperlink" Target="https://statiz.sporki.com/player/?m=playerinfo&amp;p_no=10326" TargetMode="External"/><Relationship Id="rId11908" Type="http://schemas.openxmlformats.org/officeDocument/2006/relationships/hyperlink" Target="https://statiz.sporki.com/player/?m=playerinfo&amp;p_no=1095" TargetMode="External"/><Relationship Id="rId17951" Type="http://schemas.openxmlformats.org/officeDocument/2006/relationships/hyperlink" Target="https://statiz.sporki.com/add/?m=draft_school01&amp;ps_school=50601" TargetMode="External"/><Relationship Id="rId310" Type="http://schemas.openxmlformats.org/officeDocument/2006/relationships/hyperlink" Target="https://statiz.sporki.com/player/?m=playerinfo&amp;p_no=15483" TargetMode="External"/><Relationship Id="rId17604" Type="http://schemas.openxmlformats.org/officeDocument/2006/relationships/hyperlink" Target="https://statiz.sporki.com/add/?m=draft_school01&amp;ps_school=50107" TargetMode="External"/><Relationship Id="rId5561" Type="http://schemas.openxmlformats.org/officeDocument/2006/relationships/hyperlink" Target="https://statiz.sporki.com/add/?m=draft_school01&amp;ps_school=50802" TargetMode="External"/><Relationship Id="rId15155" Type="http://schemas.openxmlformats.org/officeDocument/2006/relationships/hyperlink" Target="https://statiz.sporki.com/player/?m=playerinfo&amp;p_no=1938" TargetMode="External"/><Relationship Id="rId5214" Type="http://schemas.openxmlformats.org/officeDocument/2006/relationships/hyperlink" Target="https://statiz.sporki.com/add/?m=draft_school02&amp;ps_school=60108" TargetMode="External"/><Relationship Id="rId8784" Type="http://schemas.openxmlformats.org/officeDocument/2006/relationships/hyperlink" Target="https://statiz.sporki.com/add/?m=draft_school02&amp;ps_school=60113" TargetMode="External"/><Relationship Id="rId11765" Type="http://schemas.openxmlformats.org/officeDocument/2006/relationships/hyperlink" Target="https://statiz.sporki.com/add/?m=draft_school01&amp;ps_school=50114" TargetMode="External"/><Relationship Id="rId18378" Type="http://schemas.openxmlformats.org/officeDocument/2006/relationships/hyperlink" Target="https://statiz.sporki.com/add/?m=draft_school01&amp;ps_school=50501" TargetMode="External"/><Relationship Id="rId1824" Type="http://schemas.openxmlformats.org/officeDocument/2006/relationships/hyperlink" Target="https://statiz.sporki.com/add/?m=draft_school02&amp;ps_school=61001" TargetMode="External"/><Relationship Id="rId8437" Type="http://schemas.openxmlformats.org/officeDocument/2006/relationships/hyperlink" Target="https://statiz.sporki.com/player/?m=playerinfo&amp;p_no=11446" TargetMode="External"/><Relationship Id="rId11418" Type="http://schemas.openxmlformats.org/officeDocument/2006/relationships/hyperlink" Target="https://statiz.sporki.com/add/?m=draft_school02&amp;ps_school=60103" TargetMode="External"/><Relationship Id="rId14988" Type="http://schemas.openxmlformats.org/officeDocument/2006/relationships/hyperlink" Target="https://statiz.sporki.com/player/?m=playerinfo&amp;p_no=2044" TargetMode="External"/><Relationship Id="rId2598" Type="http://schemas.openxmlformats.org/officeDocument/2006/relationships/hyperlink" Target="https://statiz.sporki.com/add/?m=draft_school02&amp;ps_school=60902" TargetMode="External"/><Relationship Id="rId17461" Type="http://schemas.openxmlformats.org/officeDocument/2006/relationships/hyperlink" Target="https://statiz.sporki.com/add/?m=draft_school01&amp;ps_school=50107" TargetMode="External"/><Relationship Id="rId5071" Type="http://schemas.openxmlformats.org/officeDocument/2006/relationships/hyperlink" Target="https://statiz.sporki.com/player/?m=playerinfo&amp;p_no=10822" TargetMode="External"/><Relationship Id="rId7520" Type="http://schemas.openxmlformats.org/officeDocument/2006/relationships/hyperlink" Target="https://statiz.sporki.com/add/?m=draft_school01&amp;ps_school=" TargetMode="External"/><Relationship Id="rId10501" Type="http://schemas.openxmlformats.org/officeDocument/2006/relationships/hyperlink" Target="https://statiz.sporki.com/player/?m=playerinfo&amp;p_no=1499" TargetMode="External"/><Relationship Id="rId17114" Type="http://schemas.openxmlformats.org/officeDocument/2006/relationships/hyperlink" Target="https://statiz.sporki.com/add/?m=draft_school01&amp;ps_school=50805" TargetMode="External"/><Relationship Id="rId13724" Type="http://schemas.openxmlformats.org/officeDocument/2006/relationships/hyperlink" Target="https://statiz.sporki.com/player/?m=playerinfo&amp;p_no=11417" TargetMode="External"/><Relationship Id="rId1681" Type="http://schemas.openxmlformats.org/officeDocument/2006/relationships/hyperlink" Target="https://statiz.sporki.com/player/?m=playerinfo&amp;p_no=14658" TargetMode="External"/><Relationship Id="rId8294" Type="http://schemas.openxmlformats.org/officeDocument/2006/relationships/hyperlink" Target="https://statiz.sporki.com/add/?m=draft_school01&amp;ps_school=50203" TargetMode="External"/><Relationship Id="rId11275" Type="http://schemas.openxmlformats.org/officeDocument/2006/relationships/hyperlink" Target="https://statiz.sporki.com/player/?m=playerinfo&amp;p_no=1247" TargetMode="External"/><Relationship Id="rId1334" Type="http://schemas.openxmlformats.org/officeDocument/2006/relationships/hyperlink" Target="https://statiz.sporki.com/add/?m=draft_school01&amp;ps_school=" TargetMode="External"/><Relationship Id="rId14498" Type="http://schemas.openxmlformats.org/officeDocument/2006/relationships/hyperlink" Target="https://statiz.sporki.com/player/?m=playerinfo&amp;p_no=2315" TargetMode="External"/><Relationship Id="rId16947" Type="http://schemas.openxmlformats.org/officeDocument/2006/relationships/hyperlink" Target="https://statiz.sporki.com/add/?m=draft_school01&amp;ps_school=50606" TargetMode="External"/><Relationship Id="rId19420" Type="http://schemas.openxmlformats.org/officeDocument/2006/relationships/hyperlink" Target="https://statiz.sporki.com/add/?m=draft_school01&amp;ps_school=50703" TargetMode="External"/><Relationship Id="rId40" Type="http://schemas.openxmlformats.org/officeDocument/2006/relationships/hyperlink" Target="https://statiz.sporki.com/player/?m=playerinfo&amp;p_no=15451" TargetMode="External"/><Relationship Id="rId4557" Type="http://schemas.openxmlformats.org/officeDocument/2006/relationships/hyperlink" Target="https://statiz.sporki.com/add/?m=draft_school02&amp;ps_school=60108" TargetMode="External"/><Relationship Id="rId7030" Type="http://schemas.openxmlformats.org/officeDocument/2006/relationships/hyperlink" Target="https://statiz.sporki.com/player/?m=playerinfo&amp;p_no=11166" TargetMode="External"/><Relationship Id="rId10011" Type="http://schemas.openxmlformats.org/officeDocument/2006/relationships/hyperlink" Target="https://statiz.sporki.com/add/?m=draft_school02&amp;ps_school=60802" TargetMode="External"/><Relationship Id="rId13581" Type="http://schemas.openxmlformats.org/officeDocument/2006/relationships/hyperlink" Target="https://statiz.sporki.com/player/?m=playerinfo&amp;p_no=12647" TargetMode="External"/><Relationship Id="rId1191" Type="http://schemas.openxmlformats.org/officeDocument/2006/relationships/hyperlink" Target="https://statiz.sporki.com/add/?m=draft_school02&amp;ps_school=" TargetMode="External"/><Relationship Id="rId3640" Type="http://schemas.openxmlformats.org/officeDocument/2006/relationships/hyperlink" Target="https://statiz.sporki.com/player/?m=playerinfo&amp;p_no=11306" TargetMode="External"/><Relationship Id="rId13234" Type="http://schemas.openxmlformats.org/officeDocument/2006/relationships/hyperlink" Target="https://statiz.sporki.com/player/?m=playerinfo&amp;p_no=12525" TargetMode="External"/><Relationship Id="rId18906" Type="http://schemas.openxmlformats.org/officeDocument/2006/relationships/hyperlink" Target="https://statiz.sporki.com/add/?m=draft_school01&amp;ps_school=50901" TargetMode="External"/><Relationship Id="rId6863" Type="http://schemas.openxmlformats.org/officeDocument/2006/relationships/hyperlink" Target="https://statiz.sporki.com/add/?m=draft_school01&amp;ps_school=" TargetMode="External"/><Relationship Id="rId16457" Type="http://schemas.openxmlformats.org/officeDocument/2006/relationships/hyperlink" Target="https://statiz.sporki.com/add/?m=draft_school01&amp;ps_school=50810" TargetMode="External"/><Relationship Id="rId6516" Type="http://schemas.openxmlformats.org/officeDocument/2006/relationships/hyperlink" Target="https://statiz.sporki.com/add/?m=draft_school02&amp;ps_school=60401" TargetMode="External"/><Relationship Id="rId4067" Type="http://schemas.openxmlformats.org/officeDocument/2006/relationships/hyperlink" Target="https://statiz.sporki.com/add/?m=draft_school01&amp;ps_school=50107" TargetMode="External"/><Relationship Id="rId9739" Type="http://schemas.openxmlformats.org/officeDocument/2006/relationships/hyperlink" Target="https://statiz.sporki.com/player/?m=playerinfo&amp;p_no=1781" TargetMode="External"/><Relationship Id="rId13091" Type="http://schemas.openxmlformats.org/officeDocument/2006/relationships/hyperlink" Target="https://statiz.sporki.com/player/?m=playerinfo&amp;p_no=12891" TargetMode="External"/><Relationship Id="rId15540" Type="http://schemas.openxmlformats.org/officeDocument/2006/relationships/hyperlink" Target="https://statiz.sporki.com/player/?m=playerinfo&amp;p_no=1732" TargetMode="External"/><Relationship Id="rId3150" Type="http://schemas.openxmlformats.org/officeDocument/2006/relationships/hyperlink" Target="https://statiz.sporki.com/add/?m=draft_school02&amp;ps_school=" TargetMode="External"/><Relationship Id="rId18763" Type="http://schemas.openxmlformats.org/officeDocument/2006/relationships/hyperlink" Target="https://statiz.sporki.com/add/?m=draft_school01&amp;ps_school=50208" TargetMode="External"/><Relationship Id="rId8822" Type="http://schemas.openxmlformats.org/officeDocument/2006/relationships/hyperlink" Target="https://statiz.sporki.com/add/?m=draft_school01&amp;ps_school=50402" TargetMode="External"/><Relationship Id="rId11803" Type="http://schemas.openxmlformats.org/officeDocument/2006/relationships/hyperlink" Target="https://statiz.sporki.com/player/?m=playerinfo&amp;p_no=1017" TargetMode="External"/><Relationship Id="rId18416" Type="http://schemas.openxmlformats.org/officeDocument/2006/relationships/hyperlink" Target="https://statiz.sporki.com/add/?m=draft_school01&amp;ps_school=50104" TargetMode="External"/><Relationship Id="rId6373" Type="http://schemas.openxmlformats.org/officeDocument/2006/relationships/hyperlink" Target="https://statiz.sporki.com/player/?m=playerinfo&amp;p_no=10333" TargetMode="External"/><Relationship Id="rId2983" Type="http://schemas.openxmlformats.org/officeDocument/2006/relationships/hyperlink" Target="https://statiz.sporki.com/player/?m=playerinfo&amp;p_no=13229" TargetMode="External"/><Relationship Id="rId6026" Type="http://schemas.openxmlformats.org/officeDocument/2006/relationships/hyperlink" Target="https://statiz.sporki.com/add/?m=draft_school01&amp;ps_school=50108" TargetMode="External"/><Relationship Id="rId9596" Type="http://schemas.openxmlformats.org/officeDocument/2006/relationships/hyperlink" Target="https://statiz.sporki.com/add/?m=draft_school01&amp;ps_school=50401" TargetMode="External"/><Relationship Id="rId12577" Type="http://schemas.openxmlformats.org/officeDocument/2006/relationships/hyperlink" Target="https://statiz.sporki.com/player/?m=playerinfo&amp;p_no=14896" TargetMode="External"/><Relationship Id="rId955" Type="http://schemas.openxmlformats.org/officeDocument/2006/relationships/hyperlink" Target="https://statiz.sporki.com/player/?m=playerinfo&amp;p_no=15140" TargetMode="External"/><Relationship Id="rId2636" Type="http://schemas.openxmlformats.org/officeDocument/2006/relationships/hyperlink" Target="https://statiz.sporki.com/add/?m=draft_school01&amp;ps_school=" TargetMode="External"/><Relationship Id="rId9249" Type="http://schemas.openxmlformats.org/officeDocument/2006/relationships/hyperlink" Target="https://statiz.sporki.com/add/?m=draft_school02&amp;ps_school=" TargetMode="External"/><Relationship Id="rId15050" Type="http://schemas.openxmlformats.org/officeDocument/2006/relationships/hyperlink" Target="https://statiz.sporki.com/player/?m=playerinfo&amp;p_no=10419" TargetMode="External"/><Relationship Id="rId608" Type="http://schemas.openxmlformats.org/officeDocument/2006/relationships/hyperlink" Target="https://statiz.sporki.com/add/?m=draft_school01&amp;ps_school=50208" TargetMode="External"/><Relationship Id="rId18273" Type="http://schemas.openxmlformats.org/officeDocument/2006/relationships/hyperlink" Target="https://statiz.sporki.com/add/?m=draft_school01&amp;ps_school=50209" TargetMode="External"/><Relationship Id="rId5859" Type="http://schemas.openxmlformats.org/officeDocument/2006/relationships/hyperlink" Target="https://statiz.sporki.com/add/?m=draft_school02&amp;ps_school=60104" TargetMode="External"/><Relationship Id="rId8332" Type="http://schemas.openxmlformats.org/officeDocument/2006/relationships/hyperlink" Target="https://statiz.sporki.com/player/?m=playerinfo&amp;p_no=10642" TargetMode="External"/><Relationship Id="rId11660" Type="http://schemas.openxmlformats.org/officeDocument/2006/relationships/hyperlink" Target="https://statiz.sporki.com/add/?m=draft_school01&amp;ps_school=50701" TargetMode="External"/><Relationship Id="rId11313" Type="http://schemas.openxmlformats.org/officeDocument/2006/relationships/hyperlink" Target="https://statiz.sporki.com/add/?m=draft_school02&amp;ps_school=60113" TargetMode="External"/><Relationship Id="rId14883" Type="http://schemas.openxmlformats.org/officeDocument/2006/relationships/hyperlink" Target="https://statiz.sporki.com/player/?m=playerinfo&amp;p_no=2103" TargetMode="External"/><Relationship Id="rId4942" Type="http://schemas.openxmlformats.org/officeDocument/2006/relationships/hyperlink" Target="https://statiz.sporki.com/player/?m=playerinfo&amp;p_no=11149" TargetMode="External"/><Relationship Id="rId14536" Type="http://schemas.openxmlformats.org/officeDocument/2006/relationships/hyperlink" Target="https://statiz.sporki.com/player/?m=playerinfo&amp;p_no=10576" TargetMode="External"/><Relationship Id="rId2493" Type="http://schemas.openxmlformats.org/officeDocument/2006/relationships/hyperlink" Target="https://statiz.sporki.com/add/?m=draft_school02&amp;ps_school=60108" TargetMode="External"/><Relationship Id="rId12087" Type="http://schemas.openxmlformats.org/officeDocument/2006/relationships/hyperlink" Target="https://statiz.sporki.com/add/?m=draft_school02&amp;ps_school=60103" TargetMode="External"/><Relationship Id="rId17759" Type="http://schemas.openxmlformats.org/officeDocument/2006/relationships/hyperlink" Target="https://statiz.sporki.com/add/?m=draft_school01&amp;ps_school=50108" TargetMode="External"/><Relationship Id="rId465" Type="http://schemas.openxmlformats.org/officeDocument/2006/relationships/hyperlink" Target="https://statiz.sporki.com/add/?m=draft_school02&amp;ps_school=60115" TargetMode="External"/><Relationship Id="rId2146" Type="http://schemas.openxmlformats.org/officeDocument/2006/relationships/hyperlink" Target="https://statiz.sporki.com/player/?m=playerinfo&amp;p_no=14192" TargetMode="External"/><Relationship Id="rId7818" Type="http://schemas.openxmlformats.org/officeDocument/2006/relationships/hyperlink" Target="https://statiz.sporki.com/add/?m=draft_school02&amp;ps_school=" TargetMode="External"/><Relationship Id="rId118" Type="http://schemas.openxmlformats.org/officeDocument/2006/relationships/hyperlink" Target="https://statiz.sporki.com/player/?m=playerinfo&amp;p_no=15521" TargetMode="External"/><Relationship Id="rId5369" Type="http://schemas.openxmlformats.org/officeDocument/2006/relationships/hyperlink" Target="https://statiz.sporki.com/add/?m=draft_school01&amp;ps_school=" TargetMode="External"/><Relationship Id="rId11170" Type="http://schemas.openxmlformats.org/officeDocument/2006/relationships/hyperlink" Target="https://statiz.sporki.com/player/?m=playerinfo&amp;p_no=1270" TargetMode="External"/><Relationship Id="rId16842" Type="http://schemas.openxmlformats.org/officeDocument/2006/relationships/hyperlink" Target="https://statiz.sporki.com/add/?m=draft_school01&amp;ps_school=51111" TargetMode="External"/><Relationship Id="rId1979" Type="http://schemas.openxmlformats.org/officeDocument/2006/relationships/hyperlink" Target="https://statiz.sporki.com/add/?m=draft_school01&amp;ps_school=50401" TargetMode="External"/><Relationship Id="rId6901" Type="http://schemas.openxmlformats.org/officeDocument/2006/relationships/hyperlink" Target="https://statiz.sporki.com/player/?m=playerinfo&amp;p_no=2384" TargetMode="External"/><Relationship Id="rId14393" Type="http://schemas.openxmlformats.org/officeDocument/2006/relationships/hyperlink" Target="https://statiz.sporki.com/player/?m=playerinfo&amp;p_no=10303" TargetMode="External"/><Relationship Id="rId4452" Type="http://schemas.openxmlformats.org/officeDocument/2006/relationships/hyperlink" Target="https://statiz.sporki.com/add/?m=draft_school02&amp;ps_school=60203" TargetMode="External"/><Relationship Id="rId14046" Type="http://schemas.openxmlformats.org/officeDocument/2006/relationships/hyperlink" Target="https://statiz.sporki.com/player/?m=playerinfo&amp;p_no=10874" TargetMode="External"/><Relationship Id="rId4105" Type="http://schemas.openxmlformats.org/officeDocument/2006/relationships/hyperlink" Target="https://statiz.sporki.com/player/?m=playerinfo&amp;p_no=11205" TargetMode="External"/><Relationship Id="rId7675" Type="http://schemas.openxmlformats.org/officeDocument/2006/relationships/hyperlink" Target="https://statiz.sporki.com/player/?m=playerinfo&amp;p_no=10006" TargetMode="External"/><Relationship Id="rId10656" Type="http://schemas.openxmlformats.org/officeDocument/2006/relationships/hyperlink" Target="https://statiz.sporki.com/add/?m=draft_school02&amp;ps_school=60705" TargetMode="External"/><Relationship Id="rId17269" Type="http://schemas.openxmlformats.org/officeDocument/2006/relationships/hyperlink" Target="https://statiz.sporki.com/add/?m=draft_school01&amp;ps_school=50603" TargetMode="External"/><Relationship Id="rId7328" Type="http://schemas.openxmlformats.org/officeDocument/2006/relationships/hyperlink" Target="https://statiz.sporki.com/add/?m=draft_school01&amp;ps_school=50502" TargetMode="External"/><Relationship Id="rId10309" Type="http://schemas.openxmlformats.org/officeDocument/2006/relationships/hyperlink" Target="https://statiz.sporki.com/player/?m=playerinfo&amp;p_no=1500" TargetMode="External"/><Relationship Id="rId13879" Type="http://schemas.openxmlformats.org/officeDocument/2006/relationships/hyperlink" Target="https://statiz.sporki.com/player/?m=playerinfo&amp;p_no=10739" TargetMode="External"/><Relationship Id="rId16352" Type="http://schemas.openxmlformats.org/officeDocument/2006/relationships/hyperlink" Target="https://statiz.sporki.com/add/?m=draft_school01&amp;ps_school=50606" TargetMode="External"/><Relationship Id="rId18801" Type="http://schemas.openxmlformats.org/officeDocument/2006/relationships/hyperlink" Target="https://statiz.sporki.com/add/?m=draft_school01&amp;ps_school=50105" TargetMode="External"/><Relationship Id="rId1489" Type="http://schemas.openxmlformats.org/officeDocument/2006/relationships/hyperlink" Target="https://statiz.sporki.com/player/?m=playerinfo&amp;p_no=14622" TargetMode="External"/><Relationship Id="rId3938" Type="http://schemas.openxmlformats.org/officeDocument/2006/relationships/hyperlink" Target="https://statiz.sporki.com/add/?m=draft_school01&amp;ps_school=" TargetMode="External"/><Relationship Id="rId6411" Type="http://schemas.openxmlformats.org/officeDocument/2006/relationships/hyperlink" Target="https://statiz.sporki.com/add/?m=draft_school02&amp;ps_school=60109" TargetMode="External"/><Relationship Id="rId16005" Type="http://schemas.openxmlformats.org/officeDocument/2006/relationships/hyperlink" Target="https://statiz.sporki.com/player/?m=playerinfo&amp;p_no=1191" TargetMode="External"/><Relationship Id="rId9981" Type="http://schemas.openxmlformats.org/officeDocument/2006/relationships/hyperlink" Target="https://statiz.sporki.com/add/?m=draft_school02&amp;ps_school=" TargetMode="External"/><Relationship Id="rId12962" Type="http://schemas.openxmlformats.org/officeDocument/2006/relationships/hyperlink" Target="https://statiz.sporki.com/player/?m=playerinfo&amp;p_no=13150" TargetMode="External"/><Relationship Id="rId19575" Type="http://schemas.openxmlformats.org/officeDocument/2006/relationships/hyperlink" Target="https://statiz.sporki.com/add/?m=draft_school01&amp;ps_school=50107" TargetMode="External"/><Relationship Id="rId7185" Type="http://schemas.openxmlformats.org/officeDocument/2006/relationships/hyperlink" Target="https://statiz.sporki.com/add/?m=draft_school02&amp;ps_school=60102" TargetMode="External"/><Relationship Id="rId9634" Type="http://schemas.openxmlformats.org/officeDocument/2006/relationships/hyperlink" Target="https://statiz.sporki.com/player/?m=playerinfo&amp;p_no=1730" TargetMode="External"/><Relationship Id="rId12615" Type="http://schemas.openxmlformats.org/officeDocument/2006/relationships/hyperlink" Target="https://statiz.sporki.com/player/?m=playerinfo&amp;p_no=14595" TargetMode="External"/><Relationship Id="rId19228" Type="http://schemas.openxmlformats.org/officeDocument/2006/relationships/hyperlink" Target="https://statiz.sporki.com/add/?m=draft_school01&amp;ps_school=50403" TargetMode="External"/><Relationship Id="rId10166" Type="http://schemas.openxmlformats.org/officeDocument/2006/relationships/hyperlink" Target="https://statiz.sporki.com/add/?m=draft_school01&amp;ps_school=50802" TargetMode="External"/><Relationship Id="rId15838" Type="http://schemas.openxmlformats.org/officeDocument/2006/relationships/hyperlink" Target="https://statiz.sporki.com/player/?m=playerinfo&amp;p_no=1292" TargetMode="External"/><Relationship Id="rId3795" Type="http://schemas.openxmlformats.org/officeDocument/2006/relationships/hyperlink" Target="https://statiz.sporki.com/add/?m=draft_school02&amp;ps_school=60109" TargetMode="External"/><Relationship Id="rId13389" Type="http://schemas.openxmlformats.org/officeDocument/2006/relationships/hyperlink" Target="https://statiz.sporki.com/player/?m=playerinfo&amp;p_no=12646" TargetMode="External"/><Relationship Id="rId18311" Type="http://schemas.openxmlformats.org/officeDocument/2006/relationships/hyperlink" Target="https://statiz.sporki.com/add/?m=draft_school01&amp;ps_school=50502" TargetMode="External"/><Relationship Id="rId3448" Type="http://schemas.openxmlformats.org/officeDocument/2006/relationships/hyperlink" Target="https://statiz.sporki.com/player/?m=playerinfo&amp;p_no=12543" TargetMode="External"/><Relationship Id="rId9491" Type="http://schemas.openxmlformats.org/officeDocument/2006/relationships/hyperlink" Target="https://statiz.sporki.com/add/?m=draft_school01&amp;ps_school=50101" TargetMode="External"/><Relationship Id="rId14921" Type="http://schemas.openxmlformats.org/officeDocument/2006/relationships/hyperlink" Target="https://statiz.sporki.com/player/?m=playerinfo&amp;p_no=2046" TargetMode="External"/><Relationship Id="rId19085" Type="http://schemas.openxmlformats.org/officeDocument/2006/relationships/hyperlink" Target="https://statiz.sporki.com/add/?m=draft_school01&amp;ps_school=50301" TargetMode="External"/><Relationship Id="rId9144" Type="http://schemas.openxmlformats.org/officeDocument/2006/relationships/hyperlink" Target="https://statiz.sporki.com/add/?m=draft_school02&amp;ps_school=60103" TargetMode="External"/><Relationship Id="rId12472" Type="http://schemas.openxmlformats.org/officeDocument/2006/relationships/hyperlink" Target="https://statiz.sporki.com/player/?m=playerinfo&amp;p_no=14783" TargetMode="External"/><Relationship Id="rId850" Type="http://schemas.openxmlformats.org/officeDocument/2006/relationships/hyperlink" Target="https://statiz.sporki.com/player/?m=playerinfo&amp;p_no=15151" TargetMode="External"/><Relationship Id="rId2531" Type="http://schemas.openxmlformats.org/officeDocument/2006/relationships/hyperlink" Target="https://statiz.sporki.com/add/?m=draft_school01&amp;ps_school=50106" TargetMode="External"/><Relationship Id="rId12125" Type="http://schemas.openxmlformats.org/officeDocument/2006/relationships/hyperlink" Target="https://statiz.sporki.com/add/?m=draft_school01&amp;ps_school=50501" TargetMode="External"/><Relationship Id="rId15695" Type="http://schemas.openxmlformats.org/officeDocument/2006/relationships/hyperlink" Target="https://statiz.sporki.com/player/?m=playerinfo&amp;p_no=1432" TargetMode="External"/><Relationship Id="rId503" Type="http://schemas.openxmlformats.org/officeDocument/2006/relationships/hyperlink" Target="https://statiz.sporki.com/add/?m=draft_school01&amp;ps_school=50604" TargetMode="External"/><Relationship Id="rId5754" Type="http://schemas.openxmlformats.org/officeDocument/2006/relationships/hyperlink" Target="https://statiz.sporki.com/add/?m=draft_school02&amp;ps_school=60802" TargetMode="External"/><Relationship Id="rId15348" Type="http://schemas.openxmlformats.org/officeDocument/2006/relationships/hyperlink" Target="https://statiz.sporki.com/player/?m=playerinfo&amp;p_no=1721" TargetMode="External"/><Relationship Id="rId5407" Type="http://schemas.openxmlformats.org/officeDocument/2006/relationships/hyperlink" Target="https://statiz.sporki.com/player/?m=playerinfo&amp;p_no=10661" TargetMode="External"/><Relationship Id="rId8977" Type="http://schemas.openxmlformats.org/officeDocument/2006/relationships/hyperlink" Target="https://statiz.sporki.com/player/?m=playerinfo&amp;p_no=11451" TargetMode="External"/><Relationship Id="rId11958" Type="http://schemas.openxmlformats.org/officeDocument/2006/relationships/hyperlink" Target="https://statiz.sporki.com/add/?m=draft_school02&amp;ps_school=60204" TargetMode="External"/><Relationship Id="rId14431" Type="http://schemas.openxmlformats.org/officeDocument/2006/relationships/hyperlink" Target="https://statiz.sporki.com/player/?m=playerinfo&amp;p_no=2368" TargetMode="External"/><Relationship Id="rId360" Type="http://schemas.openxmlformats.org/officeDocument/2006/relationships/hyperlink" Target="https://statiz.sporki.com/add/?m=draft_school02&amp;ps_school=" TargetMode="External"/><Relationship Id="rId2041" Type="http://schemas.openxmlformats.org/officeDocument/2006/relationships/hyperlink" Target="https://statiz.sporki.com/player/?m=playerinfo&amp;p_no=14211" TargetMode="External"/><Relationship Id="rId17654" Type="http://schemas.openxmlformats.org/officeDocument/2006/relationships/hyperlink" Target="https://statiz.sporki.com/add/?m=draft_school01&amp;ps_school=50109" TargetMode="External"/><Relationship Id="rId5264" Type="http://schemas.openxmlformats.org/officeDocument/2006/relationships/hyperlink" Target="https://statiz.sporki.com/add/?m=draft_school01&amp;ps_school=50208" TargetMode="External"/><Relationship Id="rId7713" Type="http://schemas.openxmlformats.org/officeDocument/2006/relationships/hyperlink" Target="https://statiz.sporki.com/add/?m=draft_school02&amp;ps_school=" TargetMode="External"/><Relationship Id="rId17307" Type="http://schemas.openxmlformats.org/officeDocument/2006/relationships/hyperlink" Target="https://statiz.sporki.com/add/?m=draft_school01&amp;ps_school=50113" TargetMode="External"/><Relationship Id="rId13917" Type="http://schemas.openxmlformats.org/officeDocument/2006/relationships/hyperlink" Target="https://statiz.sporki.com/player/?m=playerinfo&amp;p_no=10672" TargetMode="External"/><Relationship Id="rId1874" Type="http://schemas.openxmlformats.org/officeDocument/2006/relationships/hyperlink" Target="https://statiz.sporki.com/add/?m=draft_school01&amp;ps_school=50403" TargetMode="External"/><Relationship Id="rId8487" Type="http://schemas.openxmlformats.org/officeDocument/2006/relationships/hyperlink" Target="https://statiz.sporki.com/add/?m=draft_school02&amp;ps_school=60111" TargetMode="External"/><Relationship Id="rId11468" Type="http://schemas.openxmlformats.org/officeDocument/2006/relationships/hyperlink" Target="https://statiz.sporki.com/add/?m=draft_school01&amp;ps_school=50805" TargetMode="External"/><Relationship Id="rId1527" Type="http://schemas.openxmlformats.org/officeDocument/2006/relationships/hyperlink" Target="https://statiz.sporki.com/add/?m=draft_school02&amp;ps_school=" TargetMode="External"/><Relationship Id="rId4000" Type="http://schemas.openxmlformats.org/officeDocument/2006/relationships/hyperlink" Target="https://statiz.sporki.com/player/?m=playerinfo&amp;p_no=12644" TargetMode="External"/><Relationship Id="rId7570" Type="http://schemas.openxmlformats.org/officeDocument/2006/relationships/hyperlink" Target="https://statiz.sporki.com/player/?m=playerinfo&amp;p_no=10198" TargetMode="External"/><Relationship Id="rId17164" Type="http://schemas.openxmlformats.org/officeDocument/2006/relationships/hyperlink" Target="https://statiz.sporki.com/add/?m=draft_school01&amp;ps_school=50402" TargetMode="External"/><Relationship Id="rId19613" Type="http://schemas.openxmlformats.org/officeDocument/2006/relationships/hyperlink" Target="https://statiz.sporki.com/add/?m=draft_school01&amp;ps_school=50209" TargetMode="External"/><Relationship Id="rId7223" Type="http://schemas.openxmlformats.org/officeDocument/2006/relationships/hyperlink" Target="https://statiz.sporki.com/add/?m=draft_school01&amp;ps_school=50602" TargetMode="External"/><Relationship Id="rId10551" Type="http://schemas.openxmlformats.org/officeDocument/2006/relationships/hyperlink" Target="https://statiz.sporki.com/add/?m=draft_school02&amp;ps_school=60104" TargetMode="External"/><Relationship Id="rId10204" Type="http://schemas.openxmlformats.org/officeDocument/2006/relationships/hyperlink" Target="https://statiz.sporki.com/player/?m=playerinfo&amp;p_no=1595" TargetMode="External"/><Relationship Id="rId13774" Type="http://schemas.openxmlformats.org/officeDocument/2006/relationships/hyperlink" Target="https://statiz.sporki.com/player/?m=playerinfo&amp;p_no=10903" TargetMode="External"/><Relationship Id="rId3833" Type="http://schemas.openxmlformats.org/officeDocument/2006/relationships/hyperlink" Target="https://statiz.sporki.com/add/?m=draft_school01&amp;ps_school=50605" TargetMode="External"/><Relationship Id="rId13427" Type="http://schemas.openxmlformats.org/officeDocument/2006/relationships/hyperlink" Target="https://statiz.sporki.com/player/?m=playerinfo&amp;p_no=11423" TargetMode="External"/><Relationship Id="rId16997" Type="http://schemas.openxmlformats.org/officeDocument/2006/relationships/hyperlink" Target="https://statiz.sporki.com/add/?m=draft_school01&amp;ps_school=50116" TargetMode="External"/><Relationship Id="rId1384" Type="http://schemas.openxmlformats.org/officeDocument/2006/relationships/hyperlink" Target="https://statiz.sporki.com/player/?m=playerinfo&amp;p_no=14600" TargetMode="External"/><Relationship Id="rId19470" Type="http://schemas.openxmlformats.org/officeDocument/2006/relationships/hyperlink" Target="https://statiz.sporki.com/add/?m=draft_school01&amp;ps_school=50802" TargetMode="External"/><Relationship Id="rId90" Type="http://schemas.openxmlformats.org/officeDocument/2006/relationships/hyperlink" Target="https://statiz.sporki.com/add/?m=draft_school02&amp;ps_school=" TargetMode="External"/><Relationship Id="rId1037" Type="http://schemas.openxmlformats.org/officeDocument/2006/relationships/hyperlink" Target="https://statiz.sporki.com/add/?m=draft_school01&amp;ps_school=50101" TargetMode="External"/><Relationship Id="rId6709" Type="http://schemas.openxmlformats.org/officeDocument/2006/relationships/hyperlink" Target="https://statiz.sporki.com/player/?m=playerinfo&amp;p_no=10607" TargetMode="External"/><Relationship Id="rId19123" Type="http://schemas.openxmlformats.org/officeDocument/2006/relationships/hyperlink" Target="https://statiz.sporki.com/add/?m=draft_school01&amp;ps_school=50501" TargetMode="External"/><Relationship Id="rId7080" Type="http://schemas.openxmlformats.org/officeDocument/2006/relationships/hyperlink" Target="https://statiz.sporki.com/add/?m=draft_school02&amp;ps_school=" TargetMode="External"/><Relationship Id="rId10061" Type="http://schemas.openxmlformats.org/officeDocument/2006/relationships/hyperlink" Target="https://statiz.sporki.com/add/?m=draft_school01&amp;ps_school=50114" TargetMode="External"/><Relationship Id="rId12510" Type="http://schemas.openxmlformats.org/officeDocument/2006/relationships/hyperlink" Target="https://statiz.sporki.com/player/?m=playerinfo&amp;p_no=14826" TargetMode="External"/><Relationship Id="rId3690" Type="http://schemas.openxmlformats.org/officeDocument/2006/relationships/hyperlink" Target="https://statiz.sporki.com/add/?m=draft_school02&amp;ps_school=" TargetMode="External"/><Relationship Id="rId15733" Type="http://schemas.openxmlformats.org/officeDocument/2006/relationships/hyperlink" Target="https://statiz.sporki.com/player/?m=playerinfo&amp;p_no=1412" TargetMode="External"/><Relationship Id="rId3343" Type="http://schemas.openxmlformats.org/officeDocument/2006/relationships/hyperlink" Target="https://statiz.sporki.com/player/?m=playerinfo&amp;p_no=12632" TargetMode="External"/><Relationship Id="rId13284" Type="http://schemas.openxmlformats.org/officeDocument/2006/relationships/hyperlink" Target="https://statiz.sporki.com/player/?m=playerinfo&amp;p_no=12625" TargetMode="External"/><Relationship Id="rId18956" Type="http://schemas.openxmlformats.org/officeDocument/2006/relationships/hyperlink" Target="https://statiz.sporki.com/add/?m=draft_school01&amp;ps_school=50401" TargetMode="External"/><Relationship Id="rId18609" Type="http://schemas.openxmlformats.org/officeDocument/2006/relationships/hyperlink" Target="https://statiz.sporki.com/add/?m=draft_school01&amp;ps_school=50108" TargetMode="External"/><Relationship Id="rId6566" Type="http://schemas.openxmlformats.org/officeDocument/2006/relationships/hyperlink" Target="https://statiz.sporki.com/add/?m=draft_school01&amp;ps_school=50602" TargetMode="External"/><Relationship Id="rId6219" Type="http://schemas.openxmlformats.org/officeDocument/2006/relationships/hyperlink" Target="https://statiz.sporki.com/add/?m=draft_school02&amp;ps_school=" TargetMode="External"/><Relationship Id="rId9789" Type="http://schemas.openxmlformats.org/officeDocument/2006/relationships/hyperlink" Target="https://statiz.sporki.com/add/?m=draft_school02&amp;ps_school=60101" TargetMode="External"/><Relationship Id="rId12020" Type="http://schemas.openxmlformats.org/officeDocument/2006/relationships/hyperlink" Target="https://statiz.sporki.com/add/?m=draft_school01&amp;ps_school=50701" TargetMode="External"/><Relationship Id="rId15590" Type="http://schemas.openxmlformats.org/officeDocument/2006/relationships/hyperlink" Target="https://statiz.sporki.com/player/?m=playerinfo&amp;p_no=1511" TargetMode="External"/><Relationship Id="rId2829" Type="http://schemas.openxmlformats.org/officeDocument/2006/relationships/hyperlink" Target="https://statiz.sporki.com/add/?m=draft_school02&amp;ps_school=" TargetMode="External"/><Relationship Id="rId15243" Type="http://schemas.openxmlformats.org/officeDocument/2006/relationships/hyperlink" Target="https://statiz.sporki.com/player/?m=playerinfo&amp;p_no=10507" TargetMode="External"/><Relationship Id="rId5302" Type="http://schemas.openxmlformats.org/officeDocument/2006/relationships/hyperlink" Target="https://statiz.sporki.com/player/?m=playerinfo&amp;p_no=10745" TargetMode="External"/><Relationship Id="rId8872" Type="http://schemas.openxmlformats.org/officeDocument/2006/relationships/hyperlink" Target="https://statiz.sporki.com/player/?m=playerinfo&amp;p_no=1935" TargetMode="External"/><Relationship Id="rId11853" Type="http://schemas.openxmlformats.org/officeDocument/2006/relationships/hyperlink" Target="https://statiz.sporki.com/add/?m=draft_school02&amp;ps_school=60113" TargetMode="External"/><Relationship Id="rId18466" Type="http://schemas.openxmlformats.org/officeDocument/2006/relationships/hyperlink" Target="https://statiz.sporki.com/add/?m=draft_school01&amp;ps_school=50108" TargetMode="External"/><Relationship Id="rId1912" Type="http://schemas.openxmlformats.org/officeDocument/2006/relationships/hyperlink" Target="https://statiz.sporki.com/player/?m=playerinfo&amp;p_no=14136" TargetMode="External"/><Relationship Id="rId6076" Type="http://schemas.openxmlformats.org/officeDocument/2006/relationships/hyperlink" Target="https://statiz.sporki.com/player/?m=playerinfo&amp;p_no=10136" TargetMode="External"/><Relationship Id="rId8525" Type="http://schemas.openxmlformats.org/officeDocument/2006/relationships/hyperlink" Target="https://statiz.sporki.com/add/?m=draft_school01&amp;ps_school=" TargetMode="External"/><Relationship Id="rId11506" Type="http://schemas.openxmlformats.org/officeDocument/2006/relationships/hyperlink" Target="https://statiz.sporki.com/player/?m=playerinfo&amp;p_no=1228" TargetMode="External"/><Relationship Id="rId18119" Type="http://schemas.openxmlformats.org/officeDocument/2006/relationships/hyperlink" Target="https://statiz.sporki.com/add/?m=draft_school01&amp;ps_school=50702" TargetMode="External"/><Relationship Id="rId14729" Type="http://schemas.openxmlformats.org/officeDocument/2006/relationships/hyperlink" Target="https://statiz.sporki.com/player/?m=playerinfo&amp;p_no=2213" TargetMode="External"/><Relationship Id="rId2686" Type="http://schemas.openxmlformats.org/officeDocument/2006/relationships/hyperlink" Target="https://statiz.sporki.com/player/?m=playerinfo&amp;p_no=13186" TargetMode="External"/><Relationship Id="rId9299" Type="http://schemas.openxmlformats.org/officeDocument/2006/relationships/hyperlink" Target="https://statiz.sporki.com/add/?m=draft_school01&amp;ps_school=50502" TargetMode="External"/><Relationship Id="rId17202" Type="http://schemas.openxmlformats.org/officeDocument/2006/relationships/hyperlink" Target="https://statiz.sporki.com/add/?m=draft_school01&amp;ps_school=50107" TargetMode="External"/><Relationship Id="rId658" Type="http://schemas.openxmlformats.org/officeDocument/2006/relationships/hyperlink" Target="https://statiz.sporki.com/player/?m=playerinfo&amp;p_no=15094" TargetMode="External"/><Relationship Id="rId2339" Type="http://schemas.openxmlformats.org/officeDocument/2006/relationships/hyperlink" Target="https://statiz.sporki.com/add/?m=draft_school01&amp;ps_school=50101" TargetMode="External"/><Relationship Id="rId8382" Type="http://schemas.openxmlformats.org/officeDocument/2006/relationships/hyperlink" Target="https://statiz.sporki.com/add/?m=draft_school02&amp;ps_school=60113" TargetMode="External"/><Relationship Id="rId13812" Type="http://schemas.openxmlformats.org/officeDocument/2006/relationships/hyperlink" Target="https://statiz.sporki.com/player/?m=playerinfo&amp;p_no=10907" TargetMode="External"/><Relationship Id="rId1422" Type="http://schemas.openxmlformats.org/officeDocument/2006/relationships/hyperlink" Target="https://statiz.sporki.com/add/?m=draft_school02&amp;ps_school=" TargetMode="External"/><Relationship Id="rId8035" Type="http://schemas.openxmlformats.org/officeDocument/2006/relationships/hyperlink" Target="https://statiz.sporki.com/player/?m=playerinfo&amp;p_no=2242" TargetMode="External"/><Relationship Id="rId11016" Type="http://schemas.openxmlformats.org/officeDocument/2006/relationships/hyperlink" Target="https://statiz.sporki.com/add/?m=draft_school02&amp;ps_school=60703" TargetMode="External"/><Relationship Id="rId11363" Type="http://schemas.openxmlformats.org/officeDocument/2006/relationships/hyperlink" Target="https://statiz.sporki.com/add/?m=draft_school01&amp;ps_school=50602" TargetMode="External"/><Relationship Id="rId4992" Type="http://schemas.openxmlformats.org/officeDocument/2006/relationships/hyperlink" Target="https://statiz.sporki.com/add/?m=draft_school02&amp;ps_school=60109" TargetMode="External"/><Relationship Id="rId14586" Type="http://schemas.openxmlformats.org/officeDocument/2006/relationships/hyperlink" Target="https://statiz.sporki.com/player/?m=playerinfo&amp;p_no=10142" TargetMode="External"/><Relationship Id="rId2196" Type="http://schemas.openxmlformats.org/officeDocument/2006/relationships/hyperlink" Target="https://statiz.sporki.com/add/?m=draft_school02&amp;ps_school=" TargetMode="External"/><Relationship Id="rId4645" Type="http://schemas.openxmlformats.org/officeDocument/2006/relationships/hyperlink" Target="https://statiz.sporki.com/player/?m=playerinfo&amp;p_no=13281" TargetMode="External"/><Relationship Id="rId14239" Type="http://schemas.openxmlformats.org/officeDocument/2006/relationships/hyperlink" Target="https://statiz.sporki.com/player/?m=playerinfo&amp;p_no=10217" TargetMode="External"/><Relationship Id="rId168" Type="http://schemas.openxmlformats.org/officeDocument/2006/relationships/hyperlink" Target="https://statiz.sporki.com/add/?m=draft_school02&amp;ps_school=" TargetMode="External"/><Relationship Id="rId7868" Type="http://schemas.openxmlformats.org/officeDocument/2006/relationships/hyperlink" Target="https://statiz.sporki.com/add/?m=draft_school01&amp;ps_school=50208" TargetMode="External"/><Relationship Id="rId10849" Type="http://schemas.openxmlformats.org/officeDocument/2006/relationships/hyperlink" Target="https://statiz.sporki.com/player/?m=playerinfo&amp;p_no=1406" TargetMode="External"/><Relationship Id="rId13322" Type="http://schemas.openxmlformats.org/officeDocument/2006/relationships/hyperlink" Target="https://statiz.sporki.com/player/?m=playerinfo&amp;p_no=12668" TargetMode="External"/><Relationship Id="rId16892" Type="http://schemas.openxmlformats.org/officeDocument/2006/relationships/hyperlink" Target="https://statiz.sporki.com/add/?m=draft_school01&amp;ps_school=50108" TargetMode="External"/><Relationship Id="rId6951" Type="http://schemas.openxmlformats.org/officeDocument/2006/relationships/hyperlink" Target="https://statiz.sporki.com/add/?m=draft_school02&amp;ps_school=" TargetMode="External"/><Relationship Id="rId14096" Type="http://schemas.openxmlformats.org/officeDocument/2006/relationships/hyperlink" Target="https://statiz.sporki.com/player/?m=playerinfo&amp;p_no=10365" TargetMode="External"/><Relationship Id="rId16545" Type="http://schemas.openxmlformats.org/officeDocument/2006/relationships/hyperlink" Target="https://statiz.sporki.com/add/?m=draft_school01&amp;ps_school=51104" TargetMode="External"/><Relationship Id="rId4155" Type="http://schemas.openxmlformats.org/officeDocument/2006/relationships/hyperlink" Target="https://statiz.sporki.com/add/?m=draft_school02&amp;ps_school=" TargetMode="External"/><Relationship Id="rId6604" Type="http://schemas.openxmlformats.org/officeDocument/2006/relationships/hyperlink" Target="https://statiz.sporki.com/player/?m=playerinfo&amp;p_no=10182" TargetMode="External"/><Relationship Id="rId9827" Type="http://schemas.openxmlformats.org/officeDocument/2006/relationships/hyperlink" Target="https://statiz.sporki.com/add/?m=draft_school01&amp;ps_school=50711" TargetMode="External"/><Relationship Id="rId12808" Type="http://schemas.openxmlformats.org/officeDocument/2006/relationships/hyperlink" Target="https://statiz.sporki.com/player/?m=playerinfo&amp;p_no=14110" TargetMode="External"/><Relationship Id="rId7378" Type="http://schemas.openxmlformats.org/officeDocument/2006/relationships/hyperlink" Target="https://statiz.sporki.com/player/?m=playerinfo&amp;p_no=10325" TargetMode="External"/><Relationship Id="rId10359" Type="http://schemas.openxmlformats.org/officeDocument/2006/relationships/hyperlink" Target="https://statiz.sporki.com/add/?m=draft_school02&amp;ps_school=60802" TargetMode="External"/><Relationship Id="rId18851" Type="http://schemas.openxmlformats.org/officeDocument/2006/relationships/hyperlink" Target="https://statiz.sporki.com/add/?m=draft_school01&amp;ps_school=50114" TargetMode="External"/><Relationship Id="rId3988" Type="http://schemas.openxmlformats.org/officeDocument/2006/relationships/hyperlink" Target="https://statiz.sporki.com/player/?m=playerinfo&amp;p_no=12662" TargetMode="External"/><Relationship Id="rId8910" Type="http://schemas.openxmlformats.org/officeDocument/2006/relationships/hyperlink" Target="https://statiz.sporki.com/add/?m=draft_school02&amp;ps_school=60109" TargetMode="External"/><Relationship Id="rId18504" Type="http://schemas.openxmlformats.org/officeDocument/2006/relationships/hyperlink" Target="https://statiz.sporki.com/add/?m=draft_school01&amp;ps_school=50701" TargetMode="External"/><Relationship Id="rId6461" Type="http://schemas.openxmlformats.org/officeDocument/2006/relationships/hyperlink" Target="https://statiz.sporki.com/add/?m=draft_school01&amp;ps_school=" TargetMode="External"/><Relationship Id="rId16055" Type="http://schemas.openxmlformats.org/officeDocument/2006/relationships/hyperlink" Target="https://statiz.sporki.com/player/?m=playerinfo&amp;p_no=1078" TargetMode="External"/><Relationship Id="rId6114" Type="http://schemas.openxmlformats.org/officeDocument/2006/relationships/hyperlink" Target="https://statiz.sporki.com/add/?m=draft_school02&amp;ps_school=" TargetMode="External"/><Relationship Id="rId9684" Type="http://schemas.openxmlformats.org/officeDocument/2006/relationships/hyperlink" Target="https://statiz.sporki.com/add/?m=draft_school02&amp;ps_school=" TargetMode="External"/><Relationship Id="rId19278" Type="http://schemas.openxmlformats.org/officeDocument/2006/relationships/hyperlink" Target="https://statiz.sporki.com/add/?m=draft_school01&amp;ps_school=50706" TargetMode="External"/><Relationship Id="rId9337" Type="http://schemas.openxmlformats.org/officeDocument/2006/relationships/hyperlink" Target="https://statiz.sporki.com/player/?m=playerinfo&amp;p_no=1864" TargetMode="External"/><Relationship Id="rId12665" Type="http://schemas.openxmlformats.org/officeDocument/2006/relationships/hyperlink" Target="https://statiz.sporki.com/player/?m=playerinfo&amp;p_no=14656" TargetMode="External"/><Relationship Id="rId2724" Type="http://schemas.openxmlformats.org/officeDocument/2006/relationships/hyperlink" Target="https://statiz.sporki.com/add/?m=draft_school02&amp;ps_school=60802" TargetMode="External"/><Relationship Id="rId12318" Type="http://schemas.openxmlformats.org/officeDocument/2006/relationships/hyperlink" Target="https://statiz.sporki.com/player/?m=playerinfo&amp;p_no=15068" TargetMode="External"/><Relationship Id="rId15888" Type="http://schemas.openxmlformats.org/officeDocument/2006/relationships/hyperlink" Target="https://statiz.sporki.com/player/?m=playerinfo&amp;p_no=1320" TargetMode="External"/><Relationship Id="rId5947" Type="http://schemas.openxmlformats.org/officeDocument/2006/relationships/hyperlink" Target="https://statiz.sporki.com/player/?m=playerinfo&amp;p_no=10209" TargetMode="External"/><Relationship Id="rId18361" Type="http://schemas.openxmlformats.org/officeDocument/2006/relationships/hyperlink" Target="https://statiz.sporki.com/add/?m=draft_school01&amp;ps_school=50902" TargetMode="External"/><Relationship Id="rId3498" Type="http://schemas.openxmlformats.org/officeDocument/2006/relationships/hyperlink" Target="https://statiz.sporki.com/add/?m=draft_school02&amp;ps_school=" TargetMode="External"/><Relationship Id="rId8420" Type="http://schemas.openxmlformats.org/officeDocument/2006/relationships/hyperlink" Target="https://statiz.sporki.com/add/?m=draft_school01&amp;ps_school=50110" TargetMode="External"/><Relationship Id="rId11401" Type="http://schemas.openxmlformats.org/officeDocument/2006/relationships/hyperlink" Target="https://statiz.sporki.com/player/?m=playerinfo&amp;p_no=1206" TargetMode="External"/><Relationship Id="rId18014" Type="http://schemas.openxmlformats.org/officeDocument/2006/relationships/hyperlink" Target="https://statiz.sporki.com/add/?m=draft_school01&amp;ps_school=50501" TargetMode="External"/><Relationship Id="rId14971" Type="http://schemas.openxmlformats.org/officeDocument/2006/relationships/hyperlink" Target="https://statiz.sporki.com/player/?m=playerinfo&amp;p_no=2236" TargetMode="External"/><Relationship Id="rId2581" Type="http://schemas.openxmlformats.org/officeDocument/2006/relationships/hyperlink" Target="https://statiz.sporki.com/player/?m=playerinfo&amp;p_no=13154" TargetMode="External"/><Relationship Id="rId9194" Type="http://schemas.openxmlformats.org/officeDocument/2006/relationships/hyperlink" Target="https://statiz.sporki.com/add/?m=draft_school01&amp;ps_school=50501" TargetMode="External"/><Relationship Id="rId12175" Type="http://schemas.openxmlformats.org/officeDocument/2006/relationships/hyperlink" Target="https://statiz.sporki.com/player/?m=playerinfo&amp;p_no=15453" TargetMode="External"/><Relationship Id="rId14624" Type="http://schemas.openxmlformats.org/officeDocument/2006/relationships/hyperlink" Target="https://statiz.sporki.com/player/?m=playerinfo&amp;p_no=10255" TargetMode="External"/><Relationship Id="rId553" Type="http://schemas.openxmlformats.org/officeDocument/2006/relationships/hyperlink" Target="https://statiz.sporki.com/player/?m=playerinfo&amp;p_no=15047" TargetMode="External"/><Relationship Id="rId2234" Type="http://schemas.openxmlformats.org/officeDocument/2006/relationships/hyperlink" Target="https://statiz.sporki.com/add/?m=draft_school01&amp;ps_school=" TargetMode="External"/><Relationship Id="rId17847" Type="http://schemas.openxmlformats.org/officeDocument/2006/relationships/hyperlink" Target="https://statiz.sporki.com/add/?m=draft_school01&amp;ps_school=50701" TargetMode="External"/><Relationship Id="rId206" Type="http://schemas.openxmlformats.org/officeDocument/2006/relationships/hyperlink" Target="https://statiz.sporki.com/add/?m=draft_school01&amp;ps_school=50805" TargetMode="External"/><Relationship Id="rId7906" Type="http://schemas.openxmlformats.org/officeDocument/2006/relationships/hyperlink" Target="https://statiz.sporki.com/player/?m=playerinfo&amp;p_no=15792" TargetMode="External"/><Relationship Id="rId15398" Type="http://schemas.openxmlformats.org/officeDocument/2006/relationships/hyperlink" Target="https://statiz.sporki.com/player/?m=playerinfo&amp;p_no=1648" TargetMode="External"/><Relationship Id="rId5457" Type="http://schemas.openxmlformats.org/officeDocument/2006/relationships/hyperlink" Target="https://statiz.sporki.com/add/?m=draft_school02&amp;ps_school=60404" TargetMode="External"/><Relationship Id="rId16930" Type="http://schemas.openxmlformats.org/officeDocument/2006/relationships/hyperlink" Target="https://statiz.sporki.com/add/?m=draft_school01&amp;ps_school=50109" TargetMode="External"/><Relationship Id="rId14481" Type="http://schemas.openxmlformats.org/officeDocument/2006/relationships/hyperlink" Target="https://statiz.sporki.com/player/?m=playerinfo&amp;p_no=11461" TargetMode="External"/><Relationship Id="rId4540" Type="http://schemas.openxmlformats.org/officeDocument/2006/relationships/hyperlink" Target="https://statiz.sporki.com/player/?m=playerinfo&amp;p_no=11134" TargetMode="External"/><Relationship Id="rId14134" Type="http://schemas.openxmlformats.org/officeDocument/2006/relationships/hyperlink" Target="https://statiz.sporki.com/player/?m=playerinfo&amp;p_no=10512" TargetMode="External"/><Relationship Id="rId2091" Type="http://schemas.openxmlformats.org/officeDocument/2006/relationships/hyperlink" Target="https://statiz.sporki.com/add/?m=draft_school02&amp;ps_school=" TargetMode="External"/><Relationship Id="rId7763" Type="http://schemas.openxmlformats.org/officeDocument/2006/relationships/hyperlink" Target="https://statiz.sporki.com/add/?m=draft_school01&amp;ps_school=" TargetMode="External"/><Relationship Id="rId17357" Type="http://schemas.openxmlformats.org/officeDocument/2006/relationships/hyperlink" Target="https://statiz.sporki.com/add/?m=draft_school01&amp;ps_school=50605" TargetMode="External"/><Relationship Id="rId7416" Type="http://schemas.openxmlformats.org/officeDocument/2006/relationships/hyperlink" Target="https://statiz.sporki.com/add/?m=draft_school02&amp;ps_school=61002" TargetMode="External"/><Relationship Id="rId10744" Type="http://schemas.openxmlformats.org/officeDocument/2006/relationships/hyperlink" Target="https://statiz.sporki.com/player/?m=playerinfo&amp;p_no=1484" TargetMode="External"/><Relationship Id="rId13967" Type="http://schemas.openxmlformats.org/officeDocument/2006/relationships/hyperlink" Target="https://statiz.sporki.com/player/?m=playerinfo&amp;p_no=10585" TargetMode="External"/><Relationship Id="rId16440" Type="http://schemas.openxmlformats.org/officeDocument/2006/relationships/hyperlink" Target="https://statiz.sporki.com/add/?m=draft_school01&amp;ps_school=51126" TargetMode="External"/><Relationship Id="rId1577" Type="http://schemas.openxmlformats.org/officeDocument/2006/relationships/hyperlink" Target="https://statiz.sporki.com/add/?m=draft_school01&amp;ps_school=50403" TargetMode="External"/><Relationship Id="rId19663" Type="http://schemas.openxmlformats.org/officeDocument/2006/relationships/hyperlink" Target="https://statiz.sporki.com/add/?m=draft_school01&amp;ps_school=50501" TargetMode="External"/><Relationship Id="rId4050" Type="http://schemas.openxmlformats.org/officeDocument/2006/relationships/hyperlink" Target="https://statiz.sporki.com/add/?m=draft_school02&amp;ps_school=60103" TargetMode="External"/><Relationship Id="rId9722" Type="http://schemas.openxmlformats.org/officeDocument/2006/relationships/hyperlink" Target="https://statiz.sporki.com/add/?m=draft_school01&amp;ps_school=50106" TargetMode="External"/><Relationship Id="rId19316" Type="http://schemas.openxmlformats.org/officeDocument/2006/relationships/hyperlink" Target="https://statiz.sporki.com/add/?m=draft_school01&amp;ps_school=50103" TargetMode="External"/><Relationship Id="rId7273" Type="http://schemas.openxmlformats.org/officeDocument/2006/relationships/hyperlink" Target="https://statiz.sporki.com/player/?m=playerinfo&amp;p_no=10411" TargetMode="External"/><Relationship Id="rId10254" Type="http://schemas.openxmlformats.org/officeDocument/2006/relationships/hyperlink" Target="https://statiz.sporki.com/add/?m=draft_school02&amp;ps_school=" TargetMode="External"/><Relationship Id="rId12703" Type="http://schemas.openxmlformats.org/officeDocument/2006/relationships/hyperlink" Target="https://statiz.sporki.com/player/?m=playerinfo&amp;p_no=14724" TargetMode="External"/><Relationship Id="rId15926" Type="http://schemas.openxmlformats.org/officeDocument/2006/relationships/hyperlink" Target="https://statiz.sporki.com/player/?m=playerinfo&amp;p_no=1263" TargetMode="External"/><Relationship Id="rId3883" Type="http://schemas.openxmlformats.org/officeDocument/2006/relationships/hyperlink" Target="https://statiz.sporki.com/player/?m=playerinfo&amp;p_no=11421" TargetMode="External"/><Relationship Id="rId13477" Type="http://schemas.openxmlformats.org/officeDocument/2006/relationships/hyperlink" Target="https://statiz.sporki.com/player/?m=playerinfo&amp;p_no=11419" TargetMode="External"/><Relationship Id="rId1087" Type="http://schemas.openxmlformats.org/officeDocument/2006/relationships/hyperlink" Target="https://statiz.sporki.com/player/?m=playerinfo&amp;p_no=14804" TargetMode="External"/><Relationship Id="rId3536" Type="http://schemas.openxmlformats.org/officeDocument/2006/relationships/hyperlink" Target="https://statiz.sporki.com/add/?m=draft_school01&amp;ps_school=" TargetMode="External"/><Relationship Id="rId6759" Type="http://schemas.openxmlformats.org/officeDocument/2006/relationships/hyperlink" Target="https://statiz.sporki.com/add/?m=draft_school02&amp;ps_school=" TargetMode="External"/><Relationship Id="rId12560" Type="http://schemas.openxmlformats.org/officeDocument/2006/relationships/hyperlink" Target="https://statiz.sporki.com/player/?m=playerinfo&amp;p_no=14821" TargetMode="External"/><Relationship Id="rId19173" Type="http://schemas.openxmlformats.org/officeDocument/2006/relationships/hyperlink" Target="https://statiz.sporki.com/add/?m=draft_school01&amp;ps_school=50805" TargetMode="External"/><Relationship Id="rId9232" Type="http://schemas.openxmlformats.org/officeDocument/2006/relationships/hyperlink" Target="https://statiz.sporki.com/player/?m=playerinfo&amp;p_no=1955" TargetMode="External"/><Relationship Id="rId12213" Type="http://schemas.openxmlformats.org/officeDocument/2006/relationships/hyperlink" Target="https://statiz.sporki.com/player/?m=playerinfo&amp;p_no=15438" TargetMode="External"/><Relationship Id="rId5842" Type="http://schemas.openxmlformats.org/officeDocument/2006/relationships/hyperlink" Target="https://statiz.sporki.com/player/?m=playerinfo&amp;p_no=10337" TargetMode="External"/><Relationship Id="rId15436" Type="http://schemas.openxmlformats.org/officeDocument/2006/relationships/hyperlink" Target="https://statiz.sporki.com/player/?m=playerinfo&amp;p_no=1694" TargetMode="External"/><Relationship Id="rId15783" Type="http://schemas.openxmlformats.org/officeDocument/2006/relationships/hyperlink" Target="https://statiz.sporki.com/player/?m=playerinfo&amp;p_no=1381" TargetMode="External"/><Relationship Id="rId3393" Type="http://schemas.openxmlformats.org/officeDocument/2006/relationships/hyperlink" Target="https://statiz.sporki.com/add/?m=draft_school02&amp;ps_school=60109" TargetMode="External"/><Relationship Id="rId3046" Type="http://schemas.openxmlformats.org/officeDocument/2006/relationships/hyperlink" Target="https://statiz.sporki.com/player/?m=playerinfo&amp;p_no=12889" TargetMode="External"/><Relationship Id="rId18659" Type="http://schemas.openxmlformats.org/officeDocument/2006/relationships/hyperlink" Target="https://statiz.sporki.com/add/?m=draft_school01&amp;ps_school=50209" TargetMode="External"/><Relationship Id="rId6269" Type="http://schemas.openxmlformats.org/officeDocument/2006/relationships/hyperlink" Target="https://statiz.sporki.com/add/?m=draft_school01&amp;ps_school=50601" TargetMode="External"/><Relationship Id="rId8718" Type="http://schemas.openxmlformats.org/officeDocument/2006/relationships/hyperlink" Target="https://statiz.sporki.com/add/?m=draft_school02&amp;ps_school=60803" TargetMode="External"/><Relationship Id="rId12070" Type="http://schemas.openxmlformats.org/officeDocument/2006/relationships/hyperlink" Target="https://statiz.sporki.com/player/?m=playerinfo&amp;p_no=1112" TargetMode="External"/><Relationship Id="rId17742" Type="http://schemas.openxmlformats.org/officeDocument/2006/relationships/hyperlink" Target="https://statiz.sporki.com/add/?m=draft_school01&amp;ps_school=50802" TargetMode="External"/><Relationship Id="rId2879" Type="http://schemas.openxmlformats.org/officeDocument/2006/relationships/hyperlink" Target="https://statiz.sporki.com/add/?m=draft_school01&amp;ps_school=50901" TargetMode="External"/><Relationship Id="rId7801" Type="http://schemas.openxmlformats.org/officeDocument/2006/relationships/hyperlink" Target="https://statiz.sporki.com/player/?m=playerinfo&amp;p_no=2146" TargetMode="External"/><Relationship Id="rId15293" Type="http://schemas.openxmlformats.org/officeDocument/2006/relationships/hyperlink" Target="https://statiz.sporki.com/player/?m=playerinfo&amp;p_no=1872" TargetMode="External"/><Relationship Id="rId101" Type="http://schemas.openxmlformats.org/officeDocument/2006/relationships/hyperlink" Target="https://statiz.sporki.com/add/?m=draft_school01&amp;ps_school=50110" TargetMode="External"/><Relationship Id="rId5352" Type="http://schemas.openxmlformats.org/officeDocument/2006/relationships/hyperlink" Target="https://statiz.sporki.com/add/?m=draft_school02&amp;ps_school=" TargetMode="External"/><Relationship Id="rId5005" Type="http://schemas.openxmlformats.org/officeDocument/2006/relationships/hyperlink" Target="https://statiz.sporki.com/player/?m=playerinfo&amp;p_no=11165" TargetMode="External"/><Relationship Id="rId8575" Type="http://schemas.openxmlformats.org/officeDocument/2006/relationships/hyperlink" Target="https://statiz.sporki.com/player/?m=playerinfo&amp;p_no=1983" TargetMode="External"/><Relationship Id="rId18169" Type="http://schemas.openxmlformats.org/officeDocument/2006/relationships/hyperlink" Target="https://statiz.sporki.com/add/?m=draft_school01&amp;ps_school=50301" TargetMode="External"/><Relationship Id="rId1962" Type="http://schemas.openxmlformats.org/officeDocument/2006/relationships/hyperlink" Target="https://statiz.sporki.com/add/?m=draft_school02&amp;ps_school=" TargetMode="External"/><Relationship Id="rId8228" Type="http://schemas.openxmlformats.org/officeDocument/2006/relationships/hyperlink" Target="https://statiz.sporki.com/add/?m=draft_school01&amp;ps_school=50402" TargetMode="External"/><Relationship Id="rId11556" Type="http://schemas.openxmlformats.org/officeDocument/2006/relationships/hyperlink" Target="https://statiz.sporki.com/add/?m=draft_school02&amp;ps_school=60109" TargetMode="External"/><Relationship Id="rId1615" Type="http://schemas.openxmlformats.org/officeDocument/2006/relationships/hyperlink" Target="https://statiz.sporki.com/player/?m=playerinfo&amp;p_no=14701" TargetMode="External"/><Relationship Id="rId11209" Type="http://schemas.openxmlformats.org/officeDocument/2006/relationships/hyperlink" Target="https://statiz.sporki.com/player/?m=playerinfo&amp;p_no=1322" TargetMode="External"/><Relationship Id="rId14779" Type="http://schemas.openxmlformats.org/officeDocument/2006/relationships/hyperlink" Target="https://statiz.sporki.com/player/?m=playerinfo&amp;p_no=2158" TargetMode="External"/><Relationship Id="rId4838" Type="http://schemas.openxmlformats.org/officeDocument/2006/relationships/hyperlink" Target="https://statiz.sporki.com/add/?m=draft_school01&amp;ps_school=50604" TargetMode="External"/><Relationship Id="rId17252" Type="http://schemas.openxmlformats.org/officeDocument/2006/relationships/hyperlink" Target="https://statiz.sporki.com/add/?m=draft_school01&amp;ps_school=50808" TargetMode="External"/><Relationship Id="rId2389" Type="http://schemas.openxmlformats.org/officeDocument/2006/relationships/hyperlink" Target="https://statiz.sporki.com/player/?m=playerinfo&amp;p_no=13083" TargetMode="External"/><Relationship Id="rId7311" Type="http://schemas.openxmlformats.org/officeDocument/2006/relationships/hyperlink" Target="https://statiz.sporki.com/add/?m=draft_school02&amp;ps_school=" TargetMode="External"/><Relationship Id="rId3921" Type="http://schemas.openxmlformats.org/officeDocument/2006/relationships/hyperlink" Target="https://statiz.sporki.com/add/?m=draft_school02&amp;ps_school=" TargetMode="External"/><Relationship Id="rId13515" Type="http://schemas.openxmlformats.org/officeDocument/2006/relationships/hyperlink" Target="https://statiz.sporki.com/player/?m=playerinfo&amp;p_no=11340" TargetMode="External"/><Relationship Id="rId13862" Type="http://schemas.openxmlformats.org/officeDocument/2006/relationships/hyperlink" Target="https://statiz.sporki.com/player/?m=playerinfo&amp;p_no=10720" TargetMode="External"/><Relationship Id="rId1472" Type="http://schemas.openxmlformats.org/officeDocument/2006/relationships/hyperlink" Target="https://statiz.sporki.com/add/?m=draft_school01&amp;ps_school=50116" TargetMode="External"/><Relationship Id="rId8085" Type="http://schemas.openxmlformats.org/officeDocument/2006/relationships/hyperlink" Target="https://statiz.sporki.com/add/?m=draft_school02&amp;ps_school=60101" TargetMode="External"/><Relationship Id="rId11066" Type="http://schemas.openxmlformats.org/officeDocument/2006/relationships/hyperlink" Target="https://statiz.sporki.com/add/?m=draft_school01&amp;ps_school=50116" TargetMode="External"/><Relationship Id="rId1125" Type="http://schemas.openxmlformats.org/officeDocument/2006/relationships/hyperlink" Target="https://statiz.sporki.com/add/?m=draft_school02&amp;ps_school=" TargetMode="External"/><Relationship Id="rId4695" Type="http://schemas.openxmlformats.org/officeDocument/2006/relationships/hyperlink" Target="https://statiz.sporki.com/add/?m=draft_school02&amp;ps_school=" TargetMode="External"/><Relationship Id="rId14289" Type="http://schemas.openxmlformats.org/officeDocument/2006/relationships/hyperlink" Target="https://statiz.sporki.com/player/?m=playerinfo&amp;p_no=2409" TargetMode="External"/><Relationship Id="rId16738" Type="http://schemas.openxmlformats.org/officeDocument/2006/relationships/hyperlink" Target="https://statiz.sporki.com/add/?m=draft_school01&amp;ps_school=50209" TargetMode="External"/><Relationship Id="rId4348" Type="http://schemas.openxmlformats.org/officeDocument/2006/relationships/hyperlink" Target="https://statiz.sporki.com/player/?m=playerinfo&amp;p_no=11239" TargetMode="External"/><Relationship Id="rId19211" Type="http://schemas.openxmlformats.org/officeDocument/2006/relationships/hyperlink" Target="https://statiz.sporki.com/add/?m=draft_school01&amp;ps_school=50501" TargetMode="External"/><Relationship Id="rId10899" Type="http://schemas.openxmlformats.org/officeDocument/2006/relationships/hyperlink" Target="https://statiz.sporki.com/add/?m=draft_school02&amp;ps_school=" TargetMode="External"/><Relationship Id="rId15821" Type="http://schemas.openxmlformats.org/officeDocument/2006/relationships/hyperlink" Target="https://statiz.sporki.com/player/?m=playerinfo&amp;p_no=1356" TargetMode="External"/><Relationship Id="rId13372" Type="http://schemas.openxmlformats.org/officeDocument/2006/relationships/hyperlink" Target="https://statiz.sporki.com/player/?m=playerinfo&amp;p_no=11367" TargetMode="External"/><Relationship Id="rId3431" Type="http://schemas.openxmlformats.org/officeDocument/2006/relationships/hyperlink" Target="https://statiz.sporki.com/add/?m=draft_school01&amp;ps_school=50403" TargetMode="External"/><Relationship Id="rId13025" Type="http://schemas.openxmlformats.org/officeDocument/2006/relationships/hyperlink" Target="https://statiz.sporki.com/player/?m=playerinfo&amp;p_no=13064" TargetMode="External"/><Relationship Id="rId16595" Type="http://schemas.openxmlformats.org/officeDocument/2006/relationships/hyperlink" Target="https://statiz.sporki.com/add/?m=draft_school01&amp;ps_school=50116" TargetMode="External"/><Relationship Id="rId6654" Type="http://schemas.openxmlformats.org/officeDocument/2006/relationships/hyperlink" Target="https://statiz.sporki.com/add/?m=draft_school02&amp;ps_school=" TargetMode="External"/><Relationship Id="rId16248" Type="http://schemas.openxmlformats.org/officeDocument/2006/relationships/hyperlink" Target="https://statiz.sporki.com/add/?m=draft_school01&amp;ps_school=50116" TargetMode="External"/><Relationship Id="rId6307" Type="http://schemas.openxmlformats.org/officeDocument/2006/relationships/hyperlink" Target="https://statiz.sporki.com/player/?m=playerinfo&amp;p_no=10293" TargetMode="External"/><Relationship Id="rId9877" Type="http://schemas.openxmlformats.org/officeDocument/2006/relationships/hyperlink" Target="https://statiz.sporki.com/player/?m=playerinfo&amp;p_no=1713" TargetMode="External"/><Relationship Id="rId12858" Type="http://schemas.openxmlformats.org/officeDocument/2006/relationships/hyperlink" Target="https://statiz.sporki.com/player/?m=playerinfo&amp;p_no=14144" TargetMode="External"/><Relationship Id="rId2917" Type="http://schemas.openxmlformats.org/officeDocument/2006/relationships/hyperlink" Target="https://statiz.sporki.com/player/?m=playerinfo&amp;p_no=12873" TargetMode="External"/><Relationship Id="rId15331" Type="http://schemas.openxmlformats.org/officeDocument/2006/relationships/hyperlink" Target="https://statiz.sporki.com/player/?m=playerinfo&amp;p_no=1727" TargetMode="External"/><Relationship Id="rId8960" Type="http://schemas.openxmlformats.org/officeDocument/2006/relationships/hyperlink" Target="https://statiz.sporki.com/add/?m=draft_school01&amp;ps_school=50110" TargetMode="External"/><Relationship Id="rId18554" Type="http://schemas.openxmlformats.org/officeDocument/2006/relationships/hyperlink" Target="https://statiz.sporki.com/add/?m=draft_school01&amp;ps_school=50109" TargetMode="External"/><Relationship Id="rId8613" Type="http://schemas.openxmlformats.org/officeDocument/2006/relationships/hyperlink" Target="https://statiz.sporki.com/add/?m=draft_school02&amp;ps_school=60111" TargetMode="External"/><Relationship Id="rId11941" Type="http://schemas.openxmlformats.org/officeDocument/2006/relationships/hyperlink" Target="https://statiz.sporki.com/player/?m=playerinfo&amp;p_no=1190" TargetMode="External"/><Relationship Id="rId18207" Type="http://schemas.openxmlformats.org/officeDocument/2006/relationships/hyperlink" Target="https://statiz.sporki.com/add/?m=draft_school01&amp;ps_school=50104" TargetMode="External"/><Relationship Id="rId6164" Type="http://schemas.openxmlformats.org/officeDocument/2006/relationships/hyperlink" Target="https://statiz.sporki.com/add/?m=draft_school01&amp;ps_school=50115" TargetMode="External"/><Relationship Id="rId2774" Type="http://schemas.openxmlformats.org/officeDocument/2006/relationships/hyperlink" Target="https://statiz.sporki.com/add/?m=draft_school01&amp;ps_school=50807" TargetMode="External"/><Relationship Id="rId9387" Type="http://schemas.openxmlformats.org/officeDocument/2006/relationships/hyperlink" Target="https://statiz.sporki.com/add/?m=draft_school02&amp;ps_school=60113" TargetMode="External"/><Relationship Id="rId14817" Type="http://schemas.openxmlformats.org/officeDocument/2006/relationships/hyperlink" Target="https://statiz.sporki.com/player/?m=playerinfo&amp;p_no=10121" TargetMode="External"/><Relationship Id="rId746" Type="http://schemas.openxmlformats.org/officeDocument/2006/relationships/hyperlink" Target="https://statiz.sporki.com/add/?m=draft_school01&amp;ps_school=50604" TargetMode="External"/><Relationship Id="rId2427" Type="http://schemas.openxmlformats.org/officeDocument/2006/relationships/hyperlink" Target="https://statiz.sporki.com/add/?m=draft_school02&amp;ps_school=" TargetMode="External"/><Relationship Id="rId12368" Type="http://schemas.openxmlformats.org/officeDocument/2006/relationships/hyperlink" Target="https://statiz.sporki.com/player/?m=playerinfo&amp;p_no=15073" TargetMode="External"/><Relationship Id="rId5997" Type="http://schemas.openxmlformats.org/officeDocument/2006/relationships/hyperlink" Target="https://statiz.sporki.com/add/?m=draft_school02&amp;ps_school=" TargetMode="External"/><Relationship Id="rId13900" Type="http://schemas.openxmlformats.org/officeDocument/2006/relationships/hyperlink" Target="https://statiz.sporki.com/player/?m=playerinfo&amp;p_no=10736" TargetMode="External"/><Relationship Id="rId8470" Type="http://schemas.openxmlformats.org/officeDocument/2006/relationships/hyperlink" Target="https://statiz.sporki.com/player/?m=playerinfo&amp;p_no=2077" TargetMode="External"/><Relationship Id="rId11451" Type="http://schemas.openxmlformats.org/officeDocument/2006/relationships/hyperlink" Target="https://statiz.sporki.com/add/?m=draft_school02&amp;ps_school=60108" TargetMode="External"/><Relationship Id="rId18064" Type="http://schemas.openxmlformats.org/officeDocument/2006/relationships/hyperlink" Target="https://statiz.sporki.com/add/?m=draft_school01&amp;ps_school=50904" TargetMode="External"/><Relationship Id="rId1510" Type="http://schemas.openxmlformats.org/officeDocument/2006/relationships/hyperlink" Target="https://statiz.sporki.com/player/?m=playerinfo&amp;p_no=14594" TargetMode="External"/><Relationship Id="rId8123" Type="http://schemas.openxmlformats.org/officeDocument/2006/relationships/hyperlink" Target="https://statiz.sporki.com/add/?m=draft_school01&amp;ps_school=50812" TargetMode="External"/><Relationship Id="rId10053" Type="http://schemas.openxmlformats.org/officeDocument/2006/relationships/hyperlink" Target="https://statiz.sporki.com/add/?m=draft_school02&amp;ps_school=60802" TargetMode="External"/><Relationship Id="rId11104" Type="http://schemas.openxmlformats.org/officeDocument/2006/relationships/hyperlink" Target="https://statiz.sporki.com/player/?m=playerinfo&amp;p_no=1284" TargetMode="External"/><Relationship Id="rId14674" Type="http://schemas.openxmlformats.org/officeDocument/2006/relationships/hyperlink" Target="https://statiz.sporki.com/player/?m=playerinfo&amp;p_no=10584" TargetMode="External"/><Relationship Id="rId15725" Type="http://schemas.openxmlformats.org/officeDocument/2006/relationships/hyperlink" Target="https://statiz.sporki.com/player/?m=playerinfo&amp;p_no=1472" TargetMode="External"/><Relationship Id="rId3682" Type="http://schemas.openxmlformats.org/officeDocument/2006/relationships/hyperlink" Target="https://statiz.sporki.com/player/?m=playerinfo&amp;p_no=11321" TargetMode="External"/><Relationship Id="rId4733" Type="http://schemas.openxmlformats.org/officeDocument/2006/relationships/hyperlink" Target="https://statiz.sporki.com/add/?m=draft_school01&amp;ps_school=50201" TargetMode="External"/><Relationship Id="rId13276" Type="http://schemas.openxmlformats.org/officeDocument/2006/relationships/hyperlink" Target="https://statiz.sporki.com/player/?m=playerinfo&amp;p_no=12634" TargetMode="External"/><Relationship Id="rId14327" Type="http://schemas.openxmlformats.org/officeDocument/2006/relationships/hyperlink" Target="https://statiz.sporki.com/player/?m=playerinfo&amp;p_no=10648" TargetMode="External"/><Relationship Id="rId2284" Type="http://schemas.openxmlformats.org/officeDocument/2006/relationships/hyperlink" Target="https://statiz.sporki.com/player/?m=playerinfo&amp;p_no=14206" TargetMode="External"/><Relationship Id="rId3335" Type="http://schemas.openxmlformats.org/officeDocument/2006/relationships/hyperlink" Target="https://statiz.sporki.com/add/?m=draft_school01&amp;ps_school=50108" TargetMode="External"/><Relationship Id="rId16499" Type="http://schemas.openxmlformats.org/officeDocument/2006/relationships/hyperlink" Target="https://statiz.sporki.com/add/?m=draft_school01&amp;ps_school=50209" TargetMode="External"/><Relationship Id="rId17897" Type="http://schemas.openxmlformats.org/officeDocument/2006/relationships/hyperlink" Target="https://statiz.sporki.com/add/?m=draft_school01&amp;ps_school=50604" TargetMode="External"/><Relationship Id="rId18948" Type="http://schemas.openxmlformats.org/officeDocument/2006/relationships/hyperlink" Target="https://statiz.sporki.com/add/?m=draft_school01&amp;ps_school=50806" TargetMode="External"/><Relationship Id="rId256" Type="http://schemas.openxmlformats.org/officeDocument/2006/relationships/hyperlink" Target="https://statiz.sporki.com/player/?m=playerinfo&amp;p_no=15481" TargetMode="External"/><Relationship Id="rId6558" Type="http://schemas.openxmlformats.org/officeDocument/2006/relationships/hyperlink" Target="https://statiz.sporki.com/add/?m=draft_school02&amp;ps_school=" TargetMode="External"/><Relationship Id="rId7956" Type="http://schemas.openxmlformats.org/officeDocument/2006/relationships/hyperlink" Target="https://statiz.sporki.com/add/?m=draft_school02&amp;ps_school=60111" TargetMode="External"/><Relationship Id="rId10937" Type="http://schemas.openxmlformats.org/officeDocument/2006/relationships/hyperlink" Target="https://statiz.sporki.com/add/?m=draft_school01&amp;ps_school=50103" TargetMode="External"/><Relationship Id="rId7609" Type="http://schemas.openxmlformats.org/officeDocument/2006/relationships/hyperlink" Target="https://statiz.sporki.com/player/?m=playerinfo&amp;p_no=2194" TargetMode="External"/><Relationship Id="rId9031" Type="http://schemas.openxmlformats.org/officeDocument/2006/relationships/hyperlink" Target="https://statiz.sporki.com/player/?m=playerinfo&amp;p_no=1968" TargetMode="External"/><Relationship Id="rId13410" Type="http://schemas.openxmlformats.org/officeDocument/2006/relationships/hyperlink" Target="https://statiz.sporki.com/player/?m=playerinfo&amp;p_no=13272" TargetMode="External"/><Relationship Id="rId16980" Type="http://schemas.openxmlformats.org/officeDocument/2006/relationships/hyperlink" Target="https://statiz.sporki.com/add/?m=draft_school01&amp;ps_school=50103" TargetMode="External"/><Relationship Id="rId12012" Type="http://schemas.openxmlformats.org/officeDocument/2006/relationships/hyperlink" Target="https://statiz.sporki.com/add/?m=draft_school02&amp;ps_school=60113" TargetMode="External"/><Relationship Id="rId15582" Type="http://schemas.openxmlformats.org/officeDocument/2006/relationships/hyperlink" Target="https://statiz.sporki.com/player/?m=playerinfo&amp;p_no=1515" TargetMode="External"/><Relationship Id="rId16633" Type="http://schemas.openxmlformats.org/officeDocument/2006/relationships/hyperlink" Target="https://statiz.sporki.com/add/?m=draft_school01&amp;ps_school=50403" TargetMode="External"/><Relationship Id="rId1020" Type="http://schemas.openxmlformats.org/officeDocument/2006/relationships/hyperlink" Target="https://statiz.sporki.com/add/?m=draft_school02&amp;ps_school=60108" TargetMode="External"/><Relationship Id="rId4590" Type="http://schemas.openxmlformats.org/officeDocument/2006/relationships/hyperlink" Target="https://statiz.sporki.com/add/?m=draft_school02&amp;ps_school=60804" TargetMode="External"/><Relationship Id="rId5641" Type="http://schemas.openxmlformats.org/officeDocument/2006/relationships/hyperlink" Target="https://statiz.sporki.com/player/?m=playerinfo&amp;p_no=10335" TargetMode="External"/><Relationship Id="rId14184" Type="http://schemas.openxmlformats.org/officeDocument/2006/relationships/hyperlink" Target="https://statiz.sporki.com/player/?m=playerinfo&amp;p_no=10132" TargetMode="External"/><Relationship Id="rId15235" Type="http://schemas.openxmlformats.org/officeDocument/2006/relationships/hyperlink" Target="https://statiz.sporki.com/player/?m=playerinfo&amp;p_no=1879" TargetMode="External"/><Relationship Id="rId3192" Type="http://schemas.openxmlformats.org/officeDocument/2006/relationships/hyperlink" Target="https://statiz.sporki.com/add/?m=draft_school02&amp;ps_school=" TargetMode="External"/><Relationship Id="rId4243" Type="http://schemas.openxmlformats.org/officeDocument/2006/relationships/hyperlink" Target="https://statiz.sporki.com/player/?m=playerinfo&amp;p_no=11406" TargetMode="External"/><Relationship Id="rId8864" Type="http://schemas.openxmlformats.org/officeDocument/2006/relationships/hyperlink" Target="https://statiz.sporki.com/add/?m=draft_school01&amp;ps_school=50701" TargetMode="External"/><Relationship Id="rId9915" Type="http://schemas.openxmlformats.org/officeDocument/2006/relationships/hyperlink" Target="https://statiz.sporki.com/add/?m=draft_school02&amp;ps_school=60109" TargetMode="External"/><Relationship Id="rId18458" Type="http://schemas.openxmlformats.org/officeDocument/2006/relationships/hyperlink" Target="https://statiz.sporki.com/add/?m=draft_school01&amp;ps_school=50208" TargetMode="External"/><Relationship Id="rId19509" Type="http://schemas.openxmlformats.org/officeDocument/2006/relationships/hyperlink" Target="https://statiz.sporki.com/add/?m=draft_school01&amp;ps_school=50802" TargetMode="External"/><Relationship Id="rId7466" Type="http://schemas.openxmlformats.org/officeDocument/2006/relationships/hyperlink" Target="https://statiz.sporki.com/add/?m=draft_school01&amp;ps_school=50807" TargetMode="External"/><Relationship Id="rId8517" Type="http://schemas.openxmlformats.org/officeDocument/2006/relationships/hyperlink" Target="https://statiz.sporki.com/add/?m=draft_school02&amp;ps_school=60103" TargetMode="External"/><Relationship Id="rId10794" Type="http://schemas.openxmlformats.org/officeDocument/2006/relationships/hyperlink" Target="https://statiz.sporki.com/add/?m=draft_school02&amp;ps_school=60802" TargetMode="External"/><Relationship Id="rId11845" Type="http://schemas.openxmlformats.org/officeDocument/2006/relationships/hyperlink" Target="https://statiz.sporki.com/player/?m=playerinfo&amp;p_no=1054" TargetMode="External"/><Relationship Id="rId1904" Type="http://schemas.openxmlformats.org/officeDocument/2006/relationships/hyperlink" Target="https://statiz.sporki.com/add/?m=draft_school01&amp;ps_school=50802" TargetMode="External"/><Relationship Id="rId6068" Type="http://schemas.openxmlformats.org/officeDocument/2006/relationships/hyperlink" Target="https://statiz.sporki.com/add/?m=draft_school01&amp;ps_school=50601" TargetMode="External"/><Relationship Id="rId7119" Type="http://schemas.openxmlformats.org/officeDocument/2006/relationships/hyperlink" Target="https://statiz.sporki.com/add/?m=draft_school02&amp;ps_school=60401" TargetMode="External"/><Relationship Id="rId10447" Type="http://schemas.openxmlformats.org/officeDocument/2006/relationships/hyperlink" Target="https://statiz.sporki.com/player/?m=playerinfo&amp;p_no=1538" TargetMode="External"/><Relationship Id="rId16490" Type="http://schemas.openxmlformats.org/officeDocument/2006/relationships/hyperlink" Target="https://statiz.sporki.com/add/?m=draft_school01&amp;ps_school=50103" TargetMode="External"/><Relationship Id="rId17541" Type="http://schemas.openxmlformats.org/officeDocument/2006/relationships/hyperlink" Target="https://statiz.sporki.com/add/?m=draft_school01&amp;ps_school=50706" TargetMode="External"/><Relationship Id="rId997" Type="http://schemas.openxmlformats.org/officeDocument/2006/relationships/hyperlink" Target="https://statiz.sporki.com/player/?m=playerinfo&amp;p_no=14806" TargetMode="External"/><Relationship Id="rId2678" Type="http://schemas.openxmlformats.org/officeDocument/2006/relationships/hyperlink" Target="https://statiz.sporki.com/add/?m=draft_school01&amp;ps_school=50201" TargetMode="External"/><Relationship Id="rId3729" Type="http://schemas.openxmlformats.org/officeDocument/2006/relationships/hyperlink" Target="https://statiz.sporki.com/add/?m=draft_school02&amp;ps_school=60103" TargetMode="External"/><Relationship Id="rId5151" Type="http://schemas.openxmlformats.org/officeDocument/2006/relationships/hyperlink" Target="https://statiz.sporki.com/add/?m=draft_school02&amp;ps_school=60114" TargetMode="External"/><Relationship Id="rId7600" Type="http://schemas.openxmlformats.org/officeDocument/2006/relationships/hyperlink" Target="https://statiz.sporki.com/player/?m=playerinfo&amp;p_no=10416" TargetMode="External"/><Relationship Id="rId15092" Type="http://schemas.openxmlformats.org/officeDocument/2006/relationships/hyperlink" Target="https://statiz.sporki.com/player/?m=playerinfo&amp;p_no=2075" TargetMode="External"/><Relationship Id="rId16143" Type="http://schemas.openxmlformats.org/officeDocument/2006/relationships/hyperlink" Target="https://statiz.sporki.com/player/?m=playerinfo&amp;p_no=1090" TargetMode="External"/><Relationship Id="rId6202" Type="http://schemas.openxmlformats.org/officeDocument/2006/relationships/hyperlink" Target="https://statiz.sporki.com/player/?m=playerinfo&amp;p_no=2427" TargetMode="External"/><Relationship Id="rId9772" Type="http://schemas.openxmlformats.org/officeDocument/2006/relationships/hyperlink" Target="https://statiz.sporki.com/player/?m=playerinfo&amp;p_no=1685" TargetMode="External"/><Relationship Id="rId12753" Type="http://schemas.openxmlformats.org/officeDocument/2006/relationships/hyperlink" Target="https://statiz.sporki.com/player/?m=playerinfo&amp;p_no=14641" TargetMode="External"/><Relationship Id="rId13804" Type="http://schemas.openxmlformats.org/officeDocument/2006/relationships/hyperlink" Target="https://statiz.sporki.com/player/?m=playerinfo&amp;p_no=11138" TargetMode="External"/><Relationship Id="rId19366" Type="http://schemas.openxmlformats.org/officeDocument/2006/relationships/hyperlink" Target="https://statiz.sporki.com/add/?m=draft_school01&amp;ps_school=50114" TargetMode="External"/><Relationship Id="rId1761" Type="http://schemas.openxmlformats.org/officeDocument/2006/relationships/hyperlink" Target="https://statiz.sporki.com/add/?m=draft_school02&amp;ps_school=" TargetMode="External"/><Relationship Id="rId2812" Type="http://schemas.openxmlformats.org/officeDocument/2006/relationships/hyperlink" Target="https://statiz.sporki.com/player/?m=playerinfo&amp;p_no=12922" TargetMode="External"/><Relationship Id="rId8374" Type="http://schemas.openxmlformats.org/officeDocument/2006/relationships/hyperlink" Target="https://statiz.sporki.com/player/?m=playerinfo&amp;p_no=2078" TargetMode="External"/><Relationship Id="rId9425" Type="http://schemas.openxmlformats.org/officeDocument/2006/relationships/hyperlink" Target="https://statiz.sporki.com/add/?m=draft_school01&amp;ps_school=50604" TargetMode="External"/><Relationship Id="rId11355" Type="http://schemas.openxmlformats.org/officeDocument/2006/relationships/hyperlink" Target="https://statiz.sporki.com/add/?m=draft_school02&amp;ps_school=60103" TargetMode="External"/><Relationship Id="rId12406" Type="http://schemas.openxmlformats.org/officeDocument/2006/relationships/hyperlink" Target="https://statiz.sporki.com/player/?m=playerinfo&amp;p_no=15054" TargetMode="External"/><Relationship Id="rId19019" Type="http://schemas.openxmlformats.org/officeDocument/2006/relationships/hyperlink" Target="https://statiz.sporki.com/add/?m=draft_school01&amp;ps_school=50901" TargetMode="External"/><Relationship Id="rId1414" Type="http://schemas.openxmlformats.org/officeDocument/2006/relationships/hyperlink" Target="https://statiz.sporki.com/player/?m=playerinfo&amp;p_no=14603" TargetMode="External"/><Relationship Id="rId4984" Type="http://schemas.openxmlformats.org/officeDocument/2006/relationships/hyperlink" Target="https://statiz.sporki.com/player/?m=playerinfo&amp;p_no=10815" TargetMode="External"/><Relationship Id="rId8027" Type="http://schemas.openxmlformats.org/officeDocument/2006/relationships/hyperlink" Target="https://statiz.sporki.com/add/?m=draft_school01&amp;ps_school=50401" TargetMode="External"/><Relationship Id="rId11008" Type="http://schemas.openxmlformats.org/officeDocument/2006/relationships/hyperlink" Target="https://statiz.sporki.com/player/?m=playerinfo&amp;p_no=1337" TargetMode="External"/><Relationship Id="rId14578" Type="http://schemas.openxmlformats.org/officeDocument/2006/relationships/hyperlink" Target="https://statiz.sporki.com/player/?m=playerinfo&amp;p_no=10599" TargetMode="External"/><Relationship Id="rId15976" Type="http://schemas.openxmlformats.org/officeDocument/2006/relationships/hyperlink" Target="https://statiz.sporki.com/player/?m=playerinfo&amp;p_no=1343" TargetMode="External"/><Relationship Id="rId3586" Type="http://schemas.openxmlformats.org/officeDocument/2006/relationships/hyperlink" Target="https://statiz.sporki.com/player/?m=playerinfo&amp;p_no=12602" TargetMode="External"/><Relationship Id="rId4637" Type="http://schemas.openxmlformats.org/officeDocument/2006/relationships/hyperlink" Target="https://statiz.sporki.com/add/?m=draft_school01&amp;ps_school=50114" TargetMode="External"/><Relationship Id="rId15629" Type="http://schemas.openxmlformats.org/officeDocument/2006/relationships/hyperlink" Target="https://statiz.sporki.com/player/?m=playerinfo&amp;p_no=1549" TargetMode="External"/><Relationship Id="rId17051" Type="http://schemas.openxmlformats.org/officeDocument/2006/relationships/hyperlink" Target="https://statiz.sporki.com/add/?m=draft_school01&amp;ps_school=50108" TargetMode="External"/><Relationship Id="rId19500" Type="http://schemas.openxmlformats.org/officeDocument/2006/relationships/hyperlink" Target="https://statiz.sporki.com/add/?m=draft_school01&amp;ps_school=50114" TargetMode="External"/><Relationship Id="rId2188" Type="http://schemas.openxmlformats.org/officeDocument/2006/relationships/hyperlink" Target="https://statiz.sporki.com/player/?m=playerinfo&amp;p_no=13934" TargetMode="External"/><Relationship Id="rId3239" Type="http://schemas.openxmlformats.org/officeDocument/2006/relationships/hyperlink" Target="https://statiz.sporki.com/add/?m=draft_school01&amp;ps_school=50116" TargetMode="External"/><Relationship Id="rId7110" Type="http://schemas.openxmlformats.org/officeDocument/2006/relationships/hyperlink" Target="https://statiz.sporki.com/add/?m=draft_school02&amp;ps_school=" TargetMode="External"/><Relationship Id="rId18102" Type="http://schemas.openxmlformats.org/officeDocument/2006/relationships/hyperlink" Target="https://statiz.sporki.com/add/?m=draft_school01&amp;ps_school=50110" TargetMode="External"/><Relationship Id="rId9282" Type="http://schemas.openxmlformats.org/officeDocument/2006/relationships/hyperlink" Target="https://statiz.sporki.com/add/?m=draft_school02&amp;ps_school=" TargetMode="External"/><Relationship Id="rId13661" Type="http://schemas.openxmlformats.org/officeDocument/2006/relationships/hyperlink" Target="https://statiz.sporki.com/player/?m=playerinfo&amp;p_no=11084" TargetMode="External"/><Relationship Id="rId14712" Type="http://schemas.openxmlformats.org/officeDocument/2006/relationships/hyperlink" Target="https://statiz.sporki.com/player/?m=playerinfo&amp;p_no=2198" TargetMode="External"/><Relationship Id="rId3720" Type="http://schemas.openxmlformats.org/officeDocument/2006/relationships/hyperlink" Target="https://statiz.sporki.com/add/?m=draft_school02&amp;ps_school=" TargetMode="External"/><Relationship Id="rId12263" Type="http://schemas.openxmlformats.org/officeDocument/2006/relationships/hyperlink" Target="https://statiz.sporki.com/player/?m=playerinfo&amp;p_no=15539" TargetMode="External"/><Relationship Id="rId13314" Type="http://schemas.openxmlformats.org/officeDocument/2006/relationships/hyperlink" Target="https://statiz.sporki.com/player/?m=playerinfo&amp;p_no=12517" TargetMode="External"/><Relationship Id="rId16884" Type="http://schemas.openxmlformats.org/officeDocument/2006/relationships/hyperlink" Target="https://statiz.sporki.com/add/?m=draft_school01&amp;ps_school=50206" TargetMode="External"/><Relationship Id="rId17935" Type="http://schemas.openxmlformats.org/officeDocument/2006/relationships/hyperlink" Target="https://statiz.sporki.com/add/?m=draft_school01&amp;ps_school=50111" TargetMode="External"/><Relationship Id="rId641" Type="http://schemas.openxmlformats.org/officeDocument/2006/relationships/hyperlink" Target="https://statiz.sporki.com/add/?m=draft_school01&amp;ps_school=50209" TargetMode="External"/><Relationship Id="rId1271" Type="http://schemas.openxmlformats.org/officeDocument/2006/relationships/hyperlink" Target="https://statiz.sporki.com/add/?m=draft_school01&amp;ps_school=50709" TargetMode="External"/><Relationship Id="rId2322" Type="http://schemas.openxmlformats.org/officeDocument/2006/relationships/hyperlink" Target="https://statiz.sporki.com/add/?m=draft_school02&amp;ps_school=" TargetMode="External"/><Relationship Id="rId5892" Type="http://schemas.openxmlformats.org/officeDocument/2006/relationships/hyperlink" Target="https://statiz.sporki.com/add/?m=draft_school02&amp;ps_school=60602" TargetMode="External"/><Relationship Id="rId6943" Type="http://schemas.openxmlformats.org/officeDocument/2006/relationships/hyperlink" Target="https://statiz.sporki.com/player/?m=playerinfo&amp;p_no=10445" TargetMode="External"/><Relationship Id="rId15486" Type="http://schemas.openxmlformats.org/officeDocument/2006/relationships/hyperlink" Target="https://statiz.sporki.com/player/?m=playerinfo&amp;p_no=1617" TargetMode="External"/><Relationship Id="rId16537" Type="http://schemas.openxmlformats.org/officeDocument/2006/relationships/hyperlink" Target="https://statiz.sporki.com/add/?m=draft_school01&amp;ps_school=50209" TargetMode="External"/><Relationship Id="rId4494" Type="http://schemas.openxmlformats.org/officeDocument/2006/relationships/hyperlink" Target="https://statiz.sporki.com/add/?m=draft_school02&amp;ps_school=" TargetMode="External"/><Relationship Id="rId5545" Type="http://schemas.openxmlformats.org/officeDocument/2006/relationships/hyperlink" Target="https://statiz.sporki.com/player/?m=playerinfo&amp;p_no=10270" TargetMode="External"/><Relationship Id="rId14088" Type="http://schemas.openxmlformats.org/officeDocument/2006/relationships/hyperlink" Target="https://statiz.sporki.com/player/?m=playerinfo&amp;p_no=10536" TargetMode="External"/><Relationship Id="rId15139" Type="http://schemas.openxmlformats.org/officeDocument/2006/relationships/hyperlink" Target="https://statiz.sporki.com/player/?m=playerinfo&amp;p_no=2232" TargetMode="External"/><Relationship Id="rId19010" Type="http://schemas.openxmlformats.org/officeDocument/2006/relationships/hyperlink" Target="https://statiz.sporki.com/add/?m=draft_school01&amp;ps_school=50108" TargetMode="External"/><Relationship Id="rId3096" Type="http://schemas.openxmlformats.org/officeDocument/2006/relationships/hyperlink" Target="https://statiz.sporki.com/add/?m=draft_school02&amp;ps_school=" TargetMode="External"/><Relationship Id="rId4147" Type="http://schemas.openxmlformats.org/officeDocument/2006/relationships/hyperlink" Target="https://statiz.sporki.com/player/?m=playerinfo&amp;p_no=11256" TargetMode="External"/><Relationship Id="rId8768" Type="http://schemas.openxmlformats.org/officeDocument/2006/relationships/hyperlink" Target="https://statiz.sporki.com/add/?m=draft_school01&amp;ps_school=50803" TargetMode="External"/><Relationship Id="rId9819" Type="http://schemas.openxmlformats.org/officeDocument/2006/relationships/hyperlink" Target="https://statiz.sporki.com/add/?m=draft_school02&amp;ps_school=60103" TargetMode="External"/><Relationship Id="rId10698" Type="http://schemas.openxmlformats.org/officeDocument/2006/relationships/hyperlink" Target="https://statiz.sporki.com/add/?m=draft_school02&amp;ps_school=60703" TargetMode="External"/><Relationship Id="rId11749" Type="http://schemas.openxmlformats.org/officeDocument/2006/relationships/hyperlink" Target="https://statiz.sporki.com/player/?m=playerinfo&amp;p_no=1107" TargetMode="External"/><Relationship Id="rId15620" Type="http://schemas.openxmlformats.org/officeDocument/2006/relationships/hyperlink" Target="https://statiz.sporki.com/player/?m=playerinfo&amp;p_no=1597" TargetMode="External"/><Relationship Id="rId1808" Type="http://schemas.openxmlformats.org/officeDocument/2006/relationships/hyperlink" Target="https://statiz.sporki.com/add/?m=draft_school01&amp;ps_school=50101" TargetMode="External"/><Relationship Id="rId13171" Type="http://schemas.openxmlformats.org/officeDocument/2006/relationships/hyperlink" Target="https://statiz.sporki.com/player/?m=playerinfo&amp;p_no=13007" TargetMode="External"/><Relationship Id="rId14222" Type="http://schemas.openxmlformats.org/officeDocument/2006/relationships/hyperlink" Target="https://statiz.sporki.com/player/?m=playerinfo&amp;p_no=10151" TargetMode="External"/><Relationship Id="rId17792" Type="http://schemas.openxmlformats.org/officeDocument/2006/relationships/hyperlink" Target="https://statiz.sporki.com/add/?m=draft_school01&amp;ps_school=50402" TargetMode="External"/><Relationship Id="rId18843" Type="http://schemas.openxmlformats.org/officeDocument/2006/relationships/hyperlink" Target="https://statiz.sporki.com/add/?m=draft_school01&amp;ps_school=50803" TargetMode="External"/><Relationship Id="rId151" Type="http://schemas.openxmlformats.org/officeDocument/2006/relationships/hyperlink" Target="https://statiz.sporki.com/player/?m=playerinfo&amp;p_no=15426" TargetMode="External"/><Relationship Id="rId3230" Type="http://schemas.openxmlformats.org/officeDocument/2006/relationships/hyperlink" Target="https://statiz.sporki.com/add/?m=draft_school01&amp;ps_school=50105" TargetMode="External"/><Relationship Id="rId7851" Type="http://schemas.openxmlformats.org/officeDocument/2006/relationships/hyperlink" Target="https://statiz.sporki.com/add/?m=draft_school02&amp;ps_school=" TargetMode="External"/><Relationship Id="rId8902" Type="http://schemas.openxmlformats.org/officeDocument/2006/relationships/hyperlink" Target="https://statiz.sporki.com/player/?m=playerinfo&amp;p_no=2048" TargetMode="External"/><Relationship Id="rId10832" Type="http://schemas.openxmlformats.org/officeDocument/2006/relationships/hyperlink" Target="https://statiz.sporki.com/add/?m=draft_school01&amp;ps_school=50802" TargetMode="External"/><Relationship Id="rId16394" Type="http://schemas.openxmlformats.org/officeDocument/2006/relationships/hyperlink" Target="https://statiz.sporki.com/add/?m=draft_school01&amp;ps_school=50807" TargetMode="External"/><Relationship Id="rId17445" Type="http://schemas.openxmlformats.org/officeDocument/2006/relationships/hyperlink" Target="https://statiz.sporki.com/add/?m=draft_school01&amp;ps_school=50802" TargetMode="External"/><Relationship Id="rId6453" Type="http://schemas.openxmlformats.org/officeDocument/2006/relationships/hyperlink" Target="https://statiz.sporki.com/add/?m=draft_school02&amp;ps_school=" TargetMode="External"/><Relationship Id="rId7504" Type="http://schemas.openxmlformats.org/officeDocument/2006/relationships/hyperlink" Target="https://statiz.sporki.com/player/?m=playerinfo&amp;p_no=2256" TargetMode="External"/><Relationship Id="rId16047" Type="http://schemas.openxmlformats.org/officeDocument/2006/relationships/hyperlink" Target="https://statiz.sporki.com/player/?m=playerinfo&amp;p_no=1128" TargetMode="External"/><Relationship Id="rId5055" Type="http://schemas.openxmlformats.org/officeDocument/2006/relationships/hyperlink" Target="https://statiz.sporki.com/add/?m=draft_school02&amp;ps_school=" TargetMode="External"/><Relationship Id="rId6106" Type="http://schemas.openxmlformats.org/officeDocument/2006/relationships/hyperlink" Target="https://statiz.sporki.com/player/?m=playerinfo&amp;p_no=10353" TargetMode="External"/><Relationship Id="rId9676" Type="http://schemas.openxmlformats.org/officeDocument/2006/relationships/hyperlink" Target="https://statiz.sporki.com/player/?m=playerinfo&amp;p_no=1739" TargetMode="External"/><Relationship Id="rId1665" Type="http://schemas.openxmlformats.org/officeDocument/2006/relationships/hyperlink" Target="https://statiz.sporki.com/add/?m=draft_school02&amp;ps_school=60114" TargetMode="External"/><Relationship Id="rId2716" Type="http://schemas.openxmlformats.org/officeDocument/2006/relationships/hyperlink" Target="https://statiz.sporki.com/player/?m=playerinfo&amp;p_no=13271" TargetMode="External"/><Relationship Id="rId8278" Type="http://schemas.openxmlformats.org/officeDocument/2006/relationships/hyperlink" Target="https://statiz.sporki.com/player/?m=playerinfo&amp;p_no=2067" TargetMode="External"/><Relationship Id="rId9329" Type="http://schemas.openxmlformats.org/officeDocument/2006/relationships/hyperlink" Target="https://statiz.sporki.com/add/?m=draft_school01&amp;ps_school=50111" TargetMode="External"/><Relationship Id="rId11259" Type="http://schemas.openxmlformats.org/officeDocument/2006/relationships/hyperlink" Target="https://statiz.sporki.com/add/?m=draft_school02&amp;ps_school=" TargetMode="External"/><Relationship Id="rId12657" Type="http://schemas.openxmlformats.org/officeDocument/2006/relationships/hyperlink" Target="https://statiz.sporki.com/player/?m=playerinfo&amp;p_no=14736" TargetMode="External"/><Relationship Id="rId13708" Type="http://schemas.openxmlformats.org/officeDocument/2006/relationships/hyperlink" Target="https://statiz.sporki.com/player/?m=playerinfo&amp;p_no=11307" TargetMode="External"/><Relationship Id="rId15130" Type="http://schemas.openxmlformats.org/officeDocument/2006/relationships/hyperlink" Target="https://statiz.sporki.com/player/?m=playerinfo&amp;p_no=2154" TargetMode="External"/><Relationship Id="rId1318" Type="http://schemas.openxmlformats.org/officeDocument/2006/relationships/hyperlink" Target="https://statiz.sporki.com/player/?m=playerinfo&amp;p_no=14757" TargetMode="External"/><Relationship Id="rId4888" Type="http://schemas.openxmlformats.org/officeDocument/2006/relationships/hyperlink" Target="https://statiz.sporki.com/player/?m=playerinfo&amp;p_no=10808" TargetMode="External"/><Relationship Id="rId5939" Type="http://schemas.openxmlformats.org/officeDocument/2006/relationships/hyperlink" Target="https://statiz.sporki.com/add/?m=draft_school01&amp;ps_school=" TargetMode="External"/><Relationship Id="rId7361" Type="http://schemas.openxmlformats.org/officeDocument/2006/relationships/hyperlink" Target="https://statiz.sporki.com/add/?m=draft_school01&amp;ps_school=50105" TargetMode="External"/><Relationship Id="rId9810" Type="http://schemas.openxmlformats.org/officeDocument/2006/relationships/hyperlink" Target="https://statiz.sporki.com/add/?m=draft_school02&amp;ps_school=60108" TargetMode="External"/><Relationship Id="rId11740" Type="http://schemas.openxmlformats.org/officeDocument/2006/relationships/hyperlink" Target="https://statiz.sporki.com/player/?m=playerinfo&amp;p_no=1078" TargetMode="External"/><Relationship Id="rId18353" Type="http://schemas.openxmlformats.org/officeDocument/2006/relationships/hyperlink" Target="https://statiz.sporki.com/add/?m=draft_school01&amp;ps_school=50706" TargetMode="External"/><Relationship Id="rId19404" Type="http://schemas.openxmlformats.org/officeDocument/2006/relationships/hyperlink" Target="https://statiz.sporki.com/add/?m=draft_school01&amp;ps_school=50802" TargetMode="External"/><Relationship Id="rId24" Type="http://schemas.openxmlformats.org/officeDocument/2006/relationships/hyperlink" Target="https://statiz.sporki.com/add/?m=draft_school02&amp;ps_school=" TargetMode="External"/><Relationship Id="rId7014" Type="http://schemas.openxmlformats.org/officeDocument/2006/relationships/hyperlink" Target="https://statiz.sporki.com/add/?m=draft_school02&amp;ps_school=60704" TargetMode="External"/><Relationship Id="rId8412" Type="http://schemas.openxmlformats.org/officeDocument/2006/relationships/hyperlink" Target="https://statiz.sporki.com/add/?m=draft_school02&amp;ps_school=60108" TargetMode="External"/><Relationship Id="rId10342" Type="http://schemas.openxmlformats.org/officeDocument/2006/relationships/hyperlink" Target="https://statiz.sporki.com/player/?m=playerinfo&amp;p_no=1558" TargetMode="External"/><Relationship Id="rId14963" Type="http://schemas.openxmlformats.org/officeDocument/2006/relationships/hyperlink" Target="https://statiz.sporki.com/player/?m=playerinfo&amp;p_no=2037" TargetMode="External"/><Relationship Id="rId18006" Type="http://schemas.openxmlformats.org/officeDocument/2006/relationships/hyperlink" Target="https://statiz.sporki.com/add/?m=draft_school01&amp;ps_school=50112" TargetMode="External"/><Relationship Id="rId3971" Type="http://schemas.openxmlformats.org/officeDocument/2006/relationships/hyperlink" Target="https://statiz.sporki.com/add/?m=draft_school01&amp;ps_school=50206" TargetMode="External"/><Relationship Id="rId13565" Type="http://schemas.openxmlformats.org/officeDocument/2006/relationships/hyperlink" Target="https://statiz.sporki.com/player/?m=playerinfo&amp;p_no=13262" TargetMode="External"/><Relationship Id="rId14616" Type="http://schemas.openxmlformats.org/officeDocument/2006/relationships/hyperlink" Target="https://statiz.sporki.com/player/?m=playerinfo&amp;p_no=2379" TargetMode="External"/><Relationship Id="rId892" Type="http://schemas.openxmlformats.org/officeDocument/2006/relationships/hyperlink" Target="https://statiz.sporki.com/player/?m=playerinfo&amp;p_no=15124" TargetMode="External"/><Relationship Id="rId2573" Type="http://schemas.openxmlformats.org/officeDocument/2006/relationships/hyperlink" Target="https://statiz.sporki.com/add/?m=draft_school01&amp;ps_school=50701" TargetMode="External"/><Relationship Id="rId3624" Type="http://schemas.openxmlformats.org/officeDocument/2006/relationships/hyperlink" Target="https://statiz.sporki.com/add/?m=draft_school02&amp;ps_school=60104" TargetMode="External"/><Relationship Id="rId9186" Type="http://schemas.openxmlformats.org/officeDocument/2006/relationships/hyperlink" Target="https://statiz.sporki.com/add/?m=draft_school02&amp;ps_school=60102" TargetMode="External"/><Relationship Id="rId12167" Type="http://schemas.openxmlformats.org/officeDocument/2006/relationships/hyperlink" Target="https://statiz.sporki.com/player/?m=playerinfo&amp;p_no=15475" TargetMode="External"/><Relationship Id="rId13218" Type="http://schemas.openxmlformats.org/officeDocument/2006/relationships/hyperlink" Target="https://statiz.sporki.com/player/?m=playerinfo&amp;p_no=12591" TargetMode="External"/><Relationship Id="rId16788" Type="http://schemas.openxmlformats.org/officeDocument/2006/relationships/hyperlink" Target="https://statiz.sporki.com/add/?m=draft_school01&amp;ps_school=50207" TargetMode="External"/><Relationship Id="rId545" Type="http://schemas.openxmlformats.org/officeDocument/2006/relationships/hyperlink" Target="https://statiz.sporki.com/add/?m=draft_school01&amp;ps_school=50103" TargetMode="External"/><Relationship Id="rId1175" Type="http://schemas.openxmlformats.org/officeDocument/2006/relationships/hyperlink" Target="https://statiz.sporki.com/add/?m=draft_school01&amp;ps_school=50209" TargetMode="External"/><Relationship Id="rId2226" Type="http://schemas.openxmlformats.org/officeDocument/2006/relationships/hyperlink" Target="https://statiz.sporki.com/add/?m=draft_school02&amp;ps_school=" TargetMode="External"/><Relationship Id="rId5796" Type="http://schemas.openxmlformats.org/officeDocument/2006/relationships/hyperlink" Target="https://statiz.sporki.com/add/?m=draft_school02&amp;ps_school=" TargetMode="External"/><Relationship Id="rId6847" Type="http://schemas.openxmlformats.org/officeDocument/2006/relationships/hyperlink" Target="https://statiz.sporki.com/player/?m=playerinfo&amp;p_no=2355" TargetMode="External"/><Relationship Id="rId17839" Type="http://schemas.openxmlformats.org/officeDocument/2006/relationships/hyperlink" Target="https://statiz.sporki.com/add/?m=draft_school01&amp;ps_school=50703" TargetMode="External"/><Relationship Id="rId19261" Type="http://schemas.openxmlformats.org/officeDocument/2006/relationships/hyperlink" Target="https://statiz.sporki.com/add/?m=draft_school01&amp;ps_school=50401" TargetMode="External"/><Relationship Id="rId4398" Type="http://schemas.openxmlformats.org/officeDocument/2006/relationships/hyperlink" Target="https://statiz.sporki.com/add/?m=draft_school02&amp;ps_school=60204" TargetMode="External"/><Relationship Id="rId5449" Type="http://schemas.openxmlformats.org/officeDocument/2006/relationships/hyperlink" Target="https://statiz.sporki.com/player/?m=playerinfo&amp;p_no=10898" TargetMode="External"/><Relationship Id="rId9320" Type="http://schemas.openxmlformats.org/officeDocument/2006/relationships/hyperlink" Target="https://statiz.sporki.com/add/?m=draft_school01&amp;ps_school=50402" TargetMode="External"/><Relationship Id="rId11250" Type="http://schemas.openxmlformats.org/officeDocument/2006/relationships/hyperlink" Target="https://statiz.sporki.com/add/?m=draft_school02&amp;ps_school=" TargetMode="External"/><Relationship Id="rId12301" Type="http://schemas.openxmlformats.org/officeDocument/2006/relationships/hyperlink" Target="https://statiz.sporki.com/player/?m=playerinfo&amp;p_no=15089" TargetMode="External"/><Relationship Id="rId15871" Type="http://schemas.openxmlformats.org/officeDocument/2006/relationships/hyperlink" Target="https://statiz.sporki.com/player/?m=playerinfo&amp;p_no=1315" TargetMode="External"/><Relationship Id="rId16922" Type="http://schemas.openxmlformats.org/officeDocument/2006/relationships/hyperlink" Target="https://statiz.sporki.com/add/?m=draft_school01&amp;ps_school=50807" TargetMode="External"/><Relationship Id="rId5930" Type="http://schemas.openxmlformats.org/officeDocument/2006/relationships/hyperlink" Target="https://statiz.sporki.com/add/?m=draft_school01&amp;ps_school=" TargetMode="External"/><Relationship Id="rId14473" Type="http://schemas.openxmlformats.org/officeDocument/2006/relationships/hyperlink" Target="https://statiz.sporki.com/player/?m=playerinfo&amp;p_no=2308" TargetMode="External"/><Relationship Id="rId15524" Type="http://schemas.openxmlformats.org/officeDocument/2006/relationships/hyperlink" Target="https://statiz.sporki.com/player/?m=playerinfo&amp;p_no=1585" TargetMode="External"/><Relationship Id="rId3481" Type="http://schemas.openxmlformats.org/officeDocument/2006/relationships/hyperlink" Target="https://statiz.sporki.com/player/?m=playerinfo&amp;p_no=12510" TargetMode="External"/><Relationship Id="rId4532" Type="http://schemas.openxmlformats.org/officeDocument/2006/relationships/hyperlink" Target="https://statiz.sporki.com/add/?m=draft_school01&amp;ps_school=50105" TargetMode="External"/><Relationship Id="rId13075" Type="http://schemas.openxmlformats.org/officeDocument/2006/relationships/hyperlink" Target="https://statiz.sporki.com/player/?m=playerinfo&amp;p_no=12913" TargetMode="External"/><Relationship Id="rId14126" Type="http://schemas.openxmlformats.org/officeDocument/2006/relationships/hyperlink" Target="https://statiz.sporki.com/player/?m=playerinfo&amp;p_no=10287" TargetMode="External"/><Relationship Id="rId17696" Type="http://schemas.openxmlformats.org/officeDocument/2006/relationships/hyperlink" Target="https://statiz.sporki.com/add/?m=draft_school01&amp;ps_school=50809" TargetMode="External"/><Relationship Id="rId18747" Type="http://schemas.openxmlformats.org/officeDocument/2006/relationships/hyperlink" Target="https://statiz.sporki.com/add/?m=draft_school01&amp;ps_school=50403" TargetMode="External"/><Relationship Id="rId2083" Type="http://schemas.openxmlformats.org/officeDocument/2006/relationships/hyperlink" Target="https://statiz.sporki.com/player/?m=playerinfo&amp;p_no=14184" TargetMode="External"/><Relationship Id="rId3134" Type="http://schemas.openxmlformats.org/officeDocument/2006/relationships/hyperlink" Target="https://statiz.sporki.com/add/?m=draft_school01&amp;ps_school=50114" TargetMode="External"/><Relationship Id="rId7755" Type="http://schemas.openxmlformats.org/officeDocument/2006/relationships/hyperlink" Target="https://statiz.sporki.com/add/?m=draft_school02&amp;ps_school=" TargetMode="External"/><Relationship Id="rId8806" Type="http://schemas.openxmlformats.org/officeDocument/2006/relationships/hyperlink" Target="https://statiz.sporki.com/player/?m=playerinfo&amp;p_no=10296" TargetMode="External"/><Relationship Id="rId16298" Type="http://schemas.openxmlformats.org/officeDocument/2006/relationships/hyperlink" Target="https://statiz.sporki.com/add/?m=draft_school01&amp;ps_school=50107" TargetMode="External"/><Relationship Id="rId17349" Type="http://schemas.openxmlformats.org/officeDocument/2006/relationships/hyperlink" Target="https://statiz.sporki.com/add/?m=draft_school01&amp;ps_school=50602" TargetMode="External"/><Relationship Id="rId6357" Type="http://schemas.openxmlformats.org/officeDocument/2006/relationships/hyperlink" Target="https://statiz.sporki.com/add/?m=draft_school02&amp;ps_school=60102" TargetMode="External"/><Relationship Id="rId7408" Type="http://schemas.openxmlformats.org/officeDocument/2006/relationships/hyperlink" Target="https://statiz.sporki.com/player/?m=playerinfo&amp;p_no=10744" TargetMode="External"/><Relationship Id="rId10736" Type="http://schemas.openxmlformats.org/officeDocument/2006/relationships/hyperlink" Target="https://statiz.sporki.com/add/?m=draft_school01&amp;ps_school=50814" TargetMode="External"/><Relationship Id="rId13959" Type="http://schemas.openxmlformats.org/officeDocument/2006/relationships/hyperlink" Target="https://statiz.sporki.com/player/?m=playerinfo&amp;p_no=10883" TargetMode="External"/><Relationship Id="rId17830" Type="http://schemas.openxmlformats.org/officeDocument/2006/relationships/hyperlink" Target="https://statiz.sporki.com/add/?m=draft_school01&amp;ps_school=50904" TargetMode="External"/><Relationship Id="rId1569" Type="http://schemas.openxmlformats.org/officeDocument/2006/relationships/hyperlink" Target="https://statiz.sporki.com/add/?m=draft_school02&amp;ps_school=" TargetMode="External"/><Relationship Id="rId2967" Type="http://schemas.openxmlformats.org/officeDocument/2006/relationships/hyperlink" Target="https://statiz.sporki.com/add/?m=draft_school02&amp;ps_school=60607" TargetMode="External"/><Relationship Id="rId5440" Type="http://schemas.openxmlformats.org/officeDocument/2006/relationships/hyperlink" Target="https://statiz.sporki.com/player/?m=playerinfo&amp;p_no=10845" TargetMode="External"/><Relationship Id="rId15381" Type="http://schemas.openxmlformats.org/officeDocument/2006/relationships/hyperlink" Target="https://statiz.sporki.com/player/?m=playerinfo&amp;p_no=2096" TargetMode="External"/><Relationship Id="rId16432" Type="http://schemas.openxmlformats.org/officeDocument/2006/relationships/hyperlink" Target="https://statiz.sporki.com/add/?m=draft_school01&amp;ps_school=51124" TargetMode="External"/><Relationship Id="rId939" Type="http://schemas.openxmlformats.org/officeDocument/2006/relationships/hyperlink" Target="https://statiz.sporki.com/add/?m=draft_school02&amp;ps_school=60205" TargetMode="External"/><Relationship Id="rId4042" Type="http://schemas.openxmlformats.org/officeDocument/2006/relationships/hyperlink" Target="https://statiz.sporki.com/player/?m=playerinfo&amp;p_no=11255" TargetMode="External"/><Relationship Id="rId11991" Type="http://schemas.openxmlformats.org/officeDocument/2006/relationships/hyperlink" Target="https://statiz.sporki.com/add/?m=draft_school02&amp;ps_school=60204" TargetMode="External"/><Relationship Id="rId15034" Type="http://schemas.openxmlformats.org/officeDocument/2006/relationships/hyperlink" Target="https://statiz.sporki.com/player/?m=playerinfo&amp;p_no=11455" TargetMode="External"/><Relationship Id="rId19655" Type="http://schemas.openxmlformats.org/officeDocument/2006/relationships/hyperlink" Target="https://statiz.sporki.com/add/?m=draft_school01&amp;ps_school=50602" TargetMode="External"/><Relationship Id="rId8663" Type="http://schemas.openxmlformats.org/officeDocument/2006/relationships/hyperlink" Target="https://statiz.sporki.com/add/?m=draft_school01&amp;ps_school=50107" TargetMode="External"/><Relationship Id="rId9714" Type="http://schemas.openxmlformats.org/officeDocument/2006/relationships/hyperlink" Target="https://statiz.sporki.com/add/?m=draft_school02&amp;ps_school=" TargetMode="External"/><Relationship Id="rId10593" Type="http://schemas.openxmlformats.org/officeDocument/2006/relationships/hyperlink" Target="https://statiz.sporki.com/add/?m=draft_school02&amp;ps_school=60803" TargetMode="External"/><Relationship Id="rId11644" Type="http://schemas.openxmlformats.org/officeDocument/2006/relationships/hyperlink" Target="https://statiz.sporki.com/player/?m=playerinfo&amp;p_no=1172" TargetMode="External"/><Relationship Id="rId18257" Type="http://schemas.openxmlformats.org/officeDocument/2006/relationships/hyperlink" Target="https://statiz.sporki.com/add/?m=draft_school01&amp;ps_school=50502" TargetMode="External"/><Relationship Id="rId19308" Type="http://schemas.openxmlformats.org/officeDocument/2006/relationships/hyperlink" Target="https://statiz.sporki.com/add/?m=draft_school01&amp;ps_school=50608" TargetMode="External"/><Relationship Id="rId1703" Type="http://schemas.openxmlformats.org/officeDocument/2006/relationships/hyperlink" Target="https://statiz.sporki.com/add/?m=draft_school01&amp;ps_school=50710" TargetMode="External"/><Relationship Id="rId7265" Type="http://schemas.openxmlformats.org/officeDocument/2006/relationships/hyperlink" Target="https://statiz.sporki.com/add/?m=draft_school01&amp;ps_school=" TargetMode="External"/><Relationship Id="rId8316" Type="http://schemas.openxmlformats.org/officeDocument/2006/relationships/hyperlink" Target="https://statiz.sporki.com/add/?m=draft_school02&amp;ps_school=60103" TargetMode="External"/><Relationship Id="rId10246" Type="http://schemas.openxmlformats.org/officeDocument/2006/relationships/hyperlink" Target="https://statiz.sporki.com/player/?m=playerinfo&amp;p_no=1704" TargetMode="External"/><Relationship Id="rId3875" Type="http://schemas.openxmlformats.org/officeDocument/2006/relationships/hyperlink" Target="https://statiz.sporki.com/add/?m=draft_school01&amp;ps_school=50108" TargetMode="External"/><Relationship Id="rId4926" Type="http://schemas.openxmlformats.org/officeDocument/2006/relationships/hyperlink" Target="https://statiz.sporki.com/add/?m=draft_school02&amp;ps_school=" TargetMode="External"/><Relationship Id="rId13469" Type="http://schemas.openxmlformats.org/officeDocument/2006/relationships/hyperlink" Target="https://statiz.sporki.com/player/?m=playerinfo&amp;p_no=13056" TargetMode="External"/><Relationship Id="rId14867" Type="http://schemas.openxmlformats.org/officeDocument/2006/relationships/hyperlink" Target="https://statiz.sporki.com/player/?m=playerinfo&amp;p_no=10395" TargetMode="External"/><Relationship Id="rId15918" Type="http://schemas.openxmlformats.org/officeDocument/2006/relationships/hyperlink" Target="https://statiz.sporki.com/player/?m=playerinfo&amp;p_no=1244" TargetMode="External"/><Relationship Id="rId17340" Type="http://schemas.openxmlformats.org/officeDocument/2006/relationships/hyperlink" Target="https://statiz.sporki.com/add/?m=draft_school01&amp;ps_school=50113" TargetMode="External"/><Relationship Id="rId796" Type="http://schemas.openxmlformats.org/officeDocument/2006/relationships/hyperlink" Target="https://statiz.sporki.com/player/?m=playerinfo&amp;p_no=15044" TargetMode="External"/><Relationship Id="rId2477" Type="http://schemas.openxmlformats.org/officeDocument/2006/relationships/hyperlink" Target="https://statiz.sporki.com/add/?m=draft_school01&amp;ps_school=50601" TargetMode="External"/><Relationship Id="rId3528" Type="http://schemas.openxmlformats.org/officeDocument/2006/relationships/hyperlink" Target="https://statiz.sporki.com/add/?m=draft_school02&amp;ps_school=" TargetMode="External"/><Relationship Id="rId449" Type="http://schemas.openxmlformats.org/officeDocument/2006/relationships/hyperlink" Target="https://statiz.sporki.com/add/?m=draft_school01&amp;ps_school=50606" TargetMode="External"/><Relationship Id="rId1079" Type="http://schemas.openxmlformats.org/officeDocument/2006/relationships/hyperlink" Target="https://statiz.sporki.com/add/?m=draft_school01&amp;ps_school=50110" TargetMode="External"/><Relationship Id="rId6001" Type="http://schemas.openxmlformats.org/officeDocument/2006/relationships/hyperlink" Target="https://statiz.sporki.com/player/?m=playerinfo&amp;p_no=10689" TargetMode="External"/><Relationship Id="rId9571" Type="http://schemas.openxmlformats.org/officeDocument/2006/relationships/hyperlink" Target="https://statiz.sporki.com/player/?m=playerinfo&amp;p_no=10458" TargetMode="External"/><Relationship Id="rId13950" Type="http://schemas.openxmlformats.org/officeDocument/2006/relationships/hyperlink" Target="https://statiz.sporki.com/player/?m=playerinfo&amp;p_no=10925" TargetMode="External"/><Relationship Id="rId8173" Type="http://schemas.openxmlformats.org/officeDocument/2006/relationships/hyperlink" Target="https://statiz.sporki.com/player/?m=playerinfo&amp;p_no=2064" TargetMode="External"/><Relationship Id="rId9224" Type="http://schemas.openxmlformats.org/officeDocument/2006/relationships/hyperlink" Target="https://statiz.sporki.com/add/?m=draft_school01&amp;ps_school=50501" TargetMode="External"/><Relationship Id="rId12552" Type="http://schemas.openxmlformats.org/officeDocument/2006/relationships/hyperlink" Target="https://statiz.sporki.com/player/?m=playerinfo&amp;p_no=14846" TargetMode="External"/><Relationship Id="rId13603" Type="http://schemas.openxmlformats.org/officeDocument/2006/relationships/hyperlink" Target="https://statiz.sporki.com/player/?m=playerinfo&amp;p_no=11482" TargetMode="External"/><Relationship Id="rId19165" Type="http://schemas.openxmlformats.org/officeDocument/2006/relationships/hyperlink" Target="https://statiz.sporki.com/add/?m=draft_school01&amp;ps_school=50126" TargetMode="External"/><Relationship Id="rId930" Type="http://schemas.openxmlformats.org/officeDocument/2006/relationships/hyperlink" Target="https://statiz.sporki.com/add/?m=draft_school02&amp;ps_school=60102" TargetMode="External"/><Relationship Id="rId1560" Type="http://schemas.openxmlformats.org/officeDocument/2006/relationships/hyperlink" Target="https://statiz.sporki.com/add/?m=draft_school02&amp;ps_school=60104" TargetMode="External"/><Relationship Id="rId2611" Type="http://schemas.openxmlformats.org/officeDocument/2006/relationships/hyperlink" Target="https://statiz.sporki.com/player/?m=playerinfo&amp;p_no=13166" TargetMode="External"/><Relationship Id="rId11154" Type="http://schemas.openxmlformats.org/officeDocument/2006/relationships/hyperlink" Target="https://statiz.sporki.com/add/?m=draft_school02&amp;ps_school=60204" TargetMode="External"/><Relationship Id="rId12205" Type="http://schemas.openxmlformats.org/officeDocument/2006/relationships/hyperlink" Target="https://statiz.sporki.com/player/?m=playerinfo&amp;p_no=15456" TargetMode="External"/><Relationship Id="rId15775" Type="http://schemas.openxmlformats.org/officeDocument/2006/relationships/hyperlink" Target="https://statiz.sporki.com/player/?m=playerinfo&amp;p_no=1388" TargetMode="External"/><Relationship Id="rId16826" Type="http://schemas.openxmlformats.org/officeDocument/2006/relationships/hyperlink" Target="https://statiz.sporki.com/add/?m=draft_school01&amp;ps_school=50606" TargetMode="External"/><Relationship Id="rId1213" Type="http://schemas.openxmlformats.org/officeDocument/2006/relationships/hyperlink" Target="https://statiz.sporki.com/player/?m=playerinfo&amp;p_no=14818" TargetMode="External"/><Relationship Id="rId4783" Type="http://schemas.openxmlformats.org/officeDocument/2006/relationships/hyperlink" Target="https://statiz.sporki.com/player/?m=playerinfo&amp;p_no=10783" TargetMode="External"/><Relationship Id="rId5834" Type="http://schemas.openxmlformats.org/officeDocument/2006/relationships/hyperlink" Target="https://statiz.sporki.com/add/?m=draft_school01&amp;ps_school=50805" TargetMode="External"/><Relationship Id="rId14377" Type="http://schemas.openxmlformats.org/officeDocument/2006/relationships/hyperlink" Target="https://statiz.sporki.com/player/?m=playerinfo&amp;p_no=2385" TargetMode="External"/><Relationship Id="rId15428" Type="http://schemas.openxmlformats.org/officeDocument/2006/relationships/hyperlink" Target="https://statiz.sporki.com/player/?m=playerinfo&amp;p_no=1673" TargetMode="External"/><Relationship Id="rId18998" Type="http://schemas.openxmlformats.org/officeDocument/2006/relationships/hyperlink" Target="https://statiz.sporki.com/add/?m=draft_school01&amp;ps_school=50706" TargetMode="External"/><Relationship Id="rId3385" Type="http://schemas.openxmlformats.org/officeDocument/2006/relationships/hyperlink" Target="https://statiz.sporki.com/player/?m=playerinfo&amp;p_no=12586" TargetMode="External"/><Relationship Id="rId4436" Type="http://schemas.openxmlformats.org/officeDocument/2006/relationships/hyperlink" Target="https://statiz.sporki.com/add/?m=draft_school01&amp;ps_school=50805" TargetMode="External"/><Relationship Id="rId3038" Type="http://schemas.openxmlformats.org/officeDocument/2006/relationships/hyperlink" Target="https://statiz.sporki.com/add/?m=draft_school01&amp;ps_school=50113" TargetMode="External"/><Relationship Id="rId7659" Type="http://schemas.openxmlformats.org/officeDocument/2006/relationships/hyperlink" Target="https://statiz.sporki.com/add/?m=draft_school02&amp;ps_school=60203" TargetMode="External"/><Relationship Id="rId10987" Type="http://schemas.openxmlformats.org/officeDocument/2006/relationships/hyperlink" Target="https://statiz.sporki.com/player/?m=playerinfo&amp;p_no=1358" TargetMode="External"/><Relationship Id="rId9081" Type="http://schemas.openxmlformats.org/officeDocument/2006/relationships/hyperlink" Target="https://statiz.sporki.com/add/?m=draft_school02&amp;ps_school=60103" TargetMode="External"/><Relationship Id="rId12062" Type="http://schemas.openxmlformats.org/officeDocument/2006/relationships/hyperlink" Target="https://statiz.sporki.com/add/?m=draft_school01&amp;ps_school=" TargetMode="External"/><Relationship Id="rId13460" Type="http://schemas.openxmlformats.org/officeDocument/2006/relationships/hyperlink" Target="https://statiz.sporki.com/player/?m=playerinfo&amp;p_no=11549" TargetMode="External"/><Relationship Id="rId14511" Type="http://schemas.openxmlformats.org/officeDocument/2006/relationships/hyperlink" Target="https://statiz.sporki.com/player/?m=playerinfo&amp;p_no=10203" TargetMode="External"/><Relationship Id="rId440" Type="http://schemas.openxmlformats.org/officeDocument/2006/relationships/hyperlink" Target="https://statiz.sporki.com/add/?m=draft_school01&amp;ps_school=50702" TargetMode="External"/><Relationship Id="rId1070" Type="http://schemas.openxmlformats.org/officeDocument/2006/relationships/hyperlink" Target="https://statiz.sporki.com/add/?m=draft_school01&amp;ps_school=50810" TargetMode="External"/><Relationship Id="rId2121" Type="http://schemas.openxmlformats.org/officeDocument/2006/relationships/hyperlink" Target="https://statiz.sporki.com/add/?m=draft_school02&amp;ps_school=" TargetMode="External"/><Relationship Id="rId13113" Type="http://schemas.openxmlformats.org/officeDocument/2006/relationships/hyperlink" Target="https://statiz.sporki.com/player/?m=playerinfo&amp;p_no=12884" TargetMode="External"/><Relationship Id="rId16683" Type="http://schemas.openxmlformats.org/officeDocument/2006/relationships/hyperlink" Target="https://statiz.sporki.com/add/?m=draft_school01&amp;ps_school=50901" TargetMode="External"/><Relationship Id="rId17734" Type="http://schemas.openxmlformats.org/officeDocument/2006/relationships/hyperlink" Target="https://statiz.sporki.com/add/?m=draft_school01&amp;ps_school=50403" TargetMode="External"/><Relationship Id="rId5691" Type="http://schemas.openxmlformats.org/officeDocument/2006/relationships/hyperlink" Target="https://statiz.sporki.com/add/?m=draft_school02&amp;ps_school=" TargetMode="External"/><Relationship Id="rId6742" Type="http://schemas.openxmlformats.org/officeDocument/2006/relationships/hyperlink" Target="https://statiz.sporki.com/player/?m=playerinfo&amp;p_no=2361" TargetMode="External"/><Relationship Id="rId15285" Type="http://schemas.openxmlformats.org/officeDocument/2006/relationships/hyperlink" Target="https://statiz.sporki.com/player/?m=playerinfo&amp;p_no=12657" TargetMode="External"/><Relationship Id="rId16336" Type="http://schemas.openxmlformats.org/officeDocument/2006/relationships/hyperlink" Target="https://statiz.sporki.com/add/?m=draft_school01&amp;ps_school=50212" TargetMode="External"/><Relationship Id="rId4293" Type="http://schemas.openxmlformats.org/officeDocument/2006/relationships/hyperlink" Target="https://statiz.sporki.com/add/?m=draft_school02&amp;ps_school=60703" TargetMode="External"/><Relationship Id="rId5344" Type="http://schemas.openxmlformats.org/officeDocument/2006/relationships/hyperlink" Target="https://statiz.sporki.com/player/?m=playerinfo&amp;p_no=10732" TargetMode="External"/><Relationship Id="rId9965" Type="http://schemas.openxmlformats.org/officeDocument/2006/relationships/hyperlink" Target="https://statiz.sporki.com/add/?m=draft_school01&amp;ps_school=50903" TargetMode="External"/><Relationship Id="rId11895" Type="http://schemas.openxmlformats.org/officeDocument/2006/relationships/hyperlink" Target="https://statiz.sporki.com/add/?m=draft_school02&amp;ps_school=60102" TargetMode="External"/><Relationship Id="rId19559" Type="http://schemas.openxmlformats.org/officeDocument/2006/relationships/hyperlink" Target="https://statiz.sporki.com/add/?m=draft_school01&amp;ps_school=50123" TargetMode="External"/><Relationship Id="rId1954" Type="http://schemas.openxmlformats.org/officeDocument/2006/relationships/hyperlink" Target="https://statiz.sporki.com/player/?m=playerinfo&amp;p_no=14173" TargetMode="External"/><Relationship Id="rId8567" Type="http://schemas.openxmlformats.org/officeDocument/2006/relationships/hyperlink" Target="https://statiz.sporki.com/add/?m=draft_school01&amp;ps_school=50111" TargetMode="External"/><Relationship Id="rId9618" Type="http://schemas.openxmlformats.org/officeDocument/2006/relationships/hyperlink" Target="https://statiz.sporki.com/add/?m=draft_school02&amp;ps_school=60104" TargetMode="External"/><Relationship Id="rId10497" Type="http://schemas.openxmlformats.org/officeDocument/2006/relationships/hyperlink" Target="https://statiz.sporki.com/add/?m=draft_school02&amp;ps_school=" TargetMode="External"/><Relationship Id="rId11548" Type="http://schemas.openxmlformats.org/officeDocument/2006/relationships/hyperlink" Target="https://statiz.sporki.com/player/?m=playerinfo&amp;p_no=1170" TargetMode="External"/><Relationship Id="rId12946" Type="http://schemas.openxmlformats.org/officeDocument/2006/relationships/hyperlink" Target="https://statiz.sporki.com/player/?m=playerinfo&amp;p_no=13171" TargetMode="External"/><Relationship Id="rId1607" Type="http://schemas.openxmlformats.org/officeDocument/2006/relationships/hyperlink" Target="https://statiz.sporki.com/add/?m=draft_school01&amp;ps_school=50604" TargetMode="External"/><Relationship Id="rId7169" Type="http://schemas.openxmlformats.org/officeDocument/2006/relationships/hyperlink" Target="https://statiz.sporki.com/add/?m=draft_school01&amp;ps_school=50602" TargetMode="External"/><Relationship Id="rId14021" Type="http://schemas.openxmlformats.org/officeDocument/2006/relationships/hyperlink" Target="https://statiz.sporki.com/player/?m=playerinfo&amp;p_no=10923" TargetMode="External"/><Relationship Id="rId3779" Type="http://schemas.openxmlformats.org/officeDocument/2006/relationships/hyperlink" Target="https://statiz.sporki.com/add/?m=draft_school01&amp;ps_school=50111" TargetMode="External"/><Relationship Id="rId7650" Type="http://schemas.openxmlformats.org/officeDocument/2006/relationships/hyperlink" Target="https://statiz.sporki.com/add/?m=draft_school02&amp;ps_school=" TargetMode="External"/><Relationship Id="rId16193" Type="http://schemas.openxmlformats.org/officeDocument/2006/relationships/hyperlink" Target="https://statiz.sporki.com/add/?m=draft_school01&amp;ps_school=50703" TargetMode="External"/><Relationship Id="rId17591" Type="http://schemas.openxmlformats.org/officeDocument/2006/relationships/hyperlink" Target="https://statiz.sporki.com/add/?m=draft_school01&amp;ps_school=50703" TargetMode="External"/><Relationship Id="rId18642" Type="http://schemas.openxmlformats.org/officeDocument/2006/relationships/hyperlink" Target="https://statiz.sporki.com/add/?m=draft_school01&amp;ps_school=50116" TargetMode="External"/><Relationship Id="rId6252" Type="http://schemas.openxmlformats.org/officeDocument/2006/relationships/hyperlink" Target="https://statiz.sporki.com/add/?m=draft_school02&amp;ps_school=60501" TargetMode="External"/><Relationship Id="rId7303" Type="http://schemas.openxmlformats.org/officeDocument/2006/relationships/hyperlink" Target="https://statiz.sporki.com/player/?m=playerinfo&amp;p_no=10529" TargetMode="External"/><Relationship Id="rId8701" Type="http://schemas.openxmlformats.org/officeDocument/2006/relationships/hyperlink" Target="https://statiz.sporki.com/player/?m=playerinfo&amp;p_no=10277" TargetMode="External"/><Relationship Id="rId10631" Type="http://schemas.openxmlformats.org/officeDocument/2006/relationships/hyperlink" Target="https://statiz.sporki.com/add/?m=draft_school01&amp;ps_school=50802" TargetMode="External"/><Relationship Id="rId17244" Type="http://schemas.openxmlformats.org/officeDocument/2006/relationships/hyperlink" Target="https://statiz.sporki.com/add/?m=draft_school01&amp;ps_school=50902" TargetMode="External"/><Relationship Id="rId13854" Type="http://schemas.openxmlformats.org/officeDocument/2006/relationships/hyperlink" Target="https://statiz.sporki.com/player/?m=playerinfo&amp;p_no=12674" TargetMode="External"/><Relationship Id="rId14905" Type="http://schemas.openxmlformats.org/officeDocument/2006/relationships/hyperlink" Target="https://statiz.sporki.com/player/?m=playerinfo&amp;p_no=10379" TargetMode="External"/><Relationship Id="rId2862" Type="http://schemas.openxmlformats.org/officeDocument/2006/relationships/hyperlink" Target="https://statiz.sporki.com/add/?m=draft_school02&amp;ps_school=" TargetMode="External"/><Relationship Id="rId3913" Type="http://schemas.openxmlformats.org/officeDocument/2006/relationships/hyperlink" Target="https://statiz.sporki.com/player/?m=playerinfo&amp;p_no=11352" TargetMode="External"/><Relationship Id="rId8077" Type="http://schemas.openxmlformats.org/officeDocument/2006/relationships/hyperlink" Target="https://statiz.sporki.com/player/?m=playerinfo&amp;p_no=10060" TargetMode="External"/><Relationship Id="rId9475" Type="http://schemas.openxmlformats.org/officeDocument/2006/relationships/hyperlink" Target="https://statiz.sporki.com/player/?m=playerinfo&amp;p_no=1869" TargetMode="External"/><Relationship Id="rId12456" Type="http://schemas.openxmlformats.org/officeDocument/2006/relationships/hyperlink" Target="https://statiz.sporki.com/player/?m=playerinfo&amp;p_no=15138" TargetMode="External"/><Relationship Id="rId13507" Type="http://schemas.openxmlformats.org/officeDocument/2006/relationships/hyperlink" Target="https://statiz.sporki.com/player/?m=playerinfo&amp;p_no=11246" TargetMode="External"/><Relationship Id="rId19069" Type="http://schemas.openxmlformats.org/officeDocument/2006/relationships/hyperlink" Target="https://statiz.sporki.com/add/?m=draft_school01&amp;ps_school=50812" TargetMode="External"/><Relationship Id="rId834" Type="http://schemas.openxmlformats.org/officeDocument/2006/relationships/hyperlink" Target="https://statiz.sporki.com/add/?m=draft_school02&amp;ps_school=" TargetMode="External"/><Relationship Id="rId1464" Type="http://schemas.openxmlformats.org/officeDocument/2006/relationships/hyperlink" Target="https://statiz.sporki.com/add/?m=draft_school02&amp;ps_school=" TargetMode="External"/><Relationship Id="rId2515" Type="http://schemas.openxmlformats.org/officeDocument/2006/relationships/hyperlink" Target="https://statiz.sporki.com/player/?m=playerinfo&amp;p_no=13098" TargetMode="External"/><Relationship Id="rId9128" Type="http://schemas.openxmlformats.org/officeDocument/2006/relationships/hyperlink" Target="https://statiz.sporki.com/add/?m=draft_school01&amp;ps_school=50114" TargetMode="External"/><Relationship Id="rId11058" Type="http://schemas.openxmlformats.org/officeDocument/2006/relationships/hyperlink" Target="https://statiz.sporki.com/add/?m=draft_school02&amp;ps_school=" TargetMode="External"/><Relationship Id="rId12109" Type="http://schemas.openxmlformats.org/officeDocument/2006/relationships/hyperlink" Target="https://statiz.sporki.com/player/?m=playerinfo&amp;p_no=1055" TargetMode="External"/><Relationship Id="rId15679" Type="http://schemas.openxmlformats.org/officeDocument/2006/relationships/hyperlink" Target="https://statiz.sporki.com/player/?m=playerinfo&amp;p_no=1476" TargetMode="External"/><Relationship Id="rId19550" Type="http://schemas.openxmlformats.org/officeDocument/2006/relationships/hyperlink" Target="https://statiz.sporki.com/add/?m=draft_school01&amp;ps_school=50111" TargetMode="External"/><Relationship Id="rId1117" Type="http://schemas.openxmlformats.org/officeDocument/2006/relationships/hyperlink" Target="https://statiz.sporki.com/player/?m=playerinfo&amp;p_no=14862" TargetMode="External"/><Relationship Id="rId4687" Type="http://schemas.openxmlformats.org/officeDocument/2006/relationships/hyperlink" Target="https://statiz.sporki.com/player/?m=playerinfo&amp;p_no=11104" TargetMode="External"/><Relationship Id="rId5738" Type="http://schemas.openxmlformats.org/officeDocument/2006/relationships/hyperlink" Target="https://statiz.sporki.com/add/?m=draft_school01&amp;ps_school=50101" TargetMode="External"/><Relationship Id="rId18152" Type="http://schemas.openxmlformats.org/officeDocument/2006/relationships/hyperlink" Target="https://statiz.sporki.com/add/?m=draft_school01&amp;ps_school=50602" TargetMode="External"/><Relationship Id="rId19203" Type="http://schemas.openxmlformats.org/officeDocument/2006/relationships/hyperlink" Target="https://statiz.sporki.com/add/?m=draft_school01&amp;ps_school=50402" TargetMode="External"/><Relationship Id="rId3289" Type="http://schemas.openxmlformats.org/officeDocument/2006/relationships/hyperlink" Target="https://statiz.sporki.com/player/?m=playerinfo&amp;p_no=12593" TargetMode="External"/><Relationship Id="rId7160" Type="http://schemas.openxmlformats.org/officeDocument/2006/relationships/hyperlink" Target="https://statiz.sporki.com/add/?m=draft_school01&amp;ps_school=50609" TargetMode="External"/><Relationship Id="rId8211" Type="http://schemas.openxmlformats.org/officeDocument/2006/relationships/hyperlink" Target="https://statiz.sporki.com/add/?m=draft_school02&amp;ps_school=" TargetMode="External"/><Relationship Id="rId10141" Type="http://schemas.openxmlformats.org/officeDocument/2006/relationships/hyperlink" Target="https://statiz.sporki.com/player/?m=playerinfo&amp;p_no=1598" TargetMode="External"/><Relationship Id="rId14762" Type="http://schemas.openxmlformats.org/officeDocument/2006/relationships/hyperlink" Target="https://statiz.sporki.com/player/?m=playerinfo&amp;p_no=2152" TargetMode="External"/><Relationship Id="rId15813" Type="http://schemas.openxmlformats.org/officeDocument/2006/relationships/hyperlink" Target="https://statiz.sporki.com/player/?m=playerinfo&amp;p_no=1346" TargetMode="External"/><Relationship Id="rId3770" Type="http://schemas.openxmlformats.org/officeDocument/2006/relationships/hyperlink" Target="https://statiz.sporki.com/add/?m=draft_school01&amp;ps_school=50705" TargetMode="External"/><Relationship Id="rId4821" Type="http://schemas.openxmlformats.org/officeDocument/2006/relationships/hyperlink" Target="https://statiz.sporki.com/add/?m=draft_school02&amp;ps_school=" TargetMode="External"/><Relationship Id="rId13364" Type="http://schemas.openxmlformats.org/officeDocument/2006/relationships/hyperlink" Target="https://statiz.sporki.com/player/?m=playerinfo&amp;p_no=11387" TargetMode="External"/><Relationship Id="rId14415" Type="http://schemas.openxmlformats.org/officeDocument/2006/relationships/hyperlink" Target="https://statiz.sporki.com/player/?m=playerinfo&amp;p_no=10841" TargetMode="External"/><Relationship Id="rId17985" Type="http://schemas.openxmlformats.org/officeDocument/2006/relationships/hyperlink" Target="https://statiz.sporki.com/add/?m=draft_school01&amp;ps_school=50210" TargetMode="External"/><Relationship Id="rId344" Type="http://schemas.openxmlformats.org/officeDocument/2006/relationships/hyperlink" Target="https://statiz.sporki.com/add/?m=draft_school01&amp;ps_school=" TargetMode="External"/><Relationship Id="rId691" Type="http://schemas.openxmlformats.org/officeDocument/2006/relationships/hyperlink" Target="https://statiz.sporki.com/player/?m=playerinfo&amp;p_no=15085" TargetMode="External"/><Relationship Id="rId2025" Type="http://schemas.openxmlformats.org/officeDocument/2006/relationships/hyperlink" Target="https://statiz.sporki.com/add/?m=draft_school02&amp;ps_school=" TargetMode="External"/><Relationship Id="rId2372" Type="http://schemas.openxmlformats.org/officeDocument/2006/relationships/hyperlink" Target="https://statiz.sporki.com/add/?m=draft_school01&amp;ps_school=50602" TargetMode="External"/><Relationship Id="rId3423" Type="http://schemas.openxmlformats.org/officeDocument/2006/relationships/hyperlink" Target="https://statiz.sporki.com/add/?m=draft_school02&amp;ps_school=60108" TargetMode="External"/><Relationship Id="rId6993" Type="http://schemas.openxmlformats.org/officeDocument/2006/relationships/hyperlink" Target="https://statiz.sporki.com/add/?m=draft_school02&amp;ps_school=" TargetMode="External"/><Relationship Id="rId13017" Type="http://schemas.openxmlformats.org/officeDocument/2006/relationships/hyperlink" Target="https://statiz.sporki.com/player/?m=playerinfo&amp;p_no=12783" TargetMode="External"/><Relationship Id="rId16587" Type="http://schemas.openxmlformats.org/officeDocument/2006/relationships/hyperlink" Target="https://statiz.sporki.com/add/?m=draft_school01&amp;ps_school=50111" TargetMode="External"/><Relationship Id="rId17638" Type="http://schemas.openxmlformats.org/officeDocument/2006/relationships/hyperlink" Target="https://statiz.sporki.com/add/?m=draft_school01&amp;ps_school=50601" TargetMode="External"/><Relationship Id="rId5595" Type="http://schemas.openxmlformats.org/officeDocument/2006/relationships/hyperlink" Target="https://statiz.sporki.com/add/?m=draft_school02&amp;ps_school=60703" TargetMode="External"/><Relationship Id="rId6646" Type="http://schemas.openxmlformats.org/officeDocument/2006/relationships/hyperlink" Target="https://statiz.sporki.com/player/?m=playerinfo&amp;p_no=2381" TargetMode="External"/><Relationship Id="rId15189" Type="http://schemas.openxmlformats.org/officeDocument/2006/relationships/hyperlink" Target="https://statiz.sporki.com/player/?m=playerinfo&amp;p_no=2038" TargetMode="External"/><Relationship Id="rId19060" Type="http://schemas.openxmlformats.org/officeDocument/2006/relationships/hyperlink" Target="https://statiz.sporki.com/add/?m=draft_school01&amp;ps_school=50701" TargetMode="External"/><Relationship Id="rId4197" Type="http://schemas.openxmlformats.org/officeDocument/2006/relationships/hyperlink" Target="https://statiz.sporki.com/add/?m=draft_school02&amp;ps_school=60113" TargetMode="External"/><Relationship Id="rId5248" Type="http://schemas.openxmlformats.org/officeDocument/2006/relationships/hyperlink" Target="https://statiz.sporki.com/player/?m=playerinfo&amp;p_no=10673" TargetMode="External"/><Relationship Id="rId9869" Type="http://schemas.openxmlformats.org/officeDocument/2006/relationships/hyperlink" Target="https://statiz.sporki.com/add/?m=draft_school01&amp;ps_school=50701" TargetMode="External"/><Relationship Id="rId12100" Type="http://schemas.openxmlformats.org/officeDocument/2006/relationships/hyperlink" Target="https://statiz.sporki.com/player/?m=playerinfo&amp;p_no=1092" TargetMode="External"/><Relationship Id="rId1858" Type="http://schemas.openxmlformats.org/officeDocument/2006/relationships/hyperlink" Target="https://statiz.sporki.com/player/?m=playerinfo&amp;p_no=14145" TargetMode="External"/><Relationship Id="rId11799" Type="http://schemas.openxmlformats.org/officeDocument/2006/relationships/hyperlink" Target="https://statiz.sporki.com/add/?m=draft_school02&amp;ps_school=" TargetMode="External"/><Relationship Id="rId14272" Type="http://schemas.openxmlformats.org/officeDocument/2006/relationships/hyperlink" Target="https://statiz.sporki.com/player/?m=playerinfo&amp;p_no=10569" TargetMode="External"/><Relationship Id="rId15670" Type="http://schemas.openxmlformats.org/officeDocument/2006/relationships/hyperlink" Target="https://statiz.sporki.com/player/?m=playerinfo&amp;p_no=1473" TargetMode="External"/><Relationship Id="rId16721" Type="http://schemas.openxmlformats.org/officeDocument/2006/relationships/hyperlink" Target="https://statiz.sporki.com/add/?m=draft_school01&amp;ps_school=50101" TargetMode="External"/><Relationship Id="rId2909" Type="http://schemas.openxmlformats.org/officeDocument/2006/relationships/hyperlink" Target="https://statiz.sporki.com/add/?m=draft_school01&amp;ps_school=50403" TargetMode="External"/><Relationship Id="rId3280" Type="http://schemas.openxmlformats.org/officeDocument/2006/relationships/hyperlink" Target="https://statiz.sporki.com/player/?m=playerinfo&amp;p_no=12614" TargetMode="External"/><Relationship Id="rId4331" Type="http://schemas.openxmlformats.org/officeDocument/2006/relationships/hyperlink" Target="https://statiz.sporki.com/add/?m=draft_school01&amp;ps_school=" TargetMode="External"/><Relationship Id="rId15323" Type="http://schemas.openxmlformats.org/officeDocument/2006/relationships/hyperlink" Target="https://statiz.sporki.com/player/?m=playerinfo&amp;p_no=1757" TargetMode="External"/><Relationship Id="rId18893" Type="http://schemas.openxmlformats.org/officeDocument/2006/relationships/hyperlink" Target="https://statiz.sporki.com/add/?m=draft_school01&amp;ps_school=50701" TargetMode="External"/><Relationship Id="rId8952" Type="http://schemas.openxmlformats.org/officeDocument/2006/relationships/hyperlink" Target="https://statiz.sporki.com/add/?m=draft_school02&amp;ps_school=60114" TargetMode="External"/><Relationship Id="rId10882" Type="http://schemas.openxmlformats.org/officeDocument/2006/relationships/hyperlink" Target="https://statiz.sporki.com/player/?m=playerinfo&amp;p_no=1676" TargetMode="External"/><Relationship Id="rId11933" Type="http://schemas.openxmlformats.org/officeDocument/2006/relationships/hyperlink" Target="https://statiz.sporki.com/add/?m=draft_school01&amp;ps_school=50802" TargetMode="External"/><Relationship Id="rId17495" Type="http://schemas.openxmlformats.org/officeDocument/2006/relationships/hyperlink" Target="https://statiz.sporki.com/add/?m=draft_school01&amp;ps_school=50705" TargetMode="External"/><Relationship Id="rId18546" Type="http://schemas.openxmlformats.org/officeDocument/2006/relationships/hyperlink" Target="https://statiz.sporki.com/add/?m=draft_school01&amp;ps_school=50114" TargetMode="External"/><Relationship Id="rId6156" Type="http://schemas.openxmlformats.org/officeDocument/2006/relationships/hyperlink" Target="https://statiz.sporki.com/add/?m=draft_school02&amp;ps_school=60103" TargetMode="External"/><Relationship Id="rId7554" Type="http://schemas.openxmlformats.org/officeDocument/2006/relationships/hyperlink" Target="https://statiz.sporki.com/add/?m=draft_school02&amp;ps_school=60203" TargetMode="External"/><Relationship Id="rId8605" Type="http://schemas.openxmlformats.org/officeDocument/2006/relationships/hyperlink" Target="https://statiz.sporki.com/player/?m=playerinfo&amp;p_no=1970" TargetMode="External"/><Relationship Id="rId10535" Type="http://schemas.openxmlformats.org/officeDocument/2006/relationships/hyperlink" Target="https://statiz.sporki.com/add/?m=draft_school01&amp;ps_school=50502" TargetMode="External"/><Relationship Id="rId16097" Type="http://schemas.openxmlformats.org/officeDocument/2006/relationships/hyperlink" Target="https://statiz.sporki.com/player/?m=playerinfo&amp;p_no=1023" TargetMode="External"/><Relationship Id="rId17148" Type="http://schemas.openxmlformats.org/officeDocument/2006/relationships/hyperlink" Target="https://statiz.sporki.com/add/?m=draft_school01&amp;ps_school=50604" TargetMode="External"/><Relationship Id="rId7207" Type="http://schemas.openxmlformats.org/officeDocument/2006/relationships/hyperlink" Target="https://statiz.sporki.com/player/?m=playerinfo&amp;p_no=10144" TargetMode="External"/><Relationship Id="rId13758" Type="http://schemas.openxmlformats.org/officeDocument/2006/relationships/hyperlink" Target="https://statiz.sporki.com/player/?m=playerinfo&amp;p_no=10894" TargetMode="External"/><Relationship Id="rId14809" Type="http://schemas.openxmlformats.org/officeDocument/2006/relationships/hyperlink" Target="https://statiz.sporki.com/player/?m=playerinfo&amp;p_no=2140" TargetMode="External"/><Relationship Id="rId2766" Type="http://schemas.openxmlformats.org/officeDocument/2006/relationships/hyperlink" Target="https://statiz.sporki.com/add/?m=draft_school02&amp;ps_school=" TargetMode="External"/><Relationship Id="rId3817" Type="http://schemas.openxmlformats.org/officeDocument/2006/relationships/hyperlink" Target="https://statiz.sporki.com/player/?m=playerinfo&amp;p_no=12529" TargetMode="External"/><Relationship Id="rId9379" Type="http://schemas.openxmlformats.org/officeDocument/2006/relationships/hyperlink" Target="https://statiz.sporki.com/player/?m=playerinfo&amp;p_no=1795" TargetMode="External"/><Relationship Id="rId15180" Type="http://schemas.openxmlformats.org/officeDocument/2006/relationships/hyperlink" Target="https://statiz.sporki.com/player/?m=playerinfo&amp;p_no=1882" TargetMode="External"/><Relationship Id="rId16231" Type="http://schemas.openxmlformats.org/officeDocument/2006/relationships/hyperlink" Target="https://statiz.sporki.com/add/?m=draft_school01&amp;ps_school=50301" TargetMode="External"/><Relationship Id="rId738" Type="http://schemas.openxmlformats.org/officeDocument/2006/relationships/hyperlink" Target="https://statiz.sporki.com/add/?m=draft_school02&amp;ps_school=" TargetMode="External"/><Relationship Id="rId1368" Type="http://schemas.openxmlformats.org/officeDocument/2006/relationships/hyperlink" Target="https://statiz.sporki.com/add/?m=draft_school02&amp;ps_school=60804" TargetMode="External"/><Relationship Id="rId2419" Type="http://schemas.openxmlformats.org/officeDocument/2006/relationships/hyperlink" Target="https://statiz.sporki.com/player/?m=playerinfo&amp;p_no=13084" TargetMode="External"/><Relationship Id="rId5989" Type="http://schemas.openxmlformats.org/officeDocument/2006/relationships/hyperlink" Target="https://statiz.sporki.com/player/?m=playerinfo&amp;p_no=10473" TargetMode="External"/><Relationship Id="rId9860" Type="http://schemas.openxmlformats.org/officeDocument/2006/relationships/hyperlink" Target="https://statiz.sporki.com/add/?m=draft_school01&amp;ps_school=50802" TargetMode="External"/><Relationship Id="rId74" Type="http://schemas.openxmlformats.org/officeDocument/2006/relationships/hyperlink" Target="https://statiz.sporki.com/add/?m=draft_school01&amp;ps_school=50802" TargetMode="External"/><Relationship Id="rId8462" Type="http://schemas.openxmlformats.org/officeDocument/2006/relationships/hyperlink" Target="https://statiz.sporki.com/add/?m=draft_school01&amp;ps_school=50602" TargetMode="External"/><Relationship Id="rId9513" Type="http://schemas.openxmlformats.org/officeDocument/2006/relationships/hyperlink" Target="https://statiz.sporki.com/add/?m=draft_school02&amp;ps_school=" TargetMode="External"/><Relationship Id="rId11790" Type="http://schemas.openxmlformats.org/officeDocument/2006/relationships/hyperlink" Target="https://statiz.sporki.com/add/?m=draft_school02&amp;ps_school=60111" TargetMode="External"/><Relationship Id="rId12841" Type="http://schemas.openxmlformats.org/officeDocument/2006/relationships/hyperlink" Target="https://statiz.sporki.com/player/?m=playerinfo&amp;p_no=14218" TargetMode="External"/><Relationship Id="rId18056" Type="http://schemas.openxmlformats.org/officeDocument/2006/relationships/hyperlink" Target="https://statiz.sporki.com/add/?m=draft_school01&amp;ps_school=50602" TargetMode="External"/><Relationship Id="rId19107" Type="http://schemas.openxmlformats.org/officeDocument/2006/relationships/hyperlink" Target="https://statiz.sporki.com/add/?m=draft_school01&amp;ps_school=50502" TargetMode="External"/><Relationship Id="rId19454" Type="http://schemas.openxmlformats.org/officeDocument/2006/relationships/hyperlink" Target="https://statiz.sporki.com/add/?m=draft_school01&amp;ps_school=50805" TargetMode="External"/><Relationship Id="rId2900" Type="http://schemas.openxmlformats.org/officeDocument/2006/relationships/hyperlink" Target="https://statiz.sporki.com/add/?m=draft_school01&amp;ps_school=50702" TargetMode="External"/><Relationship Id="rId7064" Type="http://schemas.openxmlformats.org/officeDocument/2006/relationships/hyperlink" Target="https://statiz.sporki.com/add/?m=draft_school01&amp;ps_school=" TargetMode="External"/><Relationship Id="rId8115" Type="http://schemas.openxmlformats.org/officeDocument/2006/relationships/hyperlink" Target="https://statiz.sporki.com/add/?m=draft_school02&amp;ps_school=60103" TargetMode="External"/><Relationship Id="rId10392" Type="http://schemas.openxmlformats.org/officeDocument/2006/relationships/hyperlink" Target="https://statiz.sporki.com/add/?m=draft_school02&amp;ps_school=60113" TargetMode="External"/><Relationship Id="rId11443" Type="http://schemas.openxmlformats.org/officeDocument/2006/relationships/hyperlink" Target="https://statiz.sporki.com/player/?m=playerinfo&amp;p_no=1318" TargetMode="External"/><Relationship Id="rId1502" Type="http://schemas.openxmlformats.org/officeDocument/2006/relationships/hyperlink" Target="https://statiz.sporki.com/add/?m=draft_school01&amp;ps_school=50403" TargetMode="External"/><Relationship Id="rId10045" Type="http://schemas.openxmlformats.org/officeDocument/2006/relationships/hyperlink" Target="https://statiz.sporki.com/player/?m=playerinfo&amp;p_no=1772" TargetMode="External"/><Relationship Id="rId14666" Type="http://schemas.openxmlformats.org/officeDocument/2006/relationships/hyperlink" Target="https://statiz.sporki.com/player/?m=playerinfo&amp;p_no=10183" TargetMode="External"/><Relationship Id="rId15717" Type="http://schemas.openxmlformats.org/officeDocument/2006/relationships/hyperlink" Target="https://statiz.sporki.com/player/?m=playerinfo&amp;p_no=1495" TargetMode="External"/><Relationship Id="rId3674" Type="http://schemas.openxmlformats.org/officeDocument/2006/relationships/hyperlink" Target="https://statiz.sporki.com/add/?m=draft_school01&amp;ps_school=50403" TargetMode="External"/><Relationship Id="rId4725" Type="http://schemas.openxmlformats.org/officeDocument/2006/relationships/hyperlink" Target="https://statiz.sporki.com/add/?m=draft_school02&amp;ps_school=60103" TargetMode="External"/><Relationship Id="rId13268" Type="http://schemas.openxmlformats.org/officeDocument/2006/relationships/hyperlink" Target="https://statiz.sporki.com/player/?m=playerinfo&amp;p_no=12596" TargetMode="External"/><Relationship Id="rId14319" Type="http://schemas.openxmlformats.org/officeDocument/2006/relationships/hyperlink" Target="https://statiz.sporki.com/player/?m=playerinfo&amp;p_no=2383" TargetMode="External"/><Relationship Id="rId17889" Type="http://schemas.openxmlformats.org/officeDocument/2006/relationships/hyperlink" Target="https://statiz.sporki.com/add/?m=draft_school01&amp;ps_school=50802" TargetMode="External"/><Relationship Id="rId595" Type="http://schemas.openxmlformats.org/officeDocument/2006/relationships/hyperlink" Target="https://statiz.sporki.com/player/?m=playerinfo&amp;p_no=15060" TargetMode="External"/><Relationship Id="rId2276" Type="http://schemas.openxmlformats.org/officeDocument/2006/relationships/hyperlink" Target="https://statiz.sporki.com/add/?m=draft_school01&amp;ps_school=50113" TargetMode="External"/><Relationship Id="rId3327" Type="http://schemas.openxmlformats.org/officeDocument/2006/relationships/hyperlink" Target="https://statiz.sporki.com/add/?m=draft_school02&amp;ps_school=60105" TargetMode="External"/><Relationship Id="rId6897" Type="http://schemas.openxmlformats.org/officeDocument/2006/relationships/hyperlink" Target="https://statiz.sporki.com/add/?m=draft_school02&amp;ps_school=60204" TargetMode="External"/><Relationship Id="rId7948" Type="http://schemas.openxmlformats.org/officeDocument/2006/relationships/hyperlink" Target="https://statiz.sporki.com/player/?m=playerinfo&amp;p_no=10138" TargetMode="External"/><Relationship Id="rId248" Type="http://schemas.openxmlformats.org/officeDocument/2006/relationships/hyperlink" Target="https://statiz.sporki.com/add/?m=draft_school01&amp;ps_school=50805" TargetMode="External"/><Relationship Id="rId5499" Type="http://schemas.openxmlformats.org/officeDocument/2006/relationships/hyperlink" Target="https://statiz.sporki.com/add/?m=draft_school02&amp;ps_school=" TargetMode="External"/><Relationship Id="rId9370" Type="http://schemas.openxmlformats.org/officeDocument/2006/relationships/hyperlink" Target="https://statiz.sporki.com/player/?m=playerinfo&amp;p_no=1820" TargetMode="External"/><Relationship Id="rId10929" Type="http://schemas.openxmlformats.org/officeDocument/2006/relationships/hyperlink" Target="https://statiz.sporki.com/add/?m=draft_school02&amp;ps_school=" TargetMode="External"/><Relationship Id="rId12351" Type="http://schemas.openxmlformats.org/officeDocument/2006/relationships/hyperlink" Target="https://statiz.sporki.com/player/?m=playerinfo&amp;p_no=15093" TargetMode="External"/><Relationship Id="rId14800" Type="http://schemas.openxmlformats.org/officeDocument/2006/relationships/hyperlink" Target="https://statiz.sporki.com/player/?m=playerinfo&amp;p_no=2160" TargetMode="External"/><Relationship Id="rId2410" Type="http://schemas.openxmlformats.org/officeDocument/2006/relationships/hyperlink" Target="https://statiz.sporki.com/player/?m=playerinfo&amp;p_no=13117" TargetMode="External"/><Relationship Id="rId9023" Type="http://schemas.openxmlformats.org/officeDocument/2006/relationships/hyperlink" Target="https://statiz.sporki.com/add/?m=draft_school01&amp;ps_school=50108" TargetMode="External"/><Relationship Id="rId12004" Type="http://schemas.openxmlformats.org/officeDocument/2006/relationships/hyperlink" Target="https://statiz.sporki.com/player/?m=playerinfo&amp;p_no=1090" TargetMode="External"/><Relationship Id="rId13402" Type="http://schemas.openxmlformats.org/officeDocument/2006/relationships/hyperlink" Target="https://statiz.sporki.com/player/?m=playerinfo&amp;p_no=11384" TargetMode="External"/><Relationship Id="rId16972" Type="http://schemas.openxmlformats.org/officeDocument/2006/relationships/hyperlink" Target="https://statiz.sporki.com/add/?m=draft_school01&amp;ps_school=50107" TargetMode="External"/><Relationship Id="rId1012" Type="http://schemas.openxmlformats.org/officeDocument/2006/relationships/hyperlink" Target="https://statiz.sporki.com/player/?m=playerinfo&amp;p_no=14808" TargetMode="External"/><Relationship Id="rId5980" Type="http://schemas.openxmlformats.org/officeDocument/2006/relationships/hyperlink" Target="https://statiz.sporki.com/player/?m=playerinfo&amp;p_no=10476" TargetMode="External"/><Relationship Id="rId15574" Type="http://schemas.openxmlformats.org/officeDocument/2006/relationships/hyperlink" Target="https://statiz.sporki.com/player/?m=playerinfo&amp;p_no=1540" TargetMode="External"/><Relationship Id="rId16625" Type="http://schemas.openxmlformats.org/officeDocument/2006/relationships/hyperlink" Target="https://statiz.sporki.com/add/?m=draft_school01&amp;ps_school=50216" TargetMode="External"/><Relationship Id="rId3184" Type="http://schemas.openxmlformats.org/officeDocument/2006/relationships/hyperlink" Target="https://statiz.sporki.com/player/?m=playerinfo&amp;p_no=12544" TargetMode="External"/><Relationship Id="rId4235" Type="http://schemas.openxmlformats.org/officeDocument/2006/relationships/hyperlink" Target="https://statiz.sporki.com/add/?m=draft_school01&amp;ps_school=50111" TargetMode="External"/><Relationship Id="rId4582" Type="http://schemas.openxmlformats.org/officeDocument/2006/relationships/hyperlink" Target="https://statiz.sporki.com/player/?m=playerinfo&amp;p_no=11068" TargetMode="External"/><Relationship Id="rId5633" Type="http://schemas.openxmlformats.org/officeDocument/2006/relationships/hyperlink" Target="https://statiz.sporki.com/add/?m=draft_school01&amp;ps_school=50114" TargetMode="External"/><Relationship Id="rId14176" Type="http://schemas.openxmlformats.org/officeDocument/2006/relationships/hyperlink" Target="https://statiz.sporki.com/player/?m=playerinfo&amp;p_no=10615" TargetMode="External"/><Relationship Id="rId15227" Type="http://schemas.openxmlformats.org/officeDocument/2006/relationships/hyperlink" Target="https://statiz.sporki.com/player/?m=playerinfo&amp;p_no=1908" TargetMode="External"/><Relationship Id="rId18797" Type="http://schemas.openxmlformats.org/officeDocument/2006/relationships/hyperlink" Target="https://statiz.sporki.com/add/?m=draft_school01&amp;ps_school=50110" TargetMode="External"/><Relationship Id="rId8856" Type="http://schemas.openxmlformats.org/officeDocument/2006/relationships/hyperlink" Target="https://statiz.sporki.com/add/?m=draft_school02&amp;ps_school=60104" TargetMode="External"/><Relationship Id="rId9907" Type="http://schemas.openxmlformats.org/officeDocument/2006/relationships/hyperlink" Target="https://statiz.sporki.com/player/?m=playerinfo&amp;p_no=1718" TargetMode="External"/><Relationship Id="rId10786" Type="http://schemas.openxmlformats.org/officeDocument/2006/relationships/hyperlink" Target="https://statiz.sporki.com/player/?m=playerinfo&amp;p_no=1528" TargetMode="External"/><Relationship Id="rId11837" Type="http://schemas.openxmlformats.org/officeDocument/2006/relationships/hyperlink" Target="https://statiz.sporki.com/add/?m=draft_school01&amp;ps_school=50105" TargetMode="External"/><Relationship Id="rId17399" Type="http://schemas.openxmlformats.org/officeDocument/2006/relationships/hyperlink" Target="https://statiz.sporki.com/add/?m=draft_school01&amp;ps_school=50111" TargetMode="External"/><Relationship Id="rId7458" Type="http://schemas.openxmlformats.org/officeDocument/2006/relationships/hyperlink" Target="https://statiz.sporki.com/add/?m=draft_school02&amp;ps_school=60101" TargetMode="External"/><Relationship Id="rId8509" Type="http://schemas.openxmlformats.org/officeDocument/2006/relationships/hyperlink" Target="https://statiz.sporki.com/player/?m=playerinfo&amp;p_no=10191" TargetMode="External"/><Relationship Id="rId10439" Type="http://schemas.openxmlformats.org/officeDocument/2006/relationships/hyperlink" Target="https://statiz.sporki.com/add/?m=draft_school01&amp;ps_school=50126" TargetMode="External"/><Relationship Id="rId14310" Type="http://schemas.openxmlformats.org/officeDocument/2006/relationships/hyperlink" Target="https://statiz.sporki.com/player/?m=playerinfo&amp;p_no=10604" TargetMode="External"/><Relationship Id="rId16482" Type="http://schemas.openxmlformats.org/officeDocument/2006/relationships/hyperlink" Target="https://statiz.sporki.com/add/?m=draft_school01&amp;ps_school=50110" TargetMode="External"/><Relationship Id="rId17880" Type="http://schemas.openxmlformats.org/officeDocument/2006/relationships/hyperlink" Target="https://statiz.sporki.com/add/?m=draft_school01&amp;ps_school=50803" TargetMode="External"/><Relationship Id="rId18931" Type="http://schemas.openxmlformats.org/officeDocument/2006/relationships/hyperlink" Target="https://statiz.sporki.com/add/?m=draft_school01&amp;ps_school=50202" TargetMode="External"/><Relationship Id="rId989" Type="http://schemas.openxmlformats.org/officeDocument/2006/relationships/hyperlink" Target="https://statiz.sporki.com/add/?m=draft_school01&amp;ps_school=50301" TargetMode="External"/><Relationship Id="rId5490" Type="http://schemas.openxmlformats.org/officeDocument/2006/relationships/hyperlink" Target="https://statiz.sporki.com/add/?m=draft_school02&amp;ps_school=60804" TargetMode="External"/><Relationship Id="rId6541" Type="http://schemas.openxmlformats.org/officeDocument/2006/relationships/hyperlink" Target="https://statiz.sporki.com/player/?m=playerinfo&amp;p_no=10052" TargetMode="External"/><Relationship Id="rId10920" Type="http://schemas.openxmlformats.org/officeDocument/2006/relationships/hyperlink" Target="https://statiz.sporki.com/add/?m=draft_school02&amp;ps_school=" TargetMode="External"/><Relationship Id="rId15084" Type="http://schemas.openxmlformats.org/officeDocument/2006/relationships/hyperlink" Target="https://statiz.sporki.com/player/?m=playerinfo&amp;p_no=14564" TargetMode="External"/><Relationship Id="rId16135" Type="http://schemas.openxmlformats.org/officeDocument/2006/relationships/hyperlink" Target="https://statiz.sporki.com/player/?m=playerinfo&amp;p_no=1099" TargetMode="External"/><Relationship Id="rId17533" Type="http://schemas.openxmlformats.org/officeDocument/2006/relationships/hyperlink" Target="https://statiz.sporki.com/add/?m=draft_school01&amp;ps_school=50602" TargetMode="External"/><Relationship Id="rId4092" Type="http://schemas.openxmlformats.org/officeDocument/2006/relationships/hyperlink" Target="https://statiz.sporki.com/add/?m=draft_school02&amp;ps_school=60605" TargetMode="External"/><Relationship Id="rId5143" Type="http://schemas.openxmlformats.org/officeDocument/2006/relationships/hyperlink" Target="https://statiz.sporki.com/player/?m=playerinfo&amp;p_no=10943" TargetMode="External"/><Relationship Id="rId8366" Type="http://schemas.openxmlformats.org/officeDocument/2006/relationships/hyperlink" Target="https://statiz.sporki.com/add/?m=draft_school01&amp;ps_school=50209" TargetMode="External"/><Relationship Id="rId9764" Type="http://schemas.openxmlformats.org/officeDocument/2006/relationships/hyperlink" Target="https://statiz.sporki.com/add/?m=draft_school01&amp;ps_school=50602" TargetMode="External"/><Relationship Id="rId11694" Type="http://schemas.openxmlformats.org/officeDocument/2006/relationships/hyperlink" Target="https://statiz.sporki.com/add/?m=draft_school02&amp;ps_school=" TargetMode="External"/><Relationship Id="rId12745" Type="http://schemas.openxmlformats.org/officeDocument/2006/relationships/hyperlink" Target="https://statiz.sporki.com/player/?m=playerinfo&amp;p_no=14682" TargetMode="External"/><Relationship Id="rId19358" Type="http://schemas.openxmlformats.org/officeDocument/2006/relationships/hyperlink" Target="https://statiz.sporki.com/add/?m=draft_school01&amp;ps_school=50403" TargetMode="External"/><Relationship Id="rId1753" Type="http://schemas.openxmlformats.org/officeDocument/2006/relationships/hyperlink" Target="https://statiz.sporki.com/player/?m=playerinfo&amp;p_no=14617" TargetMode="External"/><Relationship Id="rId2804" Type="http://schemas.openxmlformats.org/officeDocument/2006/relationships/hyperlink" Target="https://statiz.sporki.com/add/?m=draft_school01&amp;ps_school=50703" TargetMode="External"/><Relationship Id="rId8019" Type="http://schemas.openxmlformats.org/officeDocument/2006/relationships/hyperlink" Target="https://statiz.sporki.com/add/?m=draft_school02&amp;ps_school=" TargetMode="External"/><Relationship Id="rId9417" Type="http://schemas.openxmlformats.org/officeDocument/2006/relationships/hyperlink" Target="https://statiz.sporki.com/add/?m=draft_school02&amp;ps_school=60802" TargetMode="External"/><Relationship Id="rId10296" Type="http://schemas.openxmlformats.org/officeDocument/2006/relationships/hyperlink" Target="https://statiz.sporki.com/add/?m=draft_school02&amp;ps_school=60113" TargetMode="External"/><Relationship Id="rId11347" Type="http://schemas.openxmlformats.org/officeDocument/2006/relationships/hyperlink" Target="https://statiz.sporki.com/player/?m=playerinfo&amp;p_no=1233" TargetMode="External"/><Relationship Id="rId15968" Type="http://schemas.openxmlformats.org/officeDocument/2006/relationships/hyperlink" Target="https://statiz.sporki.com/player/?m=playerinfo&amp;p_no=1231" TargetMode="External"/><Relationship Id="rId1406" Type="http://schemas.openxmlformats.org/officeDocument/2006/relationships/hyperlink" Target="https://statiz.sporki.com/add/?m=draft_school01&amp;ps_school=50111" TargetMode="External"/><Relationship Id="rId4976" Type="http://schemas.openxmlformats.org/officeDocument/2006/relationships/hyperlink" Target="https://statiz.sporki.com/add/?m=draft_school01&amp;ps_school=50602" TargetMode="External"/><Relationship Id="rId17390" Type="http://schemas.openxmlformats.org/officeDocument/2006/relationships/hyperlink" Target="https://statiz.sporki.com/add/?m=draft_school01&amp;ps_school=50111" TargetMode="External"/><Relationship Id="rId18441" Type="http://schemas.openxmlformats.org/officeDocument/2006/relationships/hyperlink" Target="https://statiz.sporki.com/add/?m=draft_school01&amp;ps_school=50109" TargetMode="External"/><Relationship Id="rId3578" Type="http://schemas.openxmlformats.org/officeDocument/2006/relationships/hyperlink" Target="https://statiz.sporki.com/add/?m=draft_school01&amp;ps_school=50101" TargetMode="External"/><Relationship Id="rId4629" Type="http://schemas.openxmlformats.org/officeDocument/2006/relationships/hyperlink" Target="https://statiz.sporki.com/add/?m=draft_school02&amp;ps_school=" TargetMode="External"/><Relationship Id="rId8500" Type="http://schemas.openxmlformats.org/officeDocument/2006/relationships/hyperlink" Target="https://statiz.sporki.com/player/?m=playerinfo&amp;p_no=10430" TargetMode="External"/><Relationship Id="rId10430" Type="http://schemas.openxmlformats.org/officeDocument/2006/relationships/hyperlink" Target="https://statiz.sporki.com/add/?m=draft_school01&amp;ps_school=50403" TargetMode="External"/><Relationship Id="rId17043" Type="http://schemas.openxmlformats.org/officeDocument/2006/relationships/hyperlink" Target="https://statiz.sporki.com/add/?m=draft_school01&amp;ps_school=50801" TargetMode="External"/><Relationship Id="rId499" Type="http://schemas.openxmlformats.org/officeDocument/2006/relationships/hyperlink" Target="https://statiz.sporki.com/player/?m=playerinfo&amp;p_no=15067" TargetMode="External"/><Relationship Id="rId6051" Type="http://schemas.openxmlformats.org/officeDocument/2006/relationships/hyperlink" Target="https://statiz.sporki.com/add/?m=draft_school02&amp;ps_school=60203" TargetMode="External"/><Relationship Id="rId7102" Type="http://schemas.openxmlformats.org/officeDocument/2006/relationships/hyperlink" Target="https://statiz.sporki.com/player/?m=playerinfo&amp;p_no=10042" TargetMode="External"/><Relationship Id="rId9274" Type="http://schemas.openxmlformats.org/officeDocument/2006/relationships/hyperlink" Target="https://statiz.sporki.com/player/?m=playerinfo&amp;p_no=1896" TargetMode="External"/><Relationship Id="rId13653" Type="http://schemas.openxmlformats.org/officeDocument/2006/relationships/hyperlink" Target="https://statiz.sporki.com/player/?m=playerinfo&amp;p_no=11072" TargetMode="External"/><Relationship Id="rId14704" Type="http://schemas.openxmlformats.org/officeDocument/2006/relationships/hyperlink" Target="https://statiz.sporki.com/player/?m=playerinfo&amp;p_no=10112" TargetMode="External"/><Relationship Id="rId633" Type="http://schemas.openxmlformats.org/officeDocument/2006/relationships/hyperlink" Target="https://statiz.sporki.com/add/?m=draft_school02&amp;ps_school=60502" TargetMode="External"/><Relationship Id="rId980" Type="http://schemas.openxmlformats.org/officeDocument/2006/relationships/hyperlink" Target="https://statiz.sporki.com/add/?m=draft_school01&amp;ps_school=50103" TargetMode="External"/><Relationship Id="rId1263" Type="http://schemas.openxmlformats.org/officeDocument/2006/relationships/hyperlink" Target="https://statiz.sporki.com/add/?m=draft_school02&amp;ps_school=60801" TargetMode="External"/><Relationship Id="rId2314" Type="http://schemas.openxmlformats.org/officeDocument/2006/relationships/hyperlink" Target="https://statiz.sporki.com/player/?m=playerinfo&amp;p_no=13156" TargetMode="External"/><Relationship Id="rId2661" Type="http://schemas.openxmlformats.org/officeDocument/2006/relationships/hyperlink" Target="https://statiz.sporki.com/add/?m=draft_school02&amp;ps_school=" TargetMode="External"/><Relationship Id="rId3712" Type="http://schemas.openxmlformats.org/officeDocument/2006/relationships/hyperlink" Target="https://statiz.sporki.com/player/?m=playerinfo&amp;p_no=11337" TargetMode="External"/><Relationship Id="rId12255" Type="http://schemas.openxmlformats.org/officeDocument/2006/relationships/hyperlink" Target="https://statiz.sporki.com/player/?m=playerinfo&amp;p_no=15653" TargetMode="External"/><Relationship Id="rId13306" Type="http://schemas.openxmlformats.org/officeDocument/2006/relationships/hyperlink" Target="https://statiz.sporki.com/player/?m=playerinfo&amp;p_no=12682" TargetMode="External"/><Relationship Id="rId16876" Type="http://schemas.openxmlformats.org/officeDocument/2006/relationships/hyperlink" Target="https://statiz.sporki.com/add/?m=draft_school01&amp;ps_school=50103" TargetMode="External"/><Relationship Id="rId17927" Type="http://schemas.openxmlformats.org/officeDocument/2006/relationships/hyperlink" Target="https://statiz.sporki.com/add/?m=draft_school01&amp;ps_school=50802" TargetMode="External"/><Relationship Id="rId5884" Type="http://schemas.openxmlformats.org/officeDocument/2006/relationships/hyperlink" Target="https://statiz.sporki.com/player/?m=playerinfo&amp;p_no=10928" TargetMode="External"/><Relationship Id="rId6935" Type="http://schemas.openxmlformats.org/officeDocument/2006/relationships/hyperlink" Target="https://statiz.sporki.com/add/?m=draft_school01&amp;ps_school=50301" TargetMode="External"/><Relationship Id="rId15478" Type="http://schemas.openxmlformats.org/officeDocument/2006/relationships/hyperlink" Target="https://statiz.sporki.com/player/?m=playerinfo&amp;p_no=11435" TargetMode="External"/><Relationship Id="rId16529" Type="http://schemas.openxmlformats.org/officeDocument/2006/relationships/hyperlink" Target="https://statiz.sporki.com/add/?m=draft_school01&amp;ps_school=50805" TargetMode="External"/><Relationship Id="rId3088" Type="http://schemas.openxmlformats.org/officeDocument/2006/relationships/hyperlink" Target="https://statiz.sporki.com/player/?m=playerinfo&amp;p_no=13007" TargetMode="External"/><Relationship Id="rId4486" Type="http://schemas.openxmlformats.org/officeDocument/2006/relationships/hyperlink" Target="https://statiz.sporki.com/player/?m=playerinfo&amp;p_no=11168" TargetMode="External"/><Relationship Id="rId5537" Type="http://schemas.openxmlformats.org/officeDocument/2006/relationships/hyperlink" Target="https://statiz.sporki.com/add/?m=draft_school01&amp;ps_school=50110" TargetMode="External"/><Relationship Id="rId19002" Type="http://schemas.openxmlformats.org/officeDocument/2006/relationships/hyperlink" Target="https://statiz.sporki.com/add/?m=draft_school01&amp;ps_school=50105" TargetMode="External"/><Relationship Id="rId4139" Type="http://schemas.openxmlformats.org/officeDocument/2006/relationships/hyperlink" Target="https://statiz.sporki.com/add/?m=draft_school01&amp;ps_school=50113" TargetMode="External"/><Relationship Id="rId8010" Type="http://schemas.openxmlformats.org/officeDocument/2006/relationships/hyperlink" Target="https://statiz.sporki.com/add/?m=draft_school02&amp;ps_school=" TargetMode="External"/><Relationship Id="rId14561" Type="http://schemas.openxmlformats.org/officeDocument/2006/relationships/hyperlink" Target="https://statiz.sporki.com/player/?m=playerinfo&amp;p_no=2290" TargetMode="External"/><Relationship Id="rId4620" Type="http://schemas.openxmlformats.org/officeDocument/2006/relationships/hyperlink" Target="https://statiz.sporki.com/add/?m=draft_school02&amp;ps_school=" TargetMode="External"/><Relationship Id="rId13163" Type="http://schemas.openxmlformats.org/officeDocument/2006/relationships/hyperlink" Target="https://statiz.sporki.com/player/?m=playerinfo&amp;p_no=12959" TargetMode="External"/><Relationship Id="rId14214" Type="http://schemas.openxmlformats.org/officeDocument/2006/relationships/hyperlink" Target="https://statiz.sporki.com/player/?m=playerinfo&amp;p_no=2417" TargetMode="External"/><Relationship Id="rId15612" Type="http://schemas.openxmlformats.org/officeDocument/2006/relationships/hyperlink" Target="https://statiz.sporki.com/player/?m=playerinfo&amp;p_no=1507" TargetMode="External"/><Relationship Id="rId490" Type="http://schemas.openxmlformats.org/officeDocument/2006/relationships/hyperlink" Target="https://statiz.sporki.com/player/?m=playerinfo&amp;p_no=15099" TargetMode="External"/><Relationship Id="rId2171" Type="http://schemas.openxmlformats.org/officeDocument/2006/relationships/hyperlink" Target="https://statiz.sporki.com/add/?m=draft_school01&amp;ps_school=" TargetMode="External"/><Relationship Id="rId3222" Type="http://schemas.openxmlformats.org/officeDocument/2006/relationships/hyperlink" Target="https://statiz.sporki.com/add/?m=draft_school02&amp;ps_school=60103" TargetMode="External"/><Relationship Id="rId17784" Type="http://schemas.openxmlformats.org/officeDocument/2006/relationships/hyperlink" Target="https://statiz.sporki.com/add/?m=draft_school01&amp;ps_school=50103" TargetMode="External"/><Relationship Id="rId18835" Type="http://schemas.openxmlformats.org/officeDocument/2006/relationships/hyperlink" Target="https://statiz.sporki.com/add/?m=draft_school01&amp;ps_school=50112" TargetMode="External"/><Relationship Id="rId143" Type="http://schemas.openxmlformats.org/officeDocument/2006/relationships/hyperlink" Target="https://statiz.sporki.com/add/?m=draft_school01&amp;ps_school=50806" TargetMode="External"/><Relationship Id="rId5394" Type="http://schemas.openxmlformats.org/officeDocument/2006/relationships/hyperlink" Target="https://statiz.sporki.com/add/?m=draft_school02&amp;ps_school=" TargetMode="External"/><Relationship Id="rId6445" Type="http://schemas.openxmlformats.org/officeDocument/2006/relationships/hyperlink" Target="https://statiz.sporki.com/player/?m=playerinfo&amp;p_no=10521" TargetMode="External"/><Relationship Id="rId6792" Type="http://schemas.openxmlformats.org/officeDocument/2006/relationships/hyperlink" Target="https://statiz.sporki.com/add/?m=draft_school02&amp;ps_school=" TargetMode="External"/><Relationship Id="rId7843" Type="http://schemas.openxmlformats.org/officeDocument/2006/relationships/hyperlink" Target="https://statiz.sporki.com/player/?m=playerinfo&amp;p_no=2237" TargetMode="External"/><Relationship Id="rId10824" Type="http://schemas.openxmlformats.org/officeDocument/2006/relationships/hyperlink" Target="https://statiz.sporki.com/add/?m=draft_school02&amp;ps_school=60102" TargetMode="External"/><Relationship Id="rId16386" Type="http://schemas.openxmlformats.org/officeDocument/2006/relationships/hyperlink" Target="https://statiz.sporki.com/add/?m=draft_school01&amp;ps_school=50114" TargetMode="External"/><Relationship Id="rId17437" Type="http://schemas.openxmlformats.org/officeDocument/2006/relationships/hyperlink" Target="https://statiz.sporki.com/add/?m=draft_school01&amp;ps_school=50208" TargetMode="External"/><Relationship Id="rId9" Type="http://schemas.openxmlformats.org/officeDocument/2006/relationships/hyperlink" Target="https://statiz.sporki.com/add/?m=draft_school02&amp;ps_school=" TargetMode="External"/><Relationship Id="rId5047" Type="http://schemas.openxmlformats.org/officeDocument/2006/relationships/hyperlink" Target="https://statiz.sporki.com/player/?m=playerinfo&amp;p_no=10782" TargetMode="External"/><Relationship Id="rId12996" Type="http://schemas.openxmlformats.org/officeDocument/2006/relationships/hyperlink" Target="https://statiz.sporki.com/player/?m=playerinfo&amp;p_no=13176" TargetMode="External"/><Relationship Id="rId16039" Type="http://schemas.openxmlformats.org/officeDocument/2006/relationships/hyperlink" Target="https://statiz.sporki.com/player/?m=playerinfo&amp;p_no=1176" TargetMode="External"/><Relationship Id="rId9668" Type="http://schemas.openxmlformats.org/officeDocument/2006/relationships/hyperlink" Target="https://statiz.sporki.com/add/?m=draft_school01&amp;ps_school=50126" TargetMode="External"/><Relationship Id="rId11598" Type="http://schemas.openxmlformats.org/officeDocument/2006/relationships/hyperlink" Target="https://statiz.sporki.com/add/?m=draft_school02&amp;ps_school=60803" TargetMode="External"/><Relationship Id="rId12649" Type="http://schemas.openxmlformats.org/officeDocument/2006/relationships/hyperlink" Target="https://statiz.sporki.com/player/?m=playerinfo&amp;p_no=14616" TargetMode="External"/><Relationship Id="rId16520" Type="http://schemas.openxmlformats.org/officeDocument/2006/relationships/hyperlink" Target="https://statiz.sporki.com/add/?m=draft_school01&amp;ps_school=50207" TargetMode="External"/><Relationship Id="rId1657" Type="http://schemas.openxmlformats.org/officeDocument/2006/relationships/hyperlink" Target="https://statiz.sporki.com/player/?m=playerinfo&amp;p_no=14678" TargetMode="External"/><Relationship Id="rId2708" Type="http://schemas.openxmlformats.org/officeDocument/2006/relationships/hyperlink" Target="https://statiz.sporki.com/add/?m=draft_school01&amp;ps_school=50707" TargetMode="External"/><Relationship Id="rId14071" Type="http://schemas.openxmlformats.org/officeDocument/2006/relationships/hyperlink" Target="https://statiz.sporki.com/player/?m=playerinfo&amp;p_no=10620" TargetMode="External"/><Relationship Id="rId15122" Type="http://schemas.openxmlformats.org/officeDocument/2006/relationships/hyperlink" Target="https://statiz.sporki.com/player/?m=playerinfo&amp;p_no=10332" TargetMode="External"/><Relationship Id="rId18692" Type="http://schemas.openxmlformats.org/officeDocument/2006/relationships/hyperlink" Target="https://statiz.sporki.com/add/?m=draft_school01&amp;ps_school=50608" TargetMode="External"/><Relationship Id="rId4130" Type="http://schemas.openxmlformats.org/officeDocument/2006/relationships/hyperlink" Target="https://statiz.sporki.com/add/?m=draft_school01&amp;ps_school=50209" TargetMode="External"/><Relationship Id="rId8751" Type="http://schemas.openxmlformats.org/officeDocument/2006/relationships/hyperlink" Target="https://statiz.sporki.com/add/?m=draft_school02&amp;ps_school=" TargetMode="External"/><Relationship Id="rId9802" Type="http://schemas.openxmlformats.org/officeDocument/2006/relationships/hyperlink" Target="https://statiz.sporki.com/player/?m=playerinfo&amp;p_no=1715" TargetMode="External"/><Relationship Id="rId17294" Type="http://schemas.openxmlformats.org/officeDocument/2006/relationships/hyperlink" Target="https://statiz.sporki.com/add/?m=draft_school01&amp;ps_school=50706" TargetMode="External"/><Relationship Id="rId18345" Type="http://schemas.openxmlformats.org/officeDocument/2006/relationships/hyperlink" Target="https://statiz.sporki.com/add/?m=draft_school01&amp;ps_school=50902" TargetMode="External"/><Relationship Id="rId16" Type="http://schemas.openxmlformats.org/officeDocument/2006/relationships/hyperlink" Target="https://statiz.sporki.com/player/?m=playerinfo&amp;p_no=15472" TargetMode="External"/><Relationship Id="rId7353" Type="http://schemas.openxmlformats.org/officeDocument/2006/relationships/hyperlink" Target="https://statiz.sporki.com/add/?m=draft_school02&amp;ps_school=" TargetMode="External"/><Relationship Id="rId8404" Type="http://schemas.openxmlformats.org/officeDocument/2006/relationships/hyperlink" Target="https://statiz.sporki.com/player/?m=playerinfo&amp;p_no=2074" TargetMode="External"/><Relationship Id="rId10681" Type="http://schemas.openxmlformats.org/officeDocument/2006/relationships/hyperlink" Target="https://statiz.sporki.com/player/?m=playerinfo&amp;p_no=1460" TargetMode="External"/><Relationship Id="rId11732" Type="http://schemas.openxmlformats.org/officeDocument/2006/relationships/hyperlink" Target="https://statiz.sporki.com/add/?m=draft_school01&amp;ps_school=50122" TargetMode="External"/><Relationship Id="rId7006" Type="http://schemas.openxmlformats.org/officeDocument/2006/relationships/hyperlink" Target="https://statiz.sporki.com/player/?m=playerinfo&amp;p_no=10064" TargetMode="External"/><Relationship Id="rId10334" Type="http://schemas.openxmlformats.org/officeDocument/2006/relationships/hyperlink" Target="https://statiz.sporki.com/add/?m=draft_school01&amp;ps_school=50608" TargetMode="External"/><Relationship Id="rId14955" Type="http://schemas.openxmlformats.org/officeDocument/2006/relationships/hyperlink" Target="https://statiz.sporki.com/player/?m=playerinfo&amp;p_no=10219" TargetMode="External"/><Relationship Id="rId3963" Type="http://schemas.openxmlformats.org/officeDocument/2006/relationships/hyperlink" Target="https://statiz.sporki.com/add/?m=draft_school02&amp;ps_school=" TargetMode="External"/><Relationship Id="rId9178" Type="http://schemas.openxmlformats.org/officeDocument/2006/relationships/hyperlink" Target="https://statiz.sporki.com/player/?m=playerinfo&amp;p_no=1880" TargetMode="External"/><Relationship Id="rId13557" Type="http://schemas.openxmlformats.org/officeDocument/2006/relationships/hyperlink" Target="https://statiz.sporki.com/player/?m=playerinfo&amp;p_no=11273" TargetMode="External"/><Relationship Id="rId14608" Type="http://schemas.openxmlformats.org/officeDocument/2006/relationships/hyperlink" Target="https://statiz.sporki.com/player/?m=playerinfo&amp;p_no=11460" TargetMode="External"/><Relationship Id="rId884" Type="http://schemas.openxmlformats.org/officeDocument/2006/relationships/hyperlink" Target="https://statiz.sporki.com/add/?m=draft_school01&amp;ps_school=51130" TargetMode="External"/><Relationship Id="rId2565" Type="http://schemas.openxmlformats.org/officeDocument/2006/relationships/hyperlink" Target="https://statiz.sporki.com/add/?m=draft_school02&amp;ps_school=60113" TargetMode="External"/><Relationship Id="rId3616" Type="http://schemas.openxmlformats.org/officeDocument/2006/relationships/hyperlink" Target="https://statiz.sporki.com/player/?m=playerinfo&amp;p_no=11344" TargetMode="External"/><Relationship Id="rId12159" Type="http://schemas.openxmlformats.org/officeDocument/2006/relationships/hyperlink" Target="https://statiz.sporki.com/player/?m=playerinfo&amp;p_no=15497" TargetMode="External"/><Relationship Id="rId16030" Type="http://schemas.openxmlformats.org/officeDocument/2006/relationships/hyperlink" Target="https://statiz.sporki.com/player/?m=playerinfo&amp;p_no=1169" TargetMode="External"/><Relationship Id="rId537" Type="http://schemas.openxmlformats.org/officeDocument/2006/relationships/hyperlink" Target="https://statiz.sporki.com/add/?m=draft_school02&amp;ps_school=" TargetMode="External"/><Relationship Id="rId1167" Type="http://schemas.openxmlformats.org/officeDocument/2006/relationships/hyperlink" Target="https://statiz.sporki.com/add/?m=draft_school02&amp;ps_school=" TargetMode="External"/><Relationship Id="rId2218" Type="http://schemas.openxmlformats.org/officeDocument/2006/relationships/hyperlink" Target="https://statiz.sporki.com/player/?m=playerinfo&amp;p_no=13927" TargetMode="External"/><Relationship Id="rId5788" Type="http://schemas.openxmlformats.org/officeDocument/2006/relationships/hyperlink" Target="https://statiz.sporki.com/player/?m=playerinfo&amp;p_no=10620" TargetMode="External"/><Relationship Id="rId6839" Type="http://schemas.openxmlformats.org/officeDocument/2006/relationships/hyperlink" Target="https://statiz.sporki.com/add/?m=draft_school01&amp;ps_school=" TargetMode="External"/><Relationship Id="rId12640" Type="http://schemas.openxmlformats.org/officeDocument/2006/relationships/hyperlink" Target="https://statiz.sporki.com/player/?m=playerinfo&amp;p_no=14674" TargetMode="External"/><Relationship Id="rId19253" Type="http://schemas.openxmlformats.org/officeDocument/2006/relationships/hyperlink" Target="https://statiz.sporki.com/add/?m=draft_school01&amp;ps_school=50105" TargetMode="External"/><Relationship Id="rId8261" Type="http://schemas.openxmlformats.org/officeDocument/2006/relationships/hyperlink" Target="https://statiz.sporki.com/add/?m=draft_school01&amp;ps_school=" TargetMode="External"/><Relationship Id="rId9312" Type="http://schemas.openxmlformats.org/officeDocument/2006/relationships/hyperlink" Target="https://statiz.sporki.com/add/?m=draft_school02&amp;ps_school=60203" TargetMode="External"/><Relationship Id="rId10191" Type="http://schemas.openxmlformats.org/officeDocument/2006/relationships/hyperlink" Target="https://statiz.sporki.com/add/?m=draft_school02&amp;ps_school=" TargetMode="External"/><Relationship Id="rId11242" Type="http://schemas.openxmlformats.org/officeDocument/2006/relationships/hyperlink" Target="https://statiz.sporki.com/player/?m=playerinfo&amp;p_no=1321" TargetMode="External"/><Relationship Id="rId1301" Type="http://schemas.openxmlformats.org/officeDocument/2006/relationships/hyperlink" Target="https://statiz.sporki.com/add/?m=draft_school01&amp;ps_school=51118" TargetMode="External"/><Relationship Id="rId15863" Type="http://schemas.openxmlformats.org/officeDocument/2006/relationships/hyperlink" Target="https://statiz.sporki.com/player/?m=playerinfo&amp;p_no=1313" TargetMode="External"/><Relationship Id="rId16914" Type="http://schemas.openxmlformats.org/officeDocument/2006/relationships/hyperlink" Target="https://statiz.sporki.com/add/?m=draft_school01&amp;ps_school=50701" TargetMode="External"/><Relationship Id="rId3473" Type="http://schemas.openxmlformats.org/officeDocument/2006/relationships/hyperlink" Target="https://statiz.sporki.com/add/?m=draft_school01&amp;ps_school=50102" TargetMode="External"/><Relationship Id="rId4524" Type="http://schemas.openxmlformats.org/officeDocument/2006/relationships/hyperlink" Target="https://statiz.sporki.com/add/?m=draft_school02&amp;ps_school=" TargetMode="External"/><Relationship Id="rId4871" Type="http://schemas.openxmlformats.org/officeDocument/2006/relationships/hyperlink" Target="https://statiz.sporki.com/add/?m=draft_school01&amp;ps_school=50606" TargetMode="External"/><Relationship Id="rId5922" Type="http://schemas.openxmlformats.org/officeDocument/2006/relationships/hyperlink" Target="https://statiz.sporki.com/add/?m=draft_school02&amp;ps_school=60705" TargetMode="External"/><Relationship Id="rId13067" Type="http://schemas.openxmlformats.org/officeDocument/2006/relationships/hyperlink" Target="https://statiz.sporki.com/player/?m=playerinfo&amp;p_no=12908" TargetMode="External"/><Relationship Id="rId14465" Type="http://schemas.openxmlformats.org/officeDocument/2006/relationships/hyperlink" Target="https://statiz.sporki.com/player/?m=playerinfo&amp;p_no=10035" TargetMode="External"/><Relationship Id="rId15516" Type="http://schemas.openxmlformats.org/officeDocument/2006/relationships/hyperlink" Target="https://statiz.sporki.com/player/?m=playerinfo&amp;p_no=1601" TargetMode="External"/><Relationship Id="rId394" Type="http://schemas.openxmlformats.org/officeDocument/2006/relationships/hyperlink" Target="https://statiz.sporki.com/player/?m=playerinfo&amp;p_no=15541" TargetMode="External"/><Relationship Id="rId2075" Type="http://schemas.openxmlformats.org/officeDocument/2006/relationships/hyperlink" Target="https://statiz.sporki.com/add/?m=draft_school01&amp;ps_school=50807" TargetMode="External"/><Relationship Id="rId3126" Type="http://schemas.openxmlformats.org/officeDocument/2006/relationships/hyperlink" Target="https://statiz.sporki.com/add/?m=draft_school02&amp;ps_school=60109" TargetMode="External"/><Relationship Id="rId14118" Type="http://schemas.openxmlformats.org/officeDocument/2006/relationships/hyperlink" Target="https://statiz.sporki.com/player/?m=playerinfo&amp;p_no=10048" TargetMode="External"/><Relationship Id="rId17688" Type="http://schemas.openxmlformats.org/officeDocument/2006/relationships/hyperlink" Target="https://statiz.sporki.com/add/?m=draft_school01&amp;ps_school=50602" TargetMode="External"/><Relationship Id="rId18739" Type="http://schemas.openxmlformats.org/officeDocument/2006/relationships/hyperlink" Target="https://statiz.sporki.com/add/?m=draft_school01&amp;ps_school=50109" TargetMode="External"/><Relationship Id="rId5298" Type="http://schemas.openxmlformats.org/officeDocument/2006/relationships/hyperlink" Target="https://statiz.sporki.com/add/?m=draft_school02&amp;ps_school=" TargetMode="External"/><Relationship Id="rId6696" Type="http://schemas.openxmlformats.org/officeDocument/2006/relationships/hyperlink" Target="https://statiz.sporki.com/add/?m=draft_school02&amp;ps_school=" TargetMode="External"/><Relationship Id="rId7747" Type="http://schemas.openxmlformats.org/officeDocument/2006/relationships/hyperlink" Target="https://statiz.sporki.com/player/?m=playerinfo&amp;p_no=2224" TargetMode="External"/><Relationship Id="rId10728" Type="http://schemas.openxmlformats.org/officeDocument/2006/relationships/hyperlink" Target="https://statiz.sporki.com/add/?m=draft_school02&amp;ps_school=" TargetMode="External"/><Relationship Id="rId6349" Type="http://schemas.openxmlformats.org/officeDocument/2006/relationships/hyperlink" Target="https://statiz.sporki.com/player/?m=playerinfo&amp;p_no=10392" TargetMode="External"/><Relationship Id="rId12150" Type="http://schemas.openxmlformats.org/officeDocument/2006/relationships/hyperlink" Target="https://statiz.sporki.com/player/?m=playerinfo&amp;p_no=15508" TargetMode="External"/><Relationship Id="rId13201" Type="http://schemas.openxmlformats.org/officeDocument/2006/relationships/hyperlink" Target="https://statiz.sporki.com/player/?m=playerinfo&amp;p_no=12534" TargetMode="External"/><Relationship Id="rId16771" Type="http://schemas.openxmlformats.org/officeDocument/2006/relationships/hyperlink" Target="https://statiz.sporki.com/add/?m=draft_school01&amp;ps_school=50111" TargetMode="External"/><Relationship Id="rId2959" Type="http://schemas.openxmlformats.org/officeDocument/2006/relationships/hyperlink" Target="https://statiz.sporki.com/player/?m=playerinfo&amp;p_no=12903" TargetMode="External"/><Relationship Id="rId6830" Type="http://schemas.openxmlformats.org/officeDocument/2006/relationships/hyperlink" Target="https://statiz.sporki.com/add/?m=draft_school01&amp;ps_school=" TargetMode="External"/><Relationship Id="rId15373" Type="http://schemas.openxmlformats.org/officeDocument/2006/relationships/hyperlink" Target="https://statiz.sporki.com/player/?m=playerinfo&amp;p_no=1752" TargetMode="External"/><Relationship Id="rId16424" Type="http://schemas.openxmlformats.org/officeDocument/2006/relationships/hyperlink" Target="https://statiz.sporki.com/add/?m=draft_school01&amp;ps_school=50116" TargetMode="External"/><Relationship Id="rId17822" Type="http://schemas.openxmlformats.org/officeDocument/2006/relationships/hyperlink" Target="https://statiz.sporki.com/add/?m=draft_school01&amp;ps_school=50807" TargetMode="External"/><Relationship Id="rId4381" Type="http://schemas.openxmlformats.org/officeDocument/2006/relationships/hyperlink" Target="https://statiz.sporki.com/player/?m=playerinfo&amp;p_no=11272" TargetMode="External"/><Relationship Id="rId5432" Type="http://schemas.openxmlformats.org/officeDocument/2006/relationships/hyperlink" Target="https://statiz.sporki.com/add/?m=draft_school01&amp;ps_school=50902" TargetMode="External"/><Relationship Id="rId15026" Type="http://schemas.openxmlformats.org/officeDocument/2006/relationships/hyperlink" Target="https://statiz.sporki.com/player/?m=playerinfo&amp;p_no=2035" TargetMode="External"/><Relationship Id="rId4034" Type="http://schemas.openxmlformats.org/officeDocument/2006/relationships/hyperlink" Target="https://statiz.sporki.com/add/?m=draft_school01&amp;ps_school=50802" TargetMode="External"/><Relationship Id="rId8655" Type="http://schemas.openxmlformats.org/officeDocument/2006/relationships/hyperlink" Target="https://statiz.sporki.com/add/?m=draft_school02&amp;ps_school=60111" TargetMode="External"/><Relationship Id="rId11983" Type="http://schemas.openxmlformats.org/officeDocument/2006/relationships/hyperlink" Target="https://statiz.sporki.com/player/?m=playerinfo&amp;p_no=1056" TargetMode="External"/><Relationship Id="rId17198" Type="http://schemas.openxmlformats.org/officeDocument/2006/relationships/hyperlink" Target="https://statiz.sporki.com/add/?m=draft_school01&amp;ps_school=50501" TargetMode="External"/><Relationship Id="rId18249" Type="http://schemas.openxmlformats.org/officeDocument/2006/relationships/hyperlink" Target="https://statiz.sporki.com/add/?m=draft_school01&amp;ps_school=50606" TargetMode="External"/><Relationship Id="rId18596" Type="http://schemas.openxmlformats.org/officeDocument/2006/relationships/hyperlink" Target="https://statiz.sporki.com/add/?m=draft_school01&amp;ps_school=50402" TargetMode="External"/><Relationship Id="rId19647" Type="http://schemas.openxmlformats.org/officeDocument/2006/relationships/hyperlink" Target="https://statiz.sporki.com/add/?m=draft_school01&amp;ps_school=50701" TargetMode="External"/><Relationship Id="rId7257" Type="http://schemas.openxmlformats.org/officeDocument/2006/relationships/hyperlink" Target="https://statiz.sporki.com/add/?m=draft_school02&amp;ps_school=" TargetMode="External"/><Relationship Id="rId8308" Type="http://schemas.openxmlformats.org/officeDocument/2006/relationships/hyperlink" Target="https://statiz.sporki.com/player/?m=playerinfo&amp;p_no=10500" TargetMode="External"/><Relationship Id="rId9706" Type="http://schemas.openxmlformats.org/officeDocument/2006/relationships/hyperlink" Target="https://statiz.sporki.com/player/?m=playerinfo&amp;p_no=1802" TargetMode="External"/><Relationship Id="rId10585" Type="http://schemas.openxmlformats.org/officeDocument/2006/relationships/hyperlink" Target="https://statiz.sporki.com/player/?m=playerinfo&amp;p_no=1473" TargetMode="External"/><Relationship Id="rId11636" Type="http://schemas.openxmlformats.org/officeDocument/2006/relationships/hyperlink" Target="https://statiz.sporki.com/add/?m=draft_school01&amp;ps_school=50711" TargetMode="External"/><Relationship Id="rId10238" Type="http://schemas.openxmlformats.org/officeDocument/2006/relationships/hyperlink" Target="https://statiz.sporki.com/add/?m=draft_school01&amp;ps_school=50502" TargetMode="External"/><Relationship Id="rId14859" Type="http://schemas.openxmlformats.org/officeDocument/2006/relationships/hyperlink" Target="https://statiz.sporki.com/player/?m=playerinfo&amp;p_no=2351" TargetMode="External"/><Relationship Id="rId18730" Type="http://schemas.openxmlformats.org/officeDocument/2006/relationships/hyperlink" Target="https://statiz.sporki.com/add/?m=draft_school01&amp;ps_school=50803" TargetMode="External"/><Relationship Id="rId3867" Type="http://schemas.openxmlformats.org/officeDocument/2006/relationships/hyperlink" Target="https://statiz.sporki.com/add/?m=draft_school02&amp;ps_school=60504" TargetMode="External"/><Relationship Id="rId4918" Type="http://schemas.openxmlformats.org/officeDocument/2006/relationships/hyperlink" Target="https://statiz.sporki.com/player/?m=playerinfo&amp;p_no=10869" TargetMode="External"/><Relationship Id="rId16281" Type="http://schemas.openxmlformats.org/officeDocument/2006/relationships/hyperlink" Target="https://statiz.sporki.com/add/?m=draft_school01&amp;ps_school=50501" TargetMode="External"/><Relationship Id="rId17332" Type="http://schemas.openxmlformats.org/officeDocument/2006/relationships/hyperlink" Target="https://statiz.sporki.com/add/?m=draft_school01&amp;ps_school=50206" TargetMode="External"/><Relationship Id="rId788" Type="http://schemas.openxmlformats.org/officeDocument/2006/relationships/hyperlink" Target="https://statiz.sporki.com/add/?m=draft_school01&amp;ps_school=50111" TargetMode="External"/><Relationship Id="rId2469" Type="http://schemas.openxmlformats.org/officeDocument/2006/relationships/hyperlink" Target="https://statiz.sporki.com/add/?m=draft_school02&amp;ps_school=" TargetMode="External"/><Relationship Id="rId6340" Type="http://schemas.openxmlformats.org/officeDocument/2006/relationships/hyperlink" Target="https://statiz.sporki.com/player/?m=playerinfo&amp;p_no=10110" TargetMode="External"/><Relationship Id="rId9563" Type="http://schemas.openxmlformats.org/officeDocument/2006/relationships/hyperlink" Target="https://statiz.sporki.com/add/?m=draft_school01&amp;ps_school=50602" TargetMode="External"/><Relationship Id="rId11493" Type="http://schemas.openxmlformats.org/officeDocument/2006/relationships/hyperlink" Target="https://statiz.sporki.com/add/?m=draft_school02&amp;ps_school=60101" TargetMode="External"/><Relationship Id="rId12891" Type="http://schemas.openxmlformats.org/officeDocument/2006/relationships/hyperlink" Target="https://statiz.sporki.com/player/?m=playerinfo&amp;p_no=14679" TargetMode="External"/><Relationship Id="rId13942" Type="http://schemas.openxmlformats.org/officeDocument/2006/relationships/hyperlink" Target="https://statiz.sporki.com/player/?m=playerinfo&amp;p_no=10774" TargetMode="External"/><Relationship Id="rId19157" Type="http://schemas.openxmlformats.org/officeDocument/2006/relationships/hyperlink" Target="https://statiz.sporki.com/add/?m=draft_school01&amp;ps_school=50904" TargetMode="External"/><Relationship Id="rId922" Type="http://schemas.openxmlformats.org/officeDocument/2006/relationships/hyperlink" Target="https://statiz.sporki.com/player/?m=playerinfo&amp;p_no=15134" TargetMode="External"/><Relationship Id="rId1552" Type="http://schemas.openxmlformats.org/officeDocument/2006/relationships/hyperlink" Target="https://statiz.sporki.com/player/?m=playerinfo&amp;p_no=14668" TargetMode="External"/><Relationship Id="rId2603" Type="http://schemas.openxmlformats.org/officeDocument/2006/relationships/hyperlink" Target="https://statiz.sporki.com/add/?m=draft_school01&amp;ps_school=50209" TargetMode="External"/><Relationship Id="rId2950" Type="http://schemas.openxmlformats.org/officeDocument/2006/relationships/hyperlink" Target="https://statiz.sporki.com/player/?m=playerinfo&amp;p_no=12869" TargetMode="External"/><Relationship Id="rId8165" Type="http://schemas.openxmlformats.org/officeDocument/2006/relationships/hyperlink" Target="https://statiz.sporki.com/add/?m=draft_school01&amp;ps_school=50114" TargetMode="External"/><Relationship Id="rId9216" Type="http://schemas.openxmlformats.org/officeDocument/2006/relationships/hyperlink" Target="https://statiz.sporki.com/add/?m=draft_school02&amp;ps_school=60203" TargetMode="External"/><Relationship Id="rId10095" Type="http://schemas.openxmlformats.org/officeDocument/2006/relationships/hyperlink" Target="https://statiz.sporki.com/add/?m=draft_school02&amp;ps_school=" TargetMode="External"/><Relationship Id="rId11146" Type="http://schemas.openxmlformats.org/officeDocument/2006/relationships/hyperlink" Target="https://statiz.sporki.com/player/?m=playerinfo&amp;p_no=1310" TargetMode="External"/><Relationship Id="rId12544" Type="http://schemas.openxmlformats.org/officeDocument/2006/relationships/hyperlink" Target="https://statiz.sporki.com/player/?m=playerinfo&amp;p_no=14857" TargetMode="External"/><Relationship Id="rId1205" Type="http://schemas.openxmlformats.org/officeDocument/2006/relationships/hyperlink" Target="https://statiz.sporki.com/add/?m=draft_school01&amp;ps_school=50710" TargetMode="External"/><Relationship Id="rId15767" Type="http://schemas.openxmlformats.org/officeDocument/2006/relationships/hyperlink" Target="https://statiz.sporki.com/player/?m=playerinfo&amp;p_no=1379" TargetMode="External"/><Relationship Id="rId16818" Type="http://schemas.openxmlformats.org/officeDocument/2006/relationships/hyperlink" Target="https://statiz.sporki.com/add/?m=draft_school01&amp;ps_school=50210" TargetMode="External"/><Relationship Id="rId3377" Type="http://schemas.openxmlformats.org/officeDocument/2006/relationships/hyperlink" Target="https://statiz.sporki.com/add/?m=draft_school01&amp;ps_school=50703" TargetMode="External"/><Relationship Id="rId4775" Type="http://schemas.openxmlformats.org/officeDocument/2006/relationships/hyperlink" Target="https://statiz.sporki.com/add/?m=draft_school01&amp;ps_school=50601" TargetMode="External"/><Relationship Id="rId5826" Type="http://schemas.openxmlformats.org/officeDocument/2006/relationships/hyperlink" Target="https://statiz.sporki.com/add/?m=draft_school02&amp;ps_school=" TargetMode="External"/><Relationship Id="rId14369" Type="http://schemas.openxmlformats.org/officeDocument/2006/relationships/hyperlink" Target="https://statiz.sporki.com/player/?m=playerinfo&amp;p_no=10187" TargetMode="External"/><Relationship Id="rId18240" Type="http://schemas.openxmlformats.org/officeDocument/2006/relationships/hyperlink" Target="https://statiz.sporki.com/add/?m=draft_school01&amp;ps_school=50702" TargetMode="External"/><Relationship Id="rId298" Type="http://schemas.openxmlformats.org/officeDocument/2006/relationships/hyperlink" Target="https://statiz.sporki.com/player/?m=playerinfo&amp;p_no=15431" TargetMode="External"/><Relationship Id="rId4428" Type="http://schemas.openxmlformats.org/officeDocument/2006/relationships/hyperlink" Target="https://statiz.sporki.com/add/?m=draft_school02&amp;ps_school=" TargetMode="External"/><Relationship Id="rId7998" Type="http://schemas.openxmlformats.org/officeDocument/2006/relationships/hyperlink" Target="https://statiz.sporki.com/add/?m=draft_school02&amp;ps_school=" TargetMode="External"/><Relationship Id="rId10979" Type="http://schemas.openxmlformats.org/officeDocument/2006/relationships/hyperlink" Target="https://statiz.sporki.com/add/?m=draft_school01&amp;ps_school=50403" TargetMode="External"/><Relationship Id="rId14850" Type="http://schemas.openxmlformats.org/officeDocument/2006/relationships/hyperlink" Target="https://statiz.sporki.com/player/?m=playerinfo&amp;p_no=10225" TargetMode="External"/><Relationship Id="rId13452" Type="http://schemas.openxmlformats.org/officeDocument/2006/relationships/hyperlink" Target="https://statiz.sporki.com/player/?m=playerinfo&amp;p_no=11382" TargetMode="External"/><Relationship Id="rId14503" Type="http://schemas.openxmlformats.org/officeDocument/2006/relationships/hyperlink" Target="https://statiz.sporki.com/player/?m=playerinfo&amp;p_no=2311" TargetMode="External"/><Relationship Id="rId15901" Type="http://schemas.openxmlformats.org/officeDocument/2006/relationships/hyperlink" Target="https://statiz.sporki.com/player/?m=playerinfo&amp;p_no=1246" TargetMode="External"/><Relationship Id="rId2460" Type="http://schemas.openxmlformats.org/officeDocument/2006/relationships/hyperlink" Target="https://statiz.sporki.com/add/?m=draft_school02&amp;ps_school=" TargetMode="External"/><Relationship Id="rId3511" Type="http://schemas.openxmlformats.org/officeDocument/2006/relationships/hyperlink" Target="https://statiz.sporki.com/player/?m=playerinfo&amp;p_no=12519" TargetMode="External"/><Relationship Id="rId9073" Type="http://schemas.openxmlformats.org/officeDocument/2006/relationships/hyperlink" Target="https://statiz.sporki.com/player/?m=playerinfo&amp;p_no=1950" TargetMode="External"/><Relationship Id="rId12054" Type="http://schemas.openxmlformats.org/officeDocument/2006/relationships/hyperlink" Target="https://statiz.sporki.com/add/?m=draft_school02&amp;ps_school=60101" TargetMode="External"/><Relationship Id="rId13105" Type="http://schemas.openxmlformats.org/officeDocument/2006/relationships/hyperlink" Target="https://statiz.sporki.com/player/?m=playerinfo&amp;p_no=13194" TargetMode="External"/><Relationship Id="rId432" Type="http://schemas.openxmlformats.org/officeDocument/2006/relationships/hyperlink" Target="https://statiz.sporki.com/add/?m=draft_school02&amp;ps_school=60109" TargetMode="External"/><Relationship Id="rId1062" Type="http://schemas.openxmlformats.org/officeDocument/2006/relationships/hyperlink" Target="https://statiz.sporki.com/add/?m=draft_school02&amp;ps_school=" TargetMode="External"/><Relationship Id="rId2113" Type="http://schemas.openxmlformats.org/officeDocument/2006/relationships/hyperlink" Target="https://statiz.sporki.com/player/?m=playerinfo&amp;p_no=14185" TargetMode="External"/><Relationship Id="rId5683" Type="http://schemas.openxmlformats.org/officeDocument/2006/relationships/hyperlink" Target="https://statiz.sporki.com/player/?m=playerinfo&amp;p_no=10589" TargetMode="External"/><Relationship Id="rId6734" Type="http://schemas.openxmlformats.org/officeDocument/2006/relationships/hyperlink" Target="https://statiz.sporki.com/add/?m=draft_school01&amp;ps_school=50702" TargetMode="External"/><Relationship Id="rId15277" Type="http://schemas.openxmlformats.org/officeDocument/2006/relationships/hyperlink" Target="https://statiz.sporki.com/player/?m=playerinfo&amp;p_no=10481" TargetMode="External"/><Relationship Id="rId16675" Type="http://schemas.openxmlformats.org/officeDocument/2006/relationships/hyperlink" Target="https://statiz.sporki.com/add/?m=draft_school01&amp;ps_school=50108" TargetMode="External"/><Relationship Id="rId17726" Type="http://schemas.openxmlformats.org/officeDocument/2006/relationships/hyperlink" Target="https://statiz.sporki.com/add/?m=draft_school01&amp;ps_school=50604" TargetMode="External"/><Relationship Id="rId4285" Type="http://schemas.openxmlformats.org/officeDocument/2006/relationships/hyperlink" Target="https://statiz.sporki.com/player/?m=playerinfo&amp;p_no=11245" TargetMode="External"/><Relationship Id="rId5336" Type="http://schemas.openxmlformats.org/officeDocument/2006/relationships/hyperlink" Target="https://statiz.sporki.com/add/?m=draft_school01&amp;ps_school=50107" TargetMode="External"/><Relationship Id="rId16328" Type="http://schemas.openxmlformats.org/officeDocument/2006/relationships/hyperlink" Target="https://statiz.sporki.com/add/?m=draft_school01&amp;ps_school=50107" TargetMode="External"/><Relationship Id="rId9957" Type="http://schemas.openxmlformats.org/officeDocument/2006/relationships/hyperlink" Target="https://statiz.sporki.com/add/?m=draft_school02&amp;ps_school=" TargetMode="External"/><Relationship Id="rId11887" Type="http://schemas.openxmlformats.org/officeDocument/2006/relationships/hyperlink" Target="https://statiz.sporki.com/player/?m=playerinfo&amp;p_no=1134" TargetMode="External"/><Relationship Id="rId12938" Type="http://schemas.openxmlformats.org/officeDocument/2006/relationships/hyperlink" Target="https://statiz.sporki.com/player/?m=playerinfo&amp;p_no=13083" TargetMode="External"/><Relationship Id="rId1946" Type="http://schemas.openxmlformats.org/officeDocument/2006/relationships/hyperlink" Target="https://statiz.sporki.com/add/?m=draft_school01&amp;ps_school=50403" TargetMode="External"/><Relationship Id="rId8559" Type="http://schemas.openxmlformats.org/officeDocument/2006/relationships/hyperlink" Target="https://statiz.sporki.com/add/?m=draft_school02&amp;ps_school=60703" TargetMode="External"/><Relationship Id="rId10489" Type="http://schemas.openxmlformats.org/officeDocument/2006/relationships/hyperlink" Target="https://statiz.sporki.com/player/?m=playerinfo&amp;p_no=11440" TargetMode="External"/><Relationship Id="rId14360" Type="http://schemas.openxmlformats.org/officeDocument/2006/relationships/hyperlink" Target="https://statiz.sporki.com/player/?m=playerinfo&amp;p_no=2380" TargetMode="External"/><Relationship Id="rId15411" Type="http://schemas.openxmlformats.org/officeDocument/2006/relationships/hyperlink" Target="https://statiz.sporki.com/player/?m=playerinfo&amp;p_no=1650" TargetMode="External"/><Relationship Id="rId18981" Type="http://schemas.openxmlformats.org/officeDocument/2006/relationships/hyperlink" Target="https://statiz.sporki.com/add/?m=draft_school01&amp;ps_school=50805" TargetMode="External"/><Relationship Id="rId14013" Type="http://schemas.openxmlformats.org/officeDocument/2006/relationships/hyperlink" Target="https://statiz.sporki.com/player/?m=playerinfo&amp;p_no=10027" TargetMode="External"/><Relationship Id="rId17583" Type="http://schemas.openxmlformats.org/officeDocument/2006/relationships/hyperlink" Target="https://statiz.sporki.com/add/?m=draft_school01&amp;ps_school=50705" TargetMode="External"/><Relationship Id="rId18634" Type="http://schemas.openxmlformats.org/officeDocument/2006/relationships/hyperlink" Target="https://statiz.sporki.com/add/?m=draft_school01&amp;ps_school=50802" TargetMode="External"/><Relationship Id="rId3021" Type="http://schemas.openxmlformats.org/officeDocument/2006/relationships/hyperlink" Target="https://statiz.sporki.com/add/?m=draft_school02&amp;ps_school=" TargetMode="External"/><Relationship Id="rId6591" Type="http://schemas.openxmlformats.org/officeDocument/2006/relationships/hyperlink" Target="https://statiz.sporki.com/add/?m=draft_school02&amp;ps_school=60704" TargetMode="External"/><Relationship Id="rId7642" Type="http://schemas.openxmlformats.org/officeDocument/2006/relationships/hyperlink" Target="https://statiz.sporki.com/player/?m=playerinfo&amp;p_no=10243" TargetMode="External"/><Relationship Id="rId10970" Type="http://schemas.openxmlformats.org/officeDocument/2006/relationships/hyperlink" Target="https://statiz.sporki.com/add/?m=draft_school01&amp;ps_school=" TargetMode="External"/><Relationship Id="rId16185" Type="http://schemas.openxmlformats.org/officeDocument/2006/relationships/hyperlink" Target="https://statiz.sporki.com/player/?m=playerinfo&amp;p_no=1064" TargetMode="External"/><Relationship Id="rId17236" Type="http://schemas.openxmlformats.org/officeDocument/2006/relationships/hyperlink" Target="https://statiz.sporki.com/add/?m=draft_school01&amp;ps_school=50606" TargetMode="External"/><Relationship Id="rId5193" Type="http://schemas.openxmlformats.org/officeDocument/2006/relationships/hyperlink" Target="https://statiz.sporki.com/add/?m=draft_school02&amp;ps_school=" TargetMode="External"/><Relationship Id="rId6244" Type="http://schemas.openxmlformats.org/officeDocument/2006/relationships/hyperlink" Target="https://statiz.sporki.com/player/?m=playerinfo&amp;p_no=10141" TargetMode="External"/><Relationship Id="rId10623" Type="http://schemas.openxmlformats.org/officeDocument/2006/relationships/hyperlink" Target="https://statiz.sporki.com/add/?m=draft_school02&amp;ps_school=60104" TargetMode="External"/><Relationship Id="rId9467" Type="http://schemas.openxmlformats.org/officeDocument/2006/relationships/hyperlink" Target="https://statiz.sporki.com/add/?m=draft_school01&amp;ps_school=50109" TargetMode="External"/><Relationship Id="rId12795" Type="http://schemas.openxmlformats.org/officeDocument/2006/relationships/hyperlink" Target="https://statiz.sporki.com/player/?m=playerinfo&amp;p_no=14116" TargetMode="External"/><Relationship Id="rId13846" Type="http://schemas.openxmlformats.org/officeDocument/2006/relationships/hyperlink" Target="https://statiz.sporki.com/player/?m=playerinfo&amp;p_no=10861" TargetMode="External"/><Relationship Id="rId2854" Type="http://schemas.openxmlformats.org/officeDocument/2006/relationships/hyperlink" Target="https://statiz.sporki.com/player/?m=playerinfo&amp;p_no=12932" TargetMode="External"/><Relationship Id="rId3905" Type="http://schemas.openxmlformats.org/officeDocument/2006/relationships/hyperlink" Target="https://statiz.sporki.com/add/?m=draft_school01&amp;ps_school=" TargetMode="External"/><Relationship Id="rId8069" Type="http://schemas.openxmlformats.org/officeDocument/2006/relationships/hyperlink" Target="https://statiz.sporki.com/add/?m=draft_school01&amp;ps_school=50109" TargetMode="External"/><Relationship Id="rId11397" Type="http://schemas.openxmlformats.org/officeDocument/2006/relationships/hyperlink" Target="https://statiz.sporki.com/add/?m=draft_school02&amp;ps_school=" TargetMode="External"/><Relationship Id="rId12448" Type="http://schemas.openxmlformats.org/officeDocument/2006/relationships/hyperlink" Target="https://statiz.sporki.com/player/?m=playerinfo&amp;p_no=15136" TargetMode="External"/><Relationship Id="rId826" Type="http://schemas.openxmlformats.org/officeDocument/2006/relationships/hyperlink" Target="https://statiz.sporki.com/player/?m=playerinfo&amp;p_no=15003" TargetMode="External"/><Relationship Id="rId1109" Type="http://schemas.openxmlformats.org/officeDocument/2006/relationships/hyperlink" Target="https://statiz.sporki.com/add/?m=draft_school01&amp;ps_school=50601" TargetMode="External"/><Relationship Id="rId1456" Type="http://schemas.openxmlformats.org/officeDocument/2006/relationships/hyperlink" Target="https://statiz.sporki.com/player/?m=playerinfo&amp;p_no=14573" TargetMode="External"/><Relationship Id="rId2507" Type="http://schemas.openxmlformats.org/officeDocument/2006/relationships/hyperlink" Target="https://statiz.sporki.com/add/?m=draft_school01&amp;ps_school=50109" TargetMode="External"/><Relationship Id="rId18491" Type="http://schemas.openxmlformats.org/officeDocument/2006/relationships/hyperlink" Target="https://statiz.sporki.com/add/?m=draft_school01&amp;ps_school=50501" TargetMode="External"/><Relationship Id="rId19542" Type="http://schemas.openxmlformats.org/officeDocument/2006/relationships/hyperlink" Target="https://statiz.sporki.com/add/?m=draft_school01&amp;ps_school=50121" TargetMode="External"/><Relationship Id="rId4679" Type="http://schemas.openxmlformats.org/officeDocument/2006/relationships/hyperlink" Target="https://statiz.sporki.com/add/?m=draft_school01&amp;ps_school=" TargetMode="External"/><Relationship Id="rId8550" Type="http://schemas.openxmlformats.org/officeDocument/2006/relationships/hyperlink" Target="https://statiz.sporki.com/add/?m=draft_school02&amp;ps_school=" TargetMode="External"/><Relationship Id="rId9601" Type="http://schemas.openxmlformats.org/officeDocument/2006/relationships/hyperlink" Target="https://statiz.sporki.com/player/?m=playerinfo&amp;p_no=1736" TargetMode="External"/><Relationship Id="rId10480" Type="http://schemas.openxmlformats.org/officeDocument/2006/relationships/hyperlink" Target="https://statiz.sporki.com/player/?m=playerinfo&amp;p_no=1527" TargetMode="External"/><Relationship Id="rId11531" Type="http://schemas.openxmlformats.org/officeDocument/2006/relationships/hyperlink" Target="https://statiz.sporki.com/add/?m=draft_school01&amp;ps_school=" TargetMode="External"/><Relationship Id="rId17093" Type="http://schemas.openxmlformats.org/officeDocument/2006/relationships/hyperlink" Target="https://statiz.sporki.com/add/?m=draft_school01&amp;ps_school=50202" TargetMode="External"/><Relationship Id="rId18144" Type="http://schemas.openxmlformats.org/officeDocument/2006/relationships/hyperlink" Target="https://statiz.sporki.com/add/?m=draft_school01&amp;ps_school=50301" TargetMode="External"/><Relationship Id="rId7152" Type="http://schemas.openxmlformats.org/officeDocument/2006/relationships/hyperlink" Target="https://statiz.sporki.com/add/?m=draft_school02&amp;ps_school=" TargetMode="External"/><Relationship Id="rId8203" Type="http://schemas.openxmlformats.org/officeDocument/2006/relationships/hyperlink" Target="https://statiz.sporki.com/player/?m=playerinfo&amp;p_no=11474" TargetMode="External"/><Relationship Id="rId10133" Type="http://schemas.openxmlformats.org/officeDocument/2006/relationships/hyperlink" Target="https://statiz.sporki.com/add/?m=draft_school01&amp;ps_school=50501" TargetMode="External"/><Relationship Id="rId3762" Type="http://schemas.openxmlformats.org/officeDocument/2006/relationships/hyperlink" Target="https://statiz.sporki.com/add/?m=draft_school02&amp;ps_school=" TargetMode="External"/><Relationship Id="rId4813" Type="http://schemas.openxmlformats.org/officeDocument/2006/relationships/hyperlink" Target="https://statiz.sporki.com/player/?m=playerinfo&amp;p_no=10909" TargetMode="External"/><Relationship Id="rId13356" Type="http://schemas.openxmlformats.org/officeDocument/2006/relationships/hyperlink" Target="https://statiz.sporki.com/player/?m=playerinfo&amp;p_no=11320" TargetMode="External"/><Relationship Id="rId14754" Type="http://schemas.openxmlformats.org/officeDocument/2006/relationships/hyperlink" Target="https://statiz.sporki.com/player/?m=playerinfo&amp;p_no=2312" TargetMode="External"/><Relationship Id="rId15805" Type="http://schemas.openxmlformats.org/officeDocument/2006/relationships/hyperlink" Target="https://statiz.sporki.com/player/?m=playerinfo&amp;p_no=11467" TargetMode="External"/><Relationship Id="rId683" Type="http://schemas.openxmlformats.org/officeDocument/2006/relationships/hyperlink" Target="https://statiz.sporki.com/add/?m=draft_school01&amp;ps_school=50810" TargetMode="External"/><Relationship Id="rId2364" Type="http://schemas.openxmlformats.org/officeDocument/2006/relationships/hyperlink" Target="https://statiz.sporki.com/add/?m=draft_school02&amp;ps_school=" TargetMode="External"/><Relationship Id="rId3415" Type="http://schemas.openxmlformats.org/officeDocument/2006/relationships/hyperlink" Target="https://statiz.sporki.com/player/?m=playerinfo&amp;p_no=12587" TargetMode="External"/><Relationship Id="rId13009" Type="http://schemas.openxmlformats.org/officeDocument/2006/relationships/hyperlink" Target="https://statiz.sporki.com/player/?m=playerinfo&amp;p_no=13101" TargetMode="External"/><Relationship Id="rId14407" Type="http://schemas.openxmlformats.org/officeDocument/2006/relationships/hyperlink" Target="https://statiz.sporki.com/player/?m=playerinfo&amp;p_no=10448" TargetMode="External"/><Relationship Id="rId17977" Type="http://schemas.openxmlformats.org/officeDocument/2006/relationships/hyperlink" Target="https://statiz.sporki.com/add/?m=draft_school01&amp;ps_school=50104" TargetMode="External"/><Relationship Id="rId336" Type="http://schemas.openxmlformats.org/officeDocument/2006/relationships/hyperlink" Target="https://statiz.sporki.com/add/?m=draft_school02&amp;ps_school=" TargetMode="External"/><Relationship Id="rId2017" Type="http://schemas.openxmlformats.org/officeDocument/2006/relationships/hyperlink" Target="https://statiz.sporki.com/player/?m=playerinfo&amp;p_no=14164" TargetMode="External"/><Relationship Id="rId5587" Type="http://schemas.openxmlformats.org/officeDocument/2006/relationships/hyperlink" Target="https://statiz.sporki.com/player/?m=playerinfo&amp;p_no=10146" TargetMode="External"/><Relationship Id="rId6985" Type="http://schemas.openxmlformats.org/officeDocument/2006/relationships/hyperlink" Target="https://statiz.sporki.com/player/?m=playerinfo&amp;p_no=10644" TargetMode="External"/><Relationship Id="rId16579" Type="http://schemas.openxmlformats.org/officeDocument/2006/relationships/hyperlink" Target="https://statiz.sporki.com/add/?m=draft_school01&amp;ps_school=51112" TargetMode="External"/><Relationship Id="rId4189" Type="http://schemas.openxmlformats.org/officeDocument/2006/relationships/hyperlink" Target="https://statiz.sporki.com/player/?m=playerinfo&amp;p_no=12985" TargetMode="External"/><Relationship Id="rId6638" Type="http://schemas.openxmlformats.org/officeDocument/2006/relationships/hyperlink" Target="https://statiz.sporki.com/add/?m=draft_school01&amp;ps_school=" TargetMode="External"/><Relationship Id="rId8060" Type="http://schemas.openxmlformats.org/officeDocument/2006/relationships/hyperlink" Target="https://statiz.sporki.com/add/?m=draft_school01&amp;ps_school=50109" TargetMode="External"/><Relationship Id="rId9111" Type="http://schemas.openxmlformats.org/officeDocument/2006/relationships/hyperlink" Target="https://statiz.sporki.com/add/?m=draft_school02&amp;ps_school=60705" TargetMode="External"/><Relationship Id="rId19052" Type="http://schemas.openxmlformats.org/officeDocument/2006/relationships/hyperlink" Target="https://statiz.sporki.com/add/?m=draft_school01&amp;ps_school=50114" TargetMode="External"/><Relationship Id="rId11041" Type="http://schemas.openxmlformats.org/officeDocument/2006/relationships/hyperlink" Target="https://statiz.sporki.com/player/?m=playerinfo&amp;p_no=1387" TargetMode="External"/><Relationship Id="rId15662" Type="http://schemas.openxmlformats.org/officeDocument/2006/relationships/hyperlink" Target="https://statiz.sporki.com/player/?m=playerinfo&amp;p_no=1421" TargetMode="External"/><Relationship Id="rId16713" Type="http://schemas.openxmlformats.org/officeDocument/2006/relationships/hyperlink" Target="https://statiz.sporki.com/add/?m=draft_school01&amp;ps_school=50109" TargetMode="External"/><Relationship Id="rId1100" Type="http://schemas.openxmlformats.org/officeDocument/2006/relationships/hyperlink" Target="https://statiz.sporki.com/add/?m=draft_school01&amp;ps_school=50207" TargetMode="External"/><Relationship Id="rId4670" Type="http://schemas.openxmlformats.org/officeDocument/2006/relationships/hyperlink" Target="https://statiz.sporki.com/add/?m=draft_school01&amp;ps_school=" TargetMode="External"/><Relationship Id="rId5721" Type="http://schemas.openxmlformats.org/officeDocument/2006/relationships/hyperlink" Target="https://statiz.sporki.com/add/?m=draft_school02&amp;ps_school=" TargetMode="External"/><Relationship Id="rId14264" Type="http://schemas.openxmlformats.org/officeDocument/2006/relationships/hyperlink" Target="https://statiz.sporki.com/player/?m=playerinfo&amp;p_no=10893" TargetMode="External"/><Relationship Id="rId15315" Type="http://schemas.openxmlformats.org/officeDocument/2006/relationships/hyperlink" Target="https://statiz.sporki.com/player/?m=playerinfo&amp;p_no=1817" TargetMode="External"/><Relationship Id="rId3272" Type="http://schemas.openxmlformats.org/officeDocument/2006/relationships/hyperlink" Target="https://statiz.sporki.com/add/?m=draft_school01&amp;ps_school=50210" TargetMode="External"/><Relationship Id="rId4323" Type="http://schemas.openxmlformats.org/officeDocument/2006/relationships/hyperlink" Target="https://statiz.sporki.com/add/?m=draft_school02&amp;ps_school=60703" TargetMode="External"/><Relationship Id="rId7893" Type="http://schemas.openxmlformats.org/officeDocument/2006/relationships/hyperlink" Target="https://statiz.sporki.com/add/?m=draft_school02&amp;ps_school=60203" TargetMode="External"/><Relationship Id="rId8944" Type="http://schemas.openxmlformats.org/officeDocument/2006/relationships/hyperlink" Target="https://statiz.sporki.com/player/?m=playerinfo&amp;p_no=1945" TargetMode="External"/><Relationship Id="rId17487" Type="http://schemas.openxmlformats.org/officeDocument/2006/relationships/hyperlink" Target="https://statiz.sporki.com/add/?m=draft_school01&amp;ps_school=50403" TargetMode="External"/><Relationship Id="rId18538" Type="http://schemas.openxmlformats.org/officeDocument/2006/relationships/hyperlink" Target="https://statiz.sporki.com/add/?m=draft_school01&amp;ps_school=50804" TargetMode="External"/><Relationship Id="rId18885" Type="http://schemas.openxmlformats.org/officeDocument/2006/relationships/hyperlink" Target="https://statiz.sporki.com/add/?m=draft_school01&amp;ps_school=50701" TargetMode="External"/><Relationship Id="rId193" Type="http://schemas.openxmlformats.org/officeDocument/2006/relationships/hyperlink" Target="https://statiz.sporki.com/player/?m=playerinfo&amp;p_no=15467" TargetMode="External"/><Relationship Id="rId6495" Type="http://schemas.openxmlformats.org/officeDocument/2006/relationships/hyperlink" Target="https://statiz.sporki.com/add/?m=draft_school02&amp;ps_school=60802" TargetMode="External"/><Relationship Id="rId7546" Type="http://schemas.openxmlformats.org/officeDocument/2006/relationships/hyperlink" Target="https://statiz.sporki.com/player/?m=playerinfo&amp;p_no=2232" TargetMode="External"/><Relationship Id="rId10874" Type="http://schemas.openxmlformats.org/officeDocument/2006/relationships/hyperlink" Target="https://statiz.sporki.com/add/?m=draft_school01&amp;ps_school=50701" TargetMode="External"/><Relationship Id="rId11925" Type="http://schemas.openxmlformats.org/officeDocument/2006/relationships/hyperlink" Target="https://statiz.sporki.com/add/?m=draft_school02&amp;ps_school=" TargetMode="External"/><Relationship Id="rId16089" Type="http://schemas.openxmlformats.org/officeDocument/2006/relationships/hyperlink" Target="https://statiz.sporki.com/player/?m=playerinfo&amp;p_no=1067" TargetMode="External"/><Relationship Id="rId5097" Type="http://schemas.openxmlformats.org/officeDocument/2006/relationships/hyperlink" Target="https://statiz.sporki.com/add/?m=draft_school02&amp;ps_school=60803" TargetMode="External"/><Relationship Id="rId6148" Type="http://schemas.openxmlformats.org/officeDocument/2006/relationships/hyperlink" Target="https://statiz.sporki.com/player/?m=playerinfo&amp;p_no=10008" TargetMode="External"/><Relationship Id="rId10527" Type="http://schemas.openxmlformats.org/officeDocument/2006/relationships/hyperlink" Target="https://statiz.sporki.com/add/?m=draft_school02&amp;ps_school=" TargetMode="External"/><Relationship Id="rId12699" Type="http://schemas.openxmlformats.org/officeDocument/2006/relationships/hyperlink" Target="https://statiz.sporki.com/player/?m=playerinfo&amp;p_no=14664" TargetMode="External"/><Relationship Id="rId13000" Type="http://schemas.openxmlformats.org/officeDocument/2006/relationships/hyperlink" Target="https://statiz.sporki.com/player/?m=playerinfo&amp;p_no=13100" TargetMode="External"/><Relationship Id="rId16570" Type="http://schemas.openxmlformats.org/officeDocument/2006/relationships/hyperlink" Target="https://statiz.sporki.com/add/?m=draft_school01&amp;ps_school=50804" TargetMode="External"/><Relationship Id="rId17621" Type="http://schemas.openxmlformats.org/officeDocument/2006/relationships/hyperlink" Target="https://statiz.sporki.com/add/?m=draft_school01&amp;ps_school=50702" TargetMode="External"/><Relationship Id="rId2758" Type="http://schemas.openxmlformats.org/officeDocument/2006/relationships/hyperlink" Target="https://statiz.sporki.com/player/?m=playerinfo&amp;p_no=12852" TargetMode="External"/><Relationship Id="rId3809" Type="http://schemas.openxmlformats.org/officeDocument/2006/relationships/hyperlink" Target="https://statiz.sporki.com/add/?m=draft_school01&amp;ps_school=50403" TargetMode="External"/><Relationship Id="rId15172" Type="http://schemas.openxmlformats.org/officeDocument/2006/relationships/hyperlink" Target="https://statiz.sporki.com/player/?m=playerinfo&amp;p_no=1867" TargetMode="External"/><Relationship Id="rId16223" Type="http://schemas.openxmlformats.org/officeDocument/2006/relationships/hyperlink" Target="https://statiz.sporki.com/add/?m=draft_school01&amp;ps_school=50101" TargetMode="External"/><Relationship Id="rId4180" Type="http://schemas.openxmlformats.org/officeDocument/2006/relationships/hyperlink" Target="https://statiz.sporki.com/player/?m=playerinfo&amp;p_no=11254" TargetMode="External"/><Relationship Id="rId5231" Type="http://schemas.openxmlformats.org/officeDocument/2006/relationships/hyperlink" Target="https://statiz.sporki.com/add/?m=draft_school01&amp;ps_school=50116" TargetMode="External"/><Relationship Id="rId9852" Type="http://schemas.openxmlformats.org/officeDocument/2006/relationships/hyperlink" Target="https://statiz.sporki.com/add/?m=draft_school02&amp;ps_school=60203" TargetMode="External"/><Relationship Id="rId11782" Type="http://schemas.openxmlformats.org/officeDocument/2006/relationships/hyperlink" Target="https://statiz.sporki.com/player/?m=playerinfo&amp;p_no=1008" TargetMode="External"/><Relationship Id="rId18395" Type="http://schemas.openxmlformats.org/officeDocument/2006/relationships/hyperlink" Target="https://statiz.sporki.com/add/?m=draft_school01&amp;ps_school=50802" TargetMode="External"/><Relationship Id="rId19446" Type="http://schemas.openxmlformats.org/officeDocument/2006/relationships/hyperlink" Target="https://statiz.sporki.com/add/?m=draft_school01&amp;ps_school=50112" TargetMode="External"/><Relationship Id="rId66" Type="http://schemas.openxmlformats.org/officeDocument/2006/relationships/hyperlink" Target="https://statiz.sporki.com/add/?m=draft_school02&amp;ps_school=" TargetMode="External"/><Relationship Id="rId1841" Type="http://schemas.openxmlformats.org/officeDocument/2006/relationships/hyperlink" Target="https://statiz.sporki.com/add/?m=draft_school01&amp;ps_school=50301" TargetMode="External"/><Relationship Id="rId8454" Type="http://schemas.openxmlformats.org/officeDocument/2006/relationships/hyperlink" Target="https://statiz.sporki.com/add/?m=draft_school02&amp;ps_school=60114" TargetMode="External"/><Relationship Id="rId9505" Type="http://schemas.openxmlformats.org/officeDocument/2006/relationships/hyperlink" Target="https://statiz.sporki.com/player/?m=playerinfo&amp;p_no=1851" TargetMode="External"/><Relationship Id="rId10384" Type="http://schemas.openxmlformats.org/officeDocument/2006/relationships/hyperlink" Target="https://statiz.sporki.com/player/?m=playerinfo&amp;p_no=1557" TargetMode="External"/><Relationship Id="rId11435" Type="http://schemas.openxmlformats.org/officeDocument/2006/relationships/hyperlink" Target="https://statiz.sporki.com/add/?m=draft_school01&amp;ps_school=" TargetMode="External"/><Relationship Id="rId12833" Type="http://schemas.openxmlformats.org/officeDocument/2006/relationships/hyperlink" Target="https://statiz.sporki.com/player/?m=playerinfo&amp;p_no=14166" TargetMode="External"/><Relationship Id="rId18048" Type="http://schemas.openxmlformats.org/officeDocument/2006/relationships/hyperlink" Target="https://statiz.sporki.com/add/?m=draft_school01&amp;ps_school=50207" TargetMode="External"/><Relationship Id="rId7056" Type="http://schemas.openxmlformats.org/officeDocument/2006/relationships/hyperlink" Target="https://statiz.sporki.com/add/?m=draft_school02&amp;ps_school=" TargetMode="External"/><Relationship Id="rId8107" Type="http://schemas.openxmlformats.org/officeDocument/2006/relationships/hyperlink" Target="https://statiz.sporki.com/player/?m=playerinfo&amp;p_no=10556" TargetMode="External"/><Relationship Id="rId10037" Type="http://schemas.openxmlformats.org/officeDocument/2006/relationships/hyperlink" Target="https://statiz.sporki.com/add/?m=draft_school01&amp;ps_school=50602" TargetMode="External"/><Relationship Id="rId3666" Type="http://schemas.openxmlformats.org/officeDocument/2006/relationships/hyperlink" Target="https://statiz.sporki.com/add/?m=draft_school02&amp;ps_school=" TargetMode="External"/><Relationship Id="rId14658" Type="http://schemas.openxmlformats.org/officeDocument/2006/relationships/hyperlink" Target="https://statiz.sporki.com/player/?m=playerinfo&amp;p_no=2264" TargetMode="External"/><Relationship Id="rId15709" Type="http://schemas.openxmlformats.org/officeDocument/2006/relationships/hyperlink" Target="https://statiz.sporki.com/player/?m=playerinfo&amp;p_no=1475" TargetMode="External"/><Relationship Id="rId16080" Type="http://schemas.openxmlformats.org/officeDocument/2006/relationships/hyperlink" Target="https://statiz.sporki.com/player/?m=playerinfo&amp;p_no=1036" TargetMode="External"/><Relationship Id="rId587" Type="http://schemas.openxmlformats.org/officeDocument/2006/relationships/hyperlink" Target="https://statiz.sporki.com/add/?m=draft_school01&amp;ps_school=50901" TargetMode="External"/><Relationship Id="rId2268" Type="http://schemas.openxmlformats.org/officeDocument/2006/relationships/hyperlink" Target="https://statiz.sporki.com/add/?m=draft_school02&amp;ps_school=60803" TargetMode="External"/><Relationship Id="rId3319" Type="http://schemas.openxmlformats.org/officeDocument/2006/relationships/hyperlink" Target="https://statiz.sporki.com/player/?m=playerinfo&amp;p_no=12594" TargetMode="External"/><Relationship Id="rId4717" Type="http://schemas.openxmlformats.org/officeDocument/2006/relationships/hyperlink" Target="https://statiz.sporki.com/player/?m=playerinfo&amp;p_no=11290" TargetMode="External"/><Relationship Id="rId17131" Type="http://schemas.openxmlformats.org/officeDocument/2006/relationships/hyperlink" Target="https://statiz.sporki.com/add/?m=draft_school01&amp;ps_school=50108" TargetMode="External"/><Relationship Id="rId6889" Type="http://schemas.openxmlformats.org/officeDocument/2006/relationships/hyperlink" Target="https://statiz.sporki.com/player/?m=playerinfo&amp;p_no=2365" TargetMode="External"/><Relationship Id="rId12690" Type="http://schemas.openxmlformats.org/officeDocument/2006/relationships/hyperlink" Target="https://statiz.sporki.com/player/?m=playerinfo&amp;p_no=14683" TargetMode="External"/><Relationship Id="rId13741" Type="http://schemas.openxmlformats.org/officeDocument/2006/relationships/hyperlink" Target="https://statiz.sporki.com/player/?m=playerinfo&amp;p_no=10882" TargetMode="External"/><Relationship Id="rId3800" Type="http://schemas.openxmlformats.org/officeDocument/2006/relationships/hyperlink" Target="https://statiz.sporki.com/add/?m=draft_school01&amp;ps_school=50209" TargetMode="External"/><Relationship Id="rId9362" Type="http://schemas.openxmlformats.org/officeDocument/2006/relationships/hyperlink" Target="https://statiz.sporki.com/add/?m=draft_school01&amp;ps_school=50608" TargetMode="External"/><Relationship Id="rId11292" Type="http://schemas.openxmlformats.org/officeDocument/2006/relationships/hyperlink" Target="https://statiz.sporki.com/add/?m=draft_school02&amp;ps_school=60803" TargetMode="External"/><Relationship Id="rId12343" Type="http://schemas.openxmlformats.org/officeDocument/2006/relationships/hyperlink" Target="https://statiz.sporki.com/player/?m=playerinfo&amp;p_no=15055" TargetMode="External"/><Relationship Id="rId721" Type="http://schemas.openxmlformats.org/officeDocument/2006/relationships/hyperlink" Target="https://statiz.sporki.com/player/?m=playerinfo&amp;p_no=15086" TargetMode="External"/><Relationship Id="rId1351" Type="http://schemas.openxmlformats.org/officeDocument/2006/relationships/hyperlink" Target="https://statiz.sporki.com/player/?m=playerinfo&amp;p_no=14835" TargetMode="External"/><Relationship Id="rId2402" Type="http://schemas.openxmlformats.org/officeDocument/2006/relationships/hyperlink" Target="https://statiz.sporki.com/add/?m=draft_school01&amp;ps_school=50206" TargetMode="External"/><Relationship Id="rId5972" Type="http://schemas.openxmlformats.org/officeDocument/2006/relationships/hyperlink" Target="https://statiz.sporki.com/add/?m=draft_school01&amp;ps_school=" TargetMode="External"/><Relationship Id="rId9015" Type="http://schemas.openxmlformats.org/officeDocument/2006/relationships/hyperlink" Target="https://statiz.sporki.com/add/?m=draft_school02&amp;ps_school=60109" TargetMode="External"/><Relationship Id="rId15566" Type="http://schemas.openxmlformats.org/officeDocument/2006/relationships/hyperlink" Target="https://statiz.sporki.com/player/?m=playerinfo&amp;p_no=1498" TargetMode="External"/><Relationship Id="rId16964" Type="http://schemas.openxmlformats.org/officeDocument/2006/relationships/hyperlink" Target="https://statiz.sporki.com/add/?m=draft_school01&amp;ps_school=50202" TargetMode="External"/><Relationship Id="rId1004" Type="http://schemas.openxmlformats.org/officeDocument/2006/relationships/hyperlink" Target="https://statiz.sporki.com/add/?m=draft_school01&amp;ps_school=50901" TargetMode="External"/><Relationship Id="rId4574" Type="http://schemas.openxmlformats.org/officeDocument/2006/relationships/hyperlink" Target="https://statiz.sporki.com/add/?m=draft_school01&amp;ps_school=50106" TargetMode="External"/><Relationship Id="rId5625" Type="http://schemas.openxmlformats.org/officeDocument/2006/relationships/hyperlink" Target="https://statiz.sporki.com/add/?m=draft_school02&amp;ps_school=60100" TargetMode="External"/><Relationship Id="rId14168" Type="http://schemas.openxmlformats.org/officeDocument/2006/relationships/hyperlink" Target="https://statiz.sporki.com/player/?m=playerinfo&amp;p_no=10266" TargetMode="External"/><Relationship Id="rId15219" Type="http://schemas.openxmlformats.org/officeDocument/2006/relationships/hyperlink" Target="https://statiz.sporki.com/player/?m=playerinfo&amp;p_no=1955" TargetMode="External"/><Relationship Id="rId16617" Type="http://schemas.openxmlformats.org/officeDocument/2006/relationships/hyperlink" Target="https://statiz.sporki.com/add/?m=draft_school01&amp;ps_school=50101" TargetMode="External"/><Relationship Id="rId3176" Type="http://schemas.openxmlformats.org/officeDocument/2006/relationships/hyperlink" Target="https://statiz.sporki.com/add/?m=draft_school01&amp;ps_school=50403" TargetMode="External"/><Relationship Id="rId4227" Type="http://schemas.openxmlformats.org/officeDocument/2006/relationships/hyperlink" Target="https://statiz.sporki.com/add/?m=draft_school02&amp;ps_school=60114" TargetMode="External"/><Relationship Id="rId7797" Type="http://schemas.openxmlformats.org/officeDocument/2006/relationships/hyperlink" Target="https://statiz.sporki.com/add/?m=draft_school02&amp;ps_school=" TargetMode="External"/><Relationship Id="rId18789" Type="http://schemas.openxmlformats.org/officeDocument/2006/relationships/hyperlink" Target="https://statiz.sporki.com/add/?m=draft_school01&amp;ps_school=50804" TargetMode="External"/><Relationship Id="rId6399" Type="http://schemas.openxmlformats.org/officeDocument/2006/relationships/hyperlink" Target="https://statiz.sporki.com/add/?m=draft_school02&amp;ps_school=" TargetMode="External"/><Relationship Id="rId8848" Type="http://schemas.openxmlformats.org/officeDocument/2006/relationships/hyperlink" Target="https://statiz.sporki.com/player/?m=playerinfo&amp;p_no=2001" TargetMode="External"/><Relationship Id="rId10778" Type="http://schemas.openxmlformats.org/officeDocument/2006/relationships/hyperlink" Target="https://statiz.sporki.com/add/?m=draft_school01&amp;ps_school=50119" TargetMode="External"/><Relationship Id="rId11829" Type="http://schemas.openxmlformats.org/officeDocument/2006/relationships/hyperlink" Target="https://statiz.sporki.com/add/?m=draft_school02&amp;ps_school=60113" TargetMode="External"/><Relationship Id="rId15700" Type="http://schemas.openxmlformats.org/officeDocument/2006/relationships/hyperlink" Target="https://statiz.sporki.com/player/?m=playerinfo&amp;p_no=1480" TargetMode="External"/><Relationship Id="rId13251" Type="http://schemas.openxmlformats.org/officeDocument/2006/relationships/hyperlink" Target="https://statiz.sporki.com/player/?m=playerinfo&amp;p_no=12539" TargetMode="External"/><Relationship Id="rId14302" Type="http://schemas.openxmlformats.org/officeDocument/2006/relationships/hyperlink" Target="https://statiz.sporki.com/player/?m=playerinfo&amp;p_no=10576" TargetMode="External"/><Relationship Id="rId17872" Type="http://schemas.openxmlformats.org/officeDocument/2006/relationships/hyperlink" Target="https://statiz.sporki.com/add/?m=draft_school01&amp;ps_school=50116" TargetMode="External"/><Relationship Id="rId18923" Type="http://schemas.openxmlformats.org/officeDocument/2006/relationships/hyperlink" Target="https://statiz.sporki.com/add/?m=draft_school01&amp;ps_school=50604" TargetMode="External"/><Relationship Id="rId3310" Type="http://schemas.openxmlformats.org/officeDocument/2006/relationships/hyperlink" Target="https://statiz.sporki.com/player/?m=playerinfo&amp;p_no=12615" TargetMode="External"/><Relationship Id="rId6880" Type="http://schemas.openxmlformats.org/officeDocument/2006/relationships/hyperlink" Target="https://statiz.sporki.com/player/?m=playerinfo&amp;p_no=2345" TargetMode="External"/><Relationship Id="rId7931" Type="http://schemas.openxmlformats.org/officeDocument/2006/relationships/hyperlink" Target="https://statiz.sporki.com/add/?m=draft_school01&amp;ps_school=50702" TargetMode="External"/><Relationship Id="rId16474" Type="http://schemas.openxmlformats.org/officeDocument/2006/relationships/hyperlink" Target="https://statiz.sporki.com/add/?m=draft_school01&amp;ps_school=50103" TargetMode="External"/><Relationship Id="rId17525" Type="http://schemas.openxmlformats.org/officeDocument/2006/relationships/hyperlink" Target="https://statiz.sporki.com/add/?m=draft_school01&amp;ps_school=50702" TargetMode="External"/><Relationship Id="rId231" Type="http://schemas.openxmlformats.org/officeDocument/2006/relationships/hyperlink" Target="https://statiz.sporki.com/add/?m=draft_school02&amp;ps_school=60104" TargetMode="External"/><Relationship Id="rId5482" Type="http://schemas.openxmlformats.org/officeDocument/2006/relationships/hyperlink" Target="https://statiz.sporki.com/player/?m=playerinfo&amp;p_no=10307" TargetMode="External"/><Relationship Id="rId6533" Type="http://schemas.openxmlformats.org/officeDocument/2006/relationships/hyperlink" Target="https://statiz.sporki.com/add/?m=draft_school01&amp;ps_school=50202" TargetMode="External"/><Relationship Id="rId10912" Type="http://schemas.openxmlformats.org/officeDocument/2006/relationships/hyperlink" Target="https://statiz.sporki.com/player/?m=playerinfo&amp;p_no=1405" TargetMode="External"/><Relationship Id="rId15076" Type="http://schemas.openxmlformats.org/officeDocument/2006/relationships/hyperlink" Target="https://statiz.sporki.com/player/?m=playerinfo&amp;p_no=2118" TargetMode="External"/><Relationship Id="rId16127" Type="http://schemas.openxmlformats.org/officeDocument/2006/relationships/hyperlink" Target="https://statiz.sporki.com/player/?m=playerinfo&amp;p_no=1018" TargetMode="External"/><Relationship Id="rId4084" Type="http://schemas.openxmlformats.org/officeDocument/2006/relationships/hyperlink" Target="https://statiz.sporki.com/player/?m=playerinfo&amp;p_no=11276" TargetMode="External"/><Relationship Id="rId5135" Type="http://schemas.openxmlformats.org/officeDocument/2006/relationships/hyperlink" Target="https://statiz.sporki.com/add/?m=draft_school01&amp;ps_school=50110" TargetMode="External"/><Relationship Id="rId9756" Type="http://schemas.openxmlformats.org/officeDocument/2006/relationships/hyperlink" Target="https://statiz.sporki.com/add/?m=draft_school02&amp;ps_school=" TargetMode="External"/><Relationship Id="rId18299" Type="http://schemas.openxmlformats.org/officeDocument/2006/relationships/hyperlink" Target="https://statiz.sporki.com/add/?m=draft_school01&amp;ps_school=50705" TargetMode="External"/><Relationship Id="rId8358" Type="http://schemas.openxmlformats.org/officeDocument/2006/relationships/hyperlink" Target="https://statiz.sporki.com/add/?m=draft_school02&amp;ps_school=60501" TargetMode="External"/><Relationship Id="rId9409" Type="http://schemas.openxmlformats.org/officeDocument/2006/relationships/hyperlink" Target="https://statiz.sporki.com/player/?m=playerinfo&amp;p_no=1831" TargetMode="External"/><Relationship Id="rId10288" Type="http://schemas.openxmlformats.org/officeDocument/2006/relationships/hyperlink" Target="https://statiz.sporki.com/player/?m=playerinfo&amp;p_no=1544" TargetMode="External"/><Relationship Id="rId11686" Type="http://schemas.openxmlformats.org/officeDocument/2006/relationships/hyperlink" Target="https://statiz.sporki.com/player/?m=playerinfo&amp;p_no=1179" TargetMode="External"/><Relationship Id="rId12737" Type="http://schemas.openxmlformats.org/officeDocument/2006/relationships/hyperlink" Target="https://statiz.sporki.com/player/?m=playerinfo&amp;p_no=14719" TargetMode="External"/><Relationship Id="rId1745" Type="http://schemas.openxmlformats.org/officeDocument/2006/relationships/hyperlink" Target="https://statiz.sporki.com/add/?m=draft_school01&amp;ps_school=51115" TargetMode="External"/><Relationship Id="rId11339" Type="http://schemas.openxmlformats.org/officeDocument/2006/relationships/hyperlink" Target="https://statiz.sporki.com/add/?m=draft_school01&amp;ps_school=" TargetMode="External"/><Relationship Id="rId15210" Type="http://schemas.openxmlformats.org/officeDocument/2006/relationships/hyperlink" Target="https://statiz.sporki.com/player/?m=playerinfo&amp;p_no=1922" TargetMode="External"/><Relationship Id="rId18780" Type="http://schemas.openxmlformats.org/officeDocument/2006/relationships/hyperlink" Target="https://statiz.sporki.com/add/?m=draft_school01&amp;ps_school=50401" TargetMode="External"/><Relationship Id="rId4968" Type="http://schemas.openxmlformats.org/officeDocument/2006/relationships/hyperlink" Target="https://statiz.sporki.com/add/?m=draft_school02&amp;ps_school=" TargetMode="External"/><Relationship Id="rId11820" Type="http://schemas.openxmlformats.org/officeDocument/2006/relationships/hyperlink" Target="https://statiz.sporki.com/add/?m=draft_school02&amp;ps_school=" TargetMode="External"/><Relationship Id="rId17382" Type="http://schemas.openxmlformats.org/officeDocument/2006/relationships/hyperlink" Target="https://statiz.sporki.com/add/?m=draft_school01&amp;ps_school=50705" TargetMode="External"/><Relationship Id="rId18433" Type="http://schemas.openxmlformats.org/officeDocument/2006/relationships/hyperlink" Target="https://statiz.sporki.com/add/?m=draft_school01&amp;ps_school=50812" TargetMode="External"/><Relationship Id="rId6390" Type="http://schemas.openxmlformats.org/officeDocument/2006/relationships/hyperlink" Target="https://statiz.sporki.com/add/?m=draft_school02&amp;ps_school=60204" TargetMode="External"/><Relationship Id="rId7441" Type="http://schemas.openxmlformats.org/officeDocument/2006/relationships/hyperlink" Target="https://statiz.sporki.com/player/?m=playerinfo&amp;p_no=2240" TargetMode="External"/><Relationship Id="rId10422" Type="http://schemas.openxmlformats.org/officeDocument/2006/relationships/hyperlink" Target="https://statiz.sporki.com/add/?m=draft_school02&amp;ps_school=" TargetMode="External"/><Relationship Id="rId13992" Type="http://schemas.openxmlformats.org/officeDocument/2006/relationships/hyperlink" Target="https://statiz.sporki.com/player/?m=playerinfo&amp;p_no=10572" TargetMode="External"/><Relationship Id="rId17035" Type="http://schemas.openxmlformats.org/officeDocument/2006/relationships/hyperlink" Target="https://statiz.sporki.com/add/?m=draft_school01&amp;ps_school=50501" TargetMode="External"/><Relationship Id="rId6043" Type="http://schemas.openxmlformats.org/officeDocument/2006/relationships/hyperlink" Target="https://statiz.sporki.com/player/?m=playerinfo&amp;p_no=10093" TargetMode="External"/><Relationship Id="rId12594" Type="http://schemas.openxmlformats.org/officeDocument/2006/relationships/hyperlink" Target="https://statiz.sporki.com/player/?m=playerinfo&amp;p_no=14834" TargetMode="External"/><Relationship Id="rId13645" Type="http://schemas.openxmlformats.org/officeDocument/2006/relationships/hyperlink" Target="https://statiz.sporki.com/player/?m=playerinfo&amp;p_no=11089" TargetMode="External"/><Relationship Id="rId972" Type="http://schemas.openxmlformats.org/officeDocument/2006/relationships/hyperlink" Target="https://statiz.sporki.com/add/?m=draft_school02&amp;ps_school=" TargetMode="External"/><Relationship Id="rId2653" Type="http://schemas.openxmlformats.org/officeDocument/2006/relationships/hyperlink" Target="https://statiz.sporki.com/player/?m=playerinfo&amp;p_no=13069" TargetMode="External"/><Relationship Id="rId3704" Type="http://schemas.openxmlformats.org/officeDocument/2006/relationships/hyperlink" Target="https://statiz.sporki.com/add/?m=draft_school01&amp;ps_school=50301" TargetMode="External"/><Relationship Id="rId9266" Type="http://schemas.openxmlformats.org/officeDocument/2006/relationships/hyperlink" Target="https://statiz.sporki.com/add/?m=draft_school01&amp;ps_school=50701" TargetMode="External"/><Relationship Id="rId11196" Type="http://schemas.openxmlformats.org/officeDocument/2006/relationships/hyperlink" Target="https://statiz.sporki.com/add/?m=draft_school02&amp;ps_school=60103" TargetMode="External"/><Relationship Id="rId12247" Type="http://schemas.openxmlformats.org/officeDocument/2006/relationships/hyperlink" Target="https://statiz.sporki.com/player/?m=playerinfo&amp;p_no=15507" TargetMode="External"/><Relationship Id="rId625" Type="http://schemas.openxmlformats.org/officeDocument/2006/relationships/hyperlink" Target="https://statiz.sporki.com/player/?m=playerinfo&amp;p_no=15061" TargetMode="External"/><Relationship Id="rId1255" Type="http://schemas.openxmlformats.org/officeDocument/2006/relationships/hyperlink" Target="https://statiz.sporki.com/player/?m=playerinfo&amp;p_no=14821" TargetMode="External"/><Relationship Id="rId2306" Type="http://schemas.openxmlformats.org/officeDocument/2006/relationships/hyperlink" Target="https://statiz.sporki.com/add/?m=draft_school01&amp;ps_school=50116" TargetMode="External"/><Relationship Id="rId5876" Type="http://schemas.openxmlformats.org/officeDocument/2006/relationships/hyperlink" Target="https://statiz.sporki.com/add/?m=draft_school01&amp;ps_school=50802" TargetMode="External"/><Relationship Id="rId16868" Type="http://schemas.openxmlformats.org/officeDocument/2006/relationships/hyperlink" Target="https://statiz.sporki.com/add/?m=draft_school01&amp;ps_school=50301" TargetMode="External"/><Relationship Id="rId17919" Type="http://schemas.openxmlformats.org/officeDocument/2006/relationships/hyperlink" Target="https://statiz.sporki.com/add/?m=draft_school01&amp;ps_school=50402" TargetMode="External"/><Relationship Id="rId18290" Type="http://schemas.openxmlformats.org/officeDocument/2006/relationships/hyperlink" Target="https://statiz.sporki.com/add/?m=draft_school01&amp;ps_school=50202" TargetMode="External"/><Relationship Id="rId4478" Type="http://schemas.openxmlformats.org/officeDocument/2006/relationships/hyperlink" Target="https://statiz.sporki.com/add/?m=draft_school01&amp;ps_school=50901" TargetMode="External"/><Relationship Id="rId5529" Type="http://schemas.openxmlformats.org/officeDocument/2006/relationships/hyperlink" Target="https://statiz.sporki.com/add/?m=draft_school02&amp;ps_school=" TargetMode="External"/><Relationship Id="rId6927" Type="http://schemas.openxmlformats.org/officeDocument/2006/relationships/hyperlink" Target="https://statiz.sporki.com/add/?m=draft_school02&amp;ps_school=" TargetMode="External"/><Relationship Id="rId9400" Type="http://schemas.openxmlformats.org/officeDocument/2006/relationships/hyperlink" Target="https://statiz.sporki.com/player/?m=playerinfo&amp;p_no=1856" TargetMode="External"/><Relationship Id="rId19341" Type="http://schemas.openxmlformats.org/officeDocument/2006/relationships/hyperlink" Target="https://statiz.sporki.com/add/?m=draft_school01&amp;ps_school=50602" TargetMode="External"/><Relationship Id="rId8002" Type="http://schemas.openxmlformats.org/officeDocument/2006/relationships/hyperlink" Target="https://statiz.sporki.com/player/?m=playerinfo&amp;p_no=2140" TargetMode="External"/><Relationship Id="rId11330" Type="http://schemas.openxmlformats.org/officeDocument/2006/relationships/hyperlink" Target="https://statiz.sporki.com/add/?m=draft_school01&amp;ps_school=50209" TargetMode="External"/><Relationship Id="rId15951" Type="http://schemas.openxmlformats.org/officeDocument/2006/relationships/hyperlink" Target="https://statiz.sporki.com/player/?m=playerinfo&amp;p_no=1209" TargetMode="External"/><Relationship Id="rId14553" Type="http://schemas.openxmlformats.org/officeDocument/2006/relationships/hyperlink" Target="https://statiz.sporki.com/player/?m=playerinfo&amp;p_no=2282" TargetMode="External"/><Relationship Id="rId15604" Type="http://schemas.openxmlformats.org/officeDocument/2006/relationships/hyperlink" Target="https://statiz.sporki.com/player/?m=playerinfo&amp;p_no=1548" TargetMode="External"/><Relationship Id="rId3561" Type="http://schemas.openxmlformats.org/officeDocument/2006/relationships/hyperlink" Target="https://statiz.sporki.com/add/?m=draft_school02&amp;ps_school=60203" TargetMode="External"/><Relationship Id="rId4612" Type="http://schemas.openxmlformats.org/officeDocument/2006/relationships/hyperlink" Target="https://statiz.sporki.com/player/?m=playerinfo&amp;p_no=11227" TargetMode="External"/><Relationship Id="rId13155" Type="http://schemas.openxmlformats.org/officeDocument/2006/relationships/hyperlink" Target="https://statiz.sporki.com/player/?m=playerinfo&amp;p_no=12849" TargetMode="External"/><Relationship Id="rId14206" Type="http://schemas.openxmlformats.org/officeDocument/2006/relationships/hyperlink" Target="https://statiz.sporki.com/player/?m=playerinfo&amp;p_no=10258" TargetMode="External"/><Relationship Id="rId17776" Type="http://schemas.openxmlformats.org/officeDocument/2006/relationships/hyperlink" Target="https://statiz.sporki.com/add/?m=draft_school01&amp;ps_school=50207" TargetMode="External"/><Relationship Id="rId482" Type="http://schemas.openxmlformats.org/officeDocument/2006/relationships/hyperlink" Target="https://statiz.sporki.com/add/?m=draft_school01&amp;ps_school=50109" TargetMode="External"/><Relationship Id="rId2163" Type="http://schemas.openxmlformats.org/officeDocument/2006/relationships/hyperlink" Target="https://statiz.sporki.com/add/?m=draft_school02&amp;ps_school=60804" TargetMode="External"/><Relationship Id="rId3214" Type="http://schemas.openxmlformats.org/officeDocument/2006/relationships/hyperlink" Target="https://statiz.sporki.com/player/?m=playerinfo&amp;p_no=12545" TargetMode="External"/><Relationship Id="rId6784" Type="http://schemas.openxmlformats.org/officeDocument/2006/relationships/hyperlink" Target="https://statiz.sporki.com/player/?m=playerinfo&amp;p_no=10709" TargetMode="External"/><Relationship Id="rId7835" Type="http://schemas.openxmlformats.org/officeDocument/2006/relationships/hyperlink" Target="https://statiz.sporki.com/add/?m=draft_school01&amp;ps_school=50209" TargetMode="External"/><Relationship Id="rId16378" Type="http://schemas.openxmlformats.org/officeDocument/2006/relationships/hyperlink" Target="https://statiz.sporki.com/add/?m=draft_school01&amp;ps_school=50209" TargetMode="External"/><Relationship Id="rId17429" Type="http://schemas.openxmlformats.org/officeDocument/2006/relationships/hyperlink" Target="https://statiz.sporki.com/add/?m=draft_school01&amp;ps_school=50501" TargetMode="External"/><Relationship Id="rId18827" Type="http://schemas.openxmlformats.org/officeDocument/2006/relationships/hyperlink" Target="https://statiz.sporki.com/add/?m=draft_school01&amp;ps_school=50803" TargetMode="External"/><Relationship Id="rId135" Type="http://schemas.openxmlformats.org/officeDocument/2006/relationships/hyperlink" Target="https://statiz.sporki.com/add/?m=draft_school02&amp;ps_school=60109" TargetMode="External"/><Relationship Id="rId5386" Type="http://schemas.openxmlformats.org/officeDocument/2006/relationships/hyperlink" Target="https://statiz.sporki.com/player/?m=playerinfo&amp;p_no=10641" TargetMode="External"/><Relationship Id="rId6437" Type="http://schemas.openxmlformats.org/officeDocument/2006/relationships/hyperlink" Target="https://statiz.sporki.com/add/?m=draft_school01&amp;ps_school=" TargetMode="External"/><Relationship Id="rId10816" Type="http://schemas.openxmlformats.org/officeDocument/2006/relationships/hyperlink" Target="https://statiz.sporki.com/player/?m=playerinfo&amp;p_no=1373" TargetMode="External"/><Relationship Id="rId5039" Type="http://schemas.openxmlformats.org/officeDocument/2006/relationships/hyperlink" Target="https://statiz.sporki.com/add/?m=draft_school01&amp;ps_school=50103" TargetMode="External"/><Relationship Id="rId12988" Type="http://schemas.openxmlformats.org/officeDocument/2006/relationships/hyperlink" Target="https://statiz.sporki.com/player/?m=playerinfo&amp;p_no=13088" TargetMode="External"/><Relationship Id="rId17910" Type="http://schemas.openxmlformats.org/officeDocument/2006/relationships/hyperlink" Target="https://statiz.sporki.com/add/?m=draft_school01&amp;ps_school=50606" TargetMode="External"/><Relationship Id="rId1996" Type="http://schemas.openxmlformats.org/officeDocument/2006/relationships/hyperlink" Target="https://statiz.sporki.com/player/?m=playerinfo&amp;p_no=14181" TargetMode="External"/><Relationship Id="rId15461" Type="http://schemas.openxmlformats.org/officeDocument/2006/relationships/hyperlink" Target="https://statiz.sporki.com/player/?m=playerinfo&amp;p_no=10020" TargetMode="External"/><Relationship Id="rId16512" Type="http://schemas.openxmlformats.org/officeDocument/2006/relationships/hyperlink" Target="https://statiz.sporki.com/add/?m=draft_school01&amp;ps_school=50207" TargetMode="External"/><Relationship Id="rId1649" Type="http://schemas.openxmlformats.org/officeDocument/2006/relationships/hyperlink" Target="https://statiz.sporki.com/add/?m=draft_school01&amp;ps_school=50208" TargetMode="External"/><Relationship Id="rId3071" Type="http://schemas.openxmlformats.org/officeDocument/2006/relationships/hyperlink" Target="https://statiz.sporki.com/add/?m=draft_school01&amp;ps_school=" TargetMode="External"/><Relationship Id="rId5520" Type="http://schemas.openxmlformats.org/officeDocument/2006/relationships/hyperlink" Target="https://statiz.sporki.com/add/?m=draft_school02&amp;ps_school=" TargetMode="External"/><Relationship Id="rId14063" Type="http://schemas.openxmlformats.org/officeDocument/2006/relationships/hyperlink" Target="https://statiz.sporki.com/player/?m=playerinfo&amp;p_no=10404" TargetMode="External"/><Relationship Id="rId15114" Type="http://schemas.openxmlformats.org/officeDocument/2006/relationships/hyperlink" Target="https://statiz.sporki.com/player/?m=playerinfo&amp;p_no=1925" TargetMode="External"/><Relationship Id="rId18684" Type="http://schemas.openxmlformats.org/officeDocument/2006/relationships/hyperlink" Target="https://statiz.sporki.com/add/?m=draft_school01&amp;ps_school=50116" TargetMode="External"/><Relationship Id="rId4122" Type="http://schemas.openxmlformats.org/officeDocument/2006/relationships/hyperlink" Target="https://statiz.sporki.com/add/?m=draft_school02&amp;ps_school=60804" TargetMode="External"/><Relationship Id="rId7692" Type="http://schemas.openxmlformats.org/officeDocument/2006/relationships/hyperlink" Target="https://statiz.sporki.com/add/?m=draft_school02&amp;ps_school=60802" TargetMode="External"/><Relationship Id="rId8743" Type="http://schemas.openxmlformats.org/officeDocument/2006/relationships/hyperlink" Target="https://statiz.sporki.com/player/?m=playerinfo&amp;p_no=2191" TargetMode="External"/><Relationship Id="rId10673" Type="http://schemas.openxmlformats.org/officeDocument/2006/relationships/hyperlink" Target="https://statiz.sporki.com/add/?m=draft_school01&amp;ps_school=" TargetMode="External"/><Relationship Id="rId11724" Type="http://schemas.openxmlformats.org/officeDocument/2006/relationships/hyperlink" Target="https://statiz.sporki.com/add/?m=draft_school02&amp;ps_school=" TargetMode="External"/><Relationship Id="rId17286" Type="http://schemas.openxmlformats.org/officeDocument/2006/relationships/hyperlink" Target="https://statiz.sporki.com/add/?m=draft_school01&amp;ps_school=50114" TargetMode="External"/><Relationship Id="rId18337" Type="http://schemas.openxmlformats.org/officeDocument/2006/relationships/hyperlink" Target="https://statiz.sporki.com/add/?m=draft_school01&amp;ps_school=50802" TargetMode="External"/><Relationship Id="rId6294" Type="http://schemas.openxmlformats.org/officeDocument/2006/relationships/hyperlink" Target="https://statiz.sporki.com/add/?m=draft_school02&amp;ps_school=" TargetMode="External"/><Relationship Id="rId7345" Type="http://schemas.openxmlformats.org/officeDocument/2006/relationships/hyperlink" Target="https://statiz.sporki.com/player/?m=playerinfo&amp;p_no=10329" TargetMode="External"/><Relationship Id="rId10326" Type="http://schemas.openxmlformats.org/officeDocument/2006/relationships/hyperlink" Target="https://statiz.sporki.com/add/?m=draft_school02&amp;ps_school=60108" TargetMode="External"/><Relationship Id="rId12498" Type="http://schemas.openxmlformats.org/officeDocument/2006/relationships/hyperlink" Target="https://statiz.sporki.com/player/?m=playerinfo&amp;p_no=14849" TargetMode="External"/><Relationship Id="rId13896" Type="http://schemas.openxmlformats.org/officeDocument/2006/relationships/hyperlink" Target="https://statiz.sporki.com/player/?m=playerinfo&amp;p_no=10645" TargetMode="External"/><Relationship Id="rId14947" Type="http://schemas.openxmlformats.org/officeDocument/2006/relationships/hyperlink" Target="https://statiz.sporki.com/player/?m=playerinfo&amp;p_no=2039" TargetMode="External"/><Relationship Id="rId876" Type="http://schemas.openxmlformats.org/officeDocument/2006/relationships/hyperlink" Target="https://statiz.sporki.com/add/?m=draft_school02&amp;ps_school=61126" TargetMode="External"/><Relationship Id="rId2557" Type="http://schemas.openxmlformats.org/officeDocument/2006/relationships/hyperlink" Target="https://statiz.sporki.com/player/?m=playerinfo&amp;p_no=13142" TargetMode="External"/><Relationship Id="rId3608" Type="http://schemas.openxmlformats.org/officeDocument/2006/relationships/hyperlink" Target="https://statiz.sporki.com/add/?m=draft_school01&amp;ps_school=50602" TargetMode="External"/><Relationship Id="rId3955" Type="http://schemas.openxmlformats.org/officeDocument/2006/relationships/hyperlink" Target="https://statiz.sporki.com/player/?m=playerinfo&amp;p_no=11549" TargetMode="External"/><Relationship Id="rId13549" Type="http://schemas.openxmlformats.org/officeDocument/2006/relationships/hyperlink" Target="https://statiz.sporki.com/player/?m=playerinfo&amp;p_no=12645" TargetMode="External"/><Relationship Id="rId16022" Type="http://schemas.openxmlformats.org/officeDocument/2006/relationships/hyperlink" Target="https://statiz.sporki.com/player/?m=playerinfo&amp;p_no=1156" TargetMode="External"/><Relationship Id="rId17420" Type="http://schemas.openxmlformats.org/officeDocument/2006/relationships/hyperlink" Target="https://statiz.sporki.com/add/?m=draft_school01&amp;ps_school=50111" TargetMode="External"/><Relationship Id="rId529" Type="http://schemas.openxmlformats.org/officeDocument/2006/relationships/hyperlink" Target="https://statiz.sporki.com/player/?m=playerinfo&amp;p_no=15068" TargetMode="External"/><Relationship Id="rId1159" Type="http://schemas.openxmlformats.org/officeDocument/2006/relationships/hyperlink" Target="https://statiz.sporki.com/player/?m=playerinfo&amp;p_no=14856" TargetMode="External"/><Relationship Id="rId5030" Type="http://schemas.openxmlformats.org/officeDocument/2006/relationships/hyperlink" Target="https://statiz.sporki.com/add/?m=draft_school01&amp;ps_school=" TargetMode="External"/><Relationship Id="rId19592" Type="http://schemas.openxmlformats.org/officeDocument/2006/relationships/hyperlink" Target="https://statiz.sporki.com/add/?m=draft_school01&amp;ps_school=50807" TargetMode="External"/><Relationship Id="rId9651" Type="http://schemas.openxmlformats.org/officeDocument/2006/relationships/hyperlink" Target="https://statiz.sporki.com/add/?m=draft_school02&amp;ps_school=60102" TargetMode="External"/><Relationship Id="rId11581" Type="http://schemas.openxmlformats.org/officeDocument/2006/relationships/hyperlink" Target="https://statiz.sporki.com/player/?m=playerinfo&amp;p_no=1164" TargetMode="External"/><Relationship Id="rId12632" Type="http://schemas.openxmlformats.org/officeDocument/2006/relationships/hyperlink" Target="https://statiz.sporki.com/player/?m=playerinfo&amp;p_no=14655" TargetMode="External"/><Relationship Id="rId18194" Type="http://schemas.openxmlformats.org/officeDocument/2006/relationships/hyperlink" Target="https://statiz.sporki.com/add/?m=draft_school01&amp;ps_school=50116" TargetMode="External"/><Relationship Id="rId19245" Type="http://schemas.openxmlformats.org/officeDocument/2006/relationships/hyperlink" Target="https://statiz.sporki.com/add/?m=draft_school01&amp;ps_school=50301" TargetMode="External"/><Relationship Id="rId1640" Type="http://schemas.openxmlformats.org/officeDocument/2006/relationships/hyperlink" Target="https://statiz.sporki.com/add/?m=draft_school01&amp;ps_school=50602" TargetMode="External"/><Relationship Id="rId8253" Type="http://schemas.openxmlformats.org/officeDocument/2006/relationships/hyperlink" Target="https://statiz.sporki.com/add/?m=draft_school02&amp;ps_school=" TargetMode="External"/><Relationship Id="rId9304" Type="http://schemas.openxmlformats.org/officeDocument/2006/relationships/hyperlink" Target="https://statiz.sporki.com/player/?m=playerinfo&amp;p_no=10507" TargetMode="External"/><Relationship Id="rId10183" Type="http://schemas.openxmlformats.org/officeDocument/2006/relationships/hyperlink" Target="https://statiz.sporki.com/player/?m=playerinfo&amp;p_no=1600" TargetMode="External"/><Relationship Id="rId11234" Type="http://schemas.openxmlformats.org/officeDocument/2006/relationships/hyperlink" Target="https://statiz.sporki.com/add/?m=draft_school01&amp;ps_school=" TargetMode="External"/><Relationship Id="rId15855" Type="http://schemas.openxmlformats.org/officeDocument/2006/relationships/hyperlink" Target="https://statiz.sporki.com/player/?m=playerinfo&amp;p_no=1307" TargetMode="External"/><Relationship Id="rId4863" Type="http://schemas.openxmlformats.org/officeDocument/2006/relationships/hyperlink" Target="https://statiz.sporki.com/add/?m=draft_school02&amp;ps_school=60108" TargetMode="External"/><Relationship Id="rId5914" Type="http://schemas.openxmlformats.org/officeDocument/2006/relationships/hyperlink" Target="https://statiz.sporki.com/player/?m=playerinfo&amp;p_no=10316" TargetMode="External"/><Relationship Id="rId14457" Type="http://schemas.openxmlformats.org/officeDocument/2006/relationships/hyperlink" Target="https://statiz.sporki.com/player/?m=playerinfo&amp;p_no=10063" TargetMode="External"/><Relationship Id="rId15508" Type="http://schemas.openxmlformats.org/officeDocument/2006/relationships/hyperlink" Target="https://statiz.sporki.com/player/?m=playerinfo&amp;p_no=1586" TargetMode="External"/><Relationship Id="rId16906" Type="http://schemas.openxmlformats.org/officeDocument/2006/relationships/hyperlink" Target="https://statiz.sporki.com/add/?m=draft_school01&amp;ps_school=50601" TargetMode="External"/><Relationship Id="rId3465" Type="http://schemas.openxmlformats.org/officeDocument/2006/relationships/hyperlink" Target="https://statiz.sporki.com/add/?m=draft_school02&amp;ps_school=" TargetMode="External"/><Relationship Id="rId4516" Type="http://schemas.openxmlformats.org/officeDocument/2006/relationships/hyperlink" Target="https://statiz.sporki.com/player/?m=playerinfo&amp;p_no=13004" TargetMode="External"/><Relationship Id="rId13059" Type="http://schemas.openxmlformats.org/officeDocument/2006/relationships/hyperlink" Target="https://statiz.sporki.com/player/?m=playerinfo&amp;p_no=12920" TargetMode="External"/><Relationship Id="rId386" Type="http://schemas.openxmlformats.org/officeDocument/2006/relationships/hyperlink" Target="https://statiz.sporki.com/add/?m=draft_school01&amp;ps_school=" TargetMode="External"/><Relationship Id="rId2067" Type="http://schemas.openxmlformats.org/officeDocument/2006/relationships/hyperlink" Target="https://statiz.sporki.com/add/?m=draft_school02&amp;ps_school=" TargetMode="External"/><Relationship Id="rId3118" Type="http://schemas.openxmlformats.org/officeDocument/2006/relationships/hyperlink" Target="https://statiz.sporki.com/player/?m=playerinfo&amp;p_no=13002" TargetMode="External"/><Relationship Id="rId6688" Type="http://schemas.openxmlformats.org/officeDocument/2006/relationships/hyperlink" Target="https://statiz.sporki.com/player/?m=playerinfo&amp;p_no=10253" TargetMode="External"/><Relationship Id="rId7739" Type="http://schemas.openxmlformats.org/officeDocument/2006/relationships/hyperlink" Target="https://statiz.sporki.com/add/?m=draft_school01&amp;ps_school=" TargetMode="External"/><Relationship Id="rId9161" Type="http://schemas.openxmlformats.org/officeDocument/2006/relationships/hyperlink" Target="https://statiz.sporki.com/add/?m=draft_school01&amp;ps_school=50802" TargetMode="External"/><Relationship Id="rId11091" Type="http://schemas.openxmlformats.org/officeDocument/2006/relationships/hyperlink" Target="https://statiz.sporki.com/add/?m=draft_school02&amp;ps_school=60103" TargetMode="External"/><Relationship Id="rId13540" Type="http://schemas.openxmlformats.org/officeDocument/2006/relationships/hyperlink" Target="https://statiz.sporki.com/player/?m=playerinfo&amp;p_no=11289" TargetMode="External"/><Relationship Id="rId1150" Type="http://schemas.openxmlformats.org/officeDocument/2006/relationships/hyperlink" Target="https://statiz.sporki.com/player/?m=playerinfo&amp;p_no=14836" TargetMode="External"/><Relationship Id="rId12142" Type="http://schemas.openxmlformats.org/officeDocument/2006/relationships/hyperlink" Target="https://statiz.sporki.com/player/?m=playerinfo&amp;p_no=15421" TargetMode="External"/><Relationship Id="rId16763" Type="http://schemas.openxmlformats.org/officeDocument/2006/relationships/hyperlink" Target="https://statiz.sporki.com/add/?m=draft_school01&amp;ps_school=50602" TargetMode="External"/><Relationship Id="rId17814" Type="http://schemas.openxmlformats.org/officeDocument/2006/relationships/hyperlink" Target="https://statiz.sporki.com/add/?m=draft_school01&amp;ps_school=50101" TargetMode="External"/><Relationship Id="rId520" Type="http://schemas.openxmlformats.org/officeDocument/2006/relationships/hyperlink" Target="https://statiz.sporki.com/player/?m=playerinfo&amp;p_no=15100" TargetMode="External"/><Relationship Id="rId2201" Type="http://schemas.openxmlformats.org/officeDocument/2006/relationships/hyperlink" Target="https://statiz.sporki.com/add/?m=draft_school01&amp;ps_school=" TargetMode="External"/><Relationship Id="rId5771" Type="http://schemas.openxmlformats.org/officeDocument/2006/relationships/hyperlink" Target="https://statiz.sporki.com/add/?m=draft_school01&amp;ps_school=50802" TargetMode="External"/><Relationship Id="rId6822" Type="http://schemas.openxmlformats.org/officeDocument/2006/relationships/hyperlink" Target="https://statiz.sporki.com/add/?m=draft_school02&amp;ps_school=" TargetMode="External"/><Relationship Id="rId15365" Type="http://schemas.openxmlformats.org/officeDocument/2006/relationships/hyperlink" Target="https://statiz.sporki.com/player/?m=playerinfo&amp;p_no=1723" TargetMode="External"/><Relationship Id="rId16416" Type="http://schemas.openxmlformats.org/officeDocument/2006/relationships/hyperlink" Target="https://statiz.sporki.com/add/?m=draft_school01&amp;ps_school=50203" TargetMode="External"/><Relationship Id="rId4373" Type="http://schemas.openxmlformats.org/officeDocument/2006/relationships/hyperlink" Target="https://statiz.sporki.com/add/?m=draft_school01&amp;ps_school=" TargetMode="External"/><Relationship Id="rId5424" Type="http://schemas.openxmlformats.org/officeDocument/2006/relationships/hyperlink" Target="https://statiz.sporki.com/add/?m=draft_school02&amp;ps_school=60103" TargetMode="External"/><Relationship Id="rId8994" Type="http://schemas.openxmlformats.org/officeDocument/2006/relationships/hyperlink" Target="https://statiz.sporki.com/add/?m=draft_school02&amp;ps_school=60103" TargetMode="External"/><Relationship Id="rId15018" Type="http://schemas.openxmlformats.org/officeDocument/2006/relationships/hyperlink" Target="https://statiz.sporki.com/player/?m=playerinfo&amp;p_no=10457" TargetMode="External"/><Relationship Id="rId18588" Type="http://schemas.openxmlformats.org/officeDocument/2006/relationships/hyperlink" Target="https://statiz.sporki.com/add/?m=draft_school01&amp;ps_school=50106" TargetMode="External"/><Relationship Id="rId19639" Type="http://schemas.openxmlformats.org/officeDocument/2006/relationships/hyperlink" Target="https://statiz.sporki.com/add/?m=draft_school01&amp;ps_school=50701" TargetMode="External"/><Relationship Id="rId4026" Type="http://schemas.openxmlformats.org/officeDocument/2006/relationships/hyperlink" Target="https://statiz.sporki.com/add/?m=draft_school02&amp;ps_school=" TargetMode="External"/><Relationship Id="rId7596" Type="http://schemas.openxmlformats.org/officeDocument/2006/relationships/hyperlink" Target="https://statiz.sporki.com/add/?m=draft_school02&amp;ps_school=" TargetMode="External"/><Relationship Id="rId8647" Type="http://schemas.openxmlformats.org/officeDocument/2006/relationships/hyperlink" Target="https://statiz.sporki.com/player/?m=playerinfo&amp;p_no=1981" TargetMode="External"/><Relationship Id="rId10577" Type="http://schemas.openxmlformats.org/officeDocument/2006/relationships/hyperlink" Target="https://statiz.sporki.com/add/?m=draft_school01&amp;ps_school=50501" TargetMode="External"/><Relationship Id="rId11975" Type="http://schemas.openxmlformats.org/officeDocument/2006/relationships/hyperlink" Target="https://statiz.sporki.com/add/?m=draft_school01&amp;ps_school=50209" TargetMode="External"/><Relationship Id="rId6198" Type="http://schemas.openxmlformats.org/officeDocument/2006/relationships/hyperlink" Target="https://statiz.sporki.com/add/?m=draft_school02&amp;ps_school=" TargetMode="External"/><Relationship Id="rId7249" Type="http://schemas.openxmlformats.org/officeDocument/2006/relationships/hyperlink" Target="https://statiz.sporki.com/player/?m=playerinfo&amp;p_no=2273" TargetMode="External"/><Relationship Id="rId11628" Type="http://schemas.openxmlformats.org/officeDocument/2006/relationships/hyperlink" Target="https://statiz.sporki.com/add/?m=draft_school02&amp;ps_school=60204" TargetMode="External"/><Relationship Id="rId13050" Type="http://schemas.openxmlformats.org/officeDocument/2006/relationships/hyperlink" Target="https://statiz.sporki.com/player/?m=playerinfo&amp;p_no=13259" TargetMode="External"/><Relationship Id="rId14101" Type="http://schemas.openxmlformats.org/officeDocument/2006/relationships/hyperlink" Target="https://statiz.sporki.com/player/?m=playerinfo&amp;p_no=10213" TargetMode="External"/><Relationship Id="rId17671" Type="http://schemas.openxmlformats.org/officeDocument/2006/relationships/hyperlink" Target="https://statiz.sporki.com/add/?m=draft_school01&amp;ps_school=50110" TargetMode="External"/><Relationship Id="rId18722" Type="http://schemas.openxmlformats.org/officeDocument/2006/relationships/hyperlink" Target="https://statiz.sporki.com/add/?m=draft_school01&amp;ps_school=50107" TargetMode="External"/><Relationship Id="rId3859" Type="http://schemas.openxmlformats.org/officeDocument/2006/relationships/hyperlink" Target="https://statiz.sporki.com/player/?m=playerinfo&amp;p_no=15853" TargetMode="External"/><Relationship Id="rId5281" Type="http://schemas.openxmlformats.org/officeDocument/2006/relationships/hyperlink" Target="https://statiz.sporki.com/player/?m=playerinfo&amp;p_no=10727" TargetMode="External"/><Relationship Id="rId7730" Type="http://schemas.openxmlformats.org/officeDocument/2006/relationships/hyperlink" Target="https://statiz.sporki.com/add/?m=draft_school01&amp;ps_school=" TargetMode="External"/><Relationship Id="rId10711" Type="http://schemas.openxmlformats.org/officeDocument/2006/relationships/hyperlink" Target="https://statiz.sporki.com/player/?m=playerinfo&amp;p_no=12707" TargetMode="External"/><Relationship Id="rId16273" Type="http://schemas.openxmlformats.org/officeDocument/2006/relationships/hyperlink" Target="https://statiz.sporki.com/add/?m=draft_school01&amp;ps_school=50106" TargetMode="External"/><Relationship Id="rId17324" Type="http://schemas.openxmlformats.org/officeDocument/2006/relationships/hyperlink" Target="https://statiz.sporki.com/add/?m=draft_school01&amp;ps_school=50108" TargetMode="External"/><Relationship Id="rId6332" Type="http://schemas.openxmlformats.org/officeDocument/2006/relationships/hyperlink" Target="https://statiz.sporki.com/add/?m=draft_school01&amp;ps_school=50705" TargetMode="External"/><Relationship Id="rId12883" Type="http://schemas.openxmlformats.org/officeDocument/2006/relationships/hyperlink" Target="https://statiz.sporki.com/player/?m=playerinfo&amp;p_no=13928" TargetMode="External"/><Relationship Id="rId13934" Type="http://schemas.openxmlformats.org/officeDocument/2006/relationships/hyperlink" Target="https://statiz.sporki.com/player/?m=playerinfo&amp;p_no=10669" TargetMode="External"/><Relationship Id="rId19496" Type="http://schemas.openxmlformats.org/officeDocument/2006/relationships/hyperlink" Target="https://statiz.sporki.com/add/?m=draft_school01&amp;ps_school=50105" TargetMode="External"/><Relationship Id="rId1891" Type="http://schemas.openxmlformats.org/officeDocument/2006/relationships/hyperlink" Target="https://statiz.sporki.com/player/?m=playerinfo&amp;p_no=14131" TargetMode="External"/><Relationship Id="rId2942" Type="http://schemas.openxmlformats.org/officeDocument/2006/relationships/hyperlink" Target="https://statiz.sporki.com/add/?m=draft_school01&amp;ps_school=50207" TargetMode="External"/><Relationship Id="rId9555" Type="http://schemas.openxmlformats.org/officeDocument/2006/relationships/hyperlink" Target="https://statiz.sporki.com/add/?m=draft_school02&amp;ps_school=60501" TargetMode="External"/><Relationship Id="rId11485" Type="http://schemas.openxmlformats.org/officeDocument/2006/relationships/hyperlink" Target="https://statiz.sporki.com/player/?m=playerinfo&amp;p_no=1229" TargetMode="External"/><Relationship Id="rId12536" Type="http://schemas.openxmlformats.org/officeDocument/2006/relationships/hyperlink" Target="https://statiz.sporki.com/player/?m=playerinfo&amp;p_no=14817" TargetMode="External"/><Relationship Id="rId18098" Type="http://schemas.openxmlformats.org/officeDocument/2006/relationships/hyperlink" Target="https://statiz.sporki.com/add/?m=draft_school01&amp;ps_school=50113" TargetMode="External"/><Relationship Id="rId19149" Type="http://schemas.openxmlformats.org/officeDocument/2006/relationships/hyperlink" Target="https://statiz.sporki.com/add/?m=draft_school01&amp;ps_school=50501" TargetMode="External"/><Relationship Id="rId914" Type="http://schemas.openxmlformats.org/officeDocument/2006/relationships/hyperlink" Target="https://statiz.sporki.com/add/?m=draft_school01&amp;ps_school=50806" TargetMode="External"/><Relationship Id="rId1544" Type="http://schemas.openxmlformats.org/officeDocument/2006/relationships/hyperlink" Target="https://statiz.sporki.com/add/?m=draft_school01&amp;ps_school=50215" TargetMode="External"/><Relationship Id="rId8157" Type="http://schemas.openxmlformats.org/officeDocument/2006/relationships/hyperlink" Target="https://statiz.sporki.com/add/?m=draft_school02&amp;ps_school=60501" TargetMode="External"/><Relationship Id="rId9208" Type="http://schemas.openxmlformats.org/officeDocument/2006/relationships/hyperlink" Target="https://statiz.sporki.com/player/?m=playerinfo&amp;p_no=1260" TargetMode="External"/><Relationship Id="rId10087" Type="http://schemas.openxmlformats.org/officeDocument/2006/relationships/hyperlink" Target="https://statiz.sporki.com/player/?m=playerinfo&amp;p_no=1576" TargetMode="External"/><Relationship Id="rId11138" Type="http://schemas.openxmlformats.org/officeDocument/2006/relationships/hyperlink" Target="https://statiz.sporki.com/add/?m=draft_school01&amp;ps_school=50703" TargetMode="External"/><Relationship Id="rId4767" Type="http://schemas.openxmlformats.org/officeDocument/2006/relationships/hyperlink" Target="https://statiz.sporki.com/add/?m=draft_school02&amp;ps_school=" TargetMode="External"/><Relationship Id="rId5818" Type="http://schemas.openxmlformats.org/officeDocument/2006/relationships/hyperlink" Target="https://statiz.sporki.com/player/?m=playerinfo&amp;p_no=10376" TargetMode="External"/><Relationship Id="rId15759" Type="http://schemas.openxmlformats.org/officeDocument/2006/relationships/hyperlink" Target="https://statiz.sporki.com/player/?m=playerinfo&amp;p_no=1383" TargetMode="External"/><Relationship Id="rId17181" Type="http://schemas.openxmlformats.org/officeDocument/2006/relationships/hyperlink" Target="https://statiz.sporki.com/add/?m=draft_school01&amp;ps_school=50807" TargetMode="External"/><Relationship Id="rId18232" Type="http://schemas.openxmlformats.org/officeDocument/2006/relationships/hyperlink" Target="https://statiz.sporki.com/add/?m=draft_school01&amp;ps_school=50403" TargetMode="External"/><Relationship Id="rId19630" Type="http://schemas.openxmlformats.org/officeDocument/2006/relationships/hyperlink" Target="https://statiz.sporki.com/add/?m=draft_school01&amp;ps_school=50202" TargetMode="External"/><Relationship Id="rId3369" Type="http://schemas.openxmlformats.org/officeDocument/2006/relationships/hyperlink" Target="https://statiz.sporki.com/add/?m=draft_school02&amp;ps_school=" TargetMode="External"/><Relationship Id="rId7240" Type="http://schemas.openxmlformats.org/officeDocument/2006/relationships/hyperlink" Target="https://statiz.sporki.com/player/?m=playerinfo&amp;p_no=2298" TargetMode="External"/><Relationship Id="rId10221" Type="http://schemas.openxmlformats.org/officeDocument/2006/relationships/hyperlink" Target="https://statiz.sporki.com/add/?m=draft_school02&amp;ps_school=" TargetMode="External"/><Relationship Id="rId13791" Type="http://schemas.openxmlformats.org/officeDocument/2006/relationships/hyperlink" Target="https://statiz.sporki.com/player/?m=playerinfo&amp;p_no=10905" TargetMode="External"/><Relationship Id="rId14842" Type="http://schemas.openxmlformats.org/officeDocument/2006/relationships/hyperlink" Target="https://statiz.sporki.com/player/?m=playerinfo&amp;p_no=2080" TargetMode="External"/><Relationship Id="rId3850" Type="http://schemas.openxmlformats.org/officeDocument/2006/relationships/hyperlink" Target="https://statiz.sporki.com/player/?m=playerinfo&amp;p_no=13190" TargetMode="External"/><Relationship Id="rId4901" Type="http://schemas.openxmlformats.org/officeDocument/2006/relationships/hyperlink" Target="https://statiz.sporki.com/add/?m=draft_school01&amp;ps_school=50502" TargetMode="External"/><Relationship Id="rId9065" Type="http://schemas.openxmlformats.org/officeDocument/2006/relationships/hyperlink" Target="https://statiz.sporki.com/add/?m=draft_school01&amp;ps_school=50502" TargetMode="External"/><Relationship Id="rId12393" Type="http://schemas.openxmlformats.org/officeDocument/2006/relationships/hyperlink" Target="https://statiz.sporki.com/player/?m=playerinfo&amp;p_no=15119" TargetMode="External"/><Relationship Id="rId13444" Type="http://schemas.openxmlformats.org/officeDocument/2006/relationships/hyperlink" Target="https://statiz.sporki.com/player/?m=playerinfo&amp;p_no=11326" TargetMode="External"/><Relationship Id="rId771" Type="http://schemas.openxmlformats.org/officeDocument/2006/relationships/hyperlink" Target="https://statiz.sporki.com/add/?m=draft_school02&amp;ps_school=" TargetMode="External"/><Relationship Id="rId2452" Type="http://schemas.openxmlformats.org/officeDocument/2006/relationships/hyperlink" Target="https://statiz.sporki.com/player/?m=playerinfo&amp;p_no=13129" TargetMode="External"/><Relationship Id="rId3503" Type="http://schemas.openxmlformats.org/officeDocument/2006/relationships/hyperlink" Target="https://statiz.sporki.com/add/?m=draft_school01&amp;ps_school=" TargetMode="External"/><Relationship Id="rId12046" Type="http://schemas.openxmlformats.org/officeDocument/2006/relationships/hyperlink" Target="https://statiz.sporki.com/player/?m=playerinfo&amp;p_no=1069" TargetMode="External"/><Relationship Id="rId16667" Type="http://schemas.openxmlformats.org/officeDocument/2006/relationships/hyperlink" Target="https://statiz.sporki.com/add/?m=draft_school01&amp;ps_school=50207" TargetMode="External"/><Relationship Id="rId17718" Type="http://schemas.openxmlformats.org/officeDocument/2006/relationships/hyperlink" Target="https://statiz.sporki.com/add/?m=draft_school01&amp;ps_school=50101" TargetMode="External"/><Relationship Id="rId424" Type="http://schemas.openxmlformats.org/officeDocument/2006/relationships/hyperlink" Target="https://statiz.sporki.com/player/?m=playerinfo&amp;p_no=16012" TargetMode="External"/><Relationship Id="rId1054" Type="http://schemas.openxmlformats.org/officeDocument/2006/relationships/hyperlink" Target="https://statiz.sporki.com/player/?m=playerinfo&amp;p_no=14767" TargetMode="External"/><Relationship Id="rId2105" Type="http://schemas.openxmlformats.org/officeDocument/2006/relationships/hyperlink" Target="https://statiz.sporki.com/add/?m=draft_school01&amp;ps_school=50103" TargetMode="External"/><Relationship Id="rId5675" Type="http://schemas.openxmlformats.org/officeDocument/2006/relationships/hyperlink" Target="https://statiz.sporki.com/add/?m=draft_school01&amp;ps_school=" TargetMode="External"/><Relationship Id="rId6726" Type="http://schemas.openxmlformats.org/officeDocument/2006/relationships/hyperlink" Target="https://statiz.sporki.com/add/?m=draft_school02&amp;ps_school=60203" TargetMode="External"/><Relationship Id="rId15269" Type="http://schemas.openxmlformats.org/officeDocument/2006/relationships/hyperlink" Target="https://statiz.sporki.com/player/?m=playerinfo&amp;p_no=1810" TargetMode="External"/><Relationship Id="rId19140" Type="http://schemas.openxmlformats.org/officeDocument/2006/relationships/hyperlink" Target="https://statiz.sporki.com/add/?m=draft_school01&amp;ps_school=50815" TargetMode="External"/><Relationship Id="rId4277" Type="http://schemas.openxmlformats.org/officeDocument/2006/relationships/hyperlink" Target="https://statiz.sporki.com/add/?m=draft_school01&amp;ps_school=50210" TargetMode="External"/><Relationship Id="rId5328" Type="http://schemas.openxmlformats.org/officeDocument/2006/relationships/hyperlink" Target="https://statiz.sporki.com/add/?m=draft_school02&amp;ps_school=" TargetMode="External"/><Relationship Id="rId8898" Type="http://schemas.openxmlformats.org/officeDocument/2006/relationships/hyperlink" Target="https://statiz.sporki.com/add/?m=draft_school02&amp;ps_school=60111" TargetMode="External"/><Relationship Id="rId9949" Type="http://schemas.openxmlformats.org/officeDocument/2006/relationships/hyperlink" Target="https://statiz.sporki.com/player/?m=playerinfo&amp;p_no=1683" TargetMode="External"/><Relationship Id="rId11879" Type="http://schemas.openxmlformats.org/officeDocument/2006/relationships/hyperlink" Target="https://statiz.sporki.com/add/?m=draft_school01&amp;ps_school=50401" TargetMode="External"/><Relationship Id="rId15750" Type="http://schemas.openxmlformats.org/officeDocument/2006/relationships/hyperlink" Target="https://statiz.sporki.com/player/?m=playerinfo&amp;p_no=1396" TargetMode="External"/><Relationship Id="rId16801" Type="http://schemas.openxmlformats.org/officeDocument/2006/relationships/hyperlink" Target="https://statiz.sporki.com/add/?m=draft_school01&amp;ps_school=50710" TargetMode="External"/><Relationship Id="rId1938" Type="http://schemas.openxmlformats.org/officeDocument/2006/relationships/hyperlink" Target="https://statiz.sporki.com/add/?m=draft_school02&amp;ps_school=" TargetMode="External"/><Relationship Id="rId3360" Type="http://schemas.openxmlformats.org/officeDocument/2006/relationships/hyperlink" Target="https://statiz.sporki.com/add/?m=draft_school02&amp;ps_school=" TargetMode="External"/><Relationship Id="rId14352" Type="http://schemas.openxmlformats.org/officeDocument/2006/relationships/hyperlink" Target="https://statiz.sporki.com/player/?m=playerinfo&amp;p_no=2375" TargetMode="External"/><Relationship Id="rId15403" Type="http://schemas.openxmlformats.org/officeDocument/2006/relationships/hyperlink" Target="https://statiz.sporki.com/player/?m=playerinfo&amp;p_no=1956" TargetMode="External"/><Relationship Id="rId18973" Type="http://schemas.openxmlformats.org/officeDocument/2006/relationships/hyperlink" Target="https://statiz.sporki.com/add/?m=draft_school01&amp;ps_school=50402" TargetMode="External"/><Relationship Id="rId281" Type="http://schemas.openxmlformats.org/officeDocument/2006/relationships/hyperlink" Target="https://statiz.sporki.com/add/?m=draft_school01&amp;ps_school=50701" TargetMode="External"/><Relationship Id="rId3013" Type="http://schemas.openxmlformats.org/officeDocument/2006/relationships/hyperlink" Target="https://statiz.sporki.com/player/?m=playerinfo&amp;p_no=12896" TargetMode="External"/><Relationship Id="rId4411" Type="http://schemas.openxmlformats.org/officeDocument/2006/relationships/hyperlink" Target="https://statiz.sporki.com/player/?m=playerinfo&amp;p_no=11370" TargetMode="External"/><Relationship Id="rId7981" Type="http://schemas.openxmlformats.org/officeDocument/2006/relationships/hyperlink" Target="https://statiz.sporki.com/player/?m=playerinfo&amp;p_no=2144" TargetMode="External"/><Relationship Id="rId10962" Type="http://schemas.openxmlformats.org/officeDocument/2006/relationships/hyperlink" Target="https://statiz.sporki.com/add/?m=draft_school02&amp;ps_school=60208" TargetMode="External"/><Relationship Id="rId14005" Type="http://schemas.openxmlformats.org/officeDocument/2006/relationships/hyperlink" Target="https://statiz.sporki.com/player/?m=playerinfo&amp;p_no=10308" TargetMode="External"/><Relationship Id="rId17575" Type="http://schemas.openxmlformats.org/officeDocument/2006/relationships/hyperlink" Target="https://statiz.sporki.com/add/?m=draft_school01&amp;ps_school=50703" TargetMode="External"/><Relationship Id="rId18626" Type="http://schemas.openxmlformats.org/officeDocument/2006/relationships/hyperlink" Target="https://statiz.sporki.com/add/?m=draft_school01&amp;ps_school=50103" TargetMode="External"/><Relationship Id="rId6583" Type="http://schemas.openxmlformats.org/officeDocument/2006/relationships/hyperlink" Target="https://statiz.sporki.com/player/?m=playerinfo&amp;p_no=10758" TargetMode="External"/><Relationship Id="rId7634" Type="http://schemas.openxmlformats.org/officeDocument/2006/relationships/hyperlink" Target="https://statiz.sporki.com/add/?m=draft_school01&amp;ps_school=50703" TargetMode="External"/><Relationship Id="rId10615" Type="http://schemas.openxmlformats.org/officeDocument/2006/relationships/hyperlink" Target="https://statiz.sporki.com/player/?m=playerinfo&amp;p_no=1443" TargetMode="External"/><Relationship Id="rId16177" Type="http://schemas.openxmlformats.org/officeDocument/2006/relationships/hyperlink" Target="https://statiz.sporki.com/player/?m=playerinfo&amp;p_no=1103" TargetMode="External"/><Relationship Id="rId17228" Type="http://schemas.openxmlformats.org/officeDocument/2006/relationships/hyperlink" Target="https://statiz.sporki.com/add/?m=draft_school01&amp;ps_school=50801" TargetMode="External"/><Relationship Id="rId5185" Type="http://schemas.openxmlformats.org/officeDocument/2006/relationships/hyperlink" Target="https://statiz.sporki.com/player/?m=playerinfo&amp;p_no=10692" TargetMode="External"/><Relationship Id="rId6236" Type="http://schemas.openxmlformats.org/officeDocument/2006/relationships/hyperlink" Target="https://statiz.sporki.com/add/?m=draft_school01&amp;ps_school=50112" TargetMode="External"/><Relationship Id="rId12787" Type="http://schemas.openxmlformats.org/officeDocument/2006/relationships/hyperlink" Target="https://statiz.sporki.com/player/?m=playerinfo&amp;p_no=14179" TargetMode="External"/><Relationship Id="rId1795" Type="http://schemas.openxmlformats.org/officeDocument/2006/relationships/hyperlink" Target="https://statiz.sporki.com/player/?m=playerinfo&amp;p_no=14675" TargetMode="External"/><Relationship Id="rId2846" Type="http://schemas.openxmlformats.org/officeDocument/2006/relationships/hyperlink" Target="https://statiz.sporki.com/add/?m=draft_school01&amp;ps_school=50803" TargetMode="External"/><Relationship Id="rId9459" Type="http://schemas.openxmlformats.org/officeDocument/2006/relationships/hyperlink" Target="https://statiz.sporki.com/add/?m=draft_school02&amp;ps_school=60203" TargetMode="External"/><Relationship Id="rId11389" Type="http://schemas.openxmlformats.org/officeDocument/2006/relationships/hyperlink" Target="https://statiz.sporki.com/player/?m=playerinfo&amp;p_no=1334" TargetMode="External"/><Relationship Id="rId13838" Type="http://schemas.openxmlformats.org/officeDocument/2006/relationships/hyperlink" Target="https://statiz.sporki.com/player/?m=playerinfo&amp;p_no=11210" TargetMode="External"/><Relationship Id="rId15260" Type="http://schemas.openxmlformats.org/officeDocument/2006/relationships/hyperlink" Target="https://statiz.sporki.com/player/?m=playerinfo&amp;p_no=1786" TargetMode="External"/><Relationship Id="rId16311" Type="http://schemas.openxmlformats.org/officeDocument/2006/relationships/hyperlink" Target="https://statiz.sporki.com/add/?m=draft_school01&amp;ps_school=50702" TargetMode="External"/><Relationship Id="rId818" Type="http://schemas.openxmlformats.org/officeDocument/2006/relationships/hyperlink" Target="https://statiz.sporki.com/add/?m=draft_school01&amp;ps_school=" TargetMode="External"/><Relationship Id="rId1448" Type="http://schemas.openxmlformats.org/officeDocument/2006/relationships/hyperlink" Target="https://statiz.sporki.com/add/?m=draft_school01&amp;ps_school=50802" TargetMode="External"/><Relationship Id="rId7491" Type="http://schemas.openxmlformats.org/officeDocument/2006/relationships/hyperlink" Target="https://statiz.sporki.com/add/?m=draft_school02&amp;ps_school=" TargetMode="External"/><Relationship Id="rId9940" Type="http://schemas.openxmlformats.org/officeDocument/2006/relationships/hyperlink" Target="https://statiz.sporki.com/player/?m=playerinfo&amp;p_no=1680" TargetMode="External"/><Relationship Id="rId11870" Type="http://schemas.openxmlformats.org/officeDocument/2006/relationships/hyperlink" Target="https://statiz.sporki.com/add/?m=draft_school01&amp;ps_school=50111" TargetMode="External"/><Relationship Id="rId12921" Type="http://schemas.openxmlformats.org/officeDocument/2006/relationships/hyperlink" Target="https://statiz.sporki.com/player/?m=playerinfo&amp;p_no=13070" TargetMode="External"/><Relationship Id="rId17085" Type="http://schemas.openxmlformats.org/officeDocument/2006/relationships/hyperlink" Target="https://statiz.sporki.com/add/?m=draft_school01&amp;ps_school=50503" TargetMode="External"/><Relationship Id="rId18483" Type="http://schemas.openxmlformats.org/officeDocument/2006/relationships/hyperlink" Target="https://statiz.sporki.com/add/?m=draft_school01&amp;ps_school=50602" TargetMode="External"/><Relationship Id="rId19534" Type="http://schemas.openxmlformats.org/officeDocument/2006/relationships/hyperlink" Target="https://statiz.sporki.com/add/?m=draft_school01&amp;ps_school=50107" TargetMode="External"/><Relationship Id="rId6093" Type="http://schemas.openxmlformats.org/officeDocument/2006/relationships/hyperlink" Target="https://statiz.sporki.com/add/?m=draft_school02&amp;ps_school=60203" TargetMode="External"/><Relationship Id="rId7144" Type="http://schemas.openxmlformats.org/officeDocument/2006/relationships/hyperlink" Target="https://statiz.sporki.com/player/?m=playerinfo&amp;p_no=10278" TargetMode="External"/><Relationship Id="rId8542" Type="http://schemas.openxmlformats.org/officeDocument/2006/relationships/hyperlink" Target="https://statiz.sporki.com/player/?m=playerinfo&amp;p_no=2031" TargetMode="External"/><Relationship Id="rId10472" Type="http://schemas.openxmlformats.org/officeDocument/2006/relationships/hyperlink" Target="https://statiz.sporki.com/add/?m=draft_school01&amp;ps_school=50800" TargetMode="External"/><Relationship Id="rId11523" Type="http://schemas.openxmlformats.org/officeDocument/2006/relationships/hyperlink" Target="https://statiz.sporki.com/add/?m=draft_school02&amp;ps_school=" TargetMode="External"/><Relationship Id="rId18136" Type="http://schemas.openxmlformats.org/officeDocument/2006/relationships/hyperlink" Target="https://statiz.sporki.com/add/?m=draft_school01&amp;ps_school=50809" TargetMode="External"/><Relationship Id="rId10125" Type="http://schemas.openxmlformats.org/officeDocument/2006/relationships/hyperlink" Target="https://statiz.sporki.com/add/?m=draft_school02&amp;ps_school=60501" TargetMode="External"/><Relationship Id="rId13695" Type="http://schemas.openxmlformats.org/officeDocument/2006/relationships/hyperlink" Target="https://statiz.sporki.com/player/?m=playerinfo&amp;p_no=11175" TargetMode="External"/><Relationship Id="rId14746" Type="http://schemas.openxmlformats.org/officeDocument/2006/relationships/hyperlink" Target="https://statiz.sporki.com/player/?m=playerinfo&amp;p_no=2346" TargetMode="External"/><Relationship Id="rId3754" Type="http://schemas.openxmlformats.org/officeDocument/2006/relationships/hyperlink" Target="https://statiz.sporki.com/player/?m=playerinfo&amp;p_no=11378" TargetMode="External"/><Relationship Id="rId4805" Type="http://schemas.openxmlformats.org/officeDocument/2006/relationships/hyperlink" Target="https://statiz.sporki.com/add/?m=draft_school01&amp;ps_school=50801" TargetMode="External"/><Relationship Id="rId12297" Type="http://schemas.openxmlformats.org/officeDocument/2006/relationships/hyperlink" Target="https://statiz.sporki.com/player/?m=playerinfo&amp;p_no=15630" TargetMode="External"/><Relationship Id="rId13348" Type="http://schemas.openxmlformats.org/officeDocument/2006/relationships/hyperlink" Target="https://statiz.sporki.com/player/?m=playerinfo&amp;p_no=11361" TargetMode="External"/><Relationship Id="rId675" Type="http://schemas.openxmlformats.org/officeDocument/2006/relationships/hyperlink" Target="https://statiz.sporki.com/add/?m=draft_school02&amp;ps_school=" TargetMode="External"/><Relationship Id="rId2356" Type="http://schemas.openxmlformats.org/officeDocument/2006/relationships/hyperlink" Target="https://statiz.sporki.com/player/?m=playerinfo&amp;p_no=13104" TargetMode="External"/><Relationship Id="rId3407" Type="http://schemas.openxmlformats.org/officeDocument/2006/relationships/hyperlink" Target="https://statiz.sporki.com/add/?m=draft_school01&amp;ps_school=50604" TargetMode="External"/><Relationship Id="rId6977" Type="http://schemas.openxmlformats.org/officeDocument/2006/relationships/hyperlink" Target="https://statiz.sporki.com/add/?m=draft_school01&amp;ps_school=50706" TargetMode="External"/><Relationship Id="rId17969" Type="http://schemas.openxmlformats.org/officeDocument/2006/relationships/hyperlink" Target="https://statiz.sporki.com/add/?m=draft_school01&amp;ps_school=50115" TargetMode="External"/><Relationship Id="rId19391" Type="http://schemas.openxmlformats.org/officeDocument/2006/relationships/hyperlink" Target="https://statiz.sporki.com/add/?m=draft_school01&amp;ps_school=50501" TargetMode="External"/><Relationship Id="rId328" Type="http://schemas.openxmlformats.org/officeDocument/2006/relationships/hyperlink" Target="https://statiz.sporki.com/player/?m=playerinfo&amp;p_no=15533" TargetMode="External"/><Relationship Id="rId2009" Type="http://schemas.openxmlformats.org/officeDocument/2006/relationships/hyperlink" Target="https://statiz.sporki.com/add/?m=draft_school01&amp;ps_school=50207" TargetMode="External"/><Relationship Id="rId5579" Type="http://schemas.openxmlformats.org/officeDocument/2006/relationships/hyperlink" Target="https://statiz.sporki.com/add/?m=draft_school01&amp;ps_school=50109" TargetMode="External"/><Relationship Id="rId9450" Type="http://schemas.openxmlformats.org/officeDocument/2006/relationships/hyperlink" Target="https://statiz.sporki.com/add/?m=draft_school02&amp;ps_school=60102" TargetMode="External"/><Relationship Id="rId19044" Type="http://schemas.openxmlformats.org/officeDocument/2006/relationships/hyperlink" Target="https://statiz.sporki.com/add/?m=draft_school01&amp;ps_school=50602" TargetMode="External"/><Relationship Id="rId8052" Type="http://schemas.openxmlformats.org/officeDocument/2006/relationships/hyperlink" Target="https://statiz.sporki.com/add/?m=draft_school02&amp;ps_school=" TargetMode="External"/><Relationship Id="rId9103" Type="http://schemas.openxmlformats.org/officeDocument/2006/relationships/hyperlink" Target="https://statiz.sporki.com/player/?m=playerinfo&amp;p_no=1886" TargetMode="External"/><Relationship Id="rId11033" Type="http://schemas.openxmlformats.org/officeDocument/2006/relationships/hyperlink" Target="https://statiz.sporki.com/add/?m=draft_school01&amp;ps_school=50803" TargetMode="External"/><Relationship Id="rId11380" Type="http://schemas.openxmlformats.org/officeDocument/2006/relationships/hyperlink" Target="https://statiz.sporki.com/player/?m=playerinfo&amp;p_no=1255" TargetMode="External"/><Relationship Id="rId12431" Type="http://schemas.openxmlformats.org/officeDocument/2006/relationships/hyperlink" Target="https://statiz.sporki.com/player/?m=playerinfo&amp;p_no=15010" TargetMode="External"/><Relationship Id="rId15654" Type="http://schemas.openxmlformats.org/officeDocument/2006/relationships/hyperlink" Target="https://statiz.sporki.com/player/?m=playerinfo&amp;p_no=1469" TargetMode="External"/><Relationship Id="rId16705" Type="http://schemas.openxmlformats.org/officeDocument/2006/relationships/hyperlink" Target="https://statiz.sporki.com/add/?m=draft_school01&amp;ps_school=51100" TargetMode="External"/><Relationship Id="rId4662" Type="http://schemas.openxmlformats.org/officeDocument/2006/relationships/hyperlink" Target="https://statiz.sporki.com/add/?m=draft_school02&amp;ps_school=60801" TargetMode="External"/><Relationship Id="rId5713" Type="http://schemas.openxmlformats.org/officeDocument/2006/relationships/hyperlink" Target="https://statiz.sporki.com/player/?m=playerinfo&amp;p_no=10874" TargetMode="External"/><Relationship Id="rId14256" Type="http://schemas.openxmlformats.org/officeDocument/2006/relationships/hyperlink" Target="https://statiz.sporki.com/player/?m=playerinfo&amp;p_no=10545" TargetMode="External"/><Relationship Id="rId15307" Type="http://schemas.openxmlformats.org/officeDocument/2006/relationships/hyperlink" Target="https://statiz.sporki.com/player/?m=playerinfo&amp;p_no=1825" TargetMode="External"/><Relationship Id="rId18877" Type="http://schemas.openxmlformats.org/officeDocument/2006/relationships/hyperlink" Target="https://statiz.sporki.com/add/?m=draft_school01&amp;ps_school=50101" TargetMode="External"/><Relationship Id="rId185" Type="http://schemas.openxmlformats.org/officeDocument/2006/relationships/hyperlink" Target="https://statiz.sporki.com/add/?m=draft_school01&amp;ps_school=50116" TargetMode="External"/><Relationship Id="rId3264" Type="http://schemas.openxmlformats.org/officeDocument/2006/relationships/hyperlink" Target="https://statiz.sporki.com/add/?m=draft_school02&amp;ps_school=60607" TargetMode="External"/><Relationship Id="rId4315" Type="http://schemas.openxmlformats.org/officeDocument/2006/relationships/hyperlink" Target="https://statiz.sporki.com/player/?m=playerinfo&amp;p_no=11325" TargetMode="External"/><Relationship Id="rId7885" Type="http://schemas.openxmlformats.org/officeDocument/2006/relationships/hyperlink" Target="https://statiz.sporki.com/player/?m=playerinfo&amp;p_no=10245" TargetMode="External"/><Relationship Id="rId8936" Type="http://schemas.openxmlformats.org/officeDocument/2006/relationships/hyperlink" Target="https://statiz.sporki.com/add/?m=draft_school01&amp;ps_school=50804" TargetMode="External"/><Relationship Id="rId10866" Type="http://schemas.openxmlformats.org/officeDocument/2006/relationships/hyperlink" Target="https://statiz.sporki.com/add/?m=draft_school02&amp;ps_school=60108" TargetMode="External"/><Relationship Id="rId17479" Type="http://schemas.openxmlformats.org/officeDocument/2006/relationships/hyperlink" Target="https://statiz.sporki.com/add/?m=draft_school01&amp;ps_school=50110" TargetMode="External"/><Relationship Id="rId6487" Type="http://schemas.openxmlformats.org/officeDocument/2006/relationships/hyperlink" Target="https://statiz.sporki.com/player/?m=playerinfo&amp;p_no=10759" TargetMode="External"/><Relationship Id="rId7538" Type="http://schemas.openxmlformats.org/officeDocument/2006/relationships/hyperlink" Target="https://statiz.sporki.com/add/?m=draft_school01&amp;ps_school=" TargetMode="External"/><Relationship Id="rId10519" Type="http://schemas.openxmlformats.org/officeDocument/2006/relationships/hyperlink" Target="https://statiz.sporki.com/player/?m=playerinfo&amp;p_no=1529" TargetMode="External"/><Relationship Id="rId11917" Type="http://schemas.openxmlformats.org/officeDocument/2006/relationships/hyperlink" Target="https://statiz.sporki.com/player/?m=playerinfo&amp;p_no=1061" TargetMode="External"/><Relationship Id="rId5089" Type="http://schemas.openxmlformats.org/officeDocument/2006/relationships/hyperlink" Target="https://statiz.sporki.com/player/?m=playerinfo&amp;p_no=11210" TargetMode="External"/><Relationship Id="rId17960" Type="http://schemas.openxmlformats.org/officeDocument/2006/relationships/hyperlink" Target="https://statiz.sporki.com/add/?m=draft_school01&amp;ps_school=50804" TargetMode="External"/><Relationship Id="rId1699" Type="http://schemas.openxmlformats.org/officeDocument/2006/relationships/hyperlink" Target="https://statiz.sporki.com/player/?m=playerinfo&amp;p_no=14637" TargetMode="External"/><Relationship Id="rId2000" Type="http://schemas.openxmlformats.org/officeDocument/2006/relationships/hyperlink" Target="https://statiz.sporki.com/add/?m=draft_school01&amp;ps_school=50111" TargetMode="External"/><Relationship Id="rId5570" Type="http://schemas.openxmlformats.org/officeDocument/2006/relationships/hyperlink" Target="https://statiz.sporki.com/add/?m=draft_school01&amp;ps_school=50110" TargetMode="External"/><Relationship Id="rId15164" Type="http://schemas.openxmlformats.org/officeDocument/2006/relationships/hyperlink" Target="https://statiz.sporki.com/player/?m=playerinfo&amp;p_no=10310" TargetMode="External"/><Relationship Id="rId16562" Type="http://schemas.openxmlformats.org/officeDocument/2006/relationships/hyperlink" Target="https://statiz.sporki.com/add/?m=draft_school01&amp;ps_school=50601" TargetMode="External"/><Relationship Id="rId17613" Type="http://schemas.openxmlformats.org/officeDocument/2006/relationships/hyperlink" Target="https://statiz.sporki.com/add/?m=draft_school01&amp;ps_school=50111" TargetMode="External"/><Relationship Id="rId4172" Type="http://schemas.openxmlformats.org/officeDocument/2006/relationships/hyperlink" Target="https://statiz.sporki.com/add/?m=draft_school01&amp;ps_school=50111" TargetMode="External"/><Relationship Id="rId5223" Type="http://schemas.openxmlformats.org/officeDocument/2006/relationships/hyperlink" Target="https://statiz.sporki.com/add/?m=draft_school02&amp;ps_school=60501" TargetMode="External"/><Relationship Id="rId6621" Type="http://schemas.openxmlformats.org/officeDocument/2006/relationships/hyperlink" Target="https://statiz.sporki.com/add/?m=draft_school02&amp;ps_school=" TargetMode="External"/><Relationship Id="rId16215" Type="http://schemas.openxmlformats.org/officeDocument/2006/relationships/hyperlink" Target="https://statiz.sporki.com/add/?m=draft_school01&amp;ps_school=50215" TargetMode="External"/><Relationship Id="rId8793" Type="http://schemas.openxmlformats.org/officeDocument/2006/relationships/hyperlink" Target="https://statiz.sporki.com/add/?m=draft_school02&amp;ps_school=60203" TargetMode="External"/><Relationship Id="rId9844" Type="http://schemas.openxmlformats.org/officeDocument/2006/relationships/hyperlink" Target="https://statiz.sporki.com/player/?m=playerinfo&amp;p_no=1677" TargetMode="External"/><Relationship Id="rId11774" Type="http://schemas.openxmlformats.org/officeDocument/2006/relationships/hyperlink" Target="https://statiz.sporki.com/add/?m=draft_school01&amp;ps_school=50102" TargetMode="External"/><Relationship Id="rId12825" Type="http://schemas.openxmlformats.org/officeDocument/2006/relationships/hyperlink" Target="https://statiz.sporki.com/player/?m=playerinfo&amp;p_no=14119" TargetMode="External"/><Relationship Id="rId18387" Type="http://schemas.openxmlformats.org/officeDocument/2006/relationships/hyperlink" Target="https://statiz.sporki.com/add/?m=draft_school01&amp;ps_school=50803" TargetMode="External"/><Relationship Id="rId19438" Type="http://schemas.openxmlformats.org/officeDocument/2006/relationships/hyperlink" Target="https://statiz.sporki.com/add/?m=draft_school01&amp;ps_school=50701" TargetMode="External"/><Relationship Id="rId58" Type="http://schemas.openxmlformats.org/officeDocument/2006/relationships/hyperlink" Target="https://statiz.sporki.com/player/?m=playerinfo&amp;p_no=15519" TargetMode="External"/><Relationship Id="rId1833" Type="http://schemas.openxmlformats.org/officeDocument/2006/relationships/hyperlink" Target="https://statiz.sporki.com/add/?m=draft_school02&amp;ps_school=60111" TargetMode="External"/><Relationship Id="rId7048" Type="http://schemas.openxmlformats.org/officeDocument/2006/relationships/hyperlink" Target="https://statiz.sporki.com/player/?m=playerinfo&amp;p_no=10802" TargetMode="External"/><Relationship Id="rId7395" Type="http://schemas.openxmlformats.org/officeDocument/2006/relationships/hyperlink" Target="https://statiz.sporki.com/add/?m=draft_school02&amp;ps_school=" TargetMode="External"/><Relationship Id="rId8446" Type="http://schemas.openxmlformats.org/officeDocument/2006/relationships/hyperlink" Target="https://statiz.sporki.com/player/?m=playerinfo&amp;p_no=10579" TargetMode="External"/><Relationship Id="rId10376" Type="http://schemas.openxmlformats.org/officeDocument/2006/relationships/hyperlink" Target="https://statiz.sporki.com/add/?m=draft_school01&amp;ps_school=50804" TargetMode="External"/><Relationship Id="rId11427" Type="http://schemas.openxmlformats.org/officeDocument/2006/relationships/hyperlink" Target="https://statiz.sporki.com/add/?m=draft_school02&amp;ps_school=60113" TargetMode="External"/><Relationship Id="rId14997" Type="http://schemas.openxmlformats.org/officeDocument/2006/relationships/hyperlink" Target="https://statiz.sporki.com/player/?m=playerinfo&amp;p_no=10491" TargetMode="External"/><Relationship Id="rId10029" Type="http://schemas.openxmlformats.org/officeDocument/2006/relationships/hyperlink" Target="https://statiz.sporki.com/add/?m=draft_school02&amp;ps_school=60101" TargetMode="External"/><Relationship Id="rId13599" Type="http://schemas.openxmlformats.org/officeDocument/2006/relationships/hyperlink" Target="https://statiz.sporki.com/player/?m=playerinfo&amp;p_no=11286" TargetMode="External"/><Relationship Id="rId17470" Type="http://schemas.openxmlformats.org/officeDocument/2006/relationships/hyperlink" Target="https://statiz.sporki.com/add/?m=draft_school01&amp;ps_school=50103" TargetMode="External"/><Relationship Id="rId18521" Type="http://schemas.openxmlformats.org/officeDocument/2006/relationships/hyperlink" Target="https://statiz.sporki.com/add/?m=draft_school01&amp;ps_school=50109" TargetMode="External"/><Relationship Id="rId3658" Type="http://schemas.openxmlformats.org/officeDocument/2006/relationships/hyperlink" Target="https://statiz.sporki.com/player/?m=playerinfo&amp;p_no=11353" TargetMode="External"/><Relationship Id="rId4709" Type="http://schemas.openxmlformats.org/officeDocument/2006/relationships/hyperlink" Target="https://statiz.sporki.com/add/?m=draft_school01&amp;ps_school=50706" TargetMode="External"/><Relationship Id="rId16072" Type="http://schemas.openxmlformats.org/officeDocument/2006/relationships/hyperlink" Target="https://statiz.sporki.com/player/?m=playerinfo&amp;p_no=1024" TargetMode="External"/><Relationship Id="rId17123" Type="http://schemas.openxmlformats.org/officeDocument/2006/relationships/hyperlink" Target="https://statiz.sporki.com/add/?m=draft_school01&amp;ps_school=50901" TargetMode="External"/><Relationship Id="rId579" Type="http://schemas.openxmlformats.org/officeDocument/2006/relationships/hyperlink" Target="https://statiz.sporki.com/add/?m=draft_school02&amp;ps_school=" TargetMode="External"/><Relationship Id="rId5080" Type="http://schemas.openxmlformats.org/officeDocument/2006/relationships/hyperlink" Target="https://statiz.sporki.com/player/?m=playerinfo&amp;p_no=10787" TargetMode="External"/><Relationship Id="rId6131" Type="http://schemas.openxmlformats.org/officeDocument/2006/relationships/hyperlink" Target="https://statiz.sporki.com/add/?m=draft_school01&amp;ps_school=50116" TargetMode="External"/><Relationship Id="rId10510" Type="http://schemas.openxmlformats.org/officeDocument/2006/relationships/hyperlink" Target="https://statiz.sporki.com/player/?m=playerinfo&amp;p_no=1550" TargetMode="External"/><Relationship Id="rId19295" Type="http://schemas.openxmlformats.org/officeDocument/2006/relationships/hyperlink" Target="https://statiz.sporki.com/add/?m=draft_school01&amp;ps_school=50701" TargetMode="External"/><Relationship Id="rId9354" Type="http://schemas.openxmlformats.org/officeDocument/2006/relationships/hyperlink" Target="https://statiz.sporki.com/add/?m=draft_school02&amp;ps_school=60801" TargetMode="External"/><Relationship Id="rId12682" Type="http://schemas.openxmlformats.org/officeDocument/2006/relationships/hyperlink" Target="https://statiz.sporki.com/player/?m=playerinfo&amp;p_no=14644" TargetMode="External"/><Relationship Id="rId13733" Type="http://schemas.openxmlformats.org/officeDocument/2006/relationships/hyperlink" Target="https://statiz.sporki.com/player/?m=playerinfo&amp;p_no=10825" TargetMode="External"/><Relationship Id="rId1690" Type="http://schemas.openxmlformats.org/officeDocument/2006/relationships/hyperlink" Target="https://statiz.sporki.com/player/?m=playerinfo&amp;p_no=14648" TargetMode="External"/><Relationship Id="rId2741" Type="http://schemas.openxmlformats.org/officeDocument/2006/relationships/hyperlink" Target="https://statiz.sporki.com/add/?m=draft_school01&amp;ps_school=50606" TargetMode="External"/><Relationship Id="rId9007" Type="http://schemas.openxmlformats.org/officeDocument/2006/relationships/hyperlink" Target="https://statiz.sporki.com/player/?m=playerinfo&amp;p_no=1917" TargetMode="External"/><Relationship Id="rId11284" Type="http://schemas.openxmlformats.org/officeDocument/2006/relationships/hyperlink" Target="https://statiz.sporki.com/player/?m=playerinfo&amp;p_no=1236" TargetMode="External"/><Relationship Id="rId12335" Type="http://schemas.openxmlformats.org/officeDocument/2006/relationships/hyperlink" Target="https://statiz.sporki.com/player/?m=playerinfo&amp;p_no=15048" TargetMode="External"/><Relationship Id="rId16956" Type="http://schemas.openxmlformats.org/officeDocument/2006/relationships/hyperlink" Target="https://statiz.sporki.com/add/?m=draft_school01&amp;ps_school=50402" TargetMode="External"/><Relationship Id="rId713" Type="http://schemas.openxmlformats.org/officeDocument/2006/relationships/hyperlink" Target="https://statiz.sporki.com/add/?m=draft_school01&amp;ps_school=50804" TargetMode="External"/><Relationship Id="rId1343" Type="http://schemas.openxmlformats.org/officeDocument/2006/relationships/hyperlink" Target="https://statiz.sporki.com/add/?m=draft_school01&amp;ps_school=50108" TargetMode="External"/><Relationship Id="rId5964" Type="http://schemas.openxmlformats.org/officeDocument/2006/relationships/hyperlink" Target="https://statiz.sporki.com/add/?m=draft_school02&amp;ps_school=" TargetMode="External"/><Relationship Id="rId15558" Type="http://schemas.openxmlformats.org/officeDocument/2006/relationships/hyperlink" Target="https://statiz.sporki.com/player/?m=playerinfo&amp;p_no=1634" TargetMode="External"/><Relationship Id="rId16609" Type="http://schemas.openxmlformats.org/officeDocument/2006/relationships/hyperlink" Target="https://statiz.sporki.com/add/?m=draft_school01&amp;ps_school=50402" TargetMode="External"/><Relationship Id="rId4566" Type="http://schemas.openxmlformats.org/officeDocument/2006/relationships/hyperlink" Target="https://statiz.sporki.com/add/?m=draft_school02&amp;ps_school=" TargetMode="External"/><Relationship Id="rId5617" Type="http://schemas.openxmlformats.org/officeDocument/2006/relationships/hyperlink" Target="https://statiz.sporki.com/player/?m=playerinfo&amp;p_no=10583" TargetMode="External"/><Relationship Id="rId18031" Type="http://schemas.openxmlformats.org/officeDocument/2006/relationships/hyperlink" Target="https://statiz.sporki.com/add/?m=draft_school01&amp;ps_school=50401" TargetMode="External"/><Relationship Id="rId3168" Type="http://schemas.openxmlformats.org/officeDocument/2006/relationships/hyperlink" Target="https://statiz.sporki.com/add/?m=draft_school02&amp;ps_school=" TargetMode="External"/><Relationship Id="rId4219" Type="http://schemas.openxmlformats.org/officeDocument/2006/relationships/hyperlink" Target="https://statiz.sporki.com/player/?m=playerinfo&amp;p_no=11233" TargetMode="External"/><Relationship Id="rId7789" Type="http://schemas.openxmlformats.org/officeDocument/2006/relationships/hyperlink" Target="https://statiz.sporki.com/player/?m=playerinfo&amp;p_no=2183" TargetMode="External"/><Relationship Id="rId10020" Type="http://schemas.openxmlformats.org/officeDocument/2006/relationships/hyperlink" Target="https://statiz.sporki.com/add/?m=draft_school02&amp;ps_school=60101" TargetMode="External"/><Relationship Id="rId13590" Type="http://schemas.openxmlformats.org/officeDocument/2006/relationships/hyperlink" Target="https://statiz.sporki.com/player/?m=playerinfo&amp;p_no=11237" TargetMode="External"/><Relationship Id="rId12192" Type="http://schemas.openxmlformats.org/officeDocument/2006/relationships/hyperlink" Target="https://statiz.sporki.com/player/?m=playerinfo&amp;p_no=15426" TargetMode="External"/><Relationship Id="rId13243" Type="http://schemas.openxmlformats.org/officeDocument/2006/relationships/hyperlink" Target="https://statiz.sporki.com/player/?m=playerinfo&amp;p_no=12551" TargetMode="External"/><Relationship Id="rId14641" Type="http://schemas.openxmlformats.org/officeDocument/2006/relationships/hyperlink" Target="https://statiz.sporki.com/player/?m=playerinfo&amp;p_no=2246" TargetMode="External"/><Relationship Id="rId570" Type="http://schemas.openxmlformats.org/officeDocument/2006/relationships/hyperlink" Target="https://statiz.sporki.com/add/?m=draft_school02&amp;ps_school=" TargetMode="External"/><Relationship Id="rId2251" Type="http://schemas.openxmlformats.org/officeDocument/2006/relationships/hyperlink" Target="https://statiz.sporki.com/player/?m=playerinfo&amp;p_no=14189" TargetMode="External"/><Relationship Id="rId3302" Type="http://schemas.openxmlformats.org/officeDocument/2006/relationships/hyperlink" Target="https://statiz.sporki.com/add/?m=draft_school01&amp;ps_school=50107" TargetMode="External"/><Relationship Id="rId4700" Type="http://schemas.openxmlformats.org/officeDocument/2006/relationships/hyperlink" Target="https://statiz.sporki.com/add/?m=draft_school01&amp;ps_school=50105" TargetMode="External"/><Relationship Id="rId17864" Type="http://schemas.openxmlformats.org/officeDocument/2006/relationships/hyperlink" Target="https://statiz.sporki.com/add/?m=draft_school01&amp;ps_school=50103" TargetMode="External"/><Relationship Id="rId18915" Type="http://schemas.openxmlformats.org/officeDocument/2006/relationships/hyperlink" Target="https://statiz.sporki.com/add/?m=draft_school01&amp;ps_school=50403" TargetMode="External"/><Relationship Id="rId223" Type="http://schemas.openxmlformats.org/officeDocument/2006/relationships/hyperlink" Target="https://statiz.sporki.com/player/?m=playerinfo&amp;p_no=15468" TargetMode="External"/><Relationship Id="rId6872" Type="http://schemas.openxmlformats.org/officeDocument/2006/relationships/hyperlink" Target="https://statiz.sporki.com/add/?m=draft_school01&amp;ps_school=" TargetMode="External"/><Relationship Id="rId7923" Type="http://schemas.openxmlformats.org/officeDocument/2006/relationships/hyperlink" Target="https://statiz.sporki.com/add/?m=draft_school02&amp;ps_school=60102" TargetMode="External"/><Relationship Id="rId10904" Type="http://schemas.openxmlformats.org/officeDocument/2006/relationships/hyperlink" Target="https://statiz.sporki.com/add/?m=draft_school01&amp;ps_school=" TargetMode="External"/><Relationship Id="rId16466" Type="http://schemas.openxmlformats.org/officeDocument/2006/relationships/hyperlink" Target="https://statiz.sporki.com/add/?m=draft_school01&amp;ps_school=50211" TargetMode="External"/><Relationship Id="rId17517" Type="http://schemas.openxmlformats.org/officeDocument/2006/relationships/hyperlink" Target="https://statiz.sporki.com/add/?m=draft_school01&amp;ps_school=50703" TargetMode="External"/><Relationship Id="rId4076" Type="http://schemas.openxmlformats.org/officeDocument/2006/relationships/hyperlink" Target="https://statiz.sporki.com/add/?m=draft_school01&amp;ps_school=50702" TargetMode="External"/><Relationship Id="rId5474" Type="http://schemas.openxmlformats.org/officeDocument/2006/relationships/hyperlink" Target="https://statiz.sporki.com/add/?m=draft_school01&amp;ps_school=50602" TargetMode="External"/><Relationship Id="rId6525" Type="http://schemas.openxmlformats.org/officeDocument/2006/relationships/hyperlink" Target="https://statiz.sporki.com/add/?m=draft_school02&amp;ps_school=" TargetMode="External"/><Relationship Id="rId15068" Type="http://schemas.openxmlformats.org/officeDocument/2006/relationships/hyperlink" Target="https://statiz.sporki.com/player/?m=playerinfo&amp;p_no=14231" TargetMode="External"/><Relationship Id="rId16119" Type="http://schemas.openxmlformats.org/officeDocument/2006/relationships/hyperlink" Target="https://statiz.sporki.com/player/?m=playerinfo&amp;p_no=11471" TargetMode="External"/><Relationship Id="rId5127" Type="http://schemas.openxmlformats.org/officeDocument/2006/relationships/hyperlink" Target="https://statiz.sporki.com/add/?m=draft_school02&amp;ps_school=60704" TargetMode="External"/><Relationship Id="rId8697" Type="http://schemas.openxmlformats.org/officeDocument/2006/relationships/hyperlink" Target="https://statiz.sporki.com/add/?m=draft_school02&amp;ps_school=60108" TargetMode="External"/><Relationship Id="rId9748" Type="http://schemas.openxmlformats.org/officeDocument/2006/relationships/hyperlink" Target="https://statiz.sporki.com/player/?m=playerinfo&amp;p_no=1774" TargetMode="External"/><Relationship Id="rId11678" Type="http://schemas.openxmlformats.org/officeDocument/2006/relationships/hyperlink" Target="https://statiz.sporki.com/add/?m=draft_school01&amp;ps_school=" TargetMode="External"/><Relationship Id="rId12729" Type="http://schemas.openxmlformats.org/officeDocument/2006/relationships/hyperlink" Target="https://statiz.sporki.com/player/?m=playerinfo&amp;p_no=14579" TargetMode="External"/><Relationship Id="rId16600" Type="http://schemas.openxmlformats.org/officeDocument/2006/relationships/hyperlink" Target="https://statiz.sporki.com/add/?m=draft_school01&amp;ps_school=50701" TargetMode="External"/><Relationship Id="rId1737" Type="http://schemas.openxmlformats.org/officeDocument/2006/relationships/hyperlink" Target="https://statiz.sporki.com/add/?m=draft_school02&amp;ps_school=" TargetMode="External"/><Relationship Id="rId7299" Type="http://schemas.openxmlformats.org/officeDocument/2006/relationships/hyperlink" Target="https://statiz.sporki.com/add/?m=draft_school02&amp;ps_school=60804" TargetMode="External"/><Relationship Id="rId14151" Type="http://schemas.openxmlformats.org/officeDocument/2006/relationships/hyperlink" Target="https://statiz.sporki.com/player/?m=playerinfo&amp;p_no=10235" TargetMode="External"/><Relationship Id="rId15202" Type="http://schemas.openxmlformats.org/officeDocument/2006/relationships/hyperlink" Target="https://statiz.sporki.com/player/?m=playerinfo&amp;p_no=1890" TargetMode="External"/><Relationship Id="rId4210" Type="http://schemas.openxmlformats.org/officeDocument/2006/relationships/hyperlink" Target="https://statiz.sporki.com/player/?m=playerinfo&amp;p_no=13191" TargetMode="External"/><Relationship Id="rId7780" Type="http://schemas.openxmlformats.org/officeDocument/2006/relationships/hyperlink" Target="https://statiz.sporki.com/player/?m=playerinfo&amp;p_no=2188" TargetMode="External"/><Relationship Id="rId17374" Type="http://schemas.openxmlformats.org/officeDocument/2006/relationships/hyperlink" Target="https://statiz.sporki.com/add/?m=draft_school01&amp;ps_school=50116" TargetMode="External"/><Relationship Id="rId18772" Type="http://schemas.openxmlformats.org/officeDocument/2006/relationships/hyperlink" Target="https://statiz.sporki.com/add/?m=draft_school01&amp;ps_school=50103" TargetMode="External"/><Relationship Id="rId6382" Type="http://schemas.openxmlformats.org/officeDocument/2006/relationships/hyperlink" Target="https://statiz.sporki.com/player/?m=playerinfo&amp;p_no=10261" TargetMode="External"/><Relationship Id="rId7433" Type="http://schemas.openxmlformats.org/officeDocument/2006/relationships/hyperlink" Target="https://statiz.sporki.com/add/?m=draft_school01&amp;ps_school=50105" TargetMode="External"/><Relationship Id="rId8831" Type="http://schemas.openxmlformats.org/officeDocument/2006/relationships/hyperlink" Target="https://statiz.sporki.com/add/?m=draft_school01&amp;ps_school=50803" TargetMode="External"/><Relationship Id="rId10761" Type="http://schemas.openxmlformats.org/officeDocument/2006/relationships/hyperlink" Target="https://statiz.sporki.com/add/?m=draft_school02&amp;ps_school=" TargetMode="External"/><Relationship Id="rId11812" Type="http://schemas.openxmlformats.org/officeDocument/2006/relationships/hyperlink" Target="https://statiz.sporki.com/player/?m=playerinfo&amp;p_no=1113" TargetMode="External"/><Relationship Id="rId17027" Type="http://schemas.openxmlformats.org/officeDocument/2006/relationships/hyperlink" Target="https://statiz.sporki.com/add/?m=draft_school01&amp;ps_school=50803" TargetMode="External"/><Relationship Id="rId18425" Type="http://schemas.openxmlformats.org/officeDocument/2006/relationships/hyperlink" Target="https://statiz.sporki.com/add/?m=draft_school01&amp;ps_school=50105" TargetMode="External"/><Relationship Id="rId6035" Type="http://schemas.openxmlformats.org/officeDocument/2006/relationships/hyperlink" Target="https://statiz.sporki.com/add/?m=draft_school01&amp;ps_school=50402" TargetMode="External"/><Relationship Id="rId10414" Type="http://schemas.openxmlformats.org/officeDocument/2006/relationships/hyperlink" Target="https://statiz.sporki.com/player/?m=playerinfo&amp;p_no=1525" TargetMode="External"/><Relationship Id="rId13984" Type="http://schemas.openxmlformats.org/officeDocument/2006/relationships/hyperlink" Target="https://statiz.sporki.com/player/?m=playerinfo&amp;p_no=10313" TargetMode="External"/><Relationship Id="rId2992" Type="http://schemas.openxmlformats.org/officeDocument/2006/relationships/hyperlink" Target="https://statiz.sporki.com/player/?m=playerinfo&amp;p_no=12895" TargetMode="External"/><Relationship Id="rId9258" Type="http://schemas.openxmlformats.org/officeDocument/2006/relationships/hyperlink" Target="https://statiz.sporki.com/add/?m=draft_school02&amp;ps_school=" TargetMode="External"/><Relationship Id="rId12586" Type="http://schemas.openxmlformats.org/officeDocument/2006/relationships/hyperlink" Target="https://statiz.sporki.com/player/?m=playerinfo&amp;p_no=14991" TargetMode="External"/><Relationship Id="rId13637" Type="http://schemas.openxmlformats.org/officeDocument/2006/relationships/hyperlink" Target="https://statiz.sporki.com/player/?m=playerinfo&amp;p_no=11168" TargetMode="External"/><Relationship Id="rId19199" Type="http://schemas.openxmlformats.org/officeDocument/2006/relationships/hyperlink" Target="https://statiz.sporki.com/add/?m=draft_school01&amp;ps_school=50109" TargetMode="External"/><Relationship Id="rId964" Type="http://schemas.openxmlformats.org/officeDocument/2006/relationships/hyperlink" Target="https://statiz.sporki.com/player/?m=playerinfo&amp;p_no=14780" TargetMode="External"/><Relationship Id="rId1594" Type="http://schemas.openxmlformats.org/officeDocument/2006/relationships/hyperlink" Target="https://statiz.sporki.com/player/?m=playerinfo&amp;p_no=14604" TargetMode="External"/><Relationship Id="rId2645" Type="http://schemas.openxmlformats.org/officeDocument/2006/relationships/hyperlink" Target="https://statiz.sporki.com/add/?m=draft_school01&amp;ps_school=" TargetMode="External"/><Relationship Id="rId11188" Type="http://schemas.openxmlformats.org/officeDocument/2006/relationships/hyperlink" Target="https://statiz.sporki.com/player/?m=playerinfo&amp;p_no=1315" TargetMode="External"/><Relationship Id="rId12239" Type="http://schemas.openxmlformats.org/officeDocument/2006/relationships/hyperlink" Target="https://statiz.sporki.com/player/?m=playerinfo&amp;p_no=15506" TargetMode="External"/><Relationship Id="rId16110" Type="http://schemas.openxmlformats.org/officeDocument/2006/relationships/hyperlink" Target="https://statiz.sporki.com/player/?m=playerinfo&amp;p_no=1014" TargetMode="External"/><Relationship Id="rId617" Type="http://schemas.openxmlformats.org/officeDocument/2006/relationships/hyperlink" Target="https://statiz.sporki.com/add/?m=draft_school01&amp;ps_school=50802" TargetMode="External"/><Relationship Id="rId1247" Type="http://schemas.openxmlformats.org/officeDocument/2006/relationships/hyperlink" Target="https://statiz.sporki.com/add/?m=draft_school01&amp;ps_school=50801" TargetMode="External"/><Relationship Id="rId5868" Type="http://schemas.openxmlformats.org/officeDocument/2006/relationships/hyperlink" Target="https://statiz.sporki.com/add/?m=draft_school02&amp;ps_school=60108" TargetMode="External"/><Relationship Id="rId6919" Type="http://schemas.openxmlformats.org/officeDocument/2006/relationships/hyperlink" Target="https://statiz.sporki.com/player/?m=playerinfo&amp;p_no=10299" TargetMode="External"/><Relationship Id="rId18282" Type="http://schemas.openxmlformats.org/officeDocument/2006/relationships/hyperlink" Target="https://statiz.sporki.com/add/?m=draft_school01&amp;ps_school=50701" TargetMode="External"/><Relationship Id="rId19333" Type="http://schemas.openxmlformats.org/officeDocument/2006/relationships/hyperlink" Target="https://statiz.sporki.com/add/?m=draft_school01&amp;ps_school=50302" TargetMode="External"/><Relationship Id="rId7290" Type="http://schemas.openxmlformats.org/officeDocument/2006/relationships/hyperlink" Target="https://statiz.sporki.com/add/?m=draft_school02&amp;ps_school=60501" TargetMode="External"/><Relationship Id="rId8341" Type="http://schemas.openxmlformats.org/officeDocument/2006/relationships/hyperlink" Target="https://statiz.sporki.com/player/?m=playerinfo&amp;p_no=2149" TargetMode="External"/><Relationship Id="rId10271" Type="http://schemas.openxmlformats.org/officeDocument/2006/relationships/hyperlink" Target="https://statiz.sporki.com/add/?m=draft_school01&amp;ps_school=50502" TargetMode="External"/><Relationship Id="rId11322" Type="http://schemas.openxmlformats.org/officeDocument/2006/relationships/hyperlink" Target="https://statiz.sporki.com/add/?m=draft_school02&amp;ps_school=" TargetMode="External"/><Relationship Id="rId12720" Type="http://schemas.openxmlformats.org/officeDocument/2006/relationships/hyperlink" Target="https://statiz.sporki.com/player/?m=playerinfo&amp;p_no=14744" TargetMode="External"/><Relationship Id="rId14892" Type="http://schemas.openxmlformats.org/officeDocument/2006/relationships/hyperlink" Target="https://statiz.sporki.com/player/?m=playerinfo&amp;p_no=2072" TargetMode="External"/><Relationship Id="rId15943" Type="http://schemas.openxmlformats.org/officeDocument/2006/relationships/hyperlink" Target="https://statiz.sporki.com/player/?m=playerinfo&amp;p_no=1223" TargetMode="External"/><Relationship Id="rId4951" Type="http://schemas.openxmlformats.org/officeDocument/2006/relationships/hyperlink" Target="https://statiz.sporki.com/player/?m=playerinfo&amp;p_no=10896" TargetMode="External"/><Relationship Id="rId12096" Type="http://schemas.openxmlformats.org/officeDocument/2006/relationships/hyperlink" Target="https://statiz.sporki.com/add/?m=draft_school02&amp;ps_school=" TargetMode="External"/><Relationship Id="rId13494" Type="http://schemas.openxmlformats.org/officeDocument/2006/relationships/hyperlink" Target="https://statiz.sporki.com/player/?m=playerinfo&amp;p_no=11334" TargetMode="External"/><Relationship Id="rId14545" Type="http://schemas.openxmlformats.org/officeDocument/2006/relationships/hyperlink" Target="https://statiz.sporki.com/player/?m=playerinfo&amp;p_no=10073" TargetMode="External"/><Relationship Id="rId474" Type="http://schemas.openxmlformats.org/officeDocument/2006/relationships/hyperlink" Target="https://statiz.sporki.com/add/?m=draft_school02&amp;ps_school=" TargetMode="External"/><Relationship Id="rId2155" Type="http://schemas.openxmlformats.org/officeDocument/2006/relationships/hyperlink" Target="https://statiz.sporki.com/player/?m=playerinfo&amp;p_no=14214" TargetMode="External"/><Relationship Id="rId3553" Type="http://schemas.openxmlformats.org/officeDocument/2006/relationships/hyperlink" Target="https://statiz.sporki.com/player/?m=playerinfo&amp;p_no=14193" TargetMode="External"/><Relationship Id="rId4604" Type="http://schemas.openxmlformats.org/officeDocument/2006/relationships/hyperlink" Target="https://statiz.sporki.com/add/?m=draft_school01&amp;ps_school=50209" TargetMode="External"/><Relationship Id="rId13147" Type="http://schemas.openxmlformats.org/officeDocument/2006/relationships/hyperlink" Target="https://statiz.sporki.com/player/?m=playerinfo&amp;p_no=13274" TargetMode="External"/><Relationship Id="rId17768" Type="http://schemas.openxmlformats.org/officeDocument/2006/relationships/hyperlink" Target="https://statiz.sporki.com/add/?m=draft_school01&amp;ps_school=50602" TargetMode="External"/><Relationship Id="rId18819" Type="http://schemas.openxmlformats.org/officeDocument/2006/relationships/hyperlink" Target="https://statiz.sporki.com/add/?m=draft_school01&amp;ps_school=50114" TargetMode="External"/><Relationship Id="rId127" Type="http://schemas.openxmlformats.org/officeDocument/2006/relationships/hyperlink" Target="https://statiz.sporki.com/player/?m=playerinfo&amp;p_no=15443" TargetMode="External"/><Relationship Id="rId3206" Type="http://schemas.openxmlformats.org/officeDocument/2006/relationships/hyperlink" Target="https://statiz.sporki.com/add/?m=draft_school01&amp;ps_school=50107" TargetMode="External"/><Relationship Id="rId6776" Type="http://schemas.openxmlformats.org/officeDocument/2006/relationships/hyperlink" Target="https://statiz.sporki.com/add/?m=draft_school01&amp;ps_school=50901" TargetMode="External"/><Relationship Id="rId7827" Type="http://schemas.openxmlformats.org/officeDocument/2006/relationships/hyperlink" Target="https://statiz.sporki.com/add/?m=draft_school02&amp;ps_school=60201" TargetMode="External"/><Relationship Id="rId10808" Type="http://schemas.openxmlformats.org/officeDocument/2006/relationships/hyperlink" Target="https://statiz.sporki.com/add/?m=draft_school01&amp;ps_school=50202" TargetMode="External"/><Relationship Id="rId19190" Type="http://schemas.openxmlformats.org/officeDocument/2006/relationships/hyperlink" Target="https://statiz.sporki.com/add/?m=draft_school01&amp;ps_school=50604" TargetMode="External"/><Relationship Id="rId5378" Type="http://schemas.openxmlformats.org/officeDocument/2006/relationships/hyperlink" Target="https://statiz.sporki.com/add/?m=draft_school01&amp;ps_school=" TargetMode="External"/><Relationship Id="rId6429" Type="http://schemas.openxmlformats.org/officeDocument/2006/relationships/hyperlink" Target="https://statiz.sporki.com/add/?m=draft_school02&amp;ps_school=" TargetMode="External"/><Relationship Id="rId9999" Type="http://schemas.openxmlformats.org/officeDocument/2006/relationships/hyperlink" Target="https://statiz.sporki.com/add/?m=draft_school02&amp;ps_school=60113" TargetMode="External"/><Relationship Id="rId12230" Type="http://schemas.openxmlformats.org/officeDocument/2006/relationships/hyperlink" Target="https://statiz.sporki.com/player/?m=playerinfo&amp;p_no=15516" TargetMode="External"/><Relationship Id="rId1988" Type="http://schemas.openxmlformats.org/officeDocument/2006/relationships/hyperlink" Target="https://statiz.sporki.com/add/?m=draft_school01&amp;ps_school=50805" TargetMode="External"/><Relationship Id="rId15453" Type="http://schemas.openxmlformats.org/officeDocument/2006/relationships/hyperlink" Target="https://statiz.sporki.com/player/?m=playerinfo&amp;p_no=1798" TargetMode="External"/><Relationship Id="rId16851" Type="http://schemas.openxmlformats.org/officeDocument/2006/relationships/hyperlink" Target="https://statiz.sporki.com/add/?m=draft_school01&amp;ps_school=50503" TargetMode="External"/><Relationship Id="rId17902" Type="http://schemas.openxmlformats.org/officeDocument/2006/relationships/hyperlink" Target="https://statiz.sporki.com/add/?m=draft_school01&amp;ps_school=50108" TargetMode="External"/><Relationship Id="rId4461" Type="http://schemas.openxmlformats.org/officeDocument/2006/relationships/hyperlink" Target="https://statiz.sporki.com/add/?m=draft_school02&amp;ps_school=60102" TargetMode="External"/><Relationship Id="rId5512" Type="http://schemas.openxmlformats.org/officeDocument/2006/relationships/hyperlink" Target="https://statiz.sporki.com/player/?m=playerinfo&amp;p_no=10527" TargetMode="External"/><Relationship Id="rId6910" Type="http://schemas.openxmlformats.org/officeDocument/2006/relationships/hyperlink" Target="https://statiz.sporki.com/player/?m=playerinfo&amp;p_no=10750" TargetMode="External"/><Relationship Id="rId14055" Type="http://schemas.openxmlformats.org/officeDocument/2006/relationships/hyperlink" Target="https://statiz.sporki.com/player/?m=playerinfo&amp;p_no=10133" TargetMode="External"/><Relationship Id="rId15106" Type="http://schemas.openxmlformats.org/officeDocument/2006/relationships/hyperlink" Target="https://statiz.sporki.com/player/?m=playerinfo&amp;p_no=2132" TargetMode="External"/><Relationship Id="rId16504" Type="http://schemas.openxmlformats.org/officeDocument/2006/relationships/hyperlink" Target="https://statiz.sporki.com/add/?m=draft_school01&amp;ps_school=50110" TargetMode="External"/><Relationship Id="rId3063" Type="http://schemas.openxmlformats.org/officeDocument/2006/relationships/hyperlink" Target="https://statiz.sporki.com/add/?m=draft_school02&amp;ps_school=" TargetMode="External"/><Relationship Id="rId4114" Type="http://schemas.openxmlformats.org/officeDocument/2006/relationships/hyperlink" Target="https://statiz.sporki.com/player/?m=playerinfo&amp;p_no=11266" TargetMode="External"/><Relationship Id="rId18676" Type="http://schemas.openxmlformats.org/officeDocument/2006/relationships/hyperlink" Target="https://statiz.sporki.com/add/?m=draft_school01&amp;ps_school=50401" TargetMode="External"/><Relationship Id="rId6286" Type="http://schemas.openxmlformats.org/officeDocument/2006/relationships/hyperlink" Target="https://statiz.sporki.com/player/?m=playerinfo&amp;p_no=10514" TargetMode="External"/><Relationship Id="rId7337" Type="http://schemas.openxmlformats.org/officeDocument/2006/relationships/hyperlink" Target="https://statiz.sporki.com/add/?m=draft_school01&amp;ps_school=50101" TargetMode="External"/><Relationship Id="rId7684" Type="http://schemas.openxmlformats.org/officeDocument/2006/relationships/hyperlink" Target="https://statiz.sporki.com/player/?m=playerinfo&amp;p_no=2347" TargetMode="External"/><Relationship Id="rId8735" Type="http://schemas.openxmlformats.org/officeDocument/2006/relationships/hyperlink" Target="https://statiz.sporki.com/add/?m=draft_school01&amp;ps_school=50103" TargetMode="External"/><Relationship Id="rId10665" Type="http://schemas.openxmlformats.org/officeDocument/2006/relationships/hyperlink" Target="https://statiz.sporki.com/add/?m=draft_school02&amp;ps_school=60208" TargetMode="External"/><Relationship Id="rId11716" Type="http://schemas.openxmlformats.org/officeDocument/2006/relationships/hyperlink" Target="https://statiz.sporki.com/player/?m=playerinfo&amp;p_no=1128" TargetMode="External"/><Relationship Id="rId17278" Type="http://schemas.openxmlformats.org/officeDocument/2006/relationships/hyperlink" Target="https://statiz.sporki.com/add/?m=draft_school01&amp;ps_school=50403" TargetMode="External"/><Relationship Id="rId18329" Type="http://schemas.openxmlformats.org/officeDocument/2006/relationships/hyperlink" Target="https://statiz.sporki.com/add/?m=draft_school01&amp;ps_school=50202" TargetMode="External"/><Relationship Id="rId10318" Type="http://schemas.openxmlformats.org/officeDocument/2006/relationships/hyperlink" Target="https://statiz.sporki.com/player/?m=playerinfo&amp;p_no=1644" TargetMode="External"/><Relationship Id="rId13888" Type="http://schemas.openxmlformats.org/officeDocument/2006/relationships/hyperlink" Target="https://statiz.sporki.com/player/?m=playerinfo&amp;p_no=10761" TargetMode="External"/><Relationship Id="rId14939" Type="http://schemas.openxmlformats.org/officeDocument/2006/relationships/hyperlink" Target="https://statiz.sporki.com/player/?m=playerinfo&amp;p_no=10315" TargetMode="External"/><Relationship Id="rId18810" Type="http://schemas.openxmlformats.org/officeDocument/2006/relationships/hyperlink" Target="https://statiz.sporki.com/add/?m=draft_school01&amp;ps_school=50208" TargetMode="External"/><Relationship Id="rId2896" Type="http://schemas.openxmlformats.org/officeDocument/2006/relationships/hyperlink" Target="https://statiz.sporki.com/player/?m=playerinfo&amp;p_no=13227" TargetMode="External"/><Relationship Id="rId3947" Type="http://schemas.openxmlformats.org/officeDocument/2006/relationships/hyperlink" Target="https://statiz.sporki.com/add/?m=draft_school01&amp;ps_school=" TargetMode="External"/><Relationship Id="rId16361" Type="http://schemas.openxmlformats.org/officeDocument/2006/relationships/hyperlink" Target="https://statiz.sporki.com/add/?m=draft_school01&amp;ps_school=50602" TargetMode="External"/><Relationship Id="rId17412" Type="http://schemas.openxmlformats.org/officeDocument/2006/relationships/hyperlink" Target="https://statiz.sporki.com/add/?m=draft_school01&amp;ps_school=50703" TargetMode="External"/><Relationship Id="rId868" Type="http://schemas.openxmlformats.org/officeDocument/2006/relationships/hyperlink" Target="https://statiz.sporki.com/player/?m=playerinfo&amp;p_no=15010" TargetMode="External"/><Relationship Id="rId1498" Type="http://schemas.openxmlformats.org/officeDocument/2006/relationships/hyperlink" Target="https://statiz.sporki.com/player/?m=playerinfo&amp;p_no=14706" TargetMode="External"/><Relationship Id="rId2549" Type="http://schemas.openxmlformats.org/officeDocument/2006/relationships/hyperlink" Target="https://statiz.sporki.com/add/?m=draft_school01&amp;ps_school=50402" TargetMode="External"/><Relationship Id="rId6420" Type="http://schemas.openxmlformats.org/officeDocument/2006/relationships/hyperlink" Target="https://statiz.sporki.com/add/?m=draft_school02&amp;ps_school=" TargetMode="External"/><Relationship Id="rId9990" Type="http://schemas.openxmlformats.org/officeDocument/2006/relationships/hyperlink" Target="https://statiz.sporki.com/add/?m=draft_school02&amp;ps_school=" TargetMode="External"/><Relationship Id="rId16014" Type="http://schemas.openxmlformats.org/officeDocument/2006/relationships/hyperlink" Target="https://statiz.sporki.com/player/?m=playerinfo&amp;p_no=1154" TargetMode="External"/><Relationship Id="rId19584" Type="http://schemas.openxmlformats.org/officeDocument/2006/relationships/hyperlink" Target="https://statiz.sporki.com/add/?m=draft_school01&amp;ps_school=50121" TargetMode="External"/><Relationship Id="rId5022" Type="http://schemas.openxmlformats.org/officeDocument/2006/relationships/hyperlink" Target="https://statiz.sporki.com/add/?m=draft_school02&amp;ps_school=" TargetMode="External"/><Relationship Id="rId8592" Type="http://schemas.openxmlformats.org/officeDocument/2006/relationships/hyperlink" Target="https://statiz.sporki.com/add/?m=draft_school02&amp;ps_school=60101" TargetMode="External"/><Relationship Id="rId9643" Type="http://schemas.openxmlformats.org/officeDocument/2006/relationships/hyperlink" Target="https://statiz.sporki.com/player/?m=playerinfo&amp;p_no=1767" TargetMode="External"/><Relationship Id="rId12971" Type="http://schemas.openxmlformats.org/officeDocument/2006/relationships/hyperlink" Target="https://statiz.sporki.com/player/?m=playerinfo&amp;p_no=13075" TargetMode="External"/><Relationship Id="rId18186" Type="http://schemas.openxmlformats.org/officeDocument/2006/relationships/hyperlink" Target="https://statiz.sporki.com/add/?m=draft_school01&amp;ps_school=50201" TargetMode="External"/><Relationship Id="rId19237" Type="http://schemas.openxmlformats.org/officeDocument/2006/relationships/hyperlink" Target="https://statiz.sporki.com/add/?m=draft_school01&amp;ps_school=50813" TargetMode="External"/><Relationship Id="rId7194" Type="http://schemas.openxmlformats.org/officeDocument/2006/relationships/hyperlink" Target="https://statiz.sporki.com/add/?m=draft_school02&amp;ps_school=" TargetMode="External"/><Relationship Id="rId8245" Type="http://schemas.openxmlformats.org/officeDocument/2006/relationships/hyperlink" Target="https://statiz.sporki.com/player/?m=playerinfo&amp;p_no=10085" TargetMode="External"/><Relationship Id="rId10175" Type="http://schemas.openxmlformats.org/officeDocument/2006/relationships/hyperlink" Target="https://statiz.sporki.com/add/?m=draft_school01&amp;ps_school=50301" TargetMode="External"/><Relationship Id="rId11573" Type="http://schemas.openxmlformats.org/officeDocument/2006/relationships/hyperlink" Target="https://statiz.sporki.com/add/?m=draft_school01&amp;ps_school=50402" TargetMode="External"/><Relationship Id="rId12624" Type="http://schemas.openxmlformats.org/officeDocument/2006/relationships/hyperlink" Target="https://statiz.sporki.com/player/?m=playerinfo&amp;p_no=14591" TargetMode="External"/><Relationship Id="rId1632" Type="http://schemas.openxmlformats.org/officeDocument/2006/relationships/hyperlink" Target="https://statiz.sporki.com/add/?m=draft_school02&amp;ps_school=" TargetMode="External"/><Relationship Id="rId11226" Type="http://schemas.openxmlformats.org/officeDocument/2006/relationships/hyperlink" Target="https://statiz.sporki.com/add/?m=draft_school02&amp;ps_school=60703" TargetMode="External"/><Relationship Id="rId14796" Type="http://schemas.openxmlformats.org/officeDocument/2006/relationships/hyperlink" Target="https://statiz.sporki.com/player/?m=playerinfo&amp;p_no=2120" TargetMode="External"/><Relationship Id="rId15847" Type="http://schemas.openxmlformats.org/officeDocument/2006/relationships/hyperlink" Target="https://statiz.sporki.com/player/?m=playerinfo&amp;p_no=1297" TargetMode="External"/><Relationship Id="rId4855" Type="http://schemas.openxmlformats.org/officeDocument/2006/relationships/hyperlink" Target="https://statiz.sporki.com/player/?m=playerinfo&amp;p_no=10821" TargetMode="External"/><Relationship Id="rId5906" Type="http://schemas.openxmlformats.org/officeDocument/2006/relationships/hyperlink" Target="https://statiz.sporki.com/add/?m=draft_school01&amp;ps_school=50601" TargetMode="External"/><Relationship Id="rId13398" Type="http://schemas.openxmlformats.org/officeDocument/2006/relationships/hyperlink" Target="https://statiz.sporki.com/player/?m=playerinfo&amp;p_no=11346" TargetMode="External"/><Relationship Id="rId14449" Type="http://schemas.openxmlformats.org/officeDocument/2006/relationships/hyperlink" Target="https://statiz.sporki.com/player/?m=playerinfo&amp;p_no=10322" TargetMode="External"/><Relationship Id="rId18320" Type="http://schemas.openxmlformats.org/officeDocument/2006/relationships/hyperlink" Target="https://statiz.sporki.com/add/?m=draft_school01&amp;ps_school=50303" TargetMode="External"/><Relationship Id="rId3457" Type="http://schemas.openxmlformats.org/officeDocument/2006/relationships/hyperlink" Target="https://statiz.sporki.com/player/?m=playerinfo&amp;p_no=12626" TargetMode="External"/><Relationship Id="rId4508" Type="http://schemas.openxmlformats.org/officeDocument/2006/relationships/hyperlink" Target="https://statiz.sporki.com/add/?m=draft_school01&amp;ps_school=50207" TargetMode="External"/><Relationship Id="rId378" Type="http://schemas.openxmlformats.org/officeDocument/2006/relationships/hyperlink" Target="https://statiz.sporki.com/add/?m=draft_school02&amp;ps_school=" TargetMode="External"/><Relationship Id="rId2059" Type="http://schemas.openxmlformats.org/officeDocument/2006/relationships/hyperlink" Target="https://statiz.sporki.com/player/?m=playerinfo&amp;p_no=14111" TargetMode="External"/><Relationship Id="rId12481" Type="http://schemas.openxmlformats.org/officeDocument/2006/relationships/hyperlink" Target="https://statiz.sporki.com/player/?m=playerinfo&amp;p_no=14776" TargetMode="External"/><Relationship Id="rId13532" Type="http://schemas.openxmlformats.org/officeDocument/2006/relationships/hyperlink" Target="https://statiz.sporki.com/player/?m=playerinfo&amp;p_no=11261" TargetMode="External"/><Relationship Id="rId14930" Type="http://schemas.openxmlformats.org/officeDocument/2006/relationships/hyperlink" Target="https://statiz.sporki.com/player/?m=playerinfo&amp;p_no=10091" TargetMode="External"/><Relationship Id="rId19094" Type="http://schemas.openxmlformats.org/officeDocument/2006/relationships/hyperlink" Target="https://statiz.sporki.com/add/?m=draft_school01&amp;ps_school=50108" TargetMode="External"/><Relationship Id="rId2540" Type="http://schemas.openxmlformats.org/officeDocument/2006/relationships/hyperlink" Target="https://statiz.sporki.com/add/?m=draft_school01&amp;ps_school=50602" TargetMode="External"/><Relationship Id="rId9153" Type="http://schemas.openxmlformats.org/officeDocument/2006/relationships/hyperlink" Target="https://statiz.sporki.com/add/?m=draft_school02&amp;ps_school=60109" TargetMode="External"/><Relationship Id="rId11083" Type="http://schemas.openxmlformats.org/officeDocument/2006/relationships/hyperlink" Target="https://statiz.sporki.com/player/?m=playerinfo&amp;p_no=1291" TargetMode="External"/><Relationship Id="rId12134" Type="http://schemas.openxmlformats.org/officeDocument/2006/relationships/hyperlink" Target="https://statiz.sporki.com/add/?m=draft_school01&amp;ps_school=50602" TargetMode="External"/><Relationship Id="rId512" Type="http://schemas.openxmlformats.org/officeDocument/2006/relationships/hyperlink" Target="https://statiz.sporki.com/add/?m=draft_school01&amp;ps_school=50802" TargetMode="External"/><Relationship Id="rId1142" Type="http://schemas.openxmlformats.org/officeDocument/2006/relationships/hyperlink" Target="https://statiz.sporki.com/add/?m=draft_school01&amp;ps_school=50215" TargetMode="External"/><Relationship Id="rId16755" Type="http://schemas.openxmlformats.org/officeDocument/2006/relationships/hyperlink" Target="https://statiz.sporki.com/add/?m=draft_school01&amp;ps_school=50802" TargetMode="External"/><Relationship Id="rId17806" Type="http://schemas.openxmlformats.org/officeDocument/2006/relationships/hyperlink" Target="https://statiz.sporki.com/add/?m=draft_school01&amp;ps_school=50803" TargetMode="External"/><Relationship Id="rId4365" Type="http://schemas.openxmlformats.org/officeDocument/2006/relationships/hyperlink" Target="https://statiz.sporki.com/add/?m=draft_school02&amp;ps_school=" TargetMode="External"/><Relationship Id="rId5763" Type="http://schemas.openxmlformats.org/officeDocument/2006/relationships/hyperlink" Target="https://statiz.sporki.com/add/?m=draft_school02&amp;ps_school=" TargetMode="External"/><Relationship Id="rId6814" Type="http://schemas.openxmlformats.org/officeDocument/2006/relationships/hyperlink" Target="https://statiz.sporki.com/player/?m=playerinfo&amp;p_no=10075" TargetMode="External"/><Relationship Id="rId15357" Type="http://schemas.openxmlformats.org/officeDocument/2006/relationships/hyperlink" Target="https://statiz.sporki.com/player/?m=playerinfo&amp;p_no=1921" TargetMode="External"/><Relationship Id="rId16408" Type="http://schemas.openxmlformats.org/officeDocument/2006/relationships/hyperlink" Target="https://statiz.sporki.com/add/?m=draft_school01&amp;ps_school=50207" TargetMode="External"/><Relationship Id="rId4018" Type="http://schemas.openxmlformats.org/officeDocument/2006/relationships/hyperlink" Target="https://statiz.sporki.com/player/?m=playerinfo&amp;p_no=11211" TargetMode="External"/><Relationship Id="rId5416" Type="http://schemas.openxmlformats.org/officeDocument/2006/relationships/hyperlink" Target="https://statiz.sporki.com/player/?m=playerinfo&amp;p_no=10829" TargetMode="External"/><Relationship Id="rId8986" Type="http://schemas.openxmlformats.org/officeDocument/2006/relationships/hyperlink" Target="https://statiz.sporki.com/player/?m=playerinfo&amp;p_no=10439" TargetMode="External"/><Relationship Id="rId11967" Type="http://schemas.openxmlformats.org/officeDocument/2006/relationships/hyperlink" Target="https://statiz.sporki.com/add/?m=draft_school02&amp;ps_school=60204" TargetMode="External"/><Relationship Id="rId7588" Type="http://schemas.openxmlformats.org/officeDocument/2006/relationships/hyperlink" Target="https://statiz.sporki.com/player/?m=playerinfo&amp;p_no=10088" TargetMode="External"/><Relationship Id="rId8639" Type="http://schemas.openxmlformats.org/officeDocument/2006/relationships/hyperlink" Target="https://statiz.sporki.com/add/?m=draft_school01&amp;ps_school=50111" TargetMode="External"/><Relationship Id="rId10569" Type="http://schemas.openxmlformats.org/officeDocument/2006/relationships/hyperlink" Target="https://statiz.sporki.com/add/?m=draft_school02&amp;ps_school=60113" TargetMode="External"/><Relationship Id="rId14440" Type="http://schemas.openxmlformats.org/officeDocument/2006/relationships/hyperlink" Target="https://statiz.sporki.com/player/?m=playerinfo&amp;p_no=2363" TargetMode="External"/><Relationship Id="rId13042" Type="http://schemas.openxmlformats.org/officeDocument/2006/relationships/hyperlink" Target="https://statiz.sporki.com/player/?m=playerinfo&amp;p_no=13223" TargetMode="External"/><Relationship Id="rId17663" Type="http://schemas.openxmlformats.org/officeDocument/2006/relationships/hyperlink" Target="https://statiz.sporki.com/add/?m=draft_school01&amp;ps_school=50303" TargetMode="External"/><Relationship Id="rId2050" Type="http://schemas.openxmlformats.org/officeDocument/2006/relationships/hyperlink" Target="https://statiz.sporki.com/player/?m=playerinfo&amp;p_no=14119" TargetMode="External"/><Relationship Id="rId3101" Type="http://schemas.openxmlformats.org/officeDocument/2006/relationships/hyperlink" Target="https://statiz.sporki.com/add/?m=draft_school01&amp;ps_school=" TargetMode="External"/><Relationship Id="rId6671" Type="http://schemas.openxmlformats.org/officeDocument/2006/relationships/hyperlink" Target="https://statiz.sporki.com/add/?m=draft_school01&amp;ps_school=50113" TargetMode="External"/><Relationship Id="rId7722" Type="http://schemas.openxmlformats.org/officeDocument/2006/relationships/hyperlink" Target="https://statiz.sporki.com/add/?m=draft_school02&amp;ps_school=" TargetMode="External"/><Relationship Id="rId16265" Type="http://schemas.openxmlformats.org/officeDocument/2006/relationships/hyperlink" Target="https://statiz.sporki.com/add/?m=draft_school01&amp;ps_school=50110" TargetMode="External"/><Relationship Id="rId17316" Type="http://schemas.openxmlformats.org/officeDocument/2006/relationships/hyperlink" Target="https://statiz.sporki.com/add/?m=draft_school01&amp;ps_school=50101" TargetMode="External"/><Relationship Id="rId18714" Type="http://schemas.openxmlformats.org/officeDocument/2006/relationships/hyperlink" Target="https://statiz.sporki.com/add/?m=draft_school01&amp;ps_school=50401" TargetMode="External"/><Relationship Id="rId5273" Type="http://schemas.openxmlformats.org/officeDocument/2006/relationships/hyperlink" Target="https://statiz.sporki.com/add/?m=draft_school01&amp;ps_school=50501" TargetMode="External"/><Relationship Id="rId6324" Type="http://schemas.openxmlformats.org/officeDocument/2006/relationships/hyperlink" Target="https://statiz.sporki.com/add/?m=draft_school02&amp;ps_school=60704" TargetMode="External"/><Relationship Id="rId10703" Type="http://schemas.openxmlformats.org/officeDocument/2006/relationships/hyperlink" Target="https://statiz.sporki.com/add/?m=draft_school01&amp;ps_school=50109" TargetMode="External"/><Relationship Id="rId8496" Type="http://schemas.openxmlformats.org/officeDocument/2006/relationships/hyperlink" Target="https://statiz.sporki.com/add/?m=draft_school02&amp;ps_school=60113" TargetMode="External"/><Relationship Id="rId9547" Type="http://schemas.openxmlformats.org/officeDocument/2006/relationships/hyperlink" Target="https://statiz.sporki.com/player/?m=playerinfo&amp;p_no=1893" TargetMode="External"/><Relationship Id="rId9894" Type="http://schemas.openxmlformats.org/officeDocument/2006/relationships/hyperlink" Target="https://statiz.sporki.com/add/?m=draft_school02&amp;ps_school=60501" TargetMode="External"/><Relationship Id="rId12875" Type="http://schemas.openxmlformats.org/officeDocument/2006/relationships/hyperlink" Target="https://statiz.sporki.com/player/?m=playerinfo&amp;p_no=13930" TargetMode="External"/><Relationship Id="rId13926" Type="http://schemas.openxmlformats.org/officeDocument/2006/relationships/hyperlink" Target="https://statiz.sporki.com/player/?m=playerinfo&amp;p_no=10730" TargetMode="External"/><Relationship Id="rId19488" Type="http://schemas.openxmlformats.org/officeDocument/2006/relationships/hyperlink" Target="https://statiz.sporki.com/add/?m=draft_school01&amp;ps_school=50807" TargetMode="External"/><Relationship Id="rId1883" Type="http://schemas.openxmlformats.org/officeDocument/2006/relationships/hyperlink" Target="https://statiz.sporki.com/add/?m=draft_school01&amp;ps_school=50805" TargetMode="External"/><Relationship Id="rId2934" Type="http://schemas.openxmlformats.org/officeDocument/2006/relationships/hyperlink" Target="https://statiz.sporki.com/add/?m=draft_school02&amp;ps_school=" TargetMode="External"/><Relationship Id="rId7098" Type="http://schemas.openxmlformats.org/officeDocument/2006/relationships/hyperlink" Target="https://statiz.sporki.com/add/?m=draft_school02&amp;ps_school=60501" TargetMode="External"/><Relationship Id="rId8149" Type="http://schemas.openxmlformats.org/officeDocument/2006/relationships/hyperlink" Target="https://statiz.sporki.com/player/?m=playerinfo&amp;p_no=2279" TargetMode="External"/><Relationship Id="rId11477" Type="http://schemas.openxmlformats.org/officeDocument/2006/relationships/hyperlink" Target="https://statiz.sporki.com/add/?m=draft_school01&amp;ps_school=50711" TargetMode="External"/><Relationship Id="rId12528" Type="http://schemas.openxmlformats.org/officeDocument/2006/relationships/hyperlink" Target="https://statiz.sporki.com/player/?m=playerinfo&amp;p_no=14856" TargetMode="External"/><Relationship Id="rId906" Type="http://schemas.openxmlformats.org/officeDocument/2006/relationships/hyperlink" Target="https://statiz.sporki.com/add/?m=draft_school02&amp;ps_school=60109" TargetMode="External"/><Relationship Id="rId1536" Type="http://schemas.openxmlformats.org/officeDocument/2006/relationships/hyperlink" Target="https://statiz.sporki.com/add/?m=draft_school02&amp;ps_school=" TargetMode="External"/><Relationship Id="rId10079" Type="http://schemas.openxmlformats.org/officeDocument/2006/relationships/hyperlink" Target="https://statiz.sporki.com/add/?m=draft_school01&amp;ps_school=50402" TargetMode="External"/><Relationship Id="rId15001" Type="http://schemas.openxmlformats.org/officeDocument/2006/relationships/hyperlink" Target="https://statiz.sporki.com/player/?m=playerinfo&amp;p_no=10069" TargetMode="External"/><Relationship Id="rId18571" Type="http://schemas.openxmlformats.org/officeDocument/2006/relationships/hyperlink" Target="https://statiz.sporki.com/add/?m=draft_school01&amp;ps_school=50502" TargetMode="External"/><Relationship Id="rId19622" Type="http://schemas.openxmlformats.org/officeDocument/2006/relationships/hyperlink" Target="https://statiz.sporki.com/add/?m=draft_school01&amp;ps_school=50209" TargetMode="External"/><Relationship Id="rId4759" Type="http://schemas.openxmlformats.org/officeDocument/2006/relationships/hyperlink" Target="https://statiz.sporki.com/player/?m=playerinfo&amp;p_no=11268" TargetMode="External"/><Relationship Id="rId8630" Type="http://schemas.openxmlformats.org/officeDocument/2006/relationships/hyperlink" Target="https://statiz.sporki.com/add/?m=draft_school01&amp;ps_school=50105" TargetMode="External"/><Relationship Id="rId10560" Type="http://schemas.openxmlformats.org/officeDocument/2006/relationships/hyperlink" Target="https://statiz.sporki.com/add/?m=draft_school02&amp;ps_school=60103" TargetMode="External"/><Relationship Id="rId11611" Type="http://schemas.openxmlformats.org/officeDocument/2006/relationships/hyperlink" Target="https://statiz.sporki.com/player/?m=playerinfo&amp;p_no=1153" TargetMode="External"/><Relationship Id="rId17173" Type="http://schemas.openxmlformats.org/officeDocument/2006/relationships/hyperlink" Target="https://statiz.sporki.com/add/?m=draft_school01&amp;ps_school=50705" TargetMode="External"/><Relationship Id="rId18224" Type="http://schemas.openxmlformats.org/officeDocument/2006/relationships/hyperlink" Target="https://statiz.sporki.com/add/?m=draft_school01&amp;ps_school=50604" TargetMode="External"/><Relationship Id="rId6181" Type="http://schemas.openxmlformats.org/officeDocument/2006/relationships/hyperlink" Target="https://statiz.sporki.com/player/?m=playerinfo&amp;p_no=2416" TargetMode="External"/><Relationship Id="rId7232" Type="http://schemas.openxmlformats.org/officeDocument/2006/relationships/hyperlink" Target="https://statiz.sporki.com/add/?m=draft_school01&amp;ps_school=51100" TargetMode="External"/><Relationship Id="rId10213" Type="http://schemas.openxmlformats.org/officeDocument/2006/relationships/hyperlink" Target="https://statiz.sporki.com/player/?m=playerinfo&amp;p_no=1717" TargetMode="External"/><Relationship Id="rId2791" Type="http://schemas.openxmlformats.org/officeDocument/2006/relationships/hyperlink" Target="https://statiz.sporki.com/player/?m=playerinfo&amp;p_no=12930" TargetMode="External"/><Relationship Id="rId12385" Type="http://schemas.openxmlformats.org/officeDocument/2006/relationships/hyperlink" Target="https://statiz.sporki.com/player/?m=playerinfo&amp;p_no=15107" TargetMode="External"/><Relationship Id="rId13783" Type="http://schemas.openxmlformats.org/officeDocument/2006/relationships/hyperlink" Target="https://statiz.sporki.com/player/?m=playerinfo&amp;p_no=10820" TargetMode="External"/><Relationship Id="rId14834" Type="http://schemas.openxmlformats.org/officeDocument/2006/relationships/hyperlink" Target="https://statiz.sporki.com/player/?m=playerinfo&amp;p_no=10060" TargetMode="External"/><Relationship Id="rId763" Type="http://schemas.openxmlformats.org/officeDocument/2006/relationships/hyperlink" Target="https://statiz.sporki.com/player/?m=playerinfo&amp;p_no=15053" TargetMode="External"/><Relationship Id="rId1393" Type="http://schemas.openxmlformats.org/officeDocument/2006/relationships/hyperlink" Target="https://statiz.sporki.com/player/?m=playerinfo&amp;p_no=14581" TargetMode="External"/><Relationship Id="rId2444" Type="http://schemas.openxmlformats.org/officeDocument/2006/relationships/hyperlink" Target="https://statiz.sporki.com/add/?m=draft_school01&amp;ps_school=50809" TargetMode="External"/><Relationship Id="rId3842" Type="http://schemas.openxmlformats.org/officeDocument/2006/relationships/hyperlink" Target="https://statiz.sporki.com/add/?m=draft_school01&amp;ps_school=50302" TargetMode="External"/><Relationship Id="rId9057" Type="http://schemas.openxmlformats.org/officeDocument/2006/relationships/hyperlink" Target="https://statiz.sporki.com/add/?m=draft_school02&amp;ps_school=" TargetMode="External"/><Relationship Id="rId12038" Type="http://schemas.openxmlformats.org/officeDocument/2006/relationships/hyperlink" Target="https://statiz.sporki.com/add/?m=draft_school01&amp;ps_school=50711" TargetMode="External"/><Relationship Id="rId13436" Type="http://schemas.openxmlformats.org/officeDocument/2006/relationships/hyperlink" Target="https://statiz.sporki.com/player/?m=playerinfo&amp;p_no=11421" TargetMode="External"/><Relationship Id="rId416" Type="http://schemas.openxmlformats.org/officeDocument/2006/relationships/hyperlink" Target="https://statiz.sporki.com/add/?m=draft_school01&amp;ps_school=50211" TargetMode="External"/><Relationship Id="rId1046" Type="http://schemas.openxmlformats.org/officeDocument/2006/relationships/hyperlink" Target="https://statiz.sporki.com/add/?m=draft_school01&amp;ps_school=50116" TargetMode="External"/><Relationship Id="rId16659" Type="http://schemas.openxmlformats.org/officeDocument/2006/relationships/hyperlink" Target="https://statiz.sporki.com/add/?m=draft_school01&amp;ps_school=50111" TargetMode="External"/><Relationship Id="rId5667" Type="http://schemas.openxmlformats.org/officeDocument/2006/relationships/hyperlink" Target="https://statiz.sporki.com/add/?m=draft_school02&amp;ps_school=" TargetMode="External"/><Relationship Id="rId6718" Type="http://schemas.openxmlformats.org/officeDocument/2006/relationships/hyperlink" Target="https://statiz.sporki.com/player/?m=playerinfo&amp;p_no=10655" TargetMode="External"/><Relationship Id="rId18081" Type="http://schemas.openxmlformats.org/officeDocument/2006/relationships/hyperlink" Target="https://statiz.sporki.com/add/?m=draft_school01&amp;ps_school=50108" TargetMode="External"/><Relationship Id="rId19132" Type="http://schemas.openxmlformats.org/officeDocument/2006/relationships/hyperlink" Target="https://statiz.sporki.com/add/?m=draft_school01&amp;ps_school=50604" TargetMode="External"/><Relationship Id="rId4269" Type="http://schemas.openxmlformats.org/officeDocument/2006/relationships/hyperlink" Target="https://statiz.sporki.com/add/?m=draft_school02&amp;ps_school=60501" TargetMode="External"/><Relationship Id="rId8140" Type="http://schemas.openxmlformats.org/officeDocument/2006/relationships/hyperlink" Target="https://statiz.sporki.com/player/?m=playerinfo&amp;p_no=2293" TargetMode="External"/><Relationship Id="rId10070" Type="http://schemas.openxmlformats.org/officeDocument/2006/relationships/hyperlink" Target="https://statiz.sporki.com/add/?m=draft_school01&amp;ps_school=50121" TargetMode="External"/><Relationship Id="rId11121" Type="http://schemas.openxmlformats.org/officeDocument/2006/relationships/hyperlink" Target="https://statiz.sporki.com/add/?m=draft_school02&amp;ps_school=60204" TargetMode="External"/><Relationship Id="rId14691" Type="http://schemas.openxmlformats.org/officeDocument/2006/relationships/hyperlink" Target="https://statiz.sporki.com/player/?m=playerinfo&amp;p_no=2205" TargetMode="External"/><Relationship Id="rId15742" Type="http://schemas.openxmlformats.org/officeDocument/2006/relationships/hyperlink" Target="https://statiz.sporki.com/player/?m=playerinfo&amp;p_no=1465" TargetMode="External"/><Relationship Id="rId4750" Type="http://schemas.openxmlformats.org/officeDocument/2006/relationships/hyperlink" Target="https://statiz.sporki.com/player/?m=playerinfo&amp;p_no=11491" TargetMode="External"/><Relationship Id="rId5801" Type="http://schemas.openxmlformats.org/officeDocument/2006/relationships/hyperlink" Target="https://statiz.sporki.com/add/?m=draft_school01&amp;ps_school=50103" TargetMode="External"/><Relationship Id="rId13293" Type="http://schemas.openxmlformats.org/officeDocument/2006/relationships/hyperlink" Target="https://statiz.sporki.com/player/?m=playerinfo&amp;p_no=12557" TargetMode="External"/><Relationship Id="rId14344" Type="http://schemas.openxmlformats.org/officeDocument/2006/relationships/hyperlink" Target="https://statiz.sporki.com/player/?m=playerinfo&amp;p_no=10694" TargetMode="External"/><Relationship Id="rId3352" Type="http://schemas.openxmlformats.org/officeDocument/2006/relationships/hyperlink" Target="https://statiz.sporki.com/player/?m=playerinfo&amp;p_no=12639" TargetMode="External"/><Relationship Id="rId4403" Type="http://schemas.openxmlformats.org/officeDocument/2006/relationships/hyperlink" Target="https://statiz.sporki.com/add/?m=draft_school01&amp;ps_school=50801" TargetMode="External"/><Relationship Id="rId18965" Type="http://schemas.openxmlformats.org/officeDocument/2006/relationships/hyperlink" Target="https://statiz.sporki.com/add/?m=draft_school01&amp;ps_school=50602" TargetMode="External"/><Relationship Id="rId273" Type="http://schemas.openxmlformats.org/officeDocument/2006/relationships/hyperlink" Target="https://statiz.sporki.com/add/?m=draft_school02&amp;ps_school=60706" TargetMode="External"/><Relationship Id="rId3005" Type="http://schemas.openxmlformats.org/officeDocument/2006/relationships/hyperlink" Target="https://statiz.sporki.com/add/?m=draft_school01&amp;ps_school=50604" TargetMode="External"/><Relationship Id="rId6575" Type="http://schemas.openxmlformats.org/officeDocument/2006/relationships/hyperlink" Target="https://statiz.sporki.com/add/?m=draft_school01&amp;ps_school=50101" TargetMode="External"/><Relationship Id="rId7626" Type="http://schemas.openxmlformats.org/officeDocument/2006/relationships/hyperlink" Target="https://statiz.sporki.com/add/?m=draft_school02&amp;ps_school=60602" TargetMode="External"/><Relationship Id="rId7973" Type="http://schemas.openxmlformats.org/officeDocument/2006/relationships/hyperlink" Target="https://statiz.sporki.com/add/?m=draft_school01&amp;ps_school=" TargetMode="External"/><Relationship Id="rId10954" Type="http://schemas.openxmlformats.org/officeDocument/2006/relationships/hyperlink" Target="https://statiz.sporki.com/player/?m=playerinfo&amp;p_no=1408" TargetMode="External"/><Relationship Id="rId16169" Type="http://schemas.openxmlformats.org/officeDocument/2006/relationships/hyperlink" Target="https://statiz.sporki.com/player/?m=playerinfo&amp;p_no=1076" TargetMode="External"/><Relationship Id="rId17567" Type="http://schemas.openxmlformats.org/officeDocument/2006/relationships/hyperlink" Target="https://statiz.sporki.com/add/?m=draft_school01&amp;ps_school=50116" TargetMode="External"/><Relationship Id="rId18618" Type="http://schemas.openxmlformats.org/officeDocument/2006/relationships/hyperlink" Target="https://statiz.sporki.com/add/?m=draft_school01&amp;ps_school=50401" TargetMode="External"/><Relationship Id="rId5177" Type="http://schemas.openxmlformats.org/officeDocument/2006/relationships/hyperlink" Target="https://statiz.sporki.com/add/?m=draft_school01&amp;ps_school=50605" TargetMode="External"/><Relationship Id="rId6228" Type="http://schemas.openxmlformats.org/officeDocument/2006/relationships/hyperlink" Target="https://statiz.sporki.com/add/?m=draft_school02&amp;ps_school=" TargetMode="External"/><Relationship Id="rId10607" Type="http://schemas.openxmlformats.org/officeDocument/2006/relationships/hyperlink" Target="https://statiz.sporki.com/add/?m=draft_school01&amp;ps_school=50604" TargetMode="External"/><Relationship Id="rId9798" Type="http://schemas.openxmlformats.org/officeDocument/2006/relationships/hyperlink" Target="https://statiz.sporki.com/add/?m=draft_school02&amp;ps_school=60802" TargetMode="External"/><Relationship Id="rId12779" Type="http://schemas.openxmlformats.org/officeDocument/2006/relationships/hyperlink" Target="https://statiz.sporki.com/player/?m=playerinfo&amp;p_no=14136" TargetMode="External"/><Relationship Id="rId16650" Type="http://schemas.openxmlformats.org/officeDocument/2006/relationships/hyperlink" Target="https://statiz.sporki.com/add/?m=draft_school01&amp;ps_school=50116" TargetMode="External"/><Relationship Id="rId17701" Type="http://schemas.openxmlformats.org/officeDocument/2006/relationships/hyperlink" Target="https://statiz.sporki.com/add/?m=draft_school01&amp;ps_school=50301" TargetMode="External"/><Relationship Id="rId1787" Type="http://schemas.openxmlformats.org/officeDocument/2006/relationships/hyperlink" Target="https://statiz.sporki.com/add/?m=draft_school01&amp;ps_school=50209" TargetMode="External"/><Relationship Id="rId2838" Type="http://schemas.openxmlformats.org/officeDocument/2006/relationships/hyperlink" Target="https://statiz.sporki.com/add/?m=draft_school02&amp;ps_school=" TargetMode="External"/><Relationship Id="rId15252" Type="http://schemas.openxmlformats.org/officeDocument/2006/relationships/hyperlink" Target="https://statiz.sporki.com/player/?m=playerinfo&amp;p_no=1823" TargetMode="External"/><Relationship Id="rId16303" Type="http://schemas.openxmlformats.org/officeDocument/2006/relationships/hyperlink" Target="https://statiz.sporki.com/add/?m=draft_school01&amp;ps_school=50211" TargetMode="External"/><Relationship Id="rId4260" Type="http://schemas.openxmlformats.org/officeDocument/2006/relationships/hyperlink" Target="https://statiz.sporki.com/add/?m=draft_school02&amp;ps_school=" TargetMode="External"/><Relationship Id="rId5311" Type="http://schemas.openxmlformats.org/officeDocument/2006/relationships/hyperlink" Target="https://statiz.sporki.com/player/?m=playerinfo&amp;p_no=10699" TargetMode="External"/><Relationship Id="rId8881" Type="http://schemas.openxmlformats.org/officeDocument/2006/relationships/hyperlink" Target="https://statiz.sporki.com/player/?m=playerinfo&amp;p_no=1923" TargetMode="External"/><Relationship Id="rId9932" Type="http://schemas.openxmlformats.org/officeDocument/2006/relationships/hyperlink" Target="https://statiz.sporki.com/add/?m=draft_school01&amp;ps_school=50108" TargetMode="External"/><Relationship Id="rId18475" Type="http://schemas.openxmlformats.org/officeDocument/2006/relationships/hyperlink" Target="https://statiz.sporki.com/add/?m=draft_school01&amp;ps_school=50105" TargetMode="External"/><Relationship Id="rId19526" Type="http://schemas.openxmlformats.org/officeDocument/2006/relationships/hyperlink" Target="https://statiz.sporki.com/add/?m=draft_school01&amp;ps_school=50711" TargetMode="External"/><Relationship Id="rId7483" Type="http://schemas.openxmlformats.org/officeDocument/2006/relationships/hyperlink" Target="https://statiz.sporki.com/player/?m=playerinfo&amp;p_no=2254" TargetMode="External"/><Relationship Id="rId8534" Type="http://schemas.openxmlformats.org/officeDocument/2006/relationships/hyperlink" Target="https://statiz.sporki.com/add/?m=draft_school01&amp;ps_school=" TargetMode="External"/><Relationship Id="rId10464" Type="http://schemas.openxmlformats.org/officeDocument/2006/relationships/hyperlink" Target="https://statiz.sporki.com/add/?m=draft_school02&amp;ps_school=60802" TargetMode="External"/><Relationship Id="rId11862" Type="http://schemas.openxmlformats.org/officeDocument/2006/relationships/hyperlink" Target="https://statiz.sporki.com/add/?m=draft_school02&amp;ps_school=" TargetMode="External"/><Relationship Id="rId12913" Type="http://schemas.openxmlformats.org/officeDocument/2006/relationships/hyperlink" Target="https://statiz.sporki.com/player/?m=playerinfo&amp;p_no=13156" TargetMode="External"/><Relationship Id="rId17077" Type="http://schemas.openxmlformats.org/officeDocument/2006/relationships/hyperlink" Target="https://statiz.sporki.com/add/?m=draft_school01&amp;ps_school=50802" TargetMode="External"/><Relationship Id="rId18128" Type="http://schemas.openxmlformats.org/officeDocument/2006/relationships/hyperlink" Target="https://statiz.sporki.com/add/?m=draft_school01&amp;ps_school=50803" TargetMode="External"/><Relationship Id="rId1921" Type="http://schemas.openxmlformats.org/officeDocument/2006/relationships/hyperlink" Target="https://statiz.sporki.com/player/?m=playerinfo&amp;p_no=14132" TargetMode="External"/><Relationship Id="rId6085" Type="http://schemas.openxmlformats.org/officeDocument/2006/relationships/hyperlink" Target="https://statiz.sporki.com/player/?m=playerinfo&amp;p_no=10459" TargetMode="External"/><Relationship Id="rId7136" Type="http://schemas.openxmlformats.org/officeDocument/2006/relationships/hyperlink" Target="https://statiz.sporki.com/add/?m=draft_school01&amp;ps_school=50805" TargetMode="External"/><Relationship Id="rId10117" Type="http://schemas.openxmlformats.org/officeDocument/2006/relationships/hyperlink" Target="https://statiz.sporki.com/player/?m=playerinfo&amp;p_no=1655" TargetMode="External"/><Relationship Id="rId11515" Type="http://schemas.openxmlformats.org/officeDocument/2006/relationships/hyperlink" Target="https://statiz.sporki.com/player/?m=playerinfo&amp;p_no=1197" TargetMode="External"/><Relationship Id="rId13687" Type="http://schemas.openxmlformats.org/officeDocument/2006/relationships/hyperlink" Target="https://statiz.sporki.com/player/?m=playerinfo&amp;p_no=11179" TargetMode="External"/><Relationship Id="rId14738" Type="http://schemas.openxmlformats.org/officeDocument/2006/relationships/hyperlink" Target="https://statiz.sporki.com/player/?m=playerinfo&amp;p_no=2183" TargetMode="External"/><Relationship Id="rId1297" Type="http://schemas.openxmlformats.org/officeDocument/2006/relationships/hyperlink" Target="https://statiz.sporki.com/player/?m=playerinfo&amp;p_no=14749" TargetMode="External"/><Relationship Id="rId2695" Type="http://schemas.openxmlformats.org/officeDocument/2006/relationships/hyperlink" Target="https://statiz.sporki.com/player/?m=playerinfo&amp;p_no=13195" TargetMode="External"/><Relationship Id="rId3746" Type="http://schemas.openxmlformats.org/officeDocument/2006/relationships/hyperlink" Target="https://statiz.sporki.com/add/?m=draft_school01&amp;ps_school=51101" TargetMode="External"/><Relationship Id="rId12289" Type="http://schemas.openxmlformats.org/officeDocument/2006/relationships/hyperlink" Target="https://statiz.sporki.com/player/?m=playerinfo&amp;p_no=15625" TargetMode="External"/><Relationship Id="rId16160" Type="http://schemas.openxmlformats.org/officeDocument/2006/relationships/hyperlink" Target="https://statiz.sporki.com/player/?m=playerinfo&amp;p_no=1028" TargetMode="External"/><Relationship Id="rId17211" Type="http://schemas.openxmlformats.org/officeDocument/2006/relationships/hyperlink" Target="https://statiz.sporki.com/add/?m=draft_school01&amp;ps_school=50109" TargetMode="External"/><Relationship Id="rId667" Type="http://schemas.openxmlformats.org/officeDocument/2006/relationships/hyperlink" Target="https://statiz.sporki.com/player/?m=playerinfo&amp;p_no=15029" TargetMode="External"/><Relationship Id="rId2348" Type="http://schemas.openxmlformats.org/officeDocument/2006/relationships/hyperlink" Target="https://statiz.sporki.com/add/?m=draft_school01&amp;ps_school=50207" TargetMode="External"/><Relationship Id="rId6969" Type="http://schemas.openxmlformats.org/officeDocument/2006/relationships/hyperlink" Target="https://statiz.sporki.com/add/?m=draft_school02&amp;ps_school=" TargetMode="External"/><Relationship Id="rId12770" Type="http://schemas.openxmlformats.org/officeDocument/2006/relationships/hyperlink" Target="https://statiz.sporki.com/player/?m=playerinfo&amp;p_no=14155" TargetMode="External"/><Relationship Id="rId13821" Type="http://schemas.openxmlformats.org/officeDocument/2006/relationships/hyperlink" Target="https://statiz.sporki.com/player/?m=playerinfo&amp;p_no=11140" TargetMode="External"/><Relationship Id="rId19383" Type="http://schemas.openxmlformats.org/officeDocument/2006/relationships/hyperlink" Target="https://statiz.sporki.com/add/?m=draft_school01&amp;ps_school=50701" TargetMode="External"/><Relationship Id="rId8391" Type="http://schemas.openxmlformats.org/officeDocument/2006/relationships/hyperlink" Target="https://statiz.sporki.com/add/?m=draft_school02&amp;ps_school=60101" TargetMode="External"/><Relationship Id="rId9442" Type="http://schemas.openxmlformats.org/officeDocument/2006/relationships/hyperlink" Target="https://statiz.sporki.com/player/?m=playerinfo&amp;p_no=1797" TargetMode="External"/><Relationship Id="rId11372" Type="http://schemas.openxmlformats.org/officeDocument/2006/relationships/hyperlink" Target="https://statiz.sporki.com/add/?m=draft_school01&amp;ps_school=50805" TargetMode="External"/><Relationship Id="rId12423" Type="http://schemas.openxmlformats.org/officeDocument/2006/relationships/hyperlink" Target="https://statiz.sporki.com/player/?m=playerinfo&amp;p_no=15149" TargetMode="External"/><Relationship Id="rId19036" Type="http://schemas.openxmlformats.org/officeDocument/2006/relationships/hyperlink" Target="https://statiz.sporki.com/add/?m=draft_school01&amp;ps_school=50208" TargetMode="External"/><Relationship Id="rId801" Type="http://schemas.openxmlformats.org/officeDocument/2006/relationships/hyperlink" Target="https://statiz.sporki.com/add/?m=draft_school02&amp;ps_school=60109" TargetMode="External"/><Relationship Id="rId1431" Type="http://schemas.openxmlformats.org/officeDocument/2006/relationships/hyperlink" Target="https://statiz.sporki.com/add/?m=draft_school02&amp;ps_school=" TargetMode="External"/><Relationship Id="rId8044" Type="http://schemas.openxmlformats.org/officeDocument/2006/relationships/hyperlink" Target="https://statiz.sporki.com/player/?m=playerinfo&amp;p_no=10492" TargetMode="External"/><Relationship Id="rId11025" Type="http://schemas.openxmlformats.org/officeDocument/2006/relationships/hyperlink" Target="https://statiz.sporki.com/add/?m=draft_school02&amp;ps_school=60803" TargetMode="External"/><Relationship Id="rId14595" Type="http://schemas.openxmlformats.org/officeDocument/2006/relationships/hyperlink" Target="https://statiz.sporki.com/player/?m=playerinfo&amp;p_no=10175" TargetMode="External"/><Relationship Id="rId15993" Type="http://schemas.openxmlformats.org/officeDocument/2006/relationships/hyperlink" Target="https://statiz.sporki.com/player/?m=playerinfo&amp;p_no=1158" TargetMode="External"/><Relationship Id="rId4654" Type="http://schemas.openxmlformats.org/officeDocument/2006/relationships/hyperlink" Target="https://statiz.sporki.com/player/?m=playerinfo&amp;p_no=11170" TargetMode="External"/><Relationship Id="rId13197" Type="http://schemas.openxmlformats.org/officeDocument/2006/relationships/hyperlink" Target="https://statiz.sporki.com/player/?m=playerinfo&amp;p_no=12568" TargetMode="External"/><Relationship Id="rId14248" Type="http://schemas.openxmlformats.org/officeDocument/2006/relationships/hyperlink" Target="https://statiz.sporki.com/player/?m=playerinfo&amp;p_no=10471" TargetMode="External"/><Relationship Id="rId15646" Type="http://schemas.openxmlformats.org/officeDocument/2006/relationships/hyperlink" Target="https://statiz.sporki.com/player/?m=playerinfo&amp;p_no=1506" TargetMode="External"/><Relationship Id="rId3256" Type="http://schemas.openxmlformats.org/officeDocument/2006/relationships/hyperlink" Target="https://statiz.sporki.com/player/?m=playerinfo&amp;p_no=12605" TargetMode="External"/><Relationship Id="rId4307" Type="http://schemas.openxmlformats.org/officeDocument/2006/relationships/hyperlink" Target="https://statiz.sporki.com/add/?m=draft_school01&amp;ps_school=" TargetMode="External"/><Relationship Id="rId5705" Type="http://schemas.openxmlformats.org/officeDocument/2006/relationships/hyperlink" Target="https://statiz.sporki.com/add/?m=draft_school01&amp;ps_school=50403" TargetMode="External"/><Relationship Id="rId18869" Type="http://schemas.openxmlformats.org/officeDocument/2006/relationships/hyperlink" Target="https://statiz.sporki.com/add/?m=draft_school01&amp;ps_school=50604" TargetMode="External"/><Relationship Id="rId177" Type="http://schemas.openxmlformats.org/officeDocument/2006/relationships/hyperlink" Target="https://statiz.sporki.com/add/?m=draft_school02&amp;ps_school=" TargetMode="External"/><Relationship Id="rId7877" Type="http://schemas.openxmlformats.org/officeDocument/2006/relationships/hyperlink" Target="https://statiz.sporki.com/add/?m=draft_school01&amp;ps_school=50711" TargetMode="External"/><Relationship Id="rId8928" Type="http://schemas.openxmlformats.org/officeDocument/2006/relationships/hyperlink" Target="https://statiz.sporki.com/add/?m=draft_school02&amp;ps_school=60114" TargetMode="External"/><Relationship Id="rId10858" Type="http://schemas.openxmlformats.org/officeDocument/2006/relationships/hyperlink" Target="https://statiz.sporki.com/player/?m=playerinfo&amp;p_no=1394" TargetMode="External"/><Relationship Id="rId11909" Type="http://schemas.openxmlformats.org/officeDocument/2006/relationships/hyperlink" Target="https://statiz.sporki.com/add/?m=draft_school01&amp;ps_school=50807" TargetMode="External"/><Relationship Id="rId6479" Type="http://schemas.openxmlformats.org/officeDocument/2006/relationships/hyperlink" Target="https://statiz.sporki.com/add/?m=draft_school01&amp;ps_school=50112" TargetMode="External"/><Relationship Id="rId12280" Type="http://schemas.openxmlformats.org/officeDocument/2006/relationships/hyperlink" Target="https://statiz.sporki.com/player/?m=playerinfo&amp;p_no=15617" TargetMode="External"/><Relationship Id="rId13331" Type="http://schemas.openxmlformats.org/officeDocument/2006/relationships/hyperlink" Target="https://statiz.sporki.com/player/?m=playerinfo&amp;p_no=14887" TargetMode="External"/><Relationship Id="rId17952" Type="http://schemas.openxmlformats.org/officeDocument/2006/relationships/hyperlink" Target="https://statiz.sporki.com/add/?m=draft_school01&amp;ps_school=50108" TargetMode="External"/><Relationship Id="rId6960" Type="http://schemas.openxmlformats.org/officeDocument/2006/relationships/hyperlink" Target="https://statiz.sporki.com/add/?m=draft_school02&amp;ps_school=" TargetMode="External"/><Relationship Id="rId16554" Type="http://schemas.openxmlformats.org/officeDocument/2006/relationships/hyperlink" Target="https://statiz.sporki.com/add/?m=draft_school01&amp;ps_school=50901" TargetMode="External"/><Relationship Id="rId17605" Type="http://schemas.openxmlformats.org/officeDocument/2006/relationships/hyperlink" Target="https://statiz.sporki.com/add/?m=draft_school01&amp;ps_school=50502" TargetMode="External"/><Relationship Id="rId311" Type="http://schemas.openxmlformats.org/officeDocument/2006/relationships/hyperlink" Target="https://statiz.sporki.com/add/?m=draft_school01&amp;ps_school=50605" TargetMode="External"/><Relationship Id="rId5562" Type="http://schemas.openxmlformats.org/officeDocument/2006/relationships/hyperlink" Target="https://statiz.sporki.com/add/?m=draft_school02&amp;ps_school=" TargetMode="External"/><Relationship Id="rId6613" Type="http://schemas.openxmlformats.org/officeDocument/2006/relationships/hyperlink" Target="https://statiz.sporki.com/player/?m=playerinfo&amp;p_no=11092" TargetMode="External"/><Relationship Id="rId15156" Type="http://schemas.openxmlformats.org/officeDocument/2006/relationships/hyperlink" Target="https://statiz.sporki.com/player/?m=playerinfo&amp;p_no=10498" TargetMode="External"/><Relationship Id="rId16207" Type="http://schemas.openxmlformats.org/officeDocument/2006/relationships/hyperlink" Target="https://statiz.sporki.com/add/?m=draft_school01&amp;ps_school=50809" TargetMode="External"/><Relationship Id="rId4164" Type="http://schemas.openxmlformats.org/officeDocument/2006/relationships/hyperlink" Target="https://statiz.sporki.com/add/?m=draft_school02&amp;ps_school=60804" TargetMode="External"/><Relationship Id="rId5215" Type="http://schemas.openxmlformats.org/officeDocument/2006/relationships/hyperlink" Target="https://statiz.sporki.com/player/?m=playerinfo&amp;p_no=10735" TargetMode="External"/><Relationship Id="rId8785" Type="http://schemas.openxmlformats.org/officeDocument/2006/relationships/hyperlink" Target="https://statiz.sporki.com/player/?m=playerinfo&amp;p_no=1965" TargetMode="External"/><Relationship Id="rId9836" Type="http://schemas.openxmlformats.org/officeDocument/2006/relationships/hyperlink" Target="https://statiz.sporki.com/add/?m=draft_school01&amp;ps_school=50802" TargetMode="External"/><Relationship Id="rId18379" Type="http://schemas.openxmlformats.org/officeDocument/2006/relationships/hyperlink" Target="https://statiz.sporki.com/add/?m=draft_school01&amp;ps_school=50403" TargetMode="External"/><Relationship Id="rId7387" Type="http://schemas.openxmlformats.org/officeDocument/2006/relationships/hyperlink" Target="https://statiz.sporki.com/player/?m=playerinfo&amp;p_no=11139" TargetMode="External"/><Relationship Id="rId8438" Type="http://schemas.openxmlformats.org/officeDocument/2006/relationships/hyperlink" Target="https://statiz.sporki.com/add/?m=draft_school01&amp;ps_school=50109" TargetMode="External"/><Relationship Id="rId11766" Type="http://schemas.openxmlformats.org/officeDocument/2006/relationships/hyperlink" Target="https://statiz.sporki.com/add/?m=draft_school02&amp;ps_school=60113" TargetMode="External"/><Relationship Id="rId12817" Type="http://schemas.openxmlformats.org/officeDocument/2006/relationships/hyperlink" Target="https://statiz.sporki.com/player/?m=playerinfo&amp;p_no=14182" TargetMode="External"/><Relationship Id="rId1825" Type="http://schemas.openxmlformats.org/officeDocument/2006/relationships/hyperlink" Target="https://statiz.sporki.com/player/?m=playerinfo&amp;p_no=13665" TargetMode="External"/><Relationship Id="rId10368" Type="http://schemas.openxmlformats.org/officeDocument/2006/relationships/hyperlink" Target="https://statiz.sporki.com/add/?m=draft_school02&amp;ps_school=60111" TargetMode="External"/><Relationship Id="rId11419" Type="http://schemas.openxmlformats.org/officeDocument/2006/relationships/hyperlink" Target="https://statiz.sporki.com/player/?m=playerinfo&amp;p_no=1204" TargetMode="External"/><Relationship Id="rId14989" Type="http://schemas.openxmlformats.org/officeDocument/2006/relationships/hyperlink" Target="https://statiz.sporki.com/player/?m=playerinfo&amp;p_no=2031" TargetMode="External"/><Relationship Id="rId18860" Type="http://schemas.openxmlformats.org/officeDocument/2006/relationships/hyperlink" Target="https://statiz.sporki.com/add/?m=draft_school01&amp;ps_school=50202" TargetMode="External"/><Relationship Id="rId3997" Type="http://schemas.openxmlformats.org/officeDocument/2006/relationships/hyperlink" Target="https://statiz.sporki.com/player/?m=playerinfo&amp;p_no=11483" TargetMode="External"/><Relationship Id="rId11900" Type="http://schemas.openxmlformats.org/officeDocument/2006/relationships/hyperlink" Target="https://statiz.sporki.com/add/?m=draft_school01&amp;ps_school=50804" TargetMode="External"/><Relationship Id="rId17462" Type="http://schemas.openxmlformats.org/officeDocument/2006/relationships/hyperlink" Target="https://statiz.sporki.com/add/?m=draft_school01&amp;ps_school=50805" TargetMode="External"/><Relationship Id="rId18513" Type="http://schemas.openxmlformats.org/officeDocument/2006/relationships/hyperlink" Target="https://statiz.sporki.com/add/?m=draft_school01&amp;ps_school=50802" TargetMode="External"/><Relationship Id="rId2599" Type="http://schemas.openxmlformats.org/officeDocument/2006/relationships/hyperlink" Target="https://statiz.sporki.com/player/?m=playerinfo&amp;p_no=13090" TargetMode="External"/><Relationship Id="rId6470" Type="http://schemas.openxmlformats.org/officeDocument/2006/relationships/hyperlink" Target="https://statiz.sporki.com/add/?m=draft_school01&amp;ps_school=50403" TargetMode="External"/><Relationship Id="rId7521" Type="http://schemas.openxmlformats.org/officeDocument/2006/relationships/hyperlink" Target="https://statiz.sporki.com/add/?m=draft_school02&amp;ps_school=" TargetMode="External"/><Relationship Id="rId10502" Type="http://schemas.openxmlformats.org/officeDocument/2006/relationships/hyperlink" Target="https://statiz.sporki.com/add/?m=draft_school01&amp;ps_school=50608" TargetMode="External"/><Relationship Id="rId16064" Type="http://schemas.openxmlformats.org/officeDocument/2006/relationships/hyperlink" Target="https://statiz.sporki.com/player/?m=playerinfo&amp;p_no=1122" TargetMode="External"/><Relationship Id="rId17115" Type="http://schemas.openxmlformats.org/officeDocument/2006/relationships/hyperlink" Target="https://statiz.sporki.com/add/?m=draft_school01&amp;ps_school=50701" TargetMode="External"/><Relationship Id="rId5072" Type="http://schemas.openxmlformats.org/officeDocument/2006/relationships/hyperlink" Target="https://statiz.sporki.com/add/?m=draft_school01&amp;ps_school=50501" TargetMode="External"/><Relationship Id="rId6123" Type="http://schemas.openxmlformats.org/officeDocument/2006/relationships/hyperlink" Target="https://statiz.sporki.com/add/?m=draft_school02&amp;ps_school=60704" TargetMode="External"/><Relationship Id="rId9693" Type="http://schemas.openxmlformats.org/officeDocument/2006/relationships/hyperlink" Target="https://statiz.sporki.com/add/?m=draft_school02&amp;ps_school=60101" TargetMode="External"/><Relationship Id="rId12674" Type="http://schemas.openxmlformats.org/officeDocument/2006/relationships/hyperlink" Target="https://statiz.sporki.com/player/?m=playerinfo&amp;p_no=14680" TargetMode="External"/><Relationship Id="rId19287" Type="http://schemas.openxmlformats.org/officeDocument/2006/relationships/hyperlink" Target="https://statiz.sporki.com/add/?m=draft_school01&amp;ps_school=50701" TargetMode="External"/><Relationship Id="rId1682" Type="http://schemas.openxmlformats.org/officeDocument/2006/relationships/hyperlink" Target="https://statiz.sporki.com/add/?m=draft_school01&amp;ps_school=50806" TargetMode="External"/><Relationship Id="rId2733" Type="http://schemas.openxmlformats.org/officeDocument/2006/relationships/hyperlink" Target="https://statiz.sporki.com/add/?m=draft_school02&amp;ps_school=" TargetMode="External"/><Relationship Id="rId8295" Type="http://schemas.openxmlformats.org/officeDocument/2006/relationships/hyperlink" Target="https://statiz.sporki.com/add/?m=draft_school02&amp;ps_school=60501" TargetMode="External"/><Relationship Id="rId9346" Type="http://schemas.openxmlformats.org/officeDocument/2006/relationships/hyperlink" Target="https://statiz.sporki.com/player/?m=playerinfo&amp;p_no=1843" TargetMode="External"/><Relationship Id="rId11276" Type="http://schemas.openxmlformats.org/officeDocument/2006/relationships/hyperlink" Target="https://statiz.sporki.com/add/?m=draft_school01&amp;ps_school=50122" TargetMode="External"/><Relationship Id="rId12327" Type="http://schemas.openxmlformats.org/officeDocument/2006/relationships/hyperlink" Target="https://statiz.sporki.com/player/?m=playerinfo&amp;p_no=15036" TargetMode="External"/><Relationship Id="rId13725" Type="http://schemas.openxmlformats.org/officeDocument/2006/relationships/hyperlink" Target="https://statiz.sporki.com/player/?m=playerinfo&amp;p_no=11491" TargetMode="External"/><Relationship Id="rId705" Type="http://schemas.openxmlformats.org/officeDocument/2006/relationships/hyperlink" Target="https://statiz.sporki.com/add/?m=draft_school02&amp;ps_school=60902" TargetMode="External"/><Relationship Id="rId1335" Type="http://schemas.openxmlformats.org/officeDocument/2006/relationships/hyperlink" Target="https://statiz.sporki.com/add/?m=draft_school02&amp;ps_school=" TargetMode="External"/><Relationship Id="rId15897" Type="http://schemas.openxmlformats.org/officeDocument/2006/relationships/hyperlink" Target="https://statiz.sporki.com/player/?m=playerinfo&amp;p_no=1328" TargetMode="External"/><Relationship Id="rId16948" Type="http://schemas.openxmlformats.org/officeDocument/2006/relationships/hyperlink" Target="https://statiz.sporki.com/add/?m=draft_school01&amp;ps_school=50602" TargetMode="External"/><Relationship Id="rId5956" Type="http://schemas.openxmlformats.org/officeDocument/2006/relationships/hyperlink" Target="https://statiz.sporki.com/player/?m=playerinfo&amp;p_no=10360" TargetMode="External"/><Relationship Id="rId14499" Type="http://schemas.openxmlformats.org/officeDocument/2006/relationships/hyperlink" Target="https://statiz.sporki.com/player/?m=playerinfo&amp;p_no=2337" TargetMode="External"/><Relationship Id="rId18370" Type="http://schemas.openxmlformats.org/officeDocument/2006/relationships/hyperlink" Target="https://statiz.sporki.com/add/?m=draft_school01&amp;ps_school=50812" TargetMode="External"/><Relationship Id="rId19421" Type="http://schemas.openxmlformats.org/officeDocument/2006/relationships/hyperlink" Target="https://statiz.sporki.com/add/?m=draft_school01&amp;ps_school=50802" TargetMode="External"/><Relationship Id="rId41" Type="http://schemas.openxmlformats.org/officeDocument/2006/relationships/hyperlink" Target="https://statiz.sporki.com/add/?m=draft_school01&amp;ps_school=50701" TargetMode="External"/><Relationship Id="rId4558" Type="http://schemas.openxmlformats.org/officeDocument/2006/relationships/hyperlink" Target="https://statiz.sporki.com/player/?m=playerinfo&amp;p_no=11084" TargetMode="External"/><Relationship Id="rId5609" Type="http://schemas.openxmlformats.org/officeDocument/2006/relationships/hyperlink" Target="https://statiz.sporki.com/add/?m=draft_school01&amp;ps_school=50703" TargetMode="External"/><Relationship Id="rId7031" Type="http://schemas.openxmlformats.org/officeDocument/2006/relationships/hyperlink" Target="https://statiz.sporki.com/add/?m=draft_school01&amp;ps_school=50204" TargetMode="External"/><Relationship Id="rId11410" Type="http://schemas.openxmlformats.org/officeDocument/2006/relationships/hyperlink" Target="https://statiz.sporki.com/player/?m=playerinfo&amp;p_no=1202" TargetMode="External"/><Relationship Id="rId14980" Type="http://schemas.openxmlformats.org/officeDocument/2006/relationships/hyperlink" Target="https://statiz.sporki.com/player/?m=playerinfo&amp;p_no=10485" TargetMode="External"/><Relationship Id="rId18023" Type="http://schemas.openxmlformats.org/officeDocument/2006/relationships/hyperlink" Target="https://statiz.sporki.com/add/?m=draft_school01&amp;ps_school=50110" TargetMode="External"/><Relationship Id="rId10012" Type="http://schemas.openxmlformats.org/officeDocument/2006/relationships/hyperlink" Target="https://statiz.sporki.com/player/?m=playerinfo&amp;p_no=1636" TargetMode="External"/><Relationship Id="rId13582" Type="http://schemas.openxmlformats.org/officeDocument/2006/relationships/hyperlink" Target="https://statiz.sporki.com/player/?m=playerinfo&amp;p_no=11343" TargetMode="External"/><Relationship Id="rId14633" Type="http://schemas.openxmlformats.org/officeDocument/2006/relationships/hyperlink" Target="https://statiz.sporki.com/player/?m=playerinfo&amp;p_no=10571" TargetMode="External"/><Relationship Id="rId2590" Type="http://schemas.openxmlformats.org/officeDocument/2006/relationships/hyperlink" Target="https://statiz.sporki.com/player/?m=playerinfo&amp;p_no=13123" TargetMode="External"/><Relationship Id="rId3641" Type="http://schemas.openxmlformats.org/officeDocument/2006/relationships/hyperlink" Target="https://statiz.sporki.com/add/?m=draft_school01&amp;ps_school=50101" TargetMode="External"/><Relationship Id="rId12184" Type="http://schemas.openxmlformats.org/officeDocument/2006/relationships/hyperlink" Target="https://statiz.sporki.com/player/?m=playerinfo&amp;p_no=15443" TargetMode="External"/><Relationship Id="rId13235" Type="http://schemas.openxmlformats.org/officeDocument/2006/relationships/hyperlink" Target="https://statiz.sporki.com/player/?m=playerinfo&amp;p_no=12614" TargetMode="External"/><Relationship Id="rId562" Type="http://schemas.openxmlformats.org/officeDocument/2006/relationships/hyperlink" Target="https://statiz.sporki.com/player/?m=playerinfo&amp;p_no=15015" TargetMode="External"/><Relationship Id="rId1192" Type="http://schemas.openxmlformats.org/officeDocument/2006/relationships/hyperlink" Target="https://statiz.sporki.com/player/?m=playerinfo&amp;p_no=14875" TargetMode="External"/><Relationship Id="rId2243" Type="http://schemas.openxmlformats.org/officeDocument/2006/relationships/hyperlink" Target="https://statiz.sporki.com/add/?m=draft_school01&amp;ps_school=" TargetMode="External"/><Relationship Id="rId6864" Type="http://schemas.openxmlformats.org/officeDocument/2006/relationships/hyperlink" Target="https://statiz.sporki.com/add/?m=draft_school02&amp;ps_school=" TargetMode="External"/><Relationship Id="rId7915" Type="http://schemas.openxmlformats.org/officeDocument/2006/relationships/hyperlink" Target="https://statiz.sporki.com/player/?m=playerinfo&amp;p_no=2353" TargetMode="External"/><Relationship Id="rId16458" Type="http://schemas.openxmlformats.org/officeDocument/2006/relationships/hyperlink" Target="https://statiz.sporki.com/add/?m=draft_school01&amp;ps_school=50202" TargetMode="External"/><Relationship Id="rId17856" Type="http://schemas.openxmlformats.org/officeDocument/2006/relationships/hyperlink" Target="https://statiz.sporki.com/add/?m=draft_school01&amp;ps_school=50602" TargetMode="External"/><Relationship Id="rId18907" Type="http://schemas.openxmlformats.org/officeDocument/2006/relationships/hyperlink" Target="https://statiz.sporki.com/add/?m=draft_school01&amp;ps_school=50805" TargetMode="External"/><Relationship Id="rId215" Type="http://schemas.openxmlformats.org/officeDocument/2006/relationships/hyperlink" Target="https://statiz.sporki.com/add/?m=draft_school01&amp;ps_school=50206" TargetMode="External"/><Relationship Id="rId5466" Type="http://schemas.openxmlformats.org/officeDocument/2006/relationships/hyperlink" Target="https://statiz.sporki.com/add/?m=draft_school02&amp;ps_school=60104" TargetMode="External"/><Relationship Id="rId6517" Type="http://schemas.openxmlformats.org/officeDocument/2006/relationships/hyperlink" Target="https://statiz.sporki.com/player/?m=playerinfo&amp;p_no=10876" TargetMode="External"/><Relationship Id="rId17509" Type="http://schemas.openxmlformats.org/officeDocument/2006/relationships/hyperlink" Target="https://statiz.sporki.com/add/?m=draft_school01&amp;ps_school=50116" TargetMode="External"/><Relationship Id="rId4068" Type="http://schemas.openxmlformats.org/officeDocument/2006/relationships/hyperlink" Target="https://statiz.sporki.com/add/?m=draft_school02&amp;ps_school=" TargetMode="External"/><Relationship Id="rId5119" Type="http://schemas.openxmlformats.org/officeDocument/2006/relationships/hyperlink" Target="https://statiz.sporki.com/player/?m=playerinfo&amp;p_no=10887" TargetMode="External"/><Relationship Id="rId8689" Type="http://schemas.openxmlformats.org/officeDocument/2006/relationships/hyperlink" Target="https://statiz.sporki.com/player/?m=playerinfo&amp;p_no=2051" TargetMode="External"/><Relationship Id="rId14490" Type="http://schemas.openxmlformats.org/officeDocument/2006/relationships/hyperlink" Target="https://statiz.sporki.com/player/?m=playerinfo&amp;p_no=10166" TargetMode="External"/><Relationship Id="rId15541" Type="http://schemas.openxmlformats.org/officeDocument/2006/relationships/hyperlink" Target="https://statiz.sporki.com/player/?m=playerinfo&amp;p_no=10478" TargetMode="External"/><Relationship Id="rId1729" Type="http://schemas.openxmlformats.org/officeDocument/2006/relationships/hyperlink" Target="https://statiz.sporki.com/player/?m=playerinfo&amp;p_no=14582" TargetMode="External"/><Relationship Id="rId5600" Type="http://schemas.openxmlformats.org/officeDocument/2006/relationships/hyperlink" Target="https://statiz.sporki.com/add/?m=draft_school01&amp;ps_school=50703" TargetMode="External"/><Relationship Id="rId13092" Type="http://schemas.openxmlformats.org/officeDocument/2006/relationships/hyperlink" Target="https://statiz.sporki.com/player/?m=playerinfo&amp;p_no=12927" TargetMode="External"/><Relationship Id="rId14143" Type="http://schemas.openxmlformats.org/officeDocument/2006/relationships/hyperlink" Target="https://statiz.sporki.com/player/?m=playerinfo&amp;p_no=10371" TargetMode="External"/><Relationship Id="rId18764" Type="http://schemas.openxmlformats.org/officeDocument/2006/relationships/hyperlink" Target="https://statiz.sporki.com/add/?m=draft_school01&amp;ps_school=50802" TargetMode="External"/><Relationship Id="rId3151" Type="http://schemas.openxmlformats.org/officeDocument/2006/relationships/hyperlink" Target="https://statiz.sporki.com/player/?m=playerinfo&amp;p_no=12572" TargetMode="External"/><Relationship Id="rId4202" Type="http://schemas.openxmlformats.org/officeDocument/2006/relationships/hyperlink" Target="https://statiz.sporki.com/add/?m=draft_school01&amp;ps_school=50801" TargetMode="External"/><Relationship Id="rId7772" Type="http://schemas.openxmlformats.org/officeDocument/2006/relationships/hyperlink" Target="https://statiz.sporki.com/add/?m=draft_school01&amp;ps_school=" TargetMode="External"/><Relationship Id="rId8823" Type="http://schemas.openxmlformats.org/officeDocument/2006/relationships/hyperlink" Target="https://statiz.sporki.com/add/?m=draft_school02&amp;ps_school=60803" TargetMode="External"/><Relationship Id="rId10753" Type="http://schemas.openxmlformats.org/officeDocument/2006/relationships/hyperlink" Target="https://statiz.sporki.com/player/?m=playerinfo&amp;p_no=1477" TargetMode="External"/><Relationship Id="rId17366" Type="http://schemas.openxmlformats.org/officeDocument/2006/relationships/hyperlink" Target="https://statiz.sporki.com/add/?m=draft_school01&amp;ps_school=50604" TargetMode="External"/><Relationship Id="rId18417" Type="http://schemas.openxmlformats.org/officeDocument/2006/relationships/hyperlink" Target="https://statiz.sporki.com/add/?m=draft_school01&amp;ps_school=50104" TargetMode="External"/><Relationship Id="rId6374" Type="http://schemas.openxmlformats.org/officeDocument/2006/relationships/hyperlink" Target="https://statiz.sporki.com/add/?m=draft_school01&amp;ps_school=50106" TargetMode="External"/><Relationship Id="rId7425" Type="http://schemas.openxmlformats.org/officeDocument/2006/relationships/hyperlink" Target="https://statiz.sporki.com/add/?m=draft_school02&amp;ps_school=60111" TargetMode="External"/><Relationship Id="rId10406" Type="http://schemas.openxmlformats.org/officeDocument/2006/relationships/hyperlink" Target="https://statiz.sporki.com/add/?m=draft_school01&amp;ps_school=50402" TargetMode="External"/><Relationship Id="rId11804" Type="http://schemas.openxmlformats.org/officeDocument/2006/relationships/hyperlink" Target="https://statiz.sporki.com/add/?m=draft_school01&amp;ps_school=50102" TargetMode="External"/><Relationship Id="rId17019" Type="http://schemas.openxmlformats.org/officeDocument/2006/relationships/hyperlink" Target="https://statiz.sporki.com/add/?m=draft_school01&amp;ps_school=50210" TargetMode="External"/><Relationship Id="rId6027" Type="http://schemas.openxmlformats.org/officeDocument/2006/relationships/hyperlink" Target="https://statiz.sporki.com/add/?m=draft_school02&amp;ps_school=60106" TargetMode="External"/><Relationship Id="rId9597" Type="http://schemas.openxmlformats.org/officeDocument/2006/relationships/hyperlink" Target="https://statiz.sporki.com/add/?m=draft_school02&amp;ps_school=60113" TargetMode="External"/><Relationship Id="rId13976" Type="http://schemas.openxmlformats.org/officeDocument/2006/relationships/hyperlink" Target="https://statiz.sporki.com/player/?m=playerinfo&amp;p_no=10567" TargetMode="External"/><Relationship Id="rId1586" Type="http://schemas.openxmlformats.org/officeDocument/2006/relationships/hyperlink" Target="https://statiz.sporki.com/add/?m=draft_school01&amp;ps_school=50114" TargetMode="External"/><Relationship Id="rId2984" Type="http://schemas.openxmlformats.org/officeDocument/2006/relationships/hyperlink" Target="https://statiz.sporki.com/add/?m=draft_school01&amp;ps_school=50107" TargetMode="External"/><Relationship Id="rId8199" Type="http://schemas.openxmlformats.org/officeDocument/2006/relationships/hyperlink" Target="https://statiz.sporki.com/add/?m=draft_school02&amp;ps_school=61002" TargetMode="External"/><Relationship Id="rId12578" Type="http://schemas.openxmlformats.org/officeDocument/2006/relationships/hyperlink" Target="https://statiz.sporki.com/player/?m=playerinfo&amp;p_no=14750" TargetMode="External"/><Relationship Id="rId13629" Type="http://schemas.openxmlformats.org/officeDocument/2006/relationships/hyperlink" Target="https://statiz.sporki.com/player/?m=playerinfo&amp;p_no=11077" TargetMode="External"/><Relationship Id="rId15051" Type="http://schemas.openxmlformats.org/officeDocument/2006/relationships/hyperlink" Target="https://statiz.sporki.com/player/?m=playerinfo&amp;p_no=2060" TargetMode="External"/><Relationship Id="rId17500" Type="http://schemas.openxmlformats.org/officeDocument/2006/relationships/hyperlink" Target="https://statiz.sporki.com/add/?m=draft_school01&amp;ps_school=50903" TargetMode="External"/><Relationship Id="rId609" Type="http://schemas.openxmlformats.org/officeDocument/2006/relationships/hyperlink" Target="https://statiz.sporki.com/add/?m=draft_school02&amp;ps_school=" TargetMode="External"/><Relationship Id="rId956" Type="http://schemas.openxmlformats.org/officeDocument/2006/relationships/hyperlink" Target="https://statiz.sporki.com/add/?m=draft_school01&amp;ps_school=50403" TargetMode="External"/><Relationship Id="rId1239" Type="http://schemas.openxmlformats.org/officeDocument/2006/relationships/hyperlink" Target="https://statiz.sporki.com/add/?m=draft_school02&amp;ps_school=" TargetMode="External"/><Relationship Id="rId2637" Type="http://schemas.openxmlformats.org/officeDocument/2006/relationships/hyperlink" Target="https://statiz.sporki.com/add/?m=draft_school02&amp;ps_school=" TargetMode="External"/><Relationship Id="rId5110" Type="http://schemas.openxmlformats.org/officeDocument/2006/relationships/hyperlink" Target="https://statiz.sporki.com/player/?m=playerinfo&amp;p_no=10842" TargetMode="External"/><Relationship Id="rId16102" Type="http://schemas.openxmlformats.org/officeDocument/2006/relationships/hyperlink" Target="https://statiz.sporki.com/player/?m=playerinfo&amp;p_no=1063" TargetMode="External"/><Relationship Id="rId8680" Type="http://schemas.openxmlformats.org/officeDocument/2006/relationships/hyperlink" Target="https://statiz.sporki.com/player/?m=playerinfo&amp;p_no=10029" TargetMode="External"/><Relationship Id="rId9731" Type="http://schemas.openxmlformats.org/officeDocument/2006/relationships/hyperlink" Target="https://statiz.sporki.com/add/?m=draft_school01&amp;ps_school=50813" TargetMode="External"/><Relationship Id="rId11661" Type="http://schemas.openxmlformats.org/officeDocument/2006/relationships/hyperlink" Target="https://statiz.sporki.com/add/?m=draft_school02&amp;ps_school=60109" TargetMode="External"/><Relationship Id="rId12712" Type="http://schemas.openxmlformats.org/officeDocument/2006/relationships/hyperlink" Target="https://statiz.sporki.com/player/?m=playerinfo&amp;p_no=14609" TargetMode="External"/><Relationship Id="rId18274" Type="http://schemas.openxmlformats.org/officeDocument/2006/relationships/hyperlink" Target="https://statiz.sporki.com/add/?m=draft_school01&amp;ps_school=50703" TargetMode="External"/><Relationship Id="rId19325" Type="http://schemas.openxmlformats.org/officeDocument/2006/relationships/hyperlink" Target="https://statiz.sporki.com/add/?m=draft_school01&amp;ps_school=50805" TargetMode="External"/><Relationship Id="rId1720" Type="http://schemas.openxmlformats.org/officeDocument/2006/relationships/hyperlink" Target="https://statiz.sporki.com/player/?m=playerinfo&amp;p_no=14592" TargetMode="External"/><Relationship Id="rId7282" Type="http://schemas.openxmlformats.org/officeDocument/2006/relationships/hyperlink" Target="https://statiz.sporki.com/player/?m=playerinfo&amp;p_no=2376" TargetMode="External"/><Relationship Id="rId8333" Type="http://schemas.openxmlformats.org/officeDocument/2006/relationships/hyperlink" Target="https://statiz.sporki.com/add/?m=draft_school01&amp;ps_school=50801" TargetMode="External"/><Relationship Id="rId10263" Type="http://schemas.openxmlformats.org/officeDocument/2006/relationships/hyperlink" Target="https://statiz.sporki.com/add/?m=draft_school02&amp;ps_school=" TargetMode="External"/><Relationship Id="rId11314" Type="http://schemas.openxmlformats.org/officeDocument/2006/relationships/hyperlink" Target="https://statiz.sporki.com/player/?m=playerinfo&amp;p_no=1266" TargetMode="External"/><Relationship Id="rId14884" Type="http://schemas.openxmlformats.org/officeDocument/2006/relationships/hyperlink" Target="https://statiz.sporki.com/player/?m=playerinfo&amp;p_no=2147" TargetMode="External"/><Relationship Id="rId3892" Type="http://schemas.openxmlformats.org/officeDocument/2006/relationships/hyperlink" Target="https://statiz.sporki.com/player/?m=playerinfo&amp;p_no=11548" TargetMode="External"/><Relationship Id="rId4943" Type="http://schemas.openxmlformats.org/officeDocument/2006/relationships/hyperlink" Target="https://statiz.sporki.com/add/?m=draft_school01&amp;ps_school=50402" TargetMode="External"/><Relationship Id="rId13486" Type="http://schemas.openxmlformats.org/officeDocument/2006/relationships/hyperlink" Target="https://statiz.sporki.com/player/?m=playerinfo&amp;p_no=11229" TargetMode="External"/><Relationship Id="rId14537" Type="http://schemas.openxmlformats.org/officeDocument/2006/relationships/hyperlink" Target="https://statiz.sporki.com/player/?m=playerinfo&amp;p_no=2301" TargetMode="External"/><Relationship Id="rId15935" Type="http://schemas.openxmlformats.org/officeDocument/2006/relationships/hyperlink" Target="https://statiz.sporki.com/player/?m=playerinfo&amp;p_no=1255" TargetMode="External"/><Relationship Id="rId2494" Type="http://schemas.openxmlformats.org/officeDocument/2006/relationships/hyperlink" Target="https://statiz.sporki.com/player/?m=playerinfo&amp;p_no=13162" TargetMode="External"/><Relationship Id="rId3545" Type="http://schemas.openxmlformats.org/officeDocument/2006/relationships/hyperlink" Target="https://statiz.sporki.com/add/?m=draft_school01&amp;ps_school=" TargetMode="External"/><Relationship Id="rId12088" Type="http://schemas.openxmlformats.org/officeDocument/2006/relationships/hyperlink" Target="https://statiz.sporki.com/player/?m=playerinfo&amp;p_no=12726" TargetMode="External"/><Relationship Id="rId13139" Type="http://schemas.openxmlformats.org/officeDocument/2006/relationships/hyperlink" Target="https://statiz.sporki.com/player/?m=playerinfo&amp;p_no=12895" TargetMode="External"/><Relationship Id="rId17010" Type="http://schemas.openxmlformats.org/officeDocument/2006/relationships/hyperlink" Target="https://statiz.sporki.com/add/?m=draft_school01&amp;ps_school=50805" TargetMode="External"/><Relationship Id="rId466" Type="http://schemas.openxmlformats.org/officeDocument/2006/relationships/hyperlink" Target="https://statiz.sporki.com/player/?m=playerinfo&amp;p_no=15630" TargetMode="External"/><Relationship Id="rId1096" Type="http://schemas.openxmlformats.org/officeDocument/2006/relationships/hyperlink" Target="https://statiz.sporki.com/player/?m=playerinfo&amp;p_no=14802" TargetMode="External"/><Relationship Id="rId2147" Type="http://schemas.openxmlformats.org/officeDocument/2006/relationships/hyperlink" Target="https://statiz.sporki.com/add/?m=draft_school01&amp;ps_school=50601" TargetMode="External"/><Relationship Id="rId19182" Type="http://schemas.openxmlformats.org/officeDocument/2006/relationships/hyperlink" Target="https://statiz.sporki.com/add/?m=draft_school01&amp;ps_school=50208" TargetMode="External"/><Relationship Id="rId119" Type="http://schemas.openxmlformats.org/officeDocument/2006/relationships/hyperlink" Target="https://statiz.sporki.com/add/?m=draft_school01&amp;ps_school=50108" TargetMode="External"/><Relationship Id="rId6768" Type="http://schemas.openxmlformats.org/officeDocument/2006/relationships/hyperlink" Target="https://statiz.sporki.com/add/?m=draft_school02&amp;ps_school=" TargetMode="External"/><Relationship Id="rId7819" Type="http://schemas.openxmlformats.org/officeDocument/2006/relationships/hyperlink" Target="https://statiz.sporki.com/player/?m=playerinfo&amp;p_no=2155" TargetMode="External"/><Relationship Id="rId8190" Type="http://schemas.openxmlformats.org/officeDocument/2006/relationships/hyperlink" Target="https://statiz.sporki.com/add/?m=draft_school02&amp;ps_school=60101" TargetMode="External"/><Relationship Id="rId9241" Type="http://schemas.openxmlformats.org/officeDocument/2006/relationships/hyperlink" Target="https://statiz.sporki.com/player/?m=playerinfo&amp;p_no=1961" TargetMode="External"/><Relationship Id="rId13620" Type="http://schemas.openxmlformats.org/officeDocument/2006/relationships/hyperlink" Target="https://statiz.sporki.com/player/?m=playerinfo&amp;p_no=11078" TargetMode="External"/><Relationship Id="rId11171" Type="http://schemas.openxmlformats.org/officeDocument/2006/relationships/hyperlink" Target="https://statiz.sporki.com/add/?m=draft_school01&amp;ps_school=50501" TargetMode="External"/><Relationship Id="rId12222" Type="http://schemas.openxmlformats.org/officeDocument/2006/relationships/hyperlink" Target="https://statiz.sporki.com/player/?m=playerinfo&amp;p_no=15429" TargetMode="External"/><Relationship Id="rId15792" Type="http://schemas.openxmlformats.org/officeDocument/2006/relationships/hyperlink" Target="https://statiz.sporki.com/player/?m=playerinfo&amp;p_no=1486" TargetMode="External"/><Relationship Id="rId16843" Type="http://schemas.openxmlformats.org/officeDocument/2006/relationships/hyperlink" Target="https://statiz.sporki.com/add/?m=draft_school01&amp;ps_school=51105" TargetMode="External"/><Relationship Id="rId600" Type="http://schemas.openxmlformats.org/officeDocument/2006/relationships/hyperlink" Target="https://statiz.sporki.com/add/?m=draft_school02&amp;ps_school=" TargetMode="External"/><Relationship Id="rId1230" Type="http://schemas.openxmlformats.org/officeDocument/2006/relationships/hyperlink" Target="https://statiz.sporki.com/add/?m=draft_school02&amp;ps_school=60703" TargetMode="External"/><Relationship Id="rId5851" Type="http://schemas.openxmlformats.org/officeDocument/2006/relationships/hyperlink" Target="https://statiz.sporki.com/player/?m=playerinfo&amp;p_no=10057" TargetMode="External"/><Relationship Id="rId6902" Type="http://schemas.openxmlformats.org/officeDocument/2006/relationships/hyperlink" Target="https://statiz.sporki.com/add/?m=draft_school01&amp;ps_school=50113" TargetMode="External"/><Relationship Id="rId14394" Type="http://schemas.openxmlformats.org/officeDocument/2006/relationships/hyperlink" Target="https://statiz.sporki.com/player/?m=playerinfo&amp;p_no=14894" TargetMode="External"/><Relationship Id="rId15445" Type="http://schemas.openxmlformats.org/officeDocument/2006/relationships/hyperlink" Target="https://statiz.sporki.com/player/?m=playerinfo&amp;p_no=1741" TargetMode="External"/><Relationship Id="rId4453" Type="http://schemas.openxmlformats.org/officeDocument/2006/relationships/hyperlink" Target="https://statiz.sporki.com/player/?m=playerinfo&amp;p_no=11082" TargetMode="External"/><Relationship Id="rId5504" Type="http://schemas.openxmlformats.org/officeDocument/2006/relationships/hyperlink" Target="https://statiz.sporki.com/add/?m=draft_school01&amp;ps_school=50403" TargetMode="External"/><Relationship Id="rId14047" Type="http://schemas.openxmlformats.org/officeDocument/2006/relationships/hyperlink" Target="https://statiz.sporki.com/player/?m=playerinfo&amp;p_no=10688" TargetMode="External"/><Relationship Id="rId18668" Type="http://schemas.openxmlformats.org/officeDocument/2006/relationships/hyperlink" Target="https://statiz.sporki.com/add/?m=draft_school01&amp;ps_school=50402" TargetMode="External"/><Relationship Id="rId3055" Type="http://schemas.openxmlformats.org/officeDocument/2006/relationships/hyperlink" Target="https://statiz.sporki.com/player/?m=playerinfo&amp;p_no=12949" TargetMode="External"/><Relationship Id="rId4106" Type="http://schemas.openxmlformats.org/officeDocument/2006/relationships/hyperlink" Target="https://statiz.sporki.com/add/?m=draft_school01&amp;ps_school=50103" TargetMode="External"/><Relationship Id="rId7676" Type="http://schemas.openxmlformats.org/officeDocument/2006/relationships/hyperlink" Target="https://statiz.sporki.com/add/?m=draft_school01&amp;ps_school=50602" TargetMode="External"/><Relationship Id="rId8727" Type="http://schemas.openxmlformats.org/officeDocument/2006/relationships/hyperlink" Target="https://statiz.sporki.com/add/?m=draft_school02&amp;ps_school=" TargetMode="External"/><Relationship Id="rId6278" Type="http://schemas.openxmlformats.org/officeDocument/2006/relationships/hyperlink" Target="https://statiz.sporki.com/add/?m=draft_school01&amp;ps_school=50112" TargetMode="External"/><Relationship Id="rId7329" Type="http://schemas.openxmlformats.org/officeDocument/2006/relationships/hyperlink" Target="https://statiz.sporki.com/add/?m=draft_school02&amp;ps_school=" TargetMode="External"/><Relationship Id="rId10657" Type="http://schemas.openxmlformats.org/officeDocument/2006/relationships/hyperlink" Target="https://statiz.sporki.com/player/?m=playerinfo&amp;p_no=1492" TargetMode="External"/><Relationship Id="rId11708" Type="http://schemas.openxmlformats.org/officeDocument/2006/relationships/hyperlink" Target="https://statiz.sporki.com/add/?m=draft_school01&amp;ps_school=" TargetMode="External"/><Relationship Id="rId13130" Type="http://schemas.openxmlformats.org/officeDocument/2006/relationships/hyperlink" Target="https://statiz.sporki.com/player/?m=playerinfo&amp;p_no=12859" TargetMode="External"/><Relationship Id="rId17751" Type="http://schemas.openxmlformats.org/officeDocument/2006/relationships/hyperlink" Target="https://statiz.sporki.com/add/?m=draft_school01&amp;ps_school=50204" TargetMode="External"/><Relationship Id="rId18802" Type="http://schemas.openxmlformats.org/officeDocument/2006/relationships/hyperlink" Target="https://statiz.sporki.com/add/?m=draft_school01&amp;ps_school=50813" TargetMode="External"/><Relationship Id="rId110" Type="http://schemas.openxmlformats.org/officeDocument/2006/relationships/hyperlink" Target="https://statiz.sporki.com/add/?m=draft_school01&amp;ps_school=50107" TargetMode="External"/><Relationship Id="rId2888" Type="http://schemas.openxmlformats.org/officeDocument/2006/relationships/hyperlink" Target="https://statiz.sporki.com/add/?m=draft_school01&amp;ps_school=50111" TargetMode="External"/><Relationship Id="rId3939" Type="http://schemas.openxmlformats.org/officeDocument/2006/relationships/hyperlink" Target="https://statiz.sporki.com/add/?m=draft_school02&amp;ps_school=" TargetMode="External"/><Relationship Id="rId7810" Type="http://schemas.openxmlformats.org/officeDocument/2006/relationships/hyperlink" Target="https://statiz.sporki.com/player/?m=playerinfo&amp;p_no=2340" TargetMode="External"/><Relationship Id="rId16353" Type="http://schemas.openxmlformats.org/officeDocument/2006/relationships/hyperlink" Target="https://statiz.sporki.com/add/?m=draft_school01&amp;ps_school=50105" TargetMode="External"/><Relationship Id="rId17404" Type="http://schemas.openxmlformats.org/officeDocument/2006/relationships/hyperlink" Target="https://statiz.sporki.com/add/?m=draft_school01&amp;ps_school=50208" TargetMode="External"/><Relationship Id="rId5361" Type="http://schemas.openxmlformats.org/officeDocument/2006/relationships/hyperlink" Target="https://statiz.sporki.com/add/?m=draft_school02&amp;ps_school=60102" TargetMode="External"/><Relationship Id="rId6412" Type="http://schemas.openxmlformats.org/officeDocument/2006/relationships/hyperlink" Target="https://statiz.sporki.com/player/?m=playerinfo&amp;p_no=10778" TargetMode="External"/><Relationship Id="rId9982" Type="http://schemas.openxmlformats.org/officeDocument/2006/relationships/hyperlink" Target="https://statiz.sporki.com/player/?m=playerinfo&amp;p_no=1751" TargetMode="External"/><Relationship Id="rId12963" Type="http://schemas.openxmlformats.org/officeDocument/2006/relationships/hyperlink" Target="https://statiz.sporki.com/player/?m=playerinfo&amp;p_no=13161" TargetMode="External"/><Relationship Id="rId16006" Type="http://schemas.openxmlformats.org/officeDocument/2006/relationships/hyperlink" Target="https://statiz.sporki.com/player/?m=playerinfo&amp;p_no=1184" TargetMode="External"/><Relationship Id="rId19576" Type="http://schemas.openxmlformats.org/officeDocument/2006/relationships/hyperlink" Target="https://statiz.sporki.com/add/?m=draft_school01&amp;ps_school=50105" TargetMode="External"/><Relationship Id="rId1971" Type="http://schemas.openxmlformats.org/officeDocument/2006/relationships/hyperlink" Target="https://statiz.sporki.com/add/?m=draft_school02&amp;ps_school=60703" TargetMode="External"/><Relationship Id="rId5014" Type="http://schemas.openxmlformats.org/officeDocument/2006/relationships/hyperlink" Target="https://statiz.sporki.com/player/?m=playerinfo&amp;p_no=11145" TargetMode="External"/><Relationship Id="rId8584" Type="http://schemas.openxmlformats.org/officeDocument/2006/relationships/hyperlink" Target="https://statiz.sporki.com/player/?m=playerinfo&amp;p_no=10314" TargetMode="External"/><Relationship Id="rId9635" Type="http://schemas.openxmlformats.org/officeDocument/2006/relationships/hyperlink" Target="https://statiz.sporki.com/add/?m=draft_school01&amp;ps_school=50604" TargetMode="External"/><Relationship Id="rId11565" Type="http://schemas.openxmlformats.org/officeDocument/2006/relationships/hyperlink" Target="https://statiz.sporki.com/add/?m=draft_school02&amp;ps_school=60103" TargetMode="External"/><Relationship Id="rId12616" Type="http://schemas.openxmlformats.org/officeDocument/2006/relationships/hyperlink" Target="https://statiz.sporki.com/player/?m=playerinfo&amp;p_no=14699" TargetMode="External"/><Relationship Id="rId18178" Type="http://schemas.openxmlformats.org/officeDocument/2006/relationships/hyperlink" Target="https://statiz.sporki.com/add/?m=draft_school01&amp;ps_school=50102" TargetMode="External"/><Relationship Id="rId19229" Type="http://schemas.openxmlformats.org/officeDocument/2006/relationships/hyperlink" Target="https://statiz.sporki.com/add/?m=draft_school01&amp;ps_school=50702" TargetMode="External"/><Relationship Id="rId1624" Type="http://schemas.openxmlformats.org/officeDocument/2006/relationships/hyperlink" Target="https://statiz.sporki.com/player/?m=playerinfo&amp;p_no=14720" TargetMode="External"/><Relationship Id="rId7186" Type="http://schemas.openxmlformats.org/officeDocument/2006/relationships/hyperlink" Target="https://statiz.sporki.com/player/?m=playerinfo&amp;p_no=2301" TargetMode="External"/><Relationship Id="rId8237" Type="http://schemas.openxmlformats.org/officeDocument/2006/relationships/hyperlink" Target="https://statiz.sporki.com/add/?m=draft_school01&amp;ps_school=50107" TargetMode="External"/><Relationship Id="rId10167" Type="http://schemas.openxmlformats.org/officeDocument/2006/relationships/hyperlink" Target="https://statiz.sporki.com/add/?m=draft_school02&amp;ps_school=60802" TargetMode="External"/><Relationship Id="rId11218" Type="http://schemas.openxmlformats.org/officeDocument/2006/relationships/hyperlink" Target="https://statiz.sporki.com/player/?m=playerinfo&amp;p_no=1331" TargetMode="External"/><Relationship Id="rId3796" Type="http://schemas.openxmlformats.org/officeDocument/2006/relationships/hyperlink" Target="https://statiz.sporki.com/player/?m=playerinfo&amp;p_no=11322" TargetMode="External"/><Relationship Id="rId14788" Type="http://schemas.openxmlformats.org/officeDocument/2006/relationships/hyperlink" Target="https://statiz.sporki.com/player/?m=playerinfo&amp;p_no=2348" TargetMode="External"/><Relationship Id="rId15839" Type="http://schemas.openxmlformats.org/officeDocument/2006/relationships/hyperlink" Target="https://statiz.sporki.com/player/?m=playerinfo&amp;p_no=1325" TargetMode="External"/><Relationship Id="rId17261" Type="http://schemas.openxmlformats.org/officeDocument/2006/relationships/hyperlink" Target="https://statiz.sporki.com/add/?m=draft_school01&amp;ps_school=50110" TargetMode="External"/><Relationship Id="rId2398" Type="http://schemas.openxmlformats.org/officeDocument/2006/relationships/hyperlink" Target="https://statiz.sporki.com/player/?m=playerinfo&amp;p_no=13072" TargetMode="External"/><Relationship Id="rId3449" Type="http://schemas.openxmlformats.org/officeDocument/2006/relationships/hyperlink" Target="https://statiz.sporki.com/add/?m=draft_school01&amp;ps_school=50602" TargetMode="External"/><Relationship Id="rId4847" Type="http://schemas.openxmlformats.org/officeDocument/2006/relationships/hyperlink" Target="https://statiz.sporki.com/add/?m=draft_school01&amp;ps_school=50705" TargetMode="External"/><Relationship Id="rId7320" Type="http://schemas.openxmlformats.org/officeDocument/2006/relationships/hyperlink" Target="https://statiz.sporki.com/add/?m=draft_school02&amp;ps_school=" TargetMode="External"/><Relationship Id="rId18312" Type="http://schemas.openxmlformats.org/officeDocument/2006/relationships/hyperlink" Target="https://statiz.sporki.com/add/?m=draft_school01&amp;ps_school=50701" TargetMode="External"/><Relationship Id="rId10301" Type="http://schemas.openxmlformats.org/officeDocument/2006/relationships/hyperlink" Target="https://statiz.sporki.com/add/?m=draft_school01&amp;ps_school=50501" TargetMode="External"/><Relationship Id="rId13871" Type="http://schemas.openxmlformats.org/officeDocument/2006/relationships/hyperlink" Target="https://statiz.sporki.com/player/?m=playerinfo&amp;p_no=10722" TargetMode="External"/><Relationship Id="rId14922" Type="http://schemas.openxmlformats.org/officeDocument/2006/relationships/hyperlink" Target="https://statiz.sporki.com/player/?m=playerinfo&amp;p_no=2149" TargetMode="External"/><Relationship Id="rId3930" Type="http://schemas.openxmlformats.org/officeDocument/2006/relationships/hyperlink" Target="https://statiz.sporki.com/add/?m=draft_school02&amp;ps_school=" TargetMode="External"/><Relationship Id="rId8094" Type="http://schemas.openxmlformats.org/officeDocument/2006/relationships/hyperlink" Target="https://statiz.sporki.com/add/?m=draft_school02&amp;ps_school=60703" TargetMode="External"/><Relationship Id="rId9492" Type="http://schemas.openxmlformats.org/officeDocument/2006/relationships/hyperlink" Target="https://statiz.sporki.com/add/?m=draft_school02&amp;ps_school=" TargetMode="External"/><Relationship Id="rId12473" Type="http://schemas.openxmlformats.org/officeDocument/2006/relationships/hyperlink" Target="https://statiz.sporki.com/player/?m=playerinfo&amp;p_no=14765" TargetMode="External"/><Relationship Id="rId13524" Type="http://schemas.openxmlformats.org/officeDocument/2006/relationships/hyperlink" Target="https://statiz.sporki.com/player/?m=playerinfo&amp;p_no=11256" TargetMode="External"/><Relationship Id="rId19086" Type="http://schemas.openxmlformats.org/officeDocument/2006/relationships/hyperlink" Target="https://statiz.sporki.com/add/?m=draft_school01&amp;ps_school=50502" TargetMode="External"/><Relationship Id="rId851" Type="http://schemas.openxmlformats.org/officeDocument/2006/relationships/hyperlink" Target="https://statiz.sporki.com/add/?m=draft_school01&amp;ps_school=" TargetMode="External"/><Relationship Id="rId1481" Type="http://schemas.openxmlformats.org/officeDocument/2006/relationships/hyperlink" Target="https://statiz.sporki.com/add/?m=draft_school01&amp;ps_school=50207" TargetMode="External"/><Relationship Id="rId2532" Type="http://schemas.openxmlformats.org/officeDocument/2006/relationships/hyperlink" Target="https://statiz.sporki.com/add/?m=draft_school02&amp;ps_school=" TargetMode="External"/><Relationship Id="rId9145" Type="http://schemas.openxmlformats.org/officeDocument/2006/relationships/hyperlink" Target="https://statiz.sporki.com/player/?m=playerinfo&amp;p_no=10321" TargetMode="External"/><Relationship Id="rId11075" Type="http://schemas.openxmlformats.org/officeDocument/2006/relationships/hyperlink" Target="https://statiz.sporki.com/add/?m=draft_school01&amp;ps_school=50109" TargetMode="External"/><Relationship Id="rId12126" Type="http://schemas.openxmlformats.org/officeDocument/2006/relationships/hyperlink" Target="https://statiz.sporki.com/add/?m=draft_school02&amp;ps_school=" TargetMode="External"/><Relationship Id="rId15696" Type="http://schemas.openxmlformats.org/officeDocument/2006/relationships/hyperlink" Target="https://statiz.sporki.com/player/?m=playerinfo&amp;p_no=1444" TargetMode="External"/><Relationship Id="rId16747" Type="http://schemas.openxmlformats.org/officeDocument/2006/relationships/hyperlink" Target="https://statiz.sporki.com/add/?m=draft_school01&amp;ps_school=50111" TargetMode="External"/><Relationship Id="rId504" Type="http://schemas.openxmlformats.org/officeDocument/2006/relationships/hyperlink" Target="https://statiz.sporki.com/add/?m=draft_school02&amp;ps_school=" TargetMode="External"/><Relationship Id="rId1134" Type="http://schemas.openxmlformats.org/officeDocument/2006/relationships/hyperlink" Target="https://statiz.sporki.com/add/?m=draft_school02&amp;ps_school=60502" TargetMode="External"/><Relationship Id="rId5755" Type="http://schemas.openxmlformats.org/officeDocument/2006/relationships/hyperlink" Target="https://statiz.sporki.com/player/?m=playerinfo&amp;p_no=10423" TargetMode="External"/><Relationship Id="rId6806" Type="http://schemas.openxmlformats.org/officeDocument/2006/relationships/hyperlink" Target="https://statiz.sporki.com/add/?m=draft_school01&amp;ps_school=50601" TargetMode="External"/><Relationship Id="rId14298" Type="http://schemas.openxmlformats.org/officeDocument/2006/relationships/hyperlink" Target="https://statiz.sporki.com/player/?m=playerinfo&amp;p_no=2404" TargetMode="External"/><Relationship Id="rId15349" Type="http://schemas.openxmlformats.org/officeDocument/2006/relationships/hyperlink" Target="https://statiz.sporki.com/player/?m=playerinfo&amp;p_no=1805" TargetMode="External"/><Relationship Id="rId19220" Type="http://schemas.openxmlformats.org/officeDocument/2006/relationships/hyperlink" Target="https://statiz.sporki.com/add/?m=draft_school01&amp;ps_school=50813" TargetMode="External"/><Relationship Id="rId4357" Type="http://schemas.openxmlformats.org/officeDocument/2006/relationships/hyperlink" Target="https://statiz.sporki.com/player/?m=playerinfo&amp;p_no=11202" TargetMode="External"/><Relationship Id="rId5408" Type="http://schemas.openxmlformats.org/officeDocument/2006/relationships/hyperlink" Target="https://statiz.sporki.com/add/?m=draft_school01&amp;ps_school=" TargetMode="External"/><Relationship Id="rId8978" Type="http://schemas.openxmlformats.org/officeDocument/2006/relationships/hyperlink" Target="https://statiz.sporki.com/add/?m=draft_school01&amp;ps_school=50110" TargetMode="External"/><Relationship Id="rId11959" Type="http://schemas.openxmlformats.org/officeDocument/2006/relationships/hyperlink" Target="https://statiz.sporki.com/player/?m=playerinfo&amp;p_no=1132" TargetMode="External"/><Relationship Id="rId15830" Type="http://schemas.openxmlformats.org/officeDocument/2006/relationships/hyperlink" Target="https://statiz.sporki.com/player/?m=playerinfo&amp;p_no=1347" TargetMode="External"/><Relationship Id="rId13381" Type="http://schemas.openxmlformats.org/officeDocument/2006/relationships/hyperlink" Target="https://statiz.sporki.com/player/?m=playerinfo&amp;p_no=13283" TargetMode="External"/><Relationship Id="rId14432" Type="http://schemas.openxmlformats.org/officeDocument/2006/relationships/hyperlink" Target="https://statiz.sporki.com/player/?m=playerinfo&amp;p_no=14895" TargetMode="External"/><Relationship Id="rId361" Type="http://schemas.openxmlformats.org/officeDocument/2006/relationships/hyperlink" Target="https://statiz.sporki.com/player/?m=playerinfo&amp;p_no=15528" TargetMode="External"/><Relationship Id="rId2042" Type="http://schemas.openxmlformats.org/officeDocument/2006/relationships/hyperlink" Target="https://statiz.sporki.com/add/?m=draft_school01&amp;ps_school=50602" TargetMode="External"/><Relationship Id="rId3440" Type="http://schemas.openxmlformats.org/officeDocument/2006/relationships/hyperlink" Target="https://statiz.sporki.com/add/?m=draft_school01&amp;ps_school=50802" TargetMode="External"/><Relationship Id="rId13034" Type="http://schemas.openxmlformats.org/officeDocument/2006/relationships/hyperlink" Target="https://statiz.sporki.com/player/?m=playerinfo&amp;p_no=13231" TargetMode="External"/><Relationship Id="rId17655" Type="http://schemas.openxmlformats.org/officeDocument/2006/relationships/hyperlink" Target="https://statiz.sporki.com/add/?m=draft_school01&amp;ps_school=50209" TargetMode="External"/><Relationship Id="rId18706" Type="http://schemas.openxmlformats.org/officeDocument/2006/relationships/hyperlink" Target="https://statiz.sporki.com/add/?m=draft_school01&amp;ps_school=50804" TargetMode="External"/><Relationship Id="rId6663" Type="http://schemas.openxmlformats.org/officeDocument/2006/relationships/hyperlink" Target="https://statiz.sporki.com/add/?m=draft_school02&amp;ps_school=" TargetMode="External"/><Relationship Id="rId7714" Type="http://schemas.openxmlformats.org/officeDocument/2006/relationships/hyperlink" Target="https://statiz.sporki.com/player/?m=playerinfo&amp;p_no=2201" TargetMode="External"/><Relationship Id="rId16257" Type="http://schemas.openxmlformats.org/officeDocument/2006/relationships/hyperlink" Target="https://statiz.sporki.com/add/?m=draft_school01&amp;ps_school=50805" TargetMode="External"/><Relationship Id="rId17308" Type="http://schemas.openxmlformats.org/officeDocument/2006/relationships/hyperlink" Target="https://statiz.sporki.com/add/?m=draft_school01&amp;ps_school=50106" TargetMode="External"/><Relationship Id="rId5265" Type="http://schemas.openxmlformats.org/officeDocument/2006/relationships/hyperlink" Target="https://statiz.sporki.com/add/?m=draft_school02&amp;ps_school=60111" TargetMode="External"/><Relationship Id="rId6316" Type="http://schemas.openxmlformats.org/officeDocument/2006/relationships/hyperlink" Target="https://statiz.sporki.com/player/?m=playerinfo&amp;p_no=10453" TargetMode="External"/><Relationship Id="rId9886" Type="http://schemas.openxmlformats.org/officeDocument/2006/relationships/hyperlink" Target="https://statiz.sporki.com/player/?m=playerinfo&amp;p_no=1669" TargetMode="External"/><Relationship Id="rId1875" Type="http://schemas.openxmlformats.org/officeDocument/2006/relationships/hyperlink" Target="https://statiz.sporki.com/add/?m=draft_school02&amp;ps_school=" TargetMode="External"/><Relationship Id="rId8488" Type="http://schemas.openxmlformats.org/officeDocument/2006/relationships/hyperlink" Target="https://statiz.sporki.com/player/?m=playerinfo&amp;p_no=2236" TargetMode="External"/><Relationship Id="rId9539" Type="http://schemas.openxmlformats.org/officeDocument/2006/relationships/hyperlink" Target="https://statiz.sporki.com/add/?m=draft_school01&amp;ps_school=50502" TargetMode="External"/><Relationship Id="rId11469" Type="http://schemas.openxmlformats.org/officeDocument/2006/relationships/hyperlink" Target="https://statiz.sporki.com/add/?m=draft_school02&amp;ps_school=60108" TargetMode="External"/><Relationship Id="rId12867" Type="http://schemas.openxmlformats.org/officeDocument/2006/relationships/hyperlink" Target="https://statiz.sporki.com/player/?m=playerinfo&amp;p_no=13926" TargetMode="External"/><Relationship Id="rId13918" Type="http://schemas.openxmlformats.org/officeDocument/2006/relationships/hyperlink" Target="https://statiz.sporki.com/player/?m=playerinfo&amp;p_no=10767" TargetMode="External"/><Relationship Id="rId15340" Type="http://schemas.openxmlformats.org/officeDocument/2006/relationships/hyperlink" Target="https://statiz.sporki.com/player/?m=playerinfo&amp;p_no=1742" TargetMode="External"/><Relationship Id="rId1528" Type="http://schemas.openxmlformats.org/officeDocument/2006/relationships/hyperlink" Target="https://statiz.sporki.com/player/?m=playerinfo&amp;p_no=14708" TargetMode="External"/><Relationship Id="rId2926" Type="http://schemas.openxmlformats.org/officeDocument/2006/relationships/hyperlink" Target="https://statiz.sporki.com/player/?m=playerinfo&amp;p_no=12860" TargetMode="External"/><Relationship Id="rId4001" Type="http://schemas.openxmlformats.org/officeDocument/2006/relationships/hyperlink" Target="https://statiz.sporki.com/add/?m=draft_school01&amp;ps_school=50107" TargetMode="External"/><Relationship Id="rId11950" Type="http://schemas.openxmlformats.org/officeDocument/2006/relationships/hyperlink" Target="https://statiz.sporki.com/player/?m=playerinfo&amp;p_no=12714" TargetMode="External"/><Relationship Id="rId18563" Type="http://schemas.openxmlformats.org/officeDocument/2006/relationships/hyperlink" Target="https://statiz.sporki.com/add/?m=draft_school01&amp;ps_school=50110" TargetMode="External"/><Relationship Id="rId19614" Type="http://schemas.openxmlformats.org/officeDocument/2006/relationships/hyperlink" Target="https://statiz.sporki.com/add/?m=draft_school01&amp;ps_school=50209" TargetMode="External"/><Relationship Id="rId6173" Type="http://schemas.openxmlformats.org/officeDocument/2006/relationships/hyperlink" Target="https://statiz.sporki.com/add/?m=draft_school01&amp;ps_school=" TargetMode="External"/><Relationship Id="rId7571" Type="http://schemas.openxmlformats.org/officeDocument/2006/relationships/hyperlink" Target="https://statiz.sporki.com/add/?m=draft_school01&amp;ps_school=50203" TargetMode="External"/><Relationship Id="rId8622" Type="http://schemas.openxmlformats.org/officeDocument/2006/relationships/hyperlink" Target="https://statiz.sporki.com/add/?m=draft_school02&amp;ps_school=" TargetMode="External"/><Relationship Id="rId10552" Type="http://schemas.openxmlformats.org/officeDocument/2006/relationships/hyperlink" Target="https://statiz.sporki.com/player/?m=playerinfo&amp;p_no=1546" TargetMode="External"/><Relationship Id="rId11603" Type="http://schemas.openxmlformats.org/officeDocument/2006/relationships/hyperlink" Target="https://statiz.sporki.com/add/?m=draft_school01&amp;ps_school=50805" TargetMode="External"/><Relationship Id="rId17165" Type="http://schemas.openxmlformats.org/officeDocument/2006/relationships/hyperlink" Target="https://statiz.sporki.com/add/?m=draft_school01&amp;ps_school=50903" TargetMode="External"/><Relationship Id="rId18216" Type="http://schemas.openxmlformats.org/officeDocument/2006/relationships/hyperlink" Target="https://statiz.sporki.com/add/?m=draft_school01&amp;ps_school=50108" TargetMode="External"/><Relationship Id="rId7224" Type="http://schemas.openxmlformats.org/officeDocument/2006/relationships/hyperlink" Target="https://statiz.sporki.com/add/?m=draft_school02&amp;ps_school=60803" TargetMode="External"/><Relationship Id="rId10205" Type="http://schemas.openxmlformats.org/officeDocument/2006/relationships/hyperlink" Target="https://statiz.sporki.com/add/?m=draft_school01&amp;ps_school=50126" TargetMode="External"/><Relationship Id="rId13775" Type="http://schemas.openxmlformats.org/officeDocument/2006/relationships/hyperlink" Target="https://statiz.sporki.com/player/?m=playerinfo&amp;p_no=10884" TargetMode="External"/><Relationship Id="rId14826" Type="http://schemas.openxmlformats.org/officeDocument/2006/relationships/hyperlink" Target="https://statiz.sporki.com/player/?m=playerinfo&amp;p_no=2089" TargetMode="External"/><Relationship Id="rId2783" Type="http://schemas.openxmlformats.org/officeDocument/2006/relationships/hyperlink" Target="https://statiz.sporki.com/add/?m=draft_school01&amp;ps_school=50705" TargetMode="External"/><Relationship Id="rId3834" Type="http://schemas.openxmlformats.org/officeDocument/2006/relationships/hyperlink" Target="https://statiz.sporki.com/add/?m=draft_school02&amp;ps_school=" TargetMode="External"/><Relationship Id="rId9396" Type="http://schemas.openxmlformats.org/officeDocument/2006/relationships/hyperlink" Target="https://statiz.sporki.com/add/?m=draft_school02&amp;ps_school=60501" TargetMode="External"/><Relationship Id="rId12377" Type="http://schemas.openxmlformats.org/officeDocument/2006/relationships/hyperlink" Target="https://statiz.sporki.com/player/?m=playerinfo&amp;p_no=15041" TargetMode="External"/><Relationship Id="rId13428" Type="http://schemas.openxmlformats.org/officeDocument/2006/relationships/hyperlink" Target="https://statiz.sporki.com/player/?m=playerinfo&amp;p_no=15853" TargetMode="External"/><Relationship Id="rId755" Type="http://schemas.openxmlformats.org/officeDocument/2006/relationships/hyperlink" Target="https://statiz.sporki.com/add/?m=draft_school01&amp;ps_school=50203" TargetMode="External"/><Relationship Id="rId1385" Type="http://schemas.openxmlformats.org/officeDocument/2006/relationships/hyperlink" Target="https://statiz.sporki.com/add/?m=draft_school01&amp;ps_school=50208" TargetMode="External"/><Relationship Id="rId2436" Type="http://schemas.openxmlformats.org/officeDocument/2006/relationships/hyperlink" Target="https://statiz.sporki.com/add/?m=draft_school02&amp;ps_school=60114" TargetMode="External"/><Relationship Id="rId9049" Type="http://schemas.openxmlformats.org/officeDocument/2006/relationships/hyperlink" Target="https://statiz.sporki.com/player/?m=playerinfo&amp;p_no=10169" TargetMode="External"/><Relationship Id="rId16998" Type="http://schemas.openxmlformats.org/officeDocument/2006/relationships/hyperlink" Target="https://statiz.sporki.com/add/?m=draft_school01&amp;ps_school=50110" TargetMode="External"/><Relationship Id="rId19471" Type="http://schemas.openxmlformats.org/officeDocument/2006/relationships/hyperlink" Target="https://statiz.sporki.com/add/?m=draft_school01&amp;ps_school=50805" TargetMode="External"/><Relationship Id="rId91" Type="http://schemas.openxmlformats.org/officeDocument/2006/relationships/hyperlink" Target="https://statiz.sporki.com/player/?m=playerinfo&amp;p_no=15424" TargetMode="External"/><Relationship Id="rId408" Type="http://schemas.openxmlformats.org/officeDocument/2006/relationships/hyperlink" Target="https://statiz.sporki.com/add/?m=draft_school02&amp;ps_school=60103" TargetMode="External"/><Relationship Id="rId1038" Type="http://schemas.openxmlformats.org/officeDocument/2006/relationships/hyperlink" Target="https://statiz.sporki.com/add/?m=draft_school02&amp;ps_school=" TargetMode="External"/><Relationship Id="rId5659" Type="http://schemas.openxmlformats.org/officeDocument/2006/relationships/hyperlink" Target="https://statiz.sporki.com/player/?m=playerinfo&amp;p_no=2433" TargetMode="External"/><Relationship Id="rId9530" Type="http://schemas.openxmlformats.org/officeDocument/2006/relationships/hyperlink" Target="https://statiz.sporki.com/add/?m=draft_school01&amp;ps_school=50114" TargetMode="External"/><Relationship Id="rId18073" Type="http://schemas.openxmlformats.org/officeDocument/2006/relationships/hyperlink" Target="https://statiz.sporki.com/add/?m=draft_school01&amp;ps_school=50902" TargetMode="External"/><Relationship Id="rId19124" Type="http://schemas.openxmlformats.org/officeDocument/2006/relationships/hyperlink" Target="https://statiz.sporki.com/add/?m=draft_school01&amp;ps_school=50209" TargetMode="External"/><Relationship Id="rId7081" Type="http://schemas.openxmlformats.org/officeDocument/2006/relationships/hyperlink" Target="https://statiz.sporki.com/player/?m=playerinfo&amp;p_no=2336" TargetMode="External"/><Relationship Id="rId8132" Type="http://schemas.openxmlformats.org/officeDocument/2006/relationships/hyperlink" Target="https://statiz.sporki.com/add/?m=draft_school01&amp;ps_school=50705" TargetMode="External"/><Relationship Id="rId11460" Type="http://schemas.openxmlformats.org/officeDocument/2006/relationships/hyperlink" Target="https://statiz.sporki.com/add/?m=draft_school02&amp;ps_school=60803" TargetMode="External"/><Relationship Id="rId12511" Type="http://schemas.openxmlformats.org/officeDocument/2006/relationships/hyperlink" Target="https://statiz.sporki.com/player/?m=playerinfo&amp;p_no=14869" TargetMode="External"/><Relationship Id="rId10062" Type="http://schemas.openxmlformats.org/officeDocument/2006/relationships/hyperlink" Target="https://statiz.sporki.com/add/?m=draft_school02&amp;ps_school=60703" TargetMode="External"/><Relationship Id="rId11113" Type="http://schemas.openxmlformats.org/officeDocument/2006/relationships/hyperlink" Target="https://statiz.sporki.com/player/?m=playerinfo&amp;p_no=1285" TargetMode="External"/><Relationship Id="rId14683" Type="http://schemas.openxmlformats.org/officeDocument/2006/relationships/hyperlink" Target="https://statiz.sporki.com/player/?m=playerinfo&amp;p_no=10242" TargetMode="External"/><Relationship Id="rId15734" Type="http://schemas.openxmlformats.org/officeDocument/2006/relationships/hyperlink" Target="https://statiz.sporki.com/player/?m=playerinfo&amp;p_no=1414" TargetMode="External"/><Relationship Id="rId3691" Type="http://schemas.openxmlformats.org/officeDocument/2006/relationships/hyperlink" Target="https://statiz.sporki.com/player/?m=playerinfo&amp;p_no=11367" TargetMode="External"/><Relationship Id="rId4742" Type="http://schemas.openxmlformats.org/officeDocument/2006/relationships/hyperlink" Target="https://statiz.sporki.com/add/?m=draft_school01&amp;ps_school=50113" TargetMode="External"/><Relationship Id="rId13285" Type="http://schemas.openxmlformats.org/officeDocument/2006/relationships/hyperlink" Target="https://statiz.sporki.com/player/?m=playerinfo&amp;p_no=12548" TargetMode="External"/><Relationship Id="rId14336" Type="http://schemas.openxmlformats.org/officeDocument/2006/relationships/hyperlink" Target="https://statiz.sporki.com/player/?m=playerinfo&amp;p_no=10758" TargetMode="External"/><Relationship Id="rId18957" Type="http://schemas.openxmlformats.org/officeDocument/2006/relationships/hyperlink" Target="https://statiz.sporki.com/add/?m=draft_school01&amp;ps_school=50706" TargetMode="External"/><Relationship Id="rId2293" Type="http://schemas.openxmlformats.org/officeDocument/2006/relationships/hyperlink" Target="https://statiz.sporki.com/player/?m=playerinfo&amp;p_no=13167" TargetMode="External"/><Relationship Id="rId3344" Type="http://schemas.openxmlformats.org/officeDocument/2006/relationships/hyperlink" Target="https://statiz.sporki.com/add/?m=draft_school01&amp;ps_school=50401" TargetMode="External"/><Relationship Id="rId7965" Type="http://schemas.openxmlformats.org/officeDocument/2006/relationships/hyperlink" Target="https://statiz.sporki.com/add/?m=draft_school02&amp;ps_school=" TargetMode="External"/><Relationship Id="rId17559" Type="http://schemas.openxmlformats.org/officeDocument/2006/relationships/hyperlink" Target="https://statiz.sporki.com/add/?m=draft_school01&amp;ps_school=50110" TargetMode="External"/><Relationship Id="rId265" Type="http://schemas.openxmlformats.org/officeDocument/2006/relationships/hyperlink" Target="https://statiz.sporki.com/player/?m=playerinfo&amp;p_no=15516" TargetMode="External"/><Relationship Id="rId6567" Type="http://schemas.openxmlformats.org/officeDocument/2006/relationships/hyperlink" Target="https://statiz.sporki.com/add/?m=draft_school02&amp;ps_school=" TargetMode="External"/><Relationship Id="rId7618" Type="http://schemas.openxmlformats.org/officeDocument/2006/relationships/hyperlink" Target="https://statiz.sporki.com/player/?m=playerinfo&amp;p_no=10028" TargetMode="External"/><Relationship Id="rId10946" Type="http://schemas.openxmlformats.org/officeDocument/2006/relationships/hyperlink" Target="https://statiz.sporki.com/add/?m=draft_school01&amp;ps_school=50121" TargetMode="External"/><Relationship Id="rId5169" Type="http://schemas.openxmlformats.org/officeDocument/2006/relationships/hyperlink" Target="https://statiz.sporki.com/add/?m=draft_school02&amp;ps_school=" TargetMode="External"/><Relationship Id="rId9040" Type="http://schemas.openxmlformats.org/officeDocument/2006/relationships/hyperlink" Target="https://statiz.sporki.com/player/?m=playerinfo&amp;p_no=1938" TargetMode="External"/><Relationship Id="rId12021" Type="http://schemas.openxmlformats.org/officeDocument/2006/relationships/hyperlink" Target="https://statiz.sporki.com/add/?m=draft_school02&amp;ps_school=60113" TargetMode="External"/><Relationship Id="rId15591" Type="http://schemas.openxmlformats.org/officeDocument/2006/relationships/hyperlink" Target="https://statiz.sporki.com/player/?m=playerinfo&amp;p_no=11433" TargetMode="External"/><Relationship Id="rId16642" Type="http://schemas.openxmlformats.org/officeDocument/2006/relationships/hyperlink" Target="https://statiz.sporki.com/add/?m=draft_school01&amp;ps_school=50807" TargetMode="External"/><Relationship Id="rId1779" Type="http://schemas.openxmlformats.org/officeDocument/2006/relationships/hyperlink" Target="https://statiz.sporki.com/add/?m=draft_school02&amp;ps_school=60501" TargetMode="External"/><Relationship Id="rId4252" Type="http://schemas.openxmlformats.org/officeDocument/2006/relationships/hyperlink" Target="https://statiz.sporki.com/player/?m=playerinfo&amp;p_no=11335" TargetMode="External"/><Relationship Id="rId5650" Type="http://schemas.openxmlformats.org/officeDocument/2006/relationships/hyperlink" Target="https://statiz.sporki.com/player/?m=playerinfo&amp;p_no=10162" TargetMode="External"/><Relationship Id="rId6701" Type="http://schemas.openxmlformats.org/officeDocument/2006/relationships/hyperlink" Target="https://statiz.sporki.com/add/?m=draft_school01&amp;ps_school=50116" TargetMode="External"/><Relationship Id="rId14193" Type="http://schemas.openxmlformats.org/officeDocument/2006/relationships/hyperlink" Target="https://statiz.sporki.com/player/?m=playerinfo&amp;p_no=10116" TargetMode="External"/><Relationship Id="rId15244" Type="http://schemas.openxmlformats.org/officeDocument/2006/relationships/hyperlink" Target="https://statiz.sporki.com/player/?m=playerinfo&amp;p_no=1837" TargetMode="External"/><Relationship Id="rId5303" Type="http://schemas.openxmlformats.org/officeDocument/2006/relationships/hyperlink" Target="https://statiz.sporki.com/add/?m=draft_school01&amp;ps_school=50111" TargetMode="External"/><Relationship Id="rId8873" Type="http://schemas.openxmlformats.org/officeDocument/2006/relationships/hyperlink" Target="https://statiz.sporki.com/add/?m=draft_school01&amp;ps_school=50110" TargetMode="External"/><Relationship Id="rId9924" Type="http://schemas.openxmlformats.org/officeDocument/2006/relationships/hyperlink" Target="https://statiz.sporki.com/add/?m=draft_school02&amp;ps_school=" TargetMode="External"/><Relationship Id="rId11854" Type="http://schemas.openxmlformats.org/officeDocument/2006/relationships/hyperlink" Target="https://statiz.sporki.com/player/?m=playerinfo&amp;p_no=1048" TargetMode="External"/><Relationship Id="rId12905" Type="http://schemas.openxmlformats.org/officeDocument/2006/relationships/hyperlink" Target="https://statiz.sporki.com/player/?m=playerinfo&amp;p_no=13113" TargetMode="External"/><Relationship Id="rId18467" Type="http://schemas.openxmlformats.org/officeDocument/2006/relationships/hyperlink" Target="https://statiz.sporki.com/add/?m=draft_school01&amp;ps_school=50209" TargetMode="External"/><Relationship Id="rId19518" Type="http://schemas.openxmlformats.org/officeDocument/2006/relationships/hyperlink" Target="https://statiz.sporki.com/add/?m=draft_school01&amp;ps_school=50805" TargetMode="External"/><Relationship Id="rId1913" Type="http://schemas.openxmlformats.org/officeDocument/2006/relationships/hyperlink" Target="https://statiz.sporki.com/add/?m=draft_school01&amp;ps_school=50107" TargetMode="External"/><Relationship Id="rId7475" Type="http://schemas.openxmlformats.org/officeDocument/2006/relationships/hyperlink" Target="https://statiz.sporki.com/add/?m=draft_school01&amp;ps_school=50303" TargetMode="External"/><Relationship Id="rId8526" Type="http://schemas.openxmlformats.org/officeDocument/2006/relationships/hyperlink" Target="https://statiz.sporki.com/add/?m=draft_school02&amp;ps_school=" TargetMode="External"/><Relationship Id="rId10456" Type="http://schemas.openxmlformats.org/officeDocument/2006/relationships/hyperlink" Target="https://statiz.sporki.com/player/?m=playerinfo&amp;p_no=1705" TargetMode="External"/><Relationship Id="rId11507" Type="http://schemas.openxmlformats.org/officeDocument/2006/relationships/hyperlink" Target="https://statiz.sporki.com/add/?m=draft_school01&amp;ps_school=50804" TargetMode="External"/><Relationship Id="rId17069" Type="http://schemas.openxmlformats.org/officeDocument/2006/relationships/hyperlink" Target="https://statiz.sporki.com/add/?m=draft_school01&amp;ps_school=50209" TargetMode="External"/><Relationship Id="rId6077" Type="http://schemas.openxmlformats.org/officeDocument/2006/relationships/hyperlink" Target="https://statiz.sporki.com/add/?m=draft_school01&amp;ps_school=50113" TargetMode="External"/><Relationship Id="rId7128" Type="http://schemas.openxmlformats.org/officeDocument/2006/relationships/hyperlink" Target="https://statiz.sporki.com/add/?m=draft_school02&amp;ps_school=60605" TargetMode="External"/><Relationship Id="rId10109" Type="http://schemas.openxmlformats.org/officeDocument/2006/relationships/hyperlink" Target="https://statiz.sporki.com/add/?m=draft_school01&amp;ps_school=" TargetMode="External"/><Relationship Id="rId13679" Type="http://schemas.openxmlformats.org/officeDocument/2006/relationships/hyperlink" Target="https://statiz.sporki.com/player/?m=playerinfo&amp;p_no=11227" TargetMode="External"/><Relationship Id="rId17550" Type="http://schemas.openxmlformats.org/officeDocument/2006/relationships/hyperlink" Target="https://statiz.sporki.com/add/?m=draft_school01&amp;ps_school=50804" TargetMode="External"/><Relationship Id="rId2687" Type="http://schemas.openxmlformats.org/officeDocument/2006/relationships/hyperlink" Target="https://statiz.sporki.com/add/?m=draft_school01&amp;ps_school=50804" TargetMode="External"/><Relationship Id="rId3738" Type="http://schemas.openxmlformats.org/officeDocument/2006/relationships/hyperlink" Target="https://statiz.sporki.com/add/?m=draft_school02&amp;ps_school=" TargetMode="External"/><Relationship Id="rId16152" Type="http://schemas.openxmlformats.org/officeDocument/2006/relationships/hyperlink" Target="https://statiz.sporki.com/player/?m=playerinfo&amp;p_no=1038" TargetMode="External"/><Relationship Id="rId17203" Type="http://schemas.openxmlformats.org/officeDocument/2006/relationships/hyperlink" Target="https://statiz.sporki.com/add/?m=draft_school01&amp;ps_school=50802" TargetMode="External"/><Relationship Id="rId18601" Type="http://schemas.openxmlformats.org/officeDocument/2006/relationships/hyperlink" Target="https://statiz.sporki.com/add/?m=draft_school01&amp;ps_school=50501" TargetMode="External"/><Relationship Id="rId659" Type="http://schemas.openxmlformats.org/officeDocument/2006/relationships/hyperlink" Target="https://statiz.sporki.com/add/?m=draft_school01&amp;ps_school=50111" TargetMode="External"/><Relationship Id="rId1289" Type="http://schemas.openxmlformats.org/officeDocument/2006/relationships/hyperlink" Target="https://statiz.sporki.com/add/?m=draft_school01&amp;ps_school=51110" TargetMode="External"/><Relationship Id="rId5160" Type="http://schemas.openxmlformats.org/officeDocument/2006/relationships/hyperlink" Target="https://statiz.sporki.com/add/?m=draft_school02&amp;ps_school=60804" TargetMode="External"/><Relationship Id="rId6211" Type="http://schemas.openxmlformats.org/officeDocument/2006/relationships/hyperlink" Target="https://statiz.sporki.com/player/?m=playerinfo&amp;p_no=10422" TargetMode="External"/><Relationship Id="rId8383" Type="http://schemas.openxmlformats.org/officeDocument/2006/relationships/hyperlink" Target="https://statiz.sporki.com/player/?m=playerinfo&amp;p_no=2018" TargetMode="External"/><Relationship Id="rId9781" Type="http://schemas.openxmlformats.org/officeDocument/2006/relationships/hyperlink" Target="https://statiz.sporki.com/player/?m=playerinfo&amp;p_no=1716" TargetMode="External"/><Relationship Id="rId12762" Type="http://schemas.openxmlformats.org/officeDocument/2006/relationships/hyperlink" Target="https://statiz.sporki.com/player/?m=playerinfo&amp;p_no=14130" TargetMode="External"/><Relationship Id="rId13813" Type="http://schemas.openxmlformats.org/officeDocument/2006/relationships/hyperlink" Target="https://statiz.sporki.com/player/?m=playerinfo&amp;p_no=11145" TargetMode="External"/><Relationship Id="rId19375" Type="http://schemas.openxmlformats.org/officeDocument/2006/relationships/hyperlink" Target="https://statiz.sporki.com/add/?m=draft_school01&amp;ps_school=50402" TargetMode="External"/><Relationship Id="rId1770" Type="http://schemas.openxmlformats.org/officeDocument/2006/relationships/hyperlink" Target="https://statiz.sporki.com/add/?m=draft_school02&amp;ps_school=60111" TargetMode="External"/><Relationship Id="rId2821" Type="http://schemas.openxmlformats.org/officeDocument/2006/relationships/hyperlink" Target="https://statiz.sporki.com/player/?m=playerinfo&amp;p_no=12931" TargetMode="External"/><Relationship Id="rId8036" Type="http://schemas.openxmlformats.org/officeDocument/2006/relationships/hyperlink" Target="https://statiz.sporki.com/add/?m=draft_school01&amp;ps_school=50701" TargetMode="External"/><Relationship Id="rId9434" Type="http://schemas.openxmlformats.org/officeDocument/2006/relationships/hyperlink" Target="https://statiz.sporki.com/add/?m=draft_school01&amp;ps_school=50109" TargetMode="External"/><Relationship Id="rId11364" Type="http://schemas.openxmlformats.org/officeDocument/2006/relationships/hyperlink" Target="https://statiz.sporki.com/add/?m=draft_school02&amp;ps_school=60204" TargetMode="External"/><Relationship Id="rId12415" Type="http://schemas.openxmlformats.org/officeDocument/2006/relationships/hyperlink" Target="https://statiz.sporki.com/player/?m=playerinfo&amp;p_no=15144" TargetMode="External"/><Relationship Id="rId15985" Type="http://schemas.openxmlformats.org/officeDocument/2006/relationships/hyperlink" Target="https://statiz.sporki.com/player/?m=playerinfo&amp;p_no=1232" TargetMode="External"/><Relationship Id="rId19028" Type="http://schemas.openxmlformats.org/officeDocument/2006/relationships/hyperlink" Target="https://statiz.sporki.com/add/?m=draft_school01&amp;ps_school=50804" TargetMode="External"/><Relationship Id="rId1423" Type="http://schemas.openxmlformats.org/officeDocument/2006/relationships/hyperlink" Target="https://statiz.sporki.com/player/?m=playerinfo&amp;p_no=14699" TargetMode="External"/><Relationship Id="rId4993" Type="http://schemas.openxmlformats.org/officeDocument/2006/relationships/hyperlink" Target="https://statiz.sporki.com/player/?m=playerinfo&amp;p_no=11363" TargetMode="External"/><Relationship Id="rId11017" Type="http://schemas.openxmlformats.org/officeDocument/2006/relationships/hyperlink" Target="https://statiz.sporki.com/player/?m=playerinfo&amp;p_no=1366" TargetMode="External"/><Relationship Id="rId14587" Type="http://schemas.openxmlformats.org/officeDocument/2006/relationships/hyperlink" Target="https://statiz.sporki.com/player/?m=playerinfo&amp;p_no=2329" TargetMode="External"/><Relationship Id="rId15638" Type="http://schemas.openxmlformats.org/officeDocument/2006/relationships/hyperlink" Target="https://statiz.sporki.com/player/?m=playerinfo&amp;p_no=11440" TargetMode="External"/><Relationship Id="rId3595" Type="http://schemas.openxmlformats.org/officeDocument/2006/relationships/hyperlink" Target="https://statiz.sporki.com/player/?m=playerinfo&amp;p_no=12983" TargetMode="External"/><Relationship Id="rId4646" Type="http://schemas.openxmlformats.org/officeDocument/2006/relationships/hyperlink" Target="https://statiz.sporki.com/add/?m=draft_school01&amp;ps_school=50805" TargetMode="External"/><Relationship Id="rId13189" Type="http://schemas.openxmlformats.org/officeDocument/2006/relationships/hyperlink" Target="https://statiz.sporki.com/player/?m=playerinfo&amp;p_no=13277" TargetMode="External"/><Relationship Id="rId17060" Type="http://schemas.openxmlformats.org/officeDocument/2006/relationships/hyperlink" Target="https://statiz.sporki.com/add/?m=draft_school01&amp;ps_school=50113" TargetMode="External"/><Relationship Id="rId18111" Type="http://schemas.openxmlformats.org/officeDocument/2006/relationships/hyperlink" Target="https://statiz.sporki.com/add/?m=draft_school01&amp;ps_school=50402" TargetMode="External"/><Relationship Id="rId2197" Type="http://schemas.openxmlformats.org/officeDocument/2006/relationships/hyperlink" Target="https://statiz.sporki.com/player/?m=playerinfo&amp;p_no=13932" TargetMode="External"/><Relationship Id="rId3248" Type="http://schemas.openxmlformats.org/officeDocument/2006/relationships/hyperlink" Target="https://statiz.sporki.com/add/?m=draft_school01&amp;ps_school=50208" TargetMode="External"/><Relationship Id="rId7869" Type="http://schemas.openxmlformats.org/officeDocument/2006/relationships/hyperlink" Target="https://statiz.sporki.com/add/?m=draft_school02&amp;ps_school=60104" TargetMode="External"/><Relationship Id="rId10100" Type="http://schemas.openxmlformats.org/officeDocument/2006/relationships/hyperlink" Target="https://statiz.sporki.com/add/?m=draft_school01&amp;ps_school=50127" TargetMode="External"/><Relationship Id="rId169" Type="http://schemas.openxmlformats.org/officeDocument/2006/relationships/hyperlink" Target="https://statiz.sporki.com/player/?m=playerinfo&amp;p_no=15490" TargetMode="External"/><Relationship Id="rId9291" Type="http://schemas.openxmlformats.org/officeDocument/2006/relationships/hyperlink" Target="https://statiz.sporki.com/add/?m=draft_school02&amp;ps_school=" TargetMode="External"/><Relationship Id="rId13670" Type="http://schemas.openxmlformats.org/officeDocument/2006/relationships/hyperlink" Target="https://statiz.sporki.com/player/?m=playerinfo&amp;p_no=12942" TargetMode="External"/><Relationship Id="rId14721" Type="http://schemas.openxmlformats.org/officeDocument/2006/relationships/hyperlink" Target="https://statiz.sporki.com/player/?m=playerinfo&amp;p_no=2178" TargetMode="External"/><Relationship Id="rId650" Type="http://schemas.openxmlformats.org/officeDocument/2006/relationships/hyperlink" Target="https://statiz.sporki.com/add/?m=draft_school01&amp;ps_school=50107" TargetMode="External"/><Relationship Id="rId1280" Type="http://schemas.openxmlformats.org/officeDocument/2006/relationships/hyperlink" Target="https://statiz.sporki.com/add/?m=draft_school01&amp;ps_school=50107" TargetMode="External"/><Relationship Id="rId2331" Type="http://schemas.openxmlformats.org/officeDocument/2006/relationships/hyperlink" Target="https://statiz.sporki.com/add/?m=draft_school02&amp;ps_school=" TargetMode="External"/><Relationship Id="rId12272" Type="http://schemas.openxmlformats.org/officeDocument/2006/relationships/hyperlink" Target="https://statiz.sporki.com/player/?m=playerinfo&amp;p_no=15643" TargetMode="External"/><Relationship Id="rId13323" Type="http://schemas.openxmlformats.org/officeDocument/2006/relationships/hyperlink" Target="https://statiz.sporki.com/player/?m=playerinfo&amp;p_no=12680" TargetMode="External"/><Relationship Id="rId16893" Type="http://schemas.openxmlformats.org/officeDocument/2006/relationships/hyperlink" Target="https://statiz.sporki.com/add/?m=draft_school01&amp;ps_school=50110" TargetMode="External"/><Relationship Id="rId17944" Type="http://schemas.openxmlformats.org/officeDocument/2006/relationships/hyperlink" Target="https://statiz.sporki.com/add/?m=draft_school01&amp;ps_school=50107" TargetMode="External"/><Relationship Id="rId303" Type="http://schemas.openxmlformats.org/officeDocument/2006/relationships/hyperlink" Target="https://statiz.sporki.com/add/?m=draft_school02&amp;ps_school=" TargetMode="External"/><Relationship Id="rId6952" Type="http://schemas.openxmlformats.org/officeDocument/2006/relationships/hyperlink" Target="https://statiz.sporki.com/player/?m=playerinfo&amp;p_no=10302" TargetMode="External"/><Relationship Id="rId15495" Type="http://schemas.openxmlformats.org/officeDocument/2006/relationships/hyperlink" Target="https://statiz.sporki.com/player/?m=playerinfo&amp;p_no=1583" TargetMode="External"/><Relationship Id="rId16546" Type="http://schemas.openxmlformats.org/officeDocument/2006/relationships/hyperlink" Target="https://statiz.sporki.com/add/?m=draft_school01&amp;ps_school=50118" TargetMode="External"/><Relationship Id="rId5554" Type="http://schemas.openxmlformats.org/officeDocument/2006/relationships/hyperlink" Target="https://statiz.sporki.com/player/?m=playerinfo&amp;p_no=10037" TargetMode="External"/><Relationship Id="rId6605" Type="http://schemas.openxmlformats.org/officeDocument/2006/relationships/hyperlink" Target="https://statiz.sporki.com/add/?m=draft_school01&amp;ps_school=50601" TargetMode="External"/><Relationship Id="rId14097" Type="http://schemas.openxmlformats.org/officeDocument/2006/relationships/hyperlink" Target="https://statiz.sporki.com/player/?m=playerinfo&amp;p_no=10621" TargetMode="External"/><Relationship Id="rId15148" Type="http://schemas.openxmlformats.org/officeDocument/2006/relationships/hyperlink" Target="https://statiz.sporki.com/player/?m=playerinfo&amp;p_no=2126" TargetMode="External"/><Relationship Id="rId4156" Type="http://schemas.openxmlformats.org/officeDocument/2006/relationships/hyperlink" Target="https://statiz.sporki.com/player/?m=playerinfo&amp;p_no=11244" TargetMode="External"/><Relationship Id="rId5207" Type="http://schemas.openxmlformats.org/officeDocument/2006/relationships/hyperlink" Target="https://statiz.sporki.com/add/?m=draft_school01&amp;ps_school=50101" TargetMode="External"/><Relationship Id="rId8777" Type="http://schemas.openxmlformats.org/officeDocument/2006/relationships/hyperlink" Target="https://statiz.sporki.com/add/?m=draft_school01&amp;ps_school=50106" TargetMode="External"/><Relationship Id="rId9828" Type="http://schemas.openxmlformats.org/officeDocument/2006/relationships/hyperlink" Target="https://statiz.sporki.com/add/?m=draft_school02&amp;ps_school=60703" TargetMode="External"/><Relationship Id="rId11758" Type="http://schemas.openxmlformats.org/officeDocument/2006/relationships/hyperlink" Target="https://statiz.sporki.com/player/?m=playerinfo&amp;p_no=1133" TargetMode="External"/><Relationship Id="rId1817" Type="http://schemas.openxmlformats.org/officeDocument/2006/relationships/hyperlink" Target="https://statiz.sporki.com/add/?m=draft_school01&amp;ps_school=50803" TargetMode="External"/><Relationship Id="rId7379" Type="http://schemas.openxmlformats.org/officeDocument/2006/relationships/hyperlink" Target="https://statiz.sporki.com/add/?m=draft_school01&amp;ps_school=50604" TargetMode="External"/><Relationship Id="rId12809" Type="http://schemas.openxmlformats.org/officeDocument/2006/relationships/hyperlink" Target="https://statiz.sporki.com/player/?m=playerinfo&amp;p_no=14139" TargetMode="External"/><Relationship Id="rId13180" Type="http://schemas.openxmlformats.org/officeDocument/2006/relationships/hyperlink" Target="https://statiz.sporki.com/player/?m=playerinfo&amp;p_no=12953" TargetMode="External"/><Relationship Id="rId14231" Type="http://schemas.openxmlformats.org/officeDocument/2006/relationships/hyperlink" Target="https://statiz.sporki.com/player/?m=playerinfo&amp;p_no=10626" TargetMode="External"/><Relationship Id="rId18852" Type="http://schemas.openxmlformats.org/officeDocument/2006/relationships/hyperlink" Target="https://statiz.sporki.com/add/?m=draft_school01&amp;ps_school=50110" TargetMode="External"/><Relationship Id="rId160" Type="http://schemas.openxmlformats.org/officeDocument/2006/relationships/hyperlink" Target="https://statiz.sporki.com/player/?m=playerinfo&amp;p_no=15455" TargetMode="External"/><Relationship Id="rId3989" Type="http://schemas.openxmlformats.org/officeDocument/2006/relationships/hyperlink" Target="https://statiz.sporki.com/add/?m=draft_school01&amp;ps_school=50208" TargetMode="External"/><Relationship Id="rId6462" Type="http://schemas.openxmlformats.org/officeDocument/2006/relationships/hyperlink" Target="https://statiz.sporki.com/add/?m=draft_school02&amp;ps_school=" TargetMode="External"/><Relationship Id="rId7860" Type="http://schemas.openxmlformats.org/officeDocument/2006/relationships/hyperlink" Target="https://statiz.sporki.com/add/?m=draft_school02&amp;ps_school=60113" TargetMode="External"/><Relationship Id="rId8911" Type="http://schemas.openxmlformats.org/officeDocument/2006/relationships/hyperlink" Target="https://statiz.sporki.com/player/?m=playerinfo&amp;p_no=2206" TargetMode="External"/><Relationship Id="rId10841" Type="http://schemas.openxmlformats.org/officeDocument/2006/relationships/hyperlink" Target="https://statiz.sporki.com/add/?m=draft_school01&amp;ps_school=50608" TargetMode="External"/><Relationship Id="rId16056" Type="http://schemas.openxmlformats.org/officeDocument/2006/relationships/hyperlink" Target="https://statiz.sporki.com/player/?m=playerinfo&amp;p_no=1026" TargetMode="External"/><Relationship Id="rId17454" Type="http://schemas.openxmlformats.org/officeDocument/2006/relationships/hyperlink" Target="https://statiz.sporki.com/add/?m=draft_school01&amp;ps_school=50706" TargetMode="External"/><Relationship Id="rId18505" Type="http://schemas.openxmlformats.org/officeDocument/2006/relationships/hyperlink" Target="https://statiz.sporki.com/add/?m=draft_school01&amp;ps_school=50502" TargetMode="External"/><Relationship Id="rId5064" Type="http://schemas.openxmlformats.org/officeDocument/2006/relationships/hyperlink" Target="https://statiz.sporki.com/add/?m=draft_school02&amp;ps_school=" TargetMode="External"/><Relationship Id="rId6115" Type="http://schemas.openxmlformats.org/officeDocument/2006/relationships/hyperlink" Target="https://statiz.sporki.com/player/?m=playerinfo&amp;p_no=10417" TargetMode="External"/><Relationship Id="rId7513" Type="http://schemas.openxmlformats.org/officeDocument/2006/relationships/hyperlink" Target="https://statiz.sporki.com/player/?m=playerinfo&amp;p_no=2268" TargetMode="External"/><Relationship Id="rId17107" Type="http://schemas.openxmlformats.org/officeDocument/2006/relationships/hyperlink" Target="https://statiz.sporki.com/add/?m=draft_school01&amp;ps_school=50602" TargetMode="External"/><Relationship Id="rId9685" Type="http://schemas.openxmlformats.org/officeDocument/2006/relationships/hyperlink" Target="https://statiz.sporki.com/player/?m=playerinfo&amp;p_no=1734" TargetMode="External"/><Relationship Id="rId12666" Type="http://schemas.openxmlformats.org/officeDocument/2006/relationships/hyperlink" Target="https://statiz.sporki.com/player/?m=playerinfo&amp;p_no=14586" TargetMode="External"/><Relationship Id="rId13717" Type="http://schemas.openxmlformats.org/officeDocument/2006/relationships/hyperlink" Target="https://statiz.sporki.com/player/?m=playerinfo&amp;p_no=12972" TargetMode="External"/><Relationship Id="rId19279" Type="http://schemas.openxmlformats.org/officeDocument/2006/relationships/hyperlink" Target="https://statiz.sporki.com/add/?m=draft_school01&amp;ps_school=50706" TargetMode="External"/><Relationship Id="rId1674" Type="http://schemas.openxmlformats.org/officeDocument/2006/relationships/hyperlink" Target="https://statiz.sporki.com/add/?m=draft_school02&amp;ps_school=" TargetMode="External"/><Relationship Id="rId2725" Type="http://schemas.openxmlformats.org/officeDocument/2006/relationships/hyperlink" Target="https://statiz.sporki.com/player/?m=playerinfo&amp;p_no=13259" TargetMode="External"/><Relationship Id="rId8287" Type="http://schemas.openxmlformats.org/officeDocument/2006/relationships/hyperlink" Target="https://statiz.sporki.com/player/?m=playerinfo&amp;p_no=10564" TargetMode="External"/><Relationship Id="rId9338" Type="http://schemas.openxmlformats.org/officeDocument/2006/relationships/hyperlink" Target="https://statiz.sporki.com/add/?m=draft_school01&amp;ps_school=50108" TargetMode="External"/><Relationship Id="rId11268" Type="http://schemas.openxmlformats.org/officeDocument/2006/relationships/hyperlink" Target="https://statiz.sporki.com/add/?m=draft_school02&amp;ps_school=" TargetMode="External"/><Relationship Id="rId12319" Type="http://schemas.openxmlformats.org/officeDocument/2006/relationships/hyperlink" Target="https://statiz.sporki.com/player/?m=playerinfo&amp;p_no=15014" TargetMode="External"/><Relationship Id="rId15889" Type="http://schemas.openxmlformats.org/officeDocument/2006/relationships/hyperlink" Target="https://statiz.sporki.com/player/?m=playerinfo&amp;p_no=1321" TargetMode="External"/><Relationship Id="rId1327" Type="http://schemas.openxmlformats.org/officeDocument/2006/relationships/hyperlink" Target="https://statiz.sporki.com/player/?m=playerinfo&amp;p_no=14990" TargetMode="External"/><Relationship Id="rId4897" Type="http://schemas.openxmlformats.org/officeDocument/2006/relationships/hyperlink" Target="https://statiz.sporki.com/player/?m=playerinfo&amp;p_no=10903" TargetMode="External"/><Relationship Id="rId5948" Type="http://schemas.openxmlformats.org/officeDocument/2006/relationships/hyperlink" Target="https://statiz.sporki.com/add/?m=draft_school01&amp;ps_school=" TargetMode="External"/><Relationship Id="rId18362" Type="http://schemas.openxmlformats.org/officeDocument/2006/relationships/hyperlink" Target="https://statiz.sporki.com/add/?m=draft_school01&amp;ps_school=50104" TargetMode="External"/><Relationship Id="rId19413" Type="http://schemas.openxmlformats.org/officeDocument/2006/relationships/hyperlink" Target="https://statiz.sporki.com/add/?m=draft_school01&amp;ps_school=50711" TargetMode="External"/><Relationship Id="rId33" Type="http://schemas.openxmlformats.org/officeDocument/2006/relationships/hyperlink" Target="https://statiz.sporki.com/add/?m=draft_school02&amp;ps_school=" TargetMode="External"/><Relationship Id="rId3499" Type="http://schemas.openxmlformats.org/officeDocument/2006/relationships/hyperlink" Target="https://statiz.sporki.com/player/?m=playerinfo&amp;p_no=12672" TargetMode="External"/><Relationship Id="rId7370" Type="http://schemas.openxmlformats.org/officeDocument/2006/relationships/hyperlink" Target="https://statiz.sporki.com/add/?m=draft_school01&amp;ps_school=50805" TargetMode="External"/><Relationship Id="rId8421" Type="http://schemas.openxmlformats.org/officeDocument/2006/relationships/hyperlink" Target="https://statiz.sporki.com/add/?m=draft_school02&amp;ps_school=60114" TargetMode="External"/><Relationship Id="rId12800" Type="http://schemas.openxmlformats.org/officeDocument/2006/relationships/hyperlink" Target="https://statiz.sporki.com/player/?m=playerinfo&amp;p_no=14158" TargetMode="External"/><Relationship Id="rId18015" Type="http://schemas.openxmlformats.org/officeDocument/2006/relationships/hyperlink" Target="https://statiz.sporki.com/add/?m=draft_school01&amp;ps_school=50116" TargetMode="External"/><Relationship Id="rId7023" Type="http://schemas.openxmlformats.org/officeDocument/2006/relationships/hyperlink" Target="https://statiz.sporki.com/add/?m=draft_school02&amp;ps_school=" TargetMode="External"/><Relationship Id="rId10351" Type="http://schemas.openxmlformats.org/officeDocument/2006/relationships/hyperlink" Target="https://statiz.sporki.com/player/?m=playerinfo&amp;p_no=1497" TargetMode="External"/><Relationship Id="rId11402" Type="http://schemas.openxmlformats.org/officeDocument/2006/relationships/hyperlink" Target="https://statiz.sporki.com/add/?m=draft_school01&amp;ps_school=50107" TargetMode="External"/><Relationship Id="rId14972" Type="http://schemas.openxmlformats.org/officeDocument/2006/relationships/hyperlink" Target="https://statiz.sporki.com/player/?m=playerinfo&amp;p_no=2245" TargetMode="External"/><Relationship Id="rId3980" Type="http://schemas.openxmlformats.org/officeDocument/2006/relationships/hyperlink" Target="https://statiz.sporki.com/add/?m=draft_school01&amp;ps_school=50502" TargetMode="External"/><Relationship Id="rId9195" Type="http://schemas.openxmlformats.org/officeDocument/2006/relationships/hyperlink" Target="https://statiz.sporki.com/add/?m=draft_school02&amp;ps_school=60109" TargetMode="External"/><Relationship Id="rId10004" Type="http://schemas.openxmlformats.org/officeDocument/2006/relationships/hyperlink" Target="https://statiz.sporki.com/add/?m=draft_school01&amp;ps_school=50403" TargetMode="External"/><Relationship Id="rId13574" Type="http://schemas.openxmlformats.org/officeDocument/2006/relationships/hyperlink" Target="https://statiz.sporki.com/player/?m=playerinfo&amp;p_no=12655" TargetMode="External"/><Relationship Id="rId14625" Type="http://schemas.openxmlformats.org/officeDocument/2006/relationships/hyperlink" Target="https://statiz.sporki.com/player/?m=playerinfo&amp;p_no=10378" TargetMode="External"/><Relationship Id="rId1184" Type="http://schemas.openxmlformats.org/officeDocument/2006/relationships/hyperlink" Target="https://statiz.sporki.com/add/?m=draft_school01&amp;ps_school=50801" TargetMode="External"/><Relationship Id="rId2582" Type="http://schemas.openxmlformats.org/officeDocument/2006/relationships/hyperlink" Target="https://statiz.sporki.com/add/?m=draft_school01&amp;ps_school=50802" TargetMode="External"/><Relationship Id="rId3633" Type="http://schemas.openxmlformats.org/officeDocument/2006/relationships/hyperlink" Target="https://statiz.sporki.com/add/?m=draft_school02&amp;ps_school=" TargetMode="External"/><Relationship Id="rId12176" Type="http://schemas.openxmlformats.org/officeDocument/2006/relationships/hyperlink" Target="https://statiz.sporki.com/player/?m=playerinfo&amp;p_no=15464" TargetMode="External"/><Relationship Id="rId13227" Type="http://schemas.openxmlformats.org/officeDocument/2006/relationships/hyperlink" Target="https://statiz.sporki.com/player/?m=playerinfo&amp;p_no=12605" TargetMode="External"/><Relationship Id="rId16797" Type="http://schemas.openxmlformats.org/officeDocument/2006/relationships/hyperlink" Target="https://statiz.sporki.com/add/?m=draft_school01&amp;ps_school=50804" TargetMode="External"/><Relationship Id="rId17848" Type="http://schemas.openxmlformats.org/officeDocument/2006/relationships/hyperlink" Target="https://statiz.sporki.com/add/?m=draft_school01&amp;ps_school=50301" TargetMode="External"/><Relationship Id="rId554" Type="http://schemas.openxmlformats.org/officeDocument/2006/relationships/hyperlink" Target="https://statiz.sporki.com/add/?m=draft_school01&amp;ps_school=50701" TargetMode="External"/><Relationship Id="rId2235" Type="http://schemas.openxmlformats.org/officeDocument/2006/relationships/hyperlink" Target="https://statiz.sporki.com/add/?m=draft_school02&amp;ps_school=" TargetMode="External"/><Relationship Id="rId6856" Type="http://schemas.openxmlformats.org/officeDocument/2006/relationships/hyperlink" Target="https://statiz.sporki.com/player/?m=playerinfo&amp;p_no=2371" TargetMode="External"/><Relationship Id="rId7907" Type="http://schemas.openxmlformats.org/officeDocument/2006/relationships/hyperlink" Target="https://statiz.sporki.com/add/?m=draft_school01&amp;ps_school=50805" TargetMode="External"/><Relationship Id="rId15399" Type="http://schemas.openxmlformats.org/officeDocument/2006/relationships/hyperlink" Target="https://statiz.sporki.com/player/?m=playerinfo&amp;p_no=1685" TargetMode="External"/><Relationship Id="rId19270" Type="http://schemas.openxmlformats.org/officeDocument/2006/relationships/hyperlink" Target="https://statiz.sporki.com/add/?m=draft_school01&amp;ps_school=50108" TargetMode="External"/><Relationship Id="rId207" Type="http://schemas.openxmlformats.org/officeDocument/2006/relationships/hyperlink" Target="https://statiz.sporki.com/add/?m=draft_school02&amp;ps_school=60803" TargetMode="External"/><Relationship Id="rId5458" Type="http://schemas.openxmlformats.org/officeDocument/2006/relationships/hyperlink" Target="https://statiz.sporki.com/player/?m=playerinfo&amp;p_no=10777" TargetMode="External"/><Relationship Id="rId6509" Type="http://schemas.openxmlformats.org/officeDocument/2006/relationships/hyperlink" Target="https://statiz.sporki.com/add/?m=draft_school01&amp;ps_school=50102" TargetMode="External"/><Relationship Id="rId12310" Type="http://schemas.openxmlformats.org/officeDocument/2006/relationships/hyperlink" Target="https://statiz.sporki.com/player/?m=playerinfo&amp;p_no=15057" TargetMode="External"/><Relationship Id="rId15880" Type="http://schemas.openxmlformats.org/officeDocument/2006/relationships/hyperlink" Target="https://statiz.sporki.com/player/?m=playerinfo&amp;p_no=1296" TargetMode="External"/><Relationship Id="rId16931" Type="http://schemas.openxmlformats.org/officeDocument/2006/relationships/hyperlink" Target="https://statiz.sporki.com/add/?m=draft_school01&amp;ps_school=50801" TargetMode="External"/><Relationship Id="rId3490" Type="http://schemas.openxmlformats.org/officeDocument/2006/relationships/hyperlink" Target="https://statiz.sporki.com/player/?m=playerinfo&amp;p_no=12508" TargetMode="External"/><Relationship Id="rId4541" Type="http://schemas.openxmlformats.org/officeDocument/2006/relationships/hyperlink" Target="https://statiz.sporki.com/add/?m=draft_school01&amp;ps_school=50103" TargetMode="External"/><Relationship Id="rId13084" Type="http://schemas.openxmlformats.org/officeDocument/2006/relationships/hyperlink" Target="https://statiz.sporki.com/player/?m=playerinfo&amp;p_no=12924" TargetMode="External"/><Relationship Id="rId14135" Type="http://schemas.openxmlformats.org/officeDocument/2006/relationships/hyperlink" Target="https://statiz.sporki.com/player/?m=playerinfo&amp;p_no=10476" TargetMode="External"/><Relationship Id="rId14482" Type="http://schemas.openxmlformats.org/officeDocument/2006/relationships/hyperlink" Target="https://statiz.sporki.com/player/?m=playerinfo&amp;p_no=10786" TargetMode="External"/><Relationship Id="rId15533" Type="http://schemas.openxmlformats.org/officeDocument/2006/relationships/hyperlink" Target="https://statiz.sporki.com/player/?m=playerinfo&amp;p_no=1565" TargetMode="External"/><Relationship Id="rId2092" Type="http://schemas.openxmlformats.org/officeDocument/2006/relationships/hyperlink" Target="https://statiz.sporki.com/player/?m=playerinfo&amp;p_no=14650" TargetMode="External"/><Relationship Id="rId3143" Type="http://schemas.openxmlformats.org/officeDocument/2006/relationships/hyperlink" Target="https://statiz.sporki.com/add/?m=draft_school01&amp;ps_school=50403" TargetMode="External"/><Relationship Id="rId18756" Type="http://schemas.openxmlformats.org/officeDocument/2006/relationships/hyperlink" Target="https://statiz.sporki.com/add/?m=draft_school01&amp;ps_school=50114" TargetMode="External"/><Relationship Id="rId7764" Type="http://schemas.openxmlformats.org/officeDocument/2006/relationships/hyperlink" Target="https://statiz.sporki.com/add/?m=draft_school02&amp;ps_school=" TargetMode="External"/><Relationship Id="rId8815" Type="http://schemas.openxmlformats.org/officeDocument/2006/relationships/hyperlink" Target="https://statiz.sporki.com/player/?m=playerinfo&amp;p_no=2122" TargetMode="External"/><Relationship Id="rId10745" Type="http://schemas.openxmlformats.org/officeDocument/2006/relationships/hyperlink" Target="https://statiz.sporki.com/add/?m=draft_school01&amp;ps_school=50401" TargetMode="External"/><Relationship Id="rId17358" Type="http://schemas.openxmlformats.org/officeDocument/2006/relationships/hyperlink" Target="https://statiz.sporki.com/add/?m=draft_school01&amp;ps_school=50105" TargetMode="External"/><Relationship Id="rId18409" Type="http://schemas.openxmlformats.org/officeDocument/2006/relationships/hyperlink" Target="https://statiz.sporki.com/add/?m=draft_school01&amp;ps_school=50602" TargetMode="External"/><Relationship Id="rId6366" Type="http://schemas.openxmlformats.org/officeDocument/2006/relationships/hyperlink" Target="https://statiz.sporki.com/add/?m=draft_school02&amp;ps_school=" TargetMode="External"/><Relationship Id="rId7417" Type="http://schemas.openxmlformats.org/officeDocument/2006/relationships/hyperlink" Target="https://statiz.sporki.com/player/?m=playerinfo&amp;p_no=10762" TargetMode="External"/><Relationship Id="rId13968" Type="http://schemas.openxmlformats.org/officeDocument/2006/relationships/hyperlink" Target="https://statiz.sporki.com/player/?m=playerinfo&amp;p_no=10374" TargetMode="External"/><Relationship Id="rId2976" Type="http://schemas.openxmlformats.org/officeDocument/2006/relationships/hyperlink" Target="https://statiz.sporki.com/add/?m=draft_school02&amp;ps_school=60113" TargetMode="External"/><Relationship Id="rId6019" Type="http://schemas.openxmlformats.org/officeDocument/2006/relationships/hyperlink" Target="https://statiz.sporki.com/player/?m=playerinfo&amp;p_no=12516" TargetMode="External"/><Relationship Id="rId9589" Type="http://schemas.openxmlformats.org/officeDocument/2006/relationships/hyperlink" Target="https://statiz.sporki.com/player/?m=playerinfo&amp;p_no=13285" TargetMode="External"/><Relationship Id="rId15390" Type="http://schemas.openxmlformats.org/officeDocument/2006/relationships/hyperlink" Target="https://statiz.sporki.com/player/?m=playerinfo&amp;p_no=1770" TargetMode="External"/><Relationship Id="rId16441" Type="http://schemas.openxmlformats.org/officeDocument/2006/relationships/hyperlink" Target="https://statiz.sporki.com/add/?m=draft_school01&amp;ps_school=51130" TargetMode="External"/><Relationship Id="rId948" Type="http://schemas.openxmlformats.org/officeDocument/2006/relationships/hyperlink" Target="https://statiz.sporki.com/add/?m=draft_school02&amp;ps_school=60902" TargetMode="External"/><Relationship Id="rId1578" Type="http://schemas.openxmlformats.org/officeDocument/2006/relationships/hyperlink" Target="https://statiz.sporki.com/add/?m=draft_school02&amp;ps_school=" TargetMode="External"/><Relationship Id="rId2629" Type="http://schemas.openxmlformats.org/officeDocument/2006/relationships/hyperlink" Target="https://statiz.sporki.com/player/?m=playerinfo&amp;p_no=13063" TargetMode="External"/><Relationship Id="rId6500" Type="http://schemas.openxmlformats.org/officeDocument/2006/relationships/hyperlink" Target="https://statiz.sporki.com/add/?m=draft_school01&amp;ps_school=50805" TargetMode="External"/><Relationship Id="rId15043" Type="http://schemas.openxmlformats.org/officeDocument/2006/relationships/hyperlink" Target="https://statiz.sporki.com/player/?m=playerinfo&amp;p_no=2110" TargetMode="External"/><Relationship Id="rId4051" Type="http://schemas.openxmlformats.org/officeDocument/2006/relationships/hyperlink" Target="https://statiz.sporki.com/player/?m=playerinfo&amp;p_no=11328" TargetMode="External"/><Relationship Id="rId5102" Type="http://schemas.openxmlformats.org/officeDocument/2006/relationships/hyperlink" Target="https://statiz.sporki.com/add/?m=draft_school01&amp;ps_school=50116" TargetMode="External"/><Relationship Id="rId8672" Type="http://schemas.openxmlformats.org/officeDocument/2006/relationships/hyperlink" Target="https://statiz.sporki.com/add/?m=draft_school01&amp;ps_school=50112" TargetMode="External"/><Relationship Id="rId18266" Type="http://schemas.openxmlformats.org/officeDocument/2006/relationships/hyperlink" Target="https://statiz.sporki.com/add/?m=draft_school01&amp;ps_school=50303" TargetMode="External"/><Relationship Id="rId19664" Type="http://schemas.openxmlformats.org/officeDocument/2006/relationships/hyperlink" Target="https://statiz.sporki.com/add/?m=draft_school01&amp;ps_school=50501" TargetMode="External"/><Relationship Id="rId7274" Type="http://schemas.openxmlformats.org/officeDocument/2006/relationships/hyperlink" Target="https://statiz.sporki.com/add/?m=draft_school01&amp;ps_school=" TargetMode="External"/><Relationship Id="rId8325" Type="http://schemas.openxmlformats.org/officeDocument/2006/relationships/hyperlink" Target="https://statiz.sporki.com/add/?m=draft_school02&amp;ps_school=60104" TargetMode="External"/><Relationship Id="rId9723" Type="http://schemas.openxmlformats.org/officeDocument/2006/relationships/hyperlink" Target="https://statiz.sporki.com/add/?m=draft_school02&amp;ps_school=" TargetMode="External"/><Relationship Id="rId11653" Type="http://schemas.openxmlformats.org/officeDocument/2006/relationships/hyperlink" Target="https://statiz.sporki.com/player/?m=playerinfo&amp;p_no=1168" TargetMode="External"/><Relationship Id="rId12704" Type="http://schemas.openxmlformats.org/officeDocument/2006/relationships/hyperlink" Target="https://statiz.sporki.com/player/?m=playerinfo&amp;p_no=14665" TargetMode="External"/><Relationship Id="rId19317" Type="http://schemas.openxmlformats.org/officeDocument/2006/relationships/hyperlink" Target="https://statiz.sporki.com/add/?m=draft_school01&amp;ps_school=50114" TargetMode="External"/><Relationship Id="rId1712" Type="http://schemas.openxmlformats.org/officeDocument/2006/relationships/hyperlink" Target="https://statiz.sporki.com/add/?m=draft_school01&amp;ps_school=" TargetMode="External"/><Relationship Id="rId10255" Type="http://schemas.openxmlformats.org/officeDocument/2006/relationships/hyperlink" Target="https://statiz.sporki.com/player/?m=playerinfo&amp;p_no=1706" TargetMode="External"/><Relationship Id="rId11306" Type="http://schemas.openxmlformats.org/officeDocument/2006/relationships/hyperlink" Target="https://statiz.sporki.com/add/?m=draft_school01&amp;ps_school=50805" TargetMode="External"/><Relationship Id="rId14876" Type="http://schemas.openxmlformats.org/officeDocument/2006/relationships/hyperlink" Target="https://statiz.sporki.com/player/?m=playerinfo&amp;p_no=11474" TargetMode="External"/><Relationship Id="rId15927" Type="http://schemas.openxmlformats.org/officeDocument/2006/relationships/hyperlink" Target="https://statiz.sporki.com/player/?m=playerinfo&amp;p_no=1250" TargetMode="External"/><Relationship Id="rId3884" Type="http://schemas.openxmlformats.org/officeDocument/2006/relationships/hyperlink" Target="https://statiz.sporki.com/add/?m=draft_school01&amp;ps_school=50705" TargetMode="External"/><Relationship Id="rId4935" Type="http://schemas.openxmlformats.org/officeDocument/2006/relationships/hyperlink" Target="https://statiz.sporki.com/add/?m=draft_school02&amp;ps_school=" TargetMode="External"/><Relationship Id="rId9099" Type="http://schemas.openxmlformats.org/officeDocument/2006/relationships/hyperlink" Target="https://statiz.sporki.com/add/?m=draft_school02&amp;ps_school=60109" TargetMode="External"/><Relationship Id="rId13478" Type="http://schemas.openxmlformats.org/officeDocument/2006/relationships/hyperlink" Target="https://statiz.sporki.com/player/?m=playerinfo&amp;p_no=11492" TargetMode="External"/><Relationship Id="rId14529" Type="http://schemas.openxmlformats.org/officeDocument/2006/relationships/hyperlink" Target="https://statiz.sporki.com/player/?m=playerinfo&amp;p_no=10288" TargetMode="External"/><Relationship Id="rId18400" Type="http://schemas.openxmlformats.org/officeDocument/2006/relationships/hyperlink" Target="https://statiz.sporki.com/add/?m=draft_school01&amp;ps_school=50904" TargetMode="External"/><Relationship Id="rId2486" Type="http://schemas.openxmlformats.org/officeDocument/2006/relationships/hyperlink" Target="https://statiz.sporki.com/add/?m=draft_school01&amp;ps_school=50701" TargetMode="External"/><Relationship Id="rId3537" Type="http://schemas.openxmlformats.org/officeDocument/2006/relationships/hyperlink" Target="https://statiz.sporki.com/add/?m=draft_school02&amp;ps_school=" TargetMode="External"/><Relationship Id="rId17002" Type="http://schemas.openxmlformats.org/officeDocument/2006/relationships/hyperlink" Target="https://statiz.sporki.com/add/?m=draft_school01&amp;ps_school=50802" TargetMode="External"/><Relationship Id="rId458" Type="http://schemas.openxmlformats.org/officeDocument/2006/relationships/hyperlink" Target="https://statiz.sporki.com/add/?m=draft_school01&amp;ps_school=50301" TargetMode="External"/><Relationship Id="rId1088" Type="http://schemas.openxmlformats.org/officeDocument/2006/relationships/hyperlink" Target="https://statiz.sporki.com/add/?m=draft_school01&amp;ps_school=50809" TargetMode="External"/><Relationship Id="rId2139" Type="http://schemas.openxmlformats.org/officeDocument/2006/relationships/hyperlink" Target="https://statiz.sporki.com/add/?m=draft_school02&amp;ps_school=" TargetMode="External"/><Relationship Id="rId6010" Type="http://schemas.openxmlformats.org/officeDocument/2006/relationships/hyperlink" Target="https://statiz.sporki.com/player/?m=playerinfo&amp;p_no=11401" TargetMode="External"/><Relationship Id="rId9580" Type="http://schemas.openxmlformats.org/officeDocument/2006/relationships/hyperlink" Target="https://statiz.sporki.com/player/?m=playerinfo&amp;p_no=1759" TargetMode="External"/><Relationship Id="rId19174" Type="http://schemas.openxmlformats.org/officeDocument/2006/relationships/hyperlink" Target="https://statiz.sporki.com/add/?m=draft_school01&amp;ps_school=50804" TargetMode="External"/><Relationship Id="rId2620" Type="http://schemas.openxmlformats.org/officeDocument/2006/relationships/hyperlink" Target="https://statiz.sporki.com/player/?m=playerinfo&amp;p_no=13062" TargetMode="External"/><Relationship Id="rId8182" Type="http://schemas.openxmlformats.org/officeDocument/2006/relationships/hyperlink" Target="https://statiz.sporki.com/player/?m=playerinfo&amp;p_no=2288" TargetMode="External"/><Relationship Id="rId9233" Type="http://schemas.openxmlformats.org/officeDocument/2006/relationships/hyperlink" Target="https://statiz.sporki.com/add/?m=draft_school01&amp;ps_school=50108" TargetMode="External"/><Relationship Id="rId11163" Type="http://schemas.openxmlformats.org/officeDocument/2006/relationships/hyperlink" Target="https://statiz.sporki.com/add/?m=draft_school02&amp;ps_school=" TargetMode="External"/><Relationship Id="rId12214" Type="http://schemas.openxmlformats.org/officeDocument/2006/relationships/hyperlink" Target="https://statiz.sporki.com/player/?m=playerinfo&amp;p_no=15446" TargetMode="External"/><Relationship Id="rId12561" Type="http://schemas.openxmlformats.org/officeDocument/2006/relationships/hyperlink" Target="https://statiz.sporki.com/player/?m=playerinfo&amp;p_no=14884" TargetMode="External"/><Relationship Id="rId13612" Type="http://schemas.openxmlformats.org/officeDocument/2006/relationships/hyperlink" Target="https://statiz.sporki.com/player/?m=playerinfo&amp;p_no=11370" TargetMode="External"/><Relationship Id="rId1222" Type="http://schemas.openxmlformats.org/officeDocument/2006/relationships/hyperlink" Target="https://statiz.sporki.com/player/?m=playerinfo&amp;p_no=14871" TargetMode="External"/><Relationship Id="rId15784" Type="http://schemas.openxmlformats.org/officeDocument/2006/relationships/hyperlink" Target="https://statiz.sporki.com/player/?m=playerinfo&amp;p_no=1474" TargetMode="External"/><Relationship Id="rId16835" Type="http://schemas.openxmlformats.org/officeDocument/2006/relationships/hyperlink" Target="https://statiz.sporki.com/add/?m=draft_school01&amp;ps_school=50214" TargetMode="External"/><Relationship Id="rId3394" Type="http://schemas.openxmlformats.org/officeDocument/2006/relationships/hyperlink" Target="https://statiz.sporki.com/player/?m=playerinfo&amp;p_no=12555" TargetMode="External"/><Relationship Id="rId4792" Type="http://schemas.openxmlformats.org/officeDocument/2006/relationships/hyperlink" Target="https://statiz.sporki.com/player/?m=playerinfo&amp;p_no=10707" TargetMode="External"/><Relationship Id="rId5843" Type="http://schemas.openxmlformats.org/officeDocument/2006/relationships/hyperlink" Target="https://statiz.sporki.com/add/?m=draft_school01&amp;ps_school=50208" TargetMode="External"/><Relationship Id="rId14386" Type="http://schemas.openxmlformats.org/officeDocument/2006/relationships/hyperlink" Target="https://statiz.sporki.com/player/?m=playerinfo&amp;p_no=10852" TargetMode="External"/><Relationship Id="rId15437" Type="http://schemas.openxmlformats.org/officeDocument/2006/relationships/hyperlink" Target="https://statiz.sporki.com/player/?m=playerinfo&amp;p_no=1669" TargetMode="External"/><Relationship Id="rId3047" Type="http://schemas.openxmlformats.org/officeDocument/2006/relationships/hyperlink" Target="https://statiz.sporki.com/add/?m=draft_school01&amp;ps_school=50108" TargetMode="External"/><Relationship Id="rId4445" Type="http://schemas.openxmlformats.org/officeDocument/2006/relationships/hyperlink" Target="https://statiz.sporki.com/add/?m=draft_school01&amp;ps_school=50111" TargetMode="External"/><Relationship Id="rId10996" Type="http://schemas.openxmlformats.org/officeDocument/2006/relationships/hyperlink" Target="https://statiz.sporki.com/player/?m=playerinfo&amp;p_no=1420" TargetMode="External"/><Relationship Id="rId14039" Type="http://schemas.openxmlformats.org/officeDocument/2006/relationships/hyperlink" Target="https://statiz.sporki.com/player/?m=playerinfo&amp;p_no=11466" TargetMode="External"/><Relationship Id="rId7668" Type="http://schemas.openxmlformats.org/officeDocument/2006/relationships/hyperlink" Target="https://statiz.sporki.com/add/?m=draft_school02&amp;ps_school=60204" TargetMode="External"/><Relationship Id="rId8719" Type="http://schemas.openxmlformats.org/officeDocument/2006/relationships/hyperlink" Target="https://statiz.sporki.com/player/?m=playerinfo&amp;p_no=2009" TargetMode="External"/><Relationship Id="rId10649" Type="http://schemas.openxmlformats.org/officeDocument/2006/relationships/hyperlink" Target="https://statiz.sporki.com/add/?m=draft_school01&amp;ps_school=50802" TargetMode="External"/><Relationship Id="rId14520" Type="http://schemas.openxmlformats.org/officeDocument/2006/relationships/hyperlink" Target="https://statiz.sporki.com/player/?m=playerinfo&amp;p_no=10152" TargetMode="External"/><Relationship Id="rId9090" Type="http://schemas.openxmlformats.org/officeDocument/2006/relationships/hyperlink" Target="https://statiz.sporki.com/add/?m=draft_school02&amp;ps_school=60201" TargetMode="External"/><Relationship Id="rId12071" Type="http://schemas.openxmlformats.org/officeDocument/2006/relationships/hyperlink" Target="https://statiz.sporki.com/add/?m=draft_school01&amp;ps_school=50701" TargetMode="External"/><Relationship Id="rId13122" Type="http://schemas.openxmlformats.org/officeDocument/2006/relationships/hyperlink" Target="https://statiz.sporki.com/player/?m=playerinfo&amp;p_no=12929" TargetMode="External"/><Relationship Id="rId2130" Type="http://schemas.openxmlformats.org/officeDocument/2006/relationships/hyperlink" Target="https://statiz.sporki.com/add/?m=draft_school02&amp;ps_school=" TargetMode="External"/><Relationship Id="rId6751" Type="http://schemas.openxmlformats.org/officeDocument/2006/relationships/hyperlink" Target="https://statiz.sporki.com/player/?m=playerinfo&amp;p_no=2411" TargetMode="External"/><Relationship Id="rId15294" Type="http://schemas.openxmlformats.org/officeDocument/2006/relationships/hyperlink" Target="https://statiz.sporki.com/player/?m=playerinfo&amp;p_no=1827" TargetMode="External"/><Relationship Id="rId16345" Type="http://schemas.openxmlformats.org/officeDocument/2006/relationships/hyperlink" Target="https://statiz.sporki.com/add/?m=draft_school01&amp;ps_school=50117" TargetMode="External"/><Relationship Id="rId16692" Type="http://schemas.openxmlformats.org/officeDocument/2006/relationships/hyperlink" Target="https://statiz.sporki.com/add/?m=draft_school01&amp;ps_school=50806" TargetMode="External"/><Relationship Id="rId17743" Type="http://schemas.openxmlformats.org/officeDocument/2006/relationships/hyperlink" Target="https://statiz.sporki.com/add/?m=draft_school01&amp;ps_school=50402" TargetMode="External"/><Relationship Id="rId102" Type="http://schemas.openxmlformats.org/officeDocument/2006/relationships/hyperlink" Target="https://statiz.sporki.com/add/?m=draft_school02&amp;ps_school=" TargetMode="External"/><Relationship Id="rId5353" Type="http://schemas.openxmlformats.org/officeDocument/2006/relationships/hyperlink" Target="https://statiz.sporki.com/player/?m=playerinfo&amp;p_no=10730" TargetMode="External"/><Relationship Id="rId6404" Type="http://schemas.openxmlformats.org/officeDocument/2006/relationships/hyperlink" Target="https://statiz.sporki.com/add/?m=draft_school01&amp;ps_school=50401" TargetMode="External"/><Relationship Id="rId7802" Type="http://schemas.openxmlformats.org/officeDocument/2006/relationships/hyperlink" Target="https://statiz.sporki.com/add/?m=draft_school01&amp;ps_school=50802" TargetMode="External"/><Relationship Id="rId5006" Type="http://schemas.openxmlformats.org/officeDocument/2006/relationships/hyperlink" Target="https://statiz.sporki.com/add/?m=draft_school01&amp;ps_school=50601" TargetMode="External"/><Relationship Id="rId9974" Type="http://schemas.openxmlformats.org/officeDocument/2006/relationships/hyperlink" Target="https://statiz.sporki.com/add/?m=draft_school01&amp;ps_school=50602" TargetMode="External"/><Relationship Id="rId12955" Type="http://schemas.openxmlformats.org/officeDocument/2006/relationships/hyperlink" Target="https://statiz.sporki.com/player/?m=playerinfo&amp;p_no=13118" TargetMode="External"/><Relationship Id="rId19568" Type="http://schemas.openxmlformats.org/officeDocument/2006/relationships/hyperlink" Target="https://statiz.sporki.com/add/?m=draft_school01&amp;ps_school=50109" TargetMode="External"/><Relationship Id="rId1963" Type="http://schemas.openxmlformats.org/officeDocument/2006/relationships/hyperlink" Target="https://statiz.sporki.com/player/?m=playerinfo&amp;p_no=14127" TargetMode="External"/><Relationship Id="rId7178" Type="http://schemas.openxmlformats.org/officeDocument/2006/relationships/hyperlink" Target="https://statiz.sporki.com/add/?m=draft_school01&amp;ps_school=50107" TargetMode="External"/><Relationship Id="rId8576" Type="http://schemas.openxmlformats.org/officeDocument/2006/relationships/hyperlink" Target="https://statiz.sporki.com/add/?m=draft_school01&amp;ps_school=50106" TargetMode="External"/><Relationship Id="rId9627" Type="http://schemas.openxmlformats.org/officeDocument/2006/relationships/hyperlink" Target="https://statiz.sporki.com/add/?m=draft_school02&amp;ps_school=60803" TargetMode="External"/><Relationship Id="rId11557" Type="http://schemas.openxmlformats.org/officeDocument/2006/relationships/hyperlink" Target="https://statiz.sporki.com/player/?m=playerinfo&amp;p_no=1151" TargetMode="External"/><Relationship Id="rId12608" Type="http://schemas.openxmlformats.org/officeDocument/2006/relationships/hyperlink" Target="https://statiz.sporki.com/player/?m=playerinfo&amp;p_no=14624" TargetMode="External"/><Relationship Id="rId1616" Type="http://schemas.openxmlformats.org/officeDocument/2006/relationships/hyperlink" Target="https://statiz.sporki.com/add/?m=draft_school01&amp;ps_school=50107" TargetMode="External"/><Relationship Id="rId8229" Type="http://schemas.openxmlformats.org/officeDocument/2006/relationships/hyperlink" Target="https://statiz.sporki.com/add/?m=draft_school02&amp;ps_school=60103" TargetMode="External"/><Relationship Id="rId10159" Type="http://schemas.openxmlformats.org/officeDocument/2006/relationships/hyperlink" Target="https://statiz.sporki.com/player/?m=playerinfo&amp;p_no=1750" TargetMode="External"/><Relationship Id="rId14030" Type="http://schemas.openxmlformats.org/officeDocument/2006/relationships/hyperlink" Target="https://statiz.sporki.com/player/?m=playerinfo&amp;p_no=10499" TargetMode="External"/><Relationship Id="rId18651" Type="http://schemas.openxmlformats.org/officeDocument/2006/relationships/hyperlink" Target="https://statiz.sporki.com/add/?m=draft_school01&amp;ps_school=50803" TargetMode="External"/><Relationship Id="rId3788" Type="http://schemas.openxmlformats.org/officeDocument/2006/relationships/hyperlink" Target="https://statiz.sporki.com/add/?m=draft_school01&amp;ps_school=50705" TargetMode="External"/><Relationship Id="rId4839" Type="http://schemas.openxmlformats.org/officeDocument/2006/relationships/hyperlink" Target="https://statiz.sporki.com/add/?m=draft_school02&amp;ps_school=" TargetMode="External"/><Relationship Id="rId8710" Type="http://schemas.openxmlformats.org/officeDocument/2006/relationships/hyperlink" Target="https://statiz.sporki.com/player/?m=playerinfo&amp;p_no=2172" TargetMode="External"/><Relationship Id="rId17253" Type="http://schemas.openxmlformats.org/officeDocument/2006/relationships/hyperlink" Target="https://statiz.sporki.com/add/?m=draft_school01&amp;ps_school=50114" TargetMode="External"/><Relationship Id="rId18304" Type="http://schemas.openxmlformats.org/officeDocument/2006/relationships/hyperlink" Target="https://statiz.sporki.com/add/?m=draft_school01&amp;ps_school=50602" TargetMode="External"/><Relationship Id="rId6261" Type="http://schemas.openxmlformats.org/officeDocument/2006/relationships/hyperlink" Target="https://statiz.sporki.com/add/?m=draft_school02&amp;ps_school=" TargetMode="External"/><Relationship Id="rId7312" Type="http://schemas.openxmlformats.org/officeDocument/2006/relationships/hyperlink" Target="https://statiz.sporki.com/player/?m=playerinfo&amp;p_no=2415" TargetMode="External"/><Relationship Id="rId10640" Type="http://schemas.openxmlformats.org/officeDocument/2006/relationships/hyperlink" Target="https://statiz.sporki.com/add/?m=draft_school01&amp;ps_school=50501" TargetMode="External"/><Relationship Id="rId9484" Type="http://schemas.openxmlformats.org/officeDocument/2006/relationships/hyperlink" Target="https://statiz.sporki.com/player/?m=playerinfo&amp;p_no=1811" TargetMode="External"/><Relationship Id="rId13863" Type="http://schemas.openxmlformats.org/officeDocument/2006/relationships/hyperlink" Target="https://statiz.sporki.com/player/?m=playerinfo&amp;p_no=10680" TargetMode="External"/><Relationship Id="rId14914" Type="http://schemas.openxmlformats.org/officeDocument/2006/relationships/hyperlink" Target="https://statiz.sporki.com/player/?m=playerinfo&amp;p_no=2021" TargetMode="External"/><Relationship Id="rId19078" Type="http://schemas.openxmlformats.org/officeDocument/2006/relationships/hyperlink" Target="https://statiz.sporki.com/add/?m=draft_school01&amp;ps_school=50807" TargetMode="External"/><Relationship Id="rId1473" Type="http://schemas.openxmlformats.org/officeDocument/2006/relationships/hyperlink" Target="https://statiz.sporki.com/add/?m=draft_school02&amp;ps_school=" TargetMode="External"/><Relationship Id="rId2871" Type="http://schemas.openxmlformats.org/officeDocument/2006/relationships/hyperlink" Target="https://statiz.sporki.com/add/?m=draft_school02&amp;ps_school=" TargetMode="External"/><Relationship Id="rId3922" Type="http://schemas.openxmlformats.org/officeDocument/2006/relationships/hyperlink" Target="https://statiz.sporki.com/player/?m=playerinfo&amp;p_no=11372" TargetMode="External"/><Relationship Id="rId8086" Type="http://schemas.openxmlformats.org/officeDocument/2006/relationships/hyperlink" Target="https://statiz.sporki.com/player/?m=playerinfo&amp;p_no=2104" TargetMode="External"/><Relationship Id="rId9137" Type="http://schemas.openxmlformats.org/officeDocument/2006/relationships/hyperlink" Target="https://statiz.sporki.com/add/?m=draft_school01&amp;ps_school=50802" TargetMode="External"/><Relationship Id="rId12465" Type="http://schemas.openxmlformats.org/officeDocument/2006/relationships/hyperlink" Target="https://statiz.sporki.com/player/?m=playerinfo&amp;p_no=14771" TargetMode="External"/><Relationship Id="rId13516" Type="http://schemas.openxmlformats.org/officeDocument/2006/relationships/hyperlink" Target="https://statiz.sporki.com/player/?m=playerinfo&amp;p_no=11213" TargetMode="External"/><Relationship Id="rId843" Type="http://schemas.openxmlformats.org/officeDocument/2006/relationships/hyperlink" Target="https://statiz.sporki.com/add/?m=draft_school02&amp;ps_school=61127" TargetMode="External"/><Relationship Id="rId1126" Type="http://schemas.openxmlformats.org/officeDocument/2006/relationships/hyperlink" Target="https://statiz.sporki.com/player/?m=playerinfo&amp;p_no=14863" TargetMode="External"/><Relationship Id="rId2524" Type="http://schemas.openxmlformats.org/officeDocument/2006/relationships/hyperlink" Target="https://statiz.sporki.com/player/?m=playerinfo&amp;p_no=13163" TargetMode="External"/><Relationship Id="rId11067" Type="http://schemas.openxmlformats.org/officeDocument/2006/relationships/hyperlink" Target="https://statiz.sporki.com/add/?m=draft_school02&amp;ps_school=" TargetMode="External"/><Relationship Id="rId12118" Type="http://schemas.openxmlformats.org/officeDocument/2006/relationships/hyperlink" Target="https://statiz.sporki.com/player/?m=playerinfo&amp;p_no=1010" TargetMode="External"/><Relationship Id="rId15688" Type="http://schemas.openxmlformats.org/officeDocument/2006/relationships/hyperlink" Target="https://statiz.sporki.com/player/?m=playerinfo&amp;p_no=1464" TargetMode="External"/><Relationship Id="rId16739" Type="http://schemas.openxmlformats.org/officeDocument/2006/relationships/hyperlink" Target="https://statiz.sporki.com/add/?m=draft_school01&amp;ps_school=50101" TargetMode="External"/><Relationship Id="rId4696" Type="http://schemas.openxmlformats.org/officeDocument/2006/relationships/hyperlink" Target="https://statiz.sporki.com/player/?m=playerinfo&amp;p_no=11113" TargetMode="External"/><Relationship Id="rId5747" Type="http://schemas.openxmlformats.org/officeDocument/2006/relationships/hyperlink" Target="https://statiz.sporki.com/add/?m=draft_school01&amp;ps_school=50805" TargetMode="External"/><Relationship Id="rId18161" Type="http://schemas.openxmlformats.org/officeDocument/2006/relationships/hyperlink" Target="https://statiz.sporki.com/add/?m=draft_school01&amp;ps_school=50105" TargetMode="External"/><Relationship Id="rId19212" Type="http://schemas.openxmlformats.org/officeDocument/2006/relationships/hyperlink" Target="https://statiz.sporki.com/add/?m=draft_school01&amp;ps_school=50602" TargetMode="External"/><Relationship Id="rId3298" Type="http://schemas.openxmlformats.org/officeDocument/2006/relationships/hyperlink" Target="https://statiz.sporki.com/player/?m=playerinfo&amp;p_no=12538" TargetMode="External"/><Relationship Id="rId4349" Type="http://schemas.openxmlformats.org/officeDocument/2006/relationships/hyperlink" Target="https://statiz.sporki.com/add/?m=draft_school01&amp;ps_school=" TargetMode="External"/><Relationship Id="rId8220" Type="http://schemas.openxmlformats.org/officeDocument/2006/relationships/hyperlink" Target="https://statiz.sporki.com/add/?m=draft_school02&amp;ps_school=" TargetMode="External"/><Relationship Id="rId10150" Type="http://schemas.openxmlformats.org/officeDocument/2006/relationships/hyperlink" Target="https://statiz.sporki.com/player/?m=playerinfo&amp;p_no=1635" TargetMode="External"/><Relationship Id="rId11201" Type="http://schemas.openxmlformats.org/officeDocument/2006/relationships/hyperlink" Target="https://statiz.sporki.com/add/?m=draft_school01&amp;ps_school=" TargetMode="External"/><Relationship Id="rId4830" Type="http://schemas.openxmlformats.org/officeDocument/2006/relationships/hyperlink" Target="https://statiz.sporki.com/add/?m=draft_school02&amp;ps_school=60803" TargetMode="External"/><Relationship Id="rId13373" Type="http://schemas.openxmlformats.org/officeDocument/2006/relationships/hyperlink" Target="https://statiz.sporki.com/player/?m=playerinfo&amp;p_no=11373" TargetMode="External"/><Relationship Id="rId14424" Type="http://schemas.openxmlformats.org/officeDocument/2006/relationships/hyperlink" Target="https://statiz.sporki.com/player/?m=playerinfo&amp;p_no=2355" TargetMode="External"/><Relationship Id="rId14771" Type="http://schemas.openxmlformats.org/officeDocument/2006/relationships/hyperlink" Target="https://statiz.sporki.com/player/?m=playerinfo&amp;p_no=2317" TargetMode="External"/><Relationship Id="rId15822" Type="http://schemas.openxmlformats.org/officeDocument/2006/relationships/hyperlink" Target="https://statiz.sporki.com/player/?m=playerinfo&amp;p_no=1387" TargetMode="External"/><Relationship Id="rId2381" Type="http://schemas.openxmlformats.org/officeDocument/2006/relationships/hyperlink" Target="https://statiz.sporki.com/add/?m=draft_school01&amp;ps_school=50805" TargetMode="External"/><Relationship Id="rId3432" Type="http://schemas.openxmlformats.org/officeDocument/2006/relationships/hyperlink" Target="https://statiz.sporki.com/add/?m=draft_school02&amp;ps_school=" TargetMode="External"/><Relationship Id="rId13026" Type="http://schemas.openxmlformats.org/officeDocument/2006/relationships/hyperlink" Target="https://statiz.sporki.com/player/?m=playerinfo&amp;p_no=13069" TargetMode="External"/><Relationship Id="rId17994" Type="http://schemas.openxmlformats.org/officeDocument/2006/relationships/hyperlink" Target="https://statiz.sporki.com/add/?m=draft_school01&amp;ps_school=50111" TargetMode="External"/><Relationship Id="rId353" Type="http://schemas.openxmlformats.org/officeDocument/2006/relationships/hyperlink" Target="https://statiz.sporki.com/add/?m=draft_school01&amp;ps_school=" TargetMode="External"/><Relationship Id="rId2034" Type="http://schemas.openxmlformats.org/officeDocument/2006/relationships/hyperlink" Target="https://statiz.sporki.com/add/?m=draft_school02&amp;ps_school=60104" TargetMode="External"/><Relationship Id="rId15198" Type="http://schemas.openxmlformats.org/officeDocument/2006/relationships/hyperlink" Target="https://statiz.sporki.com/player/?m=playerinfo&amp;p_no=1878" TargetMode="External"/><Relationship Id="rId16596" Type="http://schemas.openxmlformats.org/officeDocument/2006/relationships/hyperlink" Target="https://statiz.sporki.com/add/?m=draft_school01&amp;ps_school=50807" TargetMode="External"/><Relationship Id="rId17647" Type="http://schemas.openxmlformats.org/officeDocument/2006/relationships/hyperlink" Target="https://statiz.sporki.com/add/?m=draft_school01&amp;ps_school=50109" TargetMode="External"/><Relationship Id="rId5257" Type="http://schemas.openxmlformats.org/officeDocument/2006/relationships/hyperlink" Target="https://statiz.sporki.com/player/?m=playerinfo&amp;p_no=10640" TargetMode="External"/><Relationship Id="rId6655" Type="http://schemas.openxmlformats.org/officeDocument/2006/relationships/hyperlink" Target="https://statiz.sporki.com/player/?m=playerinfo&amp;p_no=2380" TargetMode="External"/><Relationship Id="rId7706" Type="http://schemas.openxmlformats.org/officeDocument/2006/relationships/hyperlink" Target="https://statiz.sporki.com/add/?m=draft_school01&amp;ps_school=" TargetMode="External"/><Relationship Id="rId16249" Type="http://schemas.openxmlformats.org/officeDocument/2006/relationships/hyperlink" Target="https://statiz.sporki.com/add/?m=draft_school01&amp;ps_school=50402" TargetMode="External"/><Relationship Id="rId6308" Type="http://schemas.openxmlformats.org/officeDocument/2006/relationships/hyperlink" Target="https://statiz.sporki.com/add/?m=draft_school01&amp;ps_school=50802" TargetMode="External"/><Relationship Id="rId9878" Type="http://schemas.openxmlformats.org/officeDocument/2006/relationships/hyperlink" Target="https://statiz.sporki.com/add/?m=draft_school01&amp;ps_school=50109" TargetMode="External"/><Relationship Id="rId12859" Type="http://schemas.openxmlformats.org/officeDocument/2006/relationships/hyperlink" Target="https://statiz.sporki.com/player/?m=playerinfo&amp;p_no=14649" TargetMode="External"/><Relationship Id="rId16730" Type="http://schemas.openxmlformats.org/officeDocument/2006/relationships/hyperlink" Target="https://statiz.sporki.com/add/?m=draft_school01&amp;ps_school=50606" TargetMode="External"/><Relationship Id="rId1867" Type="http://schemas.openxmlformats.org/officeDocument/2006/relationships/hyperlink" Target="https://statiz.sporki.com/player/?m=playerinfo&amp;p_no=14159" TargetMode="External"/><Relationship Id="rId2918" Type="http://schemas.openxmlformats.org/officeDocument/2006/relationships/hyperlink" Target="https://statiz.sporki.com/add/?m=draft_school01&amp;ps_school=50108" TargetMode="External"/><Relationship Id="rId14281" Type="http://schemas.openxmlformats.org/officeDocument/2006/relationships/hyperlink" Target="https://statiz.sporki.com/player/?m=playerinfo&amp;p_no=11090" TargetMode="External"/><Relationship Id="rId15332" Type="http://schemas.openxmlformats.org/officeDocument/2006/relationships/hyperlink" Target="https://statiz.sporki.com/player/?m=playerinfo&amp;p_no=10458" TargetMode="External"/><Relationship Id="rId4340" Type="http://schemas.openxmlformats.org/officeDocument/2006/relationships/hyperlink" Target="https://statiz.sporki.com/add/?m=draft_school01&amp;ps_school=" TargetMode="External"/><Relationship Id="rId8961" Type="http://schemas.openxmlformats.org/officeDocument/2006/relationships/hyperlink" Target="https://statiz.sporki.com/add/?m=draft_school02&amp;ps_school=" TargetMode="External"/><Relationship Id="rId18555" Type="http://schemas.openxmlformats.org/officeDocument/2006/relationships/hyperlink" Target="https://statiz.sporki.com/add/?m=draft_school01&amp;ps_school=50116" TargetMode="External"/><Relationship Id="rId7563" Type="http://schemas.openxmlformats.org/officeDocument/2006/relationships/hyperlink" Target="https://statiz.sporki.com/add/?m=draft_school02&amp;ps_school=" TargetMode="External"/><Relationship Id="rId8614" Type="http://schemas.openxmlformats.org/officeDocument/2006/relationships/hyperlink" Target="https://statiz.sporki.com/player/?m=playerinfo&amp;p_no=1985" TargetMode="External"/><Relationship Id="rId10891" Type="http://schemas.openxmlformats.org/officeDocument/2006/relationships/hyperlink" Target="https://statiz.sporki.com/player/?m=playerinfo&amp;p_no=1391" TargetMode="External"/><Relationship Id="rId11942" Type="http://schemas.openxmlformats.org/officeDocument/2006/relationships/hyperlink" Target="https://statiz.sporki.com/add/?m=draft_school01&amp;ps_school=" TargetMode="External"/><Relationship Id="rId17157" Type="http://schemas.openxmlformats.org/officeDocument/2006/relationships/hyperlink" Target="https://statiz.sporki.com/add/?m=draft_school01&amp;ps_school=50107" TargetMode="External"/><Relationship Id="rId18208" Type="http://schemas.openxmlformats.org/officeDocument/2006/relationships/hyperlink" Target="https://statiz.sporki.com/add/?m=draft_school01&amp;ps_school=50702" TargetMode="External"/><Relationship Id="rId19606" Type="http://schemas.openxmlformats.org/officeDocument/2006/relationships/hyperlink" Target="https://statiz.sporki.com/add/?m=draft_school01&amp;ps_school=50802" TargetMode="External"/><Relationship Id="rId6165" Type="http://schemas.openxmlformats.org/officeDocument/2006/relationships/hyperlink" Target="https://statiz.sporki.com/add/?m=draft_school02&amp;ps_school=60102" TargetMode="External"/><Relationship Id="rId7216" Type="http://schemas.openxmlformats.org/officeDocument/2006/relationships/hyperlink" Target="https://statiz.sporki.com/player/?m=playerinfo&amp;p_no=10178" TargetMode="External"/><Relationship Id="rId10544" Type="http://schemas.openxmlformats.org/officeDocument/2006/relationships/hyperlink" Target="https://statiz.sporki.com/add/?m=draft_school01&amp;ps_school=50109" TargetMode="External"/><Relationship Id="rId9388" Type="http://schemas.openxmlformats.org/officeDocument/2006/relationships/hyperlink" Target="https://statiz.sporki.com/player/?m=playerinfo&amp;p_no=1850" TargetMode="External"/><Relationship Id="rId13767" Type="http://schemas.openxmlformats.org/officeDocument/2006/relationships/hyperlink" Target="https://statiz.sporki.com/player/?m=playerinfo&amp;p_no=10818" TargetMode="External"/><Relationship Id="rId14818" Type="http://schemas.openxmlformats.org/officeDocument/2006/relationships/hyperlink" Target="https://statiz.sporki.com/player/?m=playerinfo&amp;p_no=2095" TargetMode="External"/><Relationship Id="rId2775" Type="http://schemas.openxmlformats.org/officeDocument/2006/relationships/hyperlink" Target="https://statiz.sporki.com/add/?m=draft_school02&amp;ps_school=" TargetMode="External"/><Relationship Id="rId3826" Type="http://schemas.openxmlformats.org/officeDocument/2006/relationships/hyperlink" Target="https://statiz.sporki.com/player/?m=playerinfo&amp;p_no=11356" TargetMode="External"/><Relationship Id="rId12369" Type="http://schemas.openxmlformats.org/officeDocument/2006/relationships/hyperlink" Target="https://statiz.sporki.com/player/?m=playerinfo&amp;p_no=15018" TargetMode="External"/><Relationship Id="rId16240" Type="http://schemas.openxmlformats.org/officeDocument/2006/relationships/hyperlink" Target="https://statiz.sporki.com/add/?m=draft_school01&amp;ps_school=50601" TargetMode="External"/><Relationship Id="rId747" Type="http://schemas.openxmlformats.org/officeDocument/2006/relationships/hyperlink" Target="https://statiz.sporki.com/add/?m=draft_school02&amp;ps_school=" TargetMode="External"/><Relationship Id="rId1377" Type="http://schemas.openxmlformats.org/officeDocument/2006/relationships/hyperlink" Target="https://statiz.sporki.com/add/?m=draft_school02&amp;ps_school=60203" TargetMode="External"/><Relationship Id="rId2428" Type="http://schemas.openxmlformats.org/officeDocument/2006/relationships/hyperlink" Target="https://statiz.sporki.com/player/?m=playerinfo&amp;p_no=13073" TargetMode="External"/><Relationship Id="rId5998" Type="http://schemas.openxmlformats.org/officeDocument/2006/relationships/hyperlink" Target="https://statiz.sporki.com/player/?m=playerinfo&amp;p_no=10900" TargetMode="External"/><Relationship Id="rId19463" Type="http://schemas.openxmlformats.org/officeDocument/2006/relationships/hyperlink" Target="https://statiz.sporki.com/add/?m=draft_school01&amp;ps_school=50301" TargetMode="External"/><Relationship Id="rId83" Type="http://schemas.openxmlformats.org/officeDocument/2006/relationships/hyperlink" Target="https://statiz.sporki.com/add/?m=draft_school01&amp;ps_school=50119" TargetMode="External"/><Relationship Id="rId8471" Type="http://schemas.openxmlformats.org/officeDocument/2006/relationships/hyperlink" Target="https://statiz.sporki.com/add/?m=draft_school01&amp;ps_school=50106" TargetMode="External"/><Relationship Id="rId9522" Type="http://schemas.openxmlformats.org/officeDocument/2006/relationships/hyperlink" Target="https://statiz.sporki.com/add/?m=draft_school02&amp;ps_school=" TargetMode="External"/><Relationship Id="rId11452" Type="http://schemas.openxmlformats.org/officeDocument/2006/relationships/hyperlink" Target="https://statiz.sporki.com/player/?m=playerinfo&amp;p_no=1207" TargetMode="External"/><Relationship Id="rId12503" Type="http://schemas.openxmlformats.org/officeDocument/2006/relationships/hyperlink" Target="https://statiz.sporki.com/player/?m=playerinfo&amp;p_no=14764" TargetMode="External"/><Relationship Id="rId12850" Type="http://schemas.openxmlformats.org/officeDocument/2006/relationships/hyperlink" Target="https://statiz.sporki.com/player/?m=playerinfo&amp;p_no=14154" TargetMode="External"/><Relationship Id="rId13901" Type="http://schemas.openxmlformats.org/officeDocument/2006/relationships/hyperlink" Target="https://statiz.sporki.com/player/?m=playerinfo&amp;p_no=10738" TargetMode="External"/><Relationship Id="rId18065" Type="http://schemas.openxmlformats.org/officeDocument/2006/relationships/hyperlink" Target="https://statiz.sporki.com/add/?m=draft_school01&amp;ps_school=50501" TargetMode="External"/><Relationship Id="rId19116" Type="http://schemas.openxmlformats.org/officeDocument/2006/relationships/hyperlink" Target="https://statiz.sporki.com/add/?m=draft_school01&amp;ps_school=50502" TargetMode="External"/><Relationship Id="rId1511" Type="http://schemas.openxmlformats.org/officeDocument/2006/relationships/hyperlink" Target="https://statiz.sporki.com/add/?m=draft_school01&amp;ps_school=50209" TargetMode="External"/><Relationship Id="rId7073" Type="http://schemas.openxmlformats.org/officeDocument/2006/relationships/hyperlink" Target="https://statiz.sporki.com/add/?m=draft_school01&amp;ps_school=" TargetMode="External"/><Relationship Id="rId8124" Type="http://schemas.openxmlformats.org/officeDocument/2006/relationships/hyperlink" Target="https://statiz.sporki.com/add/?m=draft_school02&amp;ps_school=60109" TargetMode="External"/><Relationship Id="rId10054" Type="http://schemas.openxmlformats.org/officeDocument/2006/relationships/hyperlink" Target="https://statiz.sporki.com/player/?m=playerinfo&amp;p_no=11436" TargetMode="External"/><Relationship Id="rId11105" Type="http://schemas.openxmlformats.org/officeDocument/2006/relationships/hyperlink" Target="https://statiz.sporki.com/add/?m=draft_school01&amp;ps_school=50805" TargetMode="External"/><Relationship Id="rId3683" Type="http://schemas.openxmlformats.org/officeDocument/2006/relationships/hyperlink" Target="https://statiz.sporki.com/add/?m=draft_school01&amp;ps_school=50201" TargetMode="External"/><Relationship Id="rId14675" Type="http://schemas.openxmlformats.org/officeDocument/2006/relationships/hyperlink" Target="https://statiz.sporki.com/player/?m=playerinfo&amp;p_no=10416" TargetMode="External"/><Relationship Id="rId15726" Type="http://schemas.openxmlformats.org/officeDocument/2006/relationships/hyperlink" Target="https://statiz.sporki.com/player/?m=playerinfo&amp;p_no=1477" TargetMode="External"/><Relationship Id="rId2285" Type="http://schemas.openxmlformats.org/officeDocument/2006/relationships/hyperlink" Target="https://statiz.sporki.com/add/?m=draft_school01&amp;ps_school=50207" TargetMode="External"/><Relationship Id="rId3336" Type="http://schemas.openxmlformats.org/officeDocument/2006/relationships/hyperlink" Target="https://statiz.sporki.com/add/?m=draft_school02&amp;ps_school=" TargetMode="External"/><Relationship Id="rId4734" Type="http://schemas.openxmlformats.org/officeDocument/2006/relationships/hyperlink" Target="https://statiz.sporki.com/add/?m=draft_school02&amp;ps_school=60109" TargetMode="External"/><Relationship Id="rId13277" Type="http://schemas.openxmlformats.org/officeDocument/2006/relationships/hyperlink" Target="https://statiz.sporki.com/player/?m=playerinfo&amp;p_no=12609" TargetMode="External"/><Relationship Id="rId14328" Type="http://schemas.openxmlformats.org/officeDocument/2006/relationships/hyperlink" Target="https://statiz.sporki.com/player/?m=playerinfo&amp;p_no=10772" TargetMode="External"/><Relationship Id="rId17898" Type="http://schemas.openxmlformats.org/officeDocument/2006/relationships/hyperlink" Target="https://statiz.sporki.com/add/?m=draft_school01&amp;ps_school=50101" TargetMode="External"/><Relationship Id="rId18949" Type="http://schemas.openxmlformats.org/officeDocument/2006/relationships/hyperlink" Target="https://statiz.sporki.com/add/?m=draft_school01&amp;ps_school=50401" TargetMode="External"/><Relationship Id="rId257" Type="http://schemas.openxmlformats.org/officeDocument/2006/relationships/hyperlink" Target="https://statiz.sporki.com/add/?m=draft_school01&amp;ps_school=50208" TargetMode="External"/><Relationship Id="rId7957" Type="http://schemas.openxmlformats.org/officeDocument/2006/relationships/hyperlink" Target="https://statiz.sporki.com/player/?m=playerinfo&amp;p_no=2161" TargetMode="External"/><Relationship Id="rId10938" Type="http://schemas.openxmlformats.org/officeDocument/2006/relationships/hyperlink" Target="https://statiz.sporki.com/add/?m=draft_school02&amp;ps_school=" TargetMode="External"/><Relationship Id="rId6559" Type="http://schemas.openxmlformats.org/officeDocument/2006/relationships/hyperlink" Target="https://statiz.sporki.com/player/?m=playerinfo&amp;p_no=10772" TargetMode="External"/><Relationship Id="rId12360" Type="http://schemas.openxmlformats.org/officeDocument/2006/relationships/hyperlink" Target="https://statiz.sporki.com/player/?m=playerinfo&amp;p_no=15062" TargetMode="External"/><Relationship Id="rId13411" Type="http://schemas.openxmlformats.org/officeDocument/2006/relationships/hyperlink" Target="https://statiz.sporki.com/player/?m=playerinfo&amp;p_no=11377" TargetMode="External"/><Relationship Id="rId9032" Type="http://schemas.openxmlformats.org/officeDocument/2006/relationships/hyperlink" Target="https://statiz.sporki.com/add/?m=draft_school01&amp;ps_school=50803" TargetMode="External"/><Relationship Id="rId12013" Type="http://schemas.openxmlformats.org/officeDocument/2006/relationships/hyperlink" Target="https://statiz.sporki.com/player/?m=playerinfo&amp;p_no=1034" TargetMode="External"/><Relationship Id="rId15583" Type="http://schemas.openxmlformats.org/officeDocument/2006/relationships/hyperlink" Target="https://statiz.sporki.com/player/?m=playerinfo&amp;p_no=1516" TargetMode="External"/><Relationship Id="rId16634" Type="http://schemas.openxmlformats.org/officeDocument/2006/relationships/hyperlink" Target="https://statiz.sporki.com/add/?m=draft_school01&amp;ps_school=50114" TargetMode="External"/><Relationship Id="rId16981" Type="http://schemas.openxmlformats.org/officeDocument/2006/relationships/hyperlink" Target="https://statiz.sporki.com/add/?m=draft_school01&amp;ps_school=50707" TargetMode="External"/><Relationship Id="rId1021" Type="http://schemas.openxmlformats.org/officeDocument/2006/relationships/hyperlink" Target="https://statiz.sporki.com/player/?m=playerinfo&amp;p_no=14781" TargetMode="External"/><Relationship Id="rId4591" Type="http://schemas.openxmlformats.org/officeDocument/2006/relationships/hyperlink" Target="https://statiz.sporki.com/player/?m=playerinfo&amp;p_no=11130" TargetMode="External"/><Relationship Id="rId5642" Type="http://schemas.openxmlformats.org/officeDocument/2006/relationships/hyperlink" Target="https://statiz.sporki.com/add/?m=draft_school01&amp;ps_school=50803" TargetMode="External"/><Relationship Id="rId14185" Type="http://schemas.openxmlformats.org/officeDocument/2006/relationships/hyperlink" Target="https://statiz.sporki.com/player/?m=playerinfo&amp;p_no=10214" TargetMode="External"/><Relationship Id="rId15236" Type="http://schemas.openxmlformats.org/officeDocument/2006/relationships/hyperlink" Target="https://statiz.sporki.com/player/?m=playerinfo&amp;p_no=1871" TargetMode="External"/><Relationship Id="rId3193" Type="http://schemas.openxmlformats.org/officeDocument/2006/relationships/hyperlink" Target="https://statiz.sporki.com/player/?m=playerinfo&amp;p_no=12627" TargetMode="External"/><Relationship Id="rId4244" Type="http://schemas.openxmlformats.org/officeDocument/2006/relationships/hyperlink" Target="https://statiz.sporki.com/add/?m=draft_school01&amp;ps_school=50111" TargetMode="External"/><Relationship Id="rId7467" Type="http://schemas.openxmlformats.org/officeDocument/2006/relationships/hyperlink" Target="https://statiz.sporki.com/add/?m=draft_school02&amp;ps_school=60802" TargetMode="External"/><Relationship Id="rId8865" Type="http://schemas.openxmlformats.org/officeDocument/2006/relationships/hyperlink" Target="https://statiz.sporki.com/add/?m=draft_school02&amp;ps_school=60203" TargetMode="External"/><Relationship Id="rId9916" Type="http://schemas.openxmlformats.org/officeDocument/2006/relationships/hyperlink" Target="https://statiz.sporki.com/player/?m=playerinfo&amp;p_no=1708" TargetMode="External"/><Relationship Id="rId10795" Type="http://schemas.openxmlformats.org/officeDocument/2006/relationships/hyperlink" Target="https://statiz.sporki.com/player/?m=playerinfo&amp;p_no=1402" TargetMode="External"/><Relationship Id="rId11846" Type="http://schemas.openxmlformats.org/officeDocument/2006/relationships/hyperlink" Target="https://statiz.sporki.com/add/?m=draft_school01&amp;ps_school=50110" TargetMode="External"/><Relationship Id="rId18459" Type="http://schemas.openxmlformats.org/officeDocument/2006/relationships/hyperlink" Target="https://statiz.sporki.com/add/?m=draft_school01&amp;ps_school=50804" TargetMode="External"/><Relationship Id="rId1905" Type="http://schemas.openxmlformats.org/officeDocument/2006/relationships/hyperlink" Target="https://statiz.sporki.com/add/?m=draft_school02&amp;ps_school=" TargetMode="External"/><Relationship Id="rId6069" Type="http://schemas.openxmlformats.org/officeDocument/2006/relationships/hyperlink" Target="https://statiz.sporki.com/add/?m=draft_school02&amp;ps_school=60109" TargetMode="External"/><Relationship Id="rId8518" Type="http://schemas.openxmlformats.org/officeDocument/2006/relationships/hyperlink" Target="https://statiz.sporki.com/player/?m=playerinfo&amp;p_no=2025" TargetMode="External"/><Relationship Id="rId10448" Type="http://schemas.openxmlformats.org/officeDocument/2006/relationships/hyperlink" Target="https://statiz.sporki.com/add/?m=draft_school01&amp;ps_school=50105" TargetMode="External"/><Relationship Id="rId18940" Type="http://schemas.openxmlformats.org/officeDocument/2006/relationships/hyperlink" Target="https://statiz.sporki.com/add/?m=draft_school01&amp;ps_school=50209" TargetMode="External"/><Relationship Id="rId16491" Type="http://schemas.openxmlformats.org/officeDocument/2006/relationships/hyperlink" Target="https://statiz.sporki.com/add/?m=draft_school01&amp;ps_school=50101" TargetMode="External"/><Relationship Id="rId17542" Type="http://schemas.openxmlformats.org/officeDocument/2006/relationships/hyperlink" Target="https://statiz.sporki.com/add/?m=draft_school01&amp;ps_school=50113" TargetMode="External"/><Relationship Id="rId998" Type="http://schemas.openxmlformats.org/officeDocument/2006/relationships/hyperlink" Target="https://statiz.sporki.com/add/?m=draft_school01&amp;ps_school=50602" TargetMode="External"/><Relationship Id="rId2679" Type="http://schemas.openxmlformats.org/officeDocument/2006/relationships/hyperlink" Target="https://statiz.sporki.com/add/?m=draft_school02&amp;ps_school=60804" TargetMode="External"/><Relationship Id="rId6550" Type="http://schemas.openxmlformats.org/officeDocument/2006/relationships/hyperlink" Target="https://statiz.sporki.com/player/?m=playerinfo&amp;p_no=10427" TargetMode="External"/><Relationship Id="rId7601" Type="http://schemas.openxmlformats.org/officeDocument/2006/relationships/hyperlink" Target="https://statiz.sporki.com/add/?m=draft_school01&amp;ps_school=50802" TargetMode="External"/><Relationship Id="rId15093" Type="http://schemas.openxmlformats.org/officeDocument/2006/relationships/hyperlink" Target="https://statiz.sporki.com/player/?m=playerinfo&amp;p_no=10562" TargetMode="External"/><Relationship Id="rId16144" Type="http://schemas.openxmlformats.org/officeDocument/2006/relationships/hyperlink" Target="https://statiz.sporki.com/player/?m=playerinfo&amp;p_no=1088" TargetMode="External"/><Relationship Id="rId5152" Type="http://schemas.openxmlformats.org/officeDocument/2006/relationships/hyperlink" Target="https://statiz.sporki.com/player/?m=playerinfo&amp;p_no=10678" TargetMode="External"/><Relationship Id="rId6203" Type="http://schemas.openxmlformats.org/officeDocument/2006/relationships/hyperlink" Target="https://statiz.sporki.com/add/?m=draft_school01&amp;ps_school=" TargetMode="External"/><Relationship Id="rId9773" Type="http://schemas.openxmlformats.org/officeDocument/2006/relationships/hyperlink" Target="https://statiz.sporki.com/add/?m=draft_school01&amp;ps_school=50403" TargetMode="External"/><Relationship Id="rId19367" Type="http://schemas.openxmlformats.org/officeDocument/2006/relationships/hyperlink" Target="https://statiz.sporki.com/add/?m=draft_school01&amp;ps_school=50109" TargetMode="External"/><Relationship Id="rId1762" Type="http://schemas.openxmlformats.org/officeDocument/2006/relationships/hyperlink" Target="https://statiz.sporki.com/player/?m=playerinfo&amp;p_no=14579" TargetMode="External"/><Relationship Id="rId8375" Type="http://schemas.openxmlformats.org/officeDocument/2006/relationships/hyperlink" Target="https://statiz.sporki.com/add/?m=draft_school01&amp;ps_school=50203" TargetMode="External"/><Relationship Id="rId9426" Type="http://schemas.openxmlformats.org/officeDocument/2006/relationships/hyperlink" Target="https://statiz.sporki.com/add/?m=draft_school02&amp;ps_school=" TargetMode="External"/><Relationship Id="rId12754" Type="http://schemas.openxmlformats.org/officeDocument/2006/relationships/hyperlink" Target="https://statiz.sporki.com/player/?m=playerinfo&amp;p_no=14703" TargetMode="External"/><Relationship Id="rId13805" Type="http://schemas.openxmlformats.org/officeDocument/2006/relationships/hyperlink" Target="https://statiz.sporki.com/player/?m=playerinfo&amp;p_no=10901" TargetMode="External"/><Relationship Id="rId1415" Type="http://schemas.openxmlformats.org/officeDocument/2006/relationships/hyperlink" Target="https://statiz.sporki.com/add/?m=draft_school01&amp;ps_school=50208" TargetMode="External"/><Relationship Id="rId2813" Type="http://schemas.openxmlformats.org/officeDocument/2006/relationships/hyperlink" Target="https://statiz.sporki.com/add/?m=draft_school01&amp;ps_school=50606" TargetMode="External"/><Relationship Id="rId8028" Type="http://schemas.openxmlformats.org/officeDocument/2006/relationships/hyperlink" Target="https://statiz.sporki.com/add/?m=draft_school02&amp;ps_school=" TargetMode="External"/><Relationship Id="rId11009" Type="http://schemas.openxmlformats.org/officeDocument/2006/relationships/hyperlink" Target="https://statiz.sporki.com/add/?m=draft_school01&amp;ps_school=50602" TargetMode="External"/><Relationship Id="rId11356" Type="http://schemas.openxmlformats.org/officeDocument/2006/relationships/hyperlink" Target="https://statiz.sporki.com/player/?m=playerinfo&amp;p_no=1250" TargetMode="External"/><Relationship Id="rId12407" Type="http://schemas.openxmlformats.org/officeDocument/2006/relationships/hyperlink" Target="https://statiz.sporki.com/player/?m=playerinfo&amp;p_no=15044" TargetMode="External"/><Relationship Id="rId15977" Type="http://schemas.openxmlformats.org/officeDocument/2006/relationships/hyperlink" Target="https://statiz.sporki.com/player/?m=playerinfo&amp;p_no=1228" TargetMode="External"/><Relationship Id="rId4985" Type="http://schemas.openxmlformats.org/officeDocument/2006/relationships/hyperlink" Target="https://statiz.sporki.com/add/?m=draft_school01&amp;ps_school=50802" TargetMode="External"/><Relationship Id="rId14579" Type="http://schemas.openxmlformats.org/officeDocument/2006/relationships/hyperlink" Target="https://statiz.sporki.com/player/?m=playerinfo&amp;p_no=2415" TargetMode="External"/><Relationship Id="rId18450" Type="http://schemas.openxmlformats.org/officeDocument/2006/relationships/hyperlink" Target="https://statiz.sporki.com/add/?m=draft_school01&amp;ps_school=50105" TargetMode="External"/><Relationship Id="rId19501" Type="http://schemas.openxmlformats.org/officeDocument/2006/relationships/hyperlink" Target="https://statiz.sporki.com/add/?m=draft_school01&amp;ps_school=50110" TargetMode="External"/><Relationship Id="rId2189" Type="http://schemas.openxmlformats.org/officeDocument/2006/relationships/hyperlink" Target="https://statiz.sporki.com/add/?m=draft_school01&amp;ps_school=51111" TargetMode="External"/><Relationship Id="rId3587" Type="http://schemas.openxmlformats.org/officeDocument/2006/relationships/hyperlink" Target="https://statiz.sporki.com/add/?m=draft_school01&amp;ps_school=50801" TargetMode="External"/><Relationship Id="rId4638" Type="http://schemas.openxmlformats.org/officeDocument/2006/relationships/hyperlink" Target="https://statiz.sporki.com/add/?m=draft_school02&amp;ps_school=60104" TargetMode="External"/><Relationship Id="rId6060" Type="http://schemas.openxmlformats.org/officeDocument/2006/relationships/hyperlink" Target="https://statiz.sporki.com/add/?m=draft_school02&amp;ps_school=" TargetMode="External"/><Relationship Id="rId17052" Type="http://schemas.openxmlformats.org/officeDocument/2006/relationships/hyperlink" Target="https://statiz.sporki.com/add/?m=draft_school01&amp;ps_school=50103" TargetMode="External"/><Relationship Id="rId18103" Type="http://schemas.openxmlformats.org/officeDocument/2006/relationships/hyperlink" Target="https://statiz.sporki.com/add/?m=draft_school01&amp;ps_school=50806" TargetMode="External"/><Relationship Id="rId7111" Type="http://schemas.openxmlformats.org/officeDocument/2006/relationships/hyperlink" Target="https://statiz.sporki.com/player/?m=playerinfo&amp;p_no=10259" TargetMode="External"/><Relationship Id="rId13662" Type="http://schemas.openxmlformats.org/officeDocument/2006/relationships/hyperlink" Target="https://statiz.sporki.com/player/?m=playerinfo&amp;p_no=11108" TargetMode="External"/><Relationship Id="rId14713" Type="http://schemas.openxmlformats.org/officeDocument/2006/relationships/hyperlink" Target="https://statiz.sporki.com/player/?m=playerinfo&amp;p_no=2201" TargetMode="External"/><Relationship Id="rId2670" Type="http://schemas.openxmlformats.org/officeDocument/2006/relationships/hyperlink" Target="https://statiz.sporki.com/add/?m=draft_school02&amp;ps_school=" TargetMode="External"/><Relationship Id="rId3721" Type="http://schemas.openxmlformats.org/officeDocument/2006/relationships/hyperlink" Target="https://statiz.sporki.com/player/?m=playerinfo&amp;p_no=12503" TargetMode="External"/><Relationship Id="rId9283" Type="http://schemas.openxmlformats.org/officeDocument/2006/relationships/hyperlink" Target="https://statiz.sporki.com/player/?m=playerinfo&amp;p_no=1871" TargetMode="External"/><Relationship Id="rId12264" Type="http://schemas.openxmlformats.org/officeDocument/2006/relationships/hyperlink" Target="https://statiz.sporki.com/player/?m=playerinfo&amp;p_no=15538" TargetMode="External"/><Relationship Id="rId13315" Type="http://schemas.openxmlformats.org/officeDocument/2006/relationships/hyperlink" Target="https://statiz.sporki.com/player/?m=playerinfo&amp;p_no=12693" TargetMode="External"/><Relationship Id="rId642" Type="http://schemas.openxmlformats.org/officeDocument/2006/relationships/hyperlink" Target="https://statiz.sporki.com/add/?m=draft_school02&amp;ps_school=" TargetMode="External"/><Relationship Id="rId1272" Type="http://schemas.openxmlformats.org/officeDocument/2006/relationships/hyperlink" Target="https://statiz.sporki.com/add/?m=draft_school02&amp;ps_school=" TargetMode="External"/><Relationship Id="rId2323" Type="http://schemas.openxmlformats.org/officeDocument/2006/relationships/hyperlink" Target="https://statiz.sporki.com/player/?m=playerinfo&amp;p_no=13168" TargetMode="External"/><Relationship Id="rId5893" Type="http://schemas.openxmlformats.org/officeDocument/2006/relationships/hyperlink" Target="https://statiz.sporki.com/player/?m=playerinfo&amp;p_no=10237" TargetMode="External"/><Relationship Id="rId15487" Type="http://schemas.openxmlformats.org/officeDocument/2006/relationships/hyperlink" Target="https://statiz.sporki.com/player/?m=playerinfo&amp;p_no=11468" TargetMode="External"/><Relationship Id="rId16885" Type="http://schemas.openxmlformats.org/officeDocument/2006/relationships/hyperlink" Target="https://statiz.sporki.com/add/?m=draft_school01&amp;ps_school=50602" TargetMode="External"/><Relationship Id="rId17936" Type="http://schemas.openxmlformats.org/officeDocument/2006/relationships/hyperlink" Target="https://statiz.sporki.com/add/?m=draft_school01&amp;ps_school=50112" TargetMode="External"/><Relationship Id="rId4495" Type="http://schemas.openxmlformats.org/officeDocument/2006/relationships/hyperlink" Target="https://statiz.sporki.com/player/?m=playerinfo&amp;p_no=11093" TargetMode="External"/><Relationship Id="rId5546" Type="http://schemas.openxmlformats.org/officeDocument/2006/relationships/hyperlink" Target="https://statiz.sporki.com/add/?m=draft_school01&amp;ps_school=50402" TargetMode="External"/><Relationship Id="rId6944" Type="http://schemas.openxmlformats.org/officeDocument/2006/relationships/hyperlink" Target="https://statiz.sporki.com/add/?m=draft_school01&amp;ps_school=50113" TargetMode="External"/><Relationship Id="rId14089" Type="http://schemas.openxmlformats.org/officeDocument/2006/relationships/hyperlink" Target="https://statiz.sporki.com/player/?m=playerinfo&amp;p_no=10337" TargetMode="External"/><Relationship Id="rId16538" Type="http://schemas.openxmlformats.org/officeDocument/2006/relationships/hyperlink" Target="https://statiz.sporki.com/add/?m=draft_school01&amp;ps_school=50602" TargetMode="External"/><Relationship Id="rId19011" Type="http://schemas.openxmlformats.org/officeDocument/2006/relationships/hyperlink" Target="https://statiz.sporki.com/add/?m=draft_school01&amp;ps_school=50104" TargetMode="External"/><Relationship Id="rId3097" Type="http://schemas.openxmlformats.org/officeDocument/2006/relationships/hyperlink" Target="https://statiz.sporki.com/player/?m=playerinfo&amp;p_no=12955" TargetMode="External"/><Relationship Id="rId4148" Type="http://schemas.openxmlformats.org/officeDocument/2006/relationships/hyperlink" Target="https://statiz.sporki.com/add/?m=draft_school01&amp;ps_school=50903" TargetMode="External"/><Relationship Id="rId8769" Type="http://schemas.openxmlformats.org/officeDocument/2006/relationships/hyperlink" Target="https://statiz.sporki.com/add/?m=draft_school02&amp;ps_school=60109" TargetMode="External"/><Relationship Id="rId10699" Type="http://schemas.openxmlformats.org/officeDocument/2006/relationships/hyperlink" Target="https://statiz.sporki.com/player/?m=playerinfo&amp;p_no=1455" TargetMode="External"/><Relationship Id="rId11000" Type="http://schemas.openxmlformats.org/officeDocument/2006/relationships/hyperlink" Target="https://statiz.sporki.com/add/?m=draft_school01&amp;ps_school=50209" TargetMode="External"/><Relationship Id="rId14570" Type="http://schemas.openxmlformats.org/officeDocument/2006/relationships/hyperlink" Target="https://statiz.sporki.com/player/?m=playerinfo&amp;p_no=10252" TargetMode="External"/><Relationship Id="rId15621" Type="http://schemas.openxmlformats.org/officeDocument/2006/relationships/hyperlink" Target="https://statiz.sporki.com/player/?m=playerinfo&amp;p_no=1504" TargetMode="External"/><Relationship Id="rId1809" Type="http://schemas.openxmlformats.org/officeDocument/2006/relationships/hyperlink" Target="https://statiz.sporki.com/add/?m=draft_school02&amp;ps_school=60104" TargetMode="External"/><Relationship Id="rId13172" Type="http://schemas.openxmlformats.org/officeDocument/2006/relationships/hyperlink" Target="https://statiz.sporki.com/player/?m=playerinfo&amp;p_no=12992" TargetMode="External"/><Relationship Id="rId14223" Type="http://schemas.openxmlformats.org/officeDocument/2006/relationships/hyperlink" Target="https://statiz.sporki.com/player/?m=playerinfo&amp;p_no=10141" TargetMode="External"/><Relationship Id="rId17793" Type="http://schemas.openxmlformats.org/officeDocument/2006/relationships/hyperlink" Target="https://statiz.sporki.com/add/?m=draft_school01&amp;ps_school=50701" TargetMode="External"/><Relationship Id="rId18844" Type="http://schemas.openxmlformats.org/officeDocument/2006/relationships/hyperlink" Target="https://statiz.sporki.com/add/?m=draft_school01&amp;ps_school=50803" TargetMode="External"/><Relationship Id="rId2180" Type="http://schemas.openxmlformats.org/officeDocument/2006/relationships/hyperlink" Target="https://statiz.sporki.com/add/?m=draft_school01&amp;ps_school=" TargetMode="External"/><Relationship Id="rId3231" Type="http://schemas.openxmlformats.org/officeDocument/2006/relationships/hyperlink" Target="https://statiz.sporki.com/add/?m=draft_school02&amp;ps_school=60501" TargetMode="External"/><Relationship Id="rId7852" Type="http://schemas.openxmlformats.org/officeDocument/2006/relationships/hyperlink" Target="https://statiz.sporki.com/player/?m=playerinfo&amp;p_no=10413" TargetMode="External"/><Relationship Id="rId8903" Type="http://schemas.openxmlformats.org/officeDocument/2006/relationships/hyperlink" Target="https://statiz.sporki.com/add/?m=draft_school01&amp;ps_school=50106" TargetMode="External"/><Relationship Id="rId16395" Type="http://schemas.openxmlformats.org/officeDocument/2006/relationships/hyperlink" Target="https://statiz.sporki.com/add/?m=draft_school01&amp;ps_school=50106" TargetMode="External"/><Relationship Id="rId17446" Type="http://schemas.openxmlformats.org/officeDocument/2006/relationships/hyperlink" Target="https://statiz.sporki.com/add/?m=draft_school01&amp;ps_school=51103" TargetMode="External"/><Relationship Id="rId152" Type="http://schemas.openxmlformats.org/officeDocument/2006/relationships/hyperlink" Target="https://statiz.sporki.com/add/?m=draft_school01&amp;ps_school=50402" TargetMode="External"/><Relationship Id="rId6454" Type="http://schemas.openxmlformats.org/officeDocument/2006/relationships/hyperlink" Target="https://statiz.sporki.com/player/?m=playerinfo&amp;p_no=2406" TargetMode="External"/><Relationship Id="rId7505" Type="http://schemas.openxmlformats.org/officeDocument/2006/relationships/hyperlink" Target="https://statiz.sporki.com/add/?m=draft_school01&amp;ps_school=" TargetMode="External"/><Relationship Id="rId10833" Type="http://schemas.openxmlformats.org/officeDocument/2006/relationships/hyperlink" Target="https://statiz.sporki.com/add/?m=draft_school02&amp;ps_school=60803" TargetMode="External"/><Relationship Id="rId16048" Type="http://schemas.openxmlformats.org/officeDocument/2006/relationships/hyperlink" Target="https://statiz.sporki.com/player/?m=playerinfo&amp;p_no=1131" TargetMode="External"/><Relationship Id="rId5056" Type="http://schemas.openxmlformats.org/officeDocument/2006/relationships/hyperlink" Target="https://statiz.sporki.com/player/?m=playerinfo&amp;p_no=10919" TargetMode="External"/><Relationship Id="rId6107" Type="http://schemas.openxmlformats.org/officeDocument/2006/relationships/hyperlink" Target="https://statiz.sporki.com/add/?m=draft_school01&amp;ps_school=50703" TargetMode="External"/><Relationship Id="rId9677" Type="http://schemas.openxmlformats.org/officeDocument/2006/relationships/hyperlink" Target="https://statiz.sporki.com/add/?m=draft_school01&amp;ps_school=50209" TargetMode="External"/><Relationship Id="rId8279" Type="http://schemas.openxmlformats.org/officeDocument/2006/relationships/hyperlink" Target="https://statiz.sporki.com/add/?m=draft_school01&amp;ps_school=" TargetMode="External"/><Relationship Id="rId12658" Type="http://schemas.openxmlformats.org/officeDocument/2006/relationships/hyperlink" Target="https://statiz.sporki.com/player/?m=playerinfo&amp;p_no=14642" TargetMode="External"/><Relationship Id="rId13709" Type="http://schemas.openxmlformats.org/officeDocument/2006/relationships/hyperlink" Target="https://statiz.sporki.com/player/?m=playerinfo&amp;p_no=11192" TargetMode="External"/><Relationship Id="rId1666" Type="http://schemas.openxmlformats.org/officeDocument/2006/relationships/hyperlink" Target="https://statiz.sporki.com/player/?m=playerinfo&amp;p_no=14733" TargetMode="External"/><Relationship Id="rId2717" Type="http://schemas.openxmlformats.org/officeDocument/2006/relationships/hyperlink" Target="https://statiz.sporki.com/add/?m=draft_school01&amp;ps_school=51101" TargetMode="External"/><Relationship Id="rId14080" Type="http://schemas.openxmlformats.org/officeDocument/2006/relationships/hyperlink" Target="https://statiz.sporki.com/player/?m=playerinfo&amp;p_no=10495" TargetMode="External"/><Relationship Id="rId15131" Type="http://schemas.openxmlformats.org/officeDocument/2006/relationships/hyperlink" Target="https://statiz.sporki.com/player/?m=playerinfo&amp;p_no=2153" TargetMode="External"/><Relationship Id="rId1319" Type="http://schemas.openxmlformats.org/officeDocument/2006/relationships/hyperlink" Target="https://statiz.sporki.com/add/?m=draft_school01&amp;ps_school=51116" TargetMode="External"/><Relationship Id="rId4889" Type="http://schemas.openxmlformats.org/officeDocument/2006/relationships/hyperlink" Target="https://statiz.sporki.com/add/?m=draft_school01&amp;ps_school=50803" TargetMode="External"/><Relationship Id="rId8760" Type="http://schemas.openxmlformats.org/officeDocument/2006/relationships/hyperlink" Target="https://statiz.sporki.com/add/?m=draft_school02&amp;ps_school=60113" TargetMode="External"/><Relationship Id="rId9811" Type="http://schemas.openxmlformats.org/officeDocument/2006/relationships/hyperlink" Target="https://statiz.sporki.com/player/?m=playerinfo&amp;p_no=1707" TargetMode="External"/><Relationship Id="rId10690" Type="http://schemas.openxmlformats.org/officeDocument/2006/relationships/hyperlink" Target="https://statiz.sporki.com/player/?m=playerinfo&amp;p_no=1552" TargetMode="External"/><Relationship Id="rId11741" Type="http://schemas.openxmlformats.org/officeDocument/2006/relationships/hyperlink" Target="https://statiz.sporki.com/add/?m=draft_school01&amp;ps_school=50111" TargetMode="External"/><Relationship Id="rId18354" Type="http://schemas.openxmlformats.org/officeDocument/2006/relationships/hyperlink" Target="https://statiz.sporki.com/add/?m=draft_school01&amp;ps_school=50901" TargetMode="External"/><Relationship Id="rId19405" Type="http://schemas.openxmlformats.org/officeDocument/2006/relationships/hyperlink" Target="https://statiz.sporki.com/add/?m=draft_school01&amp;ps_school=50114" TargetMode="External"/><Relationship Id="rId25" Type="http://schemas.openxmlformats.org/officeDocument/2006/relationships/hyperlink" Target="https://statiz.sporki.com/player/?m=playerinfo&amp;p_no=15508" TargetMode="External"/><Relationship Id="rId1800" Type="http://schemas.openxmlformats.org/officeDocument/2006/relationships/hyperlink" Target="https://statiz.sporki.com/add/?m=draft_school02&amp;ps_school=60102" TargetMode="External"/><Relationship Id="rId7362" Type="http://schemas.openxmlformats.org/officeDocument/2006/relationships/hyperlink" Target="https://statiz.sporki.com/add/?m=draft_school02&amp;ps_school=60113" TargetMode="External"/><Relationship Id="rId8413" Type="http://schemas.openxmlformats.org/officeDocument/2006/relationships/hyperlink" Target="https://statiz.sporki.com/player/?m=playerinfo&amp;p_no=2272" TargetMode="External"/><Relationship Id="rId10343" Type="http://schemas.openxmlformats.org/officeDocument/2006/relationships/hyperlink" Target="https://statiz.sporki.com/add/?m=draft_school01&amp;ps_school=50602" TargetMode="External"/><Relationship Id="rId18007" Type="http://schemas.openxmlformats.org/officeDocument/2006/relationships/hyperlink" Target="https://statiz.sporki.com/add/?m=draft_school01&amp;ps_school=50705" TargetMode="External"/><Relationship Id="rId3972" Type="http://schemas.openxmlformats.org/officeDocument/2006/relationships/hyperlink" Target="https://statiz.sporki.com/add/?m=draft_school02&amp;ps_school=" TargetMode="External"/><Relationship Id="rId7015" Type="http://schemas.openxmlformats.org/officeDocument/2006/relationships/hyperlink" Target="https://statiz.sporki.com/player/?m=playerinfo&amp;p_no=10120" TargetMode="External"/><Relationship Id="rId14964" Type="http://schemas.openxmlformats.org/officeDocument/2006/relationships/hyperlink" Target="https://statiz.sporki.com/player/?m=playerinfo&amp;p_no=2082" TargetMode="External"/><Relationship Id="rId893" Type="http://schemas.openxmlformats.org/officeDocument/2006/relationships/hyperlink" Target="https://statiz.sporki.com/add/?m=draft_school01&amp;ps_school=50501" TargetMode="External"/><Relationship Id="rId2574" Type="http://schemas.openxmlformats.org/officeDocument/2006/relationships/hyperlink" Target="https://statiz.sporki.com/add/?m=draft_school02&amp;ps_school=" TargetMode="External"/><Relationship Id="rId3625" Type="http://schemas.openxmlformats.org/officeDocument/2006/relationships/hyperlink" Target="https://statiz.sporki.com/player/?m=playerinfo&amp;p_no=11379" TargetMode="External"/><Relationship Id="rId9187" Type="http://schemas.openxmlformats.org/officeDocument/2006/relationships/hyperlink" Target="https://statiz.sporki.com/player/?m=playerinfo&amp;p_no=1875" TargetMode="External"/><Relationship Id="rId12168" Type="http://schemas.openxmlformats.org/officeDocument/2006/relationships/hyperlink" Target="https://statiz.sporki.com/player/?m=playerinfo&amp;p_no=15486" TargetMode="External"/><Relationship Id="rId13219" Type="http://schemas.openxmlformats.org/officeDocument/2006/relationships/hyperlink" Target="https://statiz.sporki.com/player/?m=playerinfo&amp;p_no=12550" TargetMode="External"/><Relationship Id="rId13566" Type="http://schemas.openxmlformats.org/officeDocument/2006/relationships/hyperlink" Target="https://statiz.sporki.com/player/?m=playerinfo&amp;p_no=11209" TargetMode="External"/><Relationship Id="rId14617" Type="http://schemas.openxmlformats.org/officeDocument/2006/relationships/hyperlink" Target="https://statiz.sporki.com/player/?m=playerinfo&amp;p_no=10031" TargetMode="External"/><Relationship Id="rId546" Type="http://schemas.openxmlformats.org/officeDocument/2006/relationships/hyperlink" Target="https://statiz.sporki.com/add/?m=draft_school02&amp;ps_school=60103" TargetMode="External"/><Relationship Id="rId1176" Type="http://schemas.openxmlformats.org/officeDocument/2006/relationships/hyperlink" Target="https://statiz.sporki.com/add/?m=draft_school02&amp;ps_school=" TargetMode="External"/><Relationship Id="rId2227" Type="http://schemas.openxmlformats.org/officeDocument/2006/relationships/hyperlink" Target="https://statiz.sporki.com/player/?m=playerinfo&amp;p_no=14225" TargetMode="External"/><Relationship Id="rId16789" Type="http://schemas.openxmlformats.org/officeDocument/2006/relationships/hyperlink" Target="https://statiz.sporki.com/add/?m=draft_school01&amp;ps_school=50601" TargetMode="External"/><Relationship Id="rId4399" Type="http://schemas.openxmlformats.org/officeDocument/2006/relationships/hyperlink" Target="https://statiz.sporki.com/player/?m=playerinfo&amp;p_no=11279" TargetMode="External"/><Relationship Id="rId5797" Type="http://schemas.openxmlformats.org/officeDocument/2006/relationships/hyperlink" Target="https://statiz.sporki.com/player/?m=playerinfo&amp;p_no=10535" TargetMode="External"/><Relationship Id="rId6848" Type="http://schemas.openxmlformats.org/officeDocument/2006/relationships/hyperlink" Target="https://statiz.sporki.com/add/?m=draft_school01&amp;ps_school=" TargetMode="External"/><Relationship Id="rId8270" Type="http://schemas.openxmlformats.org/officeDocument/2006/relationships/hyperlink" Target="https://statiz.sporki.com/add/?m=draft_school01&amp;ps_school=" TargetMode="External"/><Relationship Id="rId13700" Type="http://schemas.openxmlformats.org/officeDocument/2006/relationships/hyperlink" Target="https://statiz.sporki.com/player/?m=playerinfo&amp;p_no=11080" TargetMode="External"/><Relationship Id="rId19262" Type="http://schemas.openxmlformats.org/officeDocument/2006/relationships/hyperlink" Target="https://statiz.sporki.com/add/?m=draft_school01&amp;ps_school=50301" TargetMode="External"/><Relationship Id="rId9321" Type="http://schemas.openxmlformats.org/officeDocument/2006/relationships/hyperlink" Target="https://statiz.sporki.com/add/?m=draft_school02&amp;ps_school=60501" TargetMode="External"/><Relationship Id="rId11251" Type="http://schemas.openxmlformats.org/officeDocument/2006/relationships/hyperlink" Target="https://statiz.sporki.com/player/?m=playerinfo&amp;p_no=1354" TargetMode="External"/><Relationship Id="rId12302" Type="http://schemas.openxmlformats.org/officeDocument/2006/relationships/hyperlink" Target="https://statiz.sporki.com/player/?m=playerinfo&amp;p_no=15078" TargetMode="External"/><Relationship Id="rId15872" Type="http://schemas.openxmlformats.org/officeDocument/2006/relationships/hyperlink" Target="https://statiz.sporki.com/player/?m=playerinfo&amp;p_no=1323" TargetMode="External"/><Relationship Id="rId16923" Type="http://schemas.openxmlformats.org/officeDocument/2006/relationships/hyperlink" Target="https://statiz.sporki.com/add/?m=draft_school01&amp;ps_school=50701" TargetMode="External"/><Relationship Id="rId1310" Type="http://schemas.openxmlformats.org/officeDocument/2006/relationships/hyperlink" Target="https://statiz.sporki.com/add/?m=draft_school01&amp;ps_school=51108" TargetMode="External"/><Relationship Id="rId4880" Type="http://schemas.openxmlformats.org/officeDocument/2006/relationships/hyperlink" Target="https://statiz.sporki.com/add/?m=draft_school01&amp;ps_school=50109" TargetMode="External"/><Relationship Id="rId5931" Type="http://schemas.openxmlformats.org/officeDocument/2006/relationships/hyperlink" Target="https://statiz.sporki.com/add/?m=draft_school02&amp;ps_school=" TargetMode="External"/><Relationship Id="rId14474" Type="http://schemas.openxmlformats.org/officeDocument/2006/relationships/hyperlink" Target="https://statiz.sporki.com/player/?m=playerinfo&amp;p_no=10614" TargetMode="External"/><Relationship Id="rId15525" Type="http://schemas.openxmlformats.org/officeDocument/2006/relationships/hyperlink" Target="https://statiz.sporki.com/player/?m=playerinfo&amp;p_no=1635" TargetMode="External"/><Relationship Id="rId3482" Type="http://schemas.openxmlformats.org/officeDocument/2006/relationships/hyperlink" Target="https://statiz.sporki.com/add/?m=draft_school01&amp;ps_school=" TargetMode="External"/><Relationship Id="rId4533" Type="http://schemas.openxmlformats.org/officeDocument/2006/relationships/hyperlink" Target="https://statiz.sporki.com/add/?m=draft_school02&amp;ps_school=60501" TargetMode="External"/><Relationship Id="rId13076" Type="http://schemas.openxmlformats.org/officeDocument/2006/relationships/hyperlink" Target="https://statiz.sporki.com/player/?m=playerinfo&amp;p_no=12938" TargetMode="External"/><Relationship Id="rId14127" Type="http://schemas.openxmlformats.org/officeDocument/2006/relationships/hyperlink" Target="https://statiz.sporki.com/player/?m=playerinfo&amp;p_no=10360" TargetMode="External"/><Relationship Id="rId17697" Type="http://schemas.openxmlformats.org/officeDocument/2006/relationships/hyperlink" Target="https://statiz.sporki.com/add/?m=draft_school01&amp;ps_school=50102" TargetMode="External"/><Relationship Id="rId2084" Type="http://schemas.openxmlformats.org/officeDocument/2006/relationships/hyperlink" Target="https://statiz.sporki.com/add/?m=draft_school01&amp;ps_school=50701" TargetMode="External"/><Relationship Id="rId3135" Type="http://schemas.openxmlformats.org/officeDocument/2006/relationships/hyperlink" Target="https://statiz.sporki.com/add/?m=draft_school02&amp;ps_school=" TargetMode="External"/><Relationship Id="rId7756" Type="http://schemas.openxmlformats.org/officeDocument/2006/relationships/hyperlink" Target="https://statiz.sporki.com/player/?m=playerinfo&amp;p_no=2221" TargetMode="External"/><Relationship Id="rId16299" Type="http://schemas.openxmlformats.org/officeDocument/2006/relationships/hyperlink" Target="https://statiz.sporki.com/add/?m=draft_school01&amp;ps_school=50207" TargetMode="External"/><Relationship Id="rId18748" Type="http://schemas.openxmlformats.org/officeDocument/2006/relationships/hyperlink" Target="https://statiz.sporki.com/add/?m=draft_school01&amp;ps_school=50403" TargetMode="External"/><Relationship Id="rId6358" Type="http://schemas.openxmlformats.org/officeDocument/2006/relationships/hyperlink" Target="https://statiz.sporki.com/player/?m=playerinfo&amp;p_no=10396" TargetMode="External"/><Relationship Id="rId7409" Type="http://schemas.openxmlformats.org/officeDocument/2006/relationships/hyperlink" Target="https://statiz.sporki.com/add/?m=draft_school01&amp;ps_school=50803" TargetMode="External"/><Relationship Id="rId8807" Type="http://schemas.openxmlformats.org/officeDocument/2006/relationships/hyperlink" Target="https://statiz.sporki.com/add/?m=draft_school01&amp;ps_school=50704" TargetMode="External"/><Relationship Id="rId10737" Type="http://schemas.openxmlformats.org/officeDocument/2006/relationships/hyperlink" Target="https://statiz.sporki.com/add/?m=draft_school02&amp;ps_school=" TargetMode="External"/><Relationship Id="rId13210" Type="http://schemas.openxmlformats.org/officeDocument/2006/relationships/hyperlink" Target="https://statiz.sporki.com/player/?m=playerinfo&amp;p_no=12547" TargetMode="External"/><Relationship Id="rId16780" Type="http://schemas.openxmlformats.org/officeDocument/2006/relationships/hyperlink" Target="https://statiz.sporki.com/add/?m=draft_school01&amp;ps_school=50111" TargetMode="External"/><Relationship Id="rId17831" Type="http://schemas.openxmlformats.org/officeDocument/2006/relationships/hyperlink" Target="https://statiz.sporki.com/add/?m=draft_school01&amp;ps_school=50705" TargetMode="External"/><Relationship Id="rId2968" Type="http://schemas.openxmlformats.org/officeDocument/2006/relationships/hyperlink" Target="https://statiz.sporki.com/player/?m=playerinfo&amp;p_no=12893" TargetMode="External"/><Relationship Id="rId15382" Type="http://schemas.openxmlformats.org/officeDocument/2006/relationships/hyperlink" Target="https://statiz.sporki.com/player/?m=playerinfo&amp;p_no=1859" TargetMode="External"/><Relationship Id="rId16433" Type="http://schemas.openxmlformats.org/officeDocument/2006/relationships/hyperlink" Target="https://statiz.sporki.com/add/?m=draft_school01&amp;ps_school=51123" TargetMode="External"/><Relationship Id="rId4390" Type="http://schemas.openxmlformats.org/officeDocument/2006/relationships/hyperlink" Target="https://statiz.sporki.com/player/?m=playerinfo&amp;p_no=13234" TargetMode="External"/><Relationship Id="rId5441" Type="http://schemas.openxmlformats.org/officeDocument/2006/relationships/hyperlink" Target="https://statiz.sporki.com/add/?m=draft_school01&amp;ps_school=50601" TargetMode="External"/><Relationship Id="rId15035" Type="http://schemas.openxmlformats.org/officeDocument/2006/relationships/hyperlink" Target="https://statiz.sporki.com/player/?m=playerinfo&amp;p_no=10029" TargetMode="External"/><Relationship Id="rId19656" Type="http://schemas.openxmlformats.org/officeDocument/2006/relationships/hyperlink" Target="https://statiz.sporki.com/add/?m=draft_school01&amp;ps_school=50608" TargetMode="External"/><Relationship Id="rId4043" Type="http://schemas.openxmlformats.org/officeDocument/2006/relationships/hyperlink" Target="https://statiz.sporki.com/add/?m=draft_school01&amp;ps_school=50206" TargetMode="External"/><Relationship Id="rId8664" Type="http://schemas.openxmlformats.org/officeDocument/2006/relationships/hyperlink" Target="https://statiz.sporki.com/add/?m=draft_school02&amp;ps_school=60114" TargetMode="External"/><Relationship Id="rId9715" Type="http://schemas.openxmlformats.org/officeDocument/2006/relationships/hyperlink" Target="https://statiz.sporki.com/player/?m=playerinfo&amp;p_no=1887" TargetMode="External"/><Relationship Id="rId10594" Type="http://schemas.openxmlformats.org/officeDocument/2006/relationships/hyperlink" Target="https://statiz.sporki.com/player/?m=playerinfo&amp;p_no=1441" TargetMode="External"/><Relationship Id="rId11992" Type="http://schemas.openxmlformats.org/officeDocument/2006/relationships/hyperlink" Target="https://statiz.sporki.com/player/?m=playerinfo&amp;p_no=1068" TargetMode="External"/><Relationship Id="rId18258" Type="http://schemas.openxmlformats.org/officeDocument/2006/relationships/hyperlink" Target="https://statiz.sporki.com/add/?m=draft_school01&amp;ps_school=50112" TargetMode="External"/><Relationship Id="rId19309" Type="http://schemas.openxmlformats.org/officeDocument/2006/relationships/hyperlink" Target="https://statiz.sporki.com/add/?m=draft_school01&amp;ps_school=50602" TargetMode="External"/><Relationship Id="rId1704" Type="http://schemas.openxmlformats.org/officeDocument/2006/relationships/hyperlink" Target="https://statiz.sporki.com/add/?m=draft_school02&amp;ps_school=60108" TargetMode="External"/><Relationship Id="rId7266" Type="http://schemas.openxmlformats.org/officeDocument/2006/relationships/hyperlink" Target="https://statiz.sporki.com/add/?m=draft_school02&amp;ps_school=" TargetMode="External"/><Relationship Id="rId8317" Type="http://schemas.openxmlformats.org/officeDocument/2006/relationships/hyperlink" Target="https://statiz.sporki.com/player/?m=playerinfo&amp;p_no=2021" TargetMode="External"/><Relationship Id="rId10247" Type="http://schemas.openxmlformats.org/officeDocument/2006/relationships/hyperlink" Target="https://statiz.sporki.com/add/?m=draft_school01&amp;ps_school=50203" TargetMode="External"/><Relationship Id="rId11645" Type="http://schemas.openxmlformats.org/officeDocument/2006/relationships/hyperlink" Target="https://statiz.sporki.com/add/?m=draft_school01&amp;ps_school=50701" TargetMode="External"/><Relationship Id="rId14868" Type="http://schemas.openxmlformats.org/officeDocument/2006/relationships/hyperlink" Target="https://statiz.sporki.com/player/?m=playerinfo&amp;p_no=2280" TargetMode="External"/><Relationship Id="rId15919" Type="http://schemas.openxmlformats.org/officeDocument/2006/relationships/hyperlink" Target="https://statiz.sporki.com/player/?m=playerinfo&amp;p_no=1235" TargetMode="External"/><Relationship Id="rId797" Type="http://schemas.openxmlformats.org/officeDocument/2006/relationships/hyperlink" Target="https://statiz.sporki.com/add/?m=draft_school01&amp;ps_school=50120" TargetMode="External"/><Relationship Id="rId2478" Type="http://schemas.openxmlformats.org/officeDocument/2006/relationships/hyperlink" Target="https://statiz.sporki.com/add/?m=draft_school02&amp;ps_school=" TargetMode="External"/><Relationship Id="rId3876" Type="http://schemas.openxmlformats.org/officeDocument/2006/relationships/hyperlink" Target="https://statiz.sporki.com/add/?m=draft_school02&amp;ps_school=" TargetMode="External"/><Relationship Id="rId4927" Type="http://schemas.openxmlformats.org/officeDocument/2006/relationships/hyperlink" Target="https://statiz.sporki.com/player/?m=playerinfo&amp;p_no=10837" TargetMode="External"/><Relationship Id="rId16290" Type="http://schemas.openxmlformats.org/officeDocument/2006/relationships/hyperlink" Target="https://statiz.sporki.com/add/?m=draft_school01&amp;ps_school=50606" TargetMode="External"/><Relationship Id="rId17341" Type="http://schemas.openxmlformats.org/officeDocument/2006/relationships/hyperlink" Target="https://statiz.sporki.com/add/?m=draft_school01&amp;ps_school=50804" TargetMode="External"/><Relationship Id="rId3529" Type="http://schemas.openxmlformats.org/officeDocument/2006/relationships/hyperlink" Target="https://statiz.sporki.com/player/?m=playerinfo&amp;p_no=12695" TargetMode="External"/><Relationship Id="rId6002" Type="http://schemas.openxmlformats.org/officeDocument/2006/relationships/hyperlink" Target="https://statiz.sporki.com/add/?m=draft_school01&amp;ps_school=50116" TargetMode="External"/><Relationship Id="rId7400" Type="http://schemas.openxmlformats.org/officeDocument/2006/relationships/hyperlink" Target="https://statiz.sporki.com/add/?m=draft_school01&amp;ps_school=50301" TargetMode="External"/><Relationship Id="rId13951" Type="http://schemas.openxmlformats.org/officeDocument/2006/relationships/hyperlink" Target="https://statiz.sporki.com/player/?m=playerinfo&amp;p_no=10752" TargetMode="External"/><Relationship Id="rId9572" Type="http://schemas.openxmlformats.org/officeDocument/2006/relationships/hyperlink" Target="https://statiz.sporki.com/add/?m=draft_school01&amp;ps_school=50403" TargetMode="External"/><Relationship Id="rId12553" Type="http://schemas.openxmlformats.org/officeDocument/2006/relationships/hyperlink" Target="https://statiz.sporki.com/player/?m=playerinfo&amp;p_no=14830" TargetMode="External"/><Relationship Id="rId13604" Type="http://schemas.openxmlformats.org/officeDocument/2006/relationships/hyperlink" Target="https://statiz.sporki.com/player/?m=playerinfo&amp;p_no=11296" TargetMode="External"/><Relationship Id="rId19166" Type="http://schemas.openxmlformats.org/officeDocument/2006/relationships/hyperlink" Target="https://statiz.sporki.com/add/?m=draft_school01&amp;ps_school=50115" TargetMode="External"/><Relationship Id="rId931" Type="http://schemas.openxmlformats.org/officeDocument/2006/relationships/hyperlink" Target="https://statiz.sporki.com/player/?m=playerinfo&amp;p_no=15132" TargetMode="External"/><Relationship Id="rId1561" Type="http://schemas.openxmlformats.org/officeDocument/2006/relationships/hyperlink" Target="https://statiz.sporki.com/player/?m=playerinfo&amp;p_no=14657" TargetMode="External"/><Relationship Id="rId2612" Type="http://schemas.openxmlformats.org/officeDocument/2006/relationships/hyperlink" Target="https://statiz.sporki.com/add/?m=draft_school01&amp;ps_school=50105" TargetMode="External"/><Relationship Id="rId8174" Type="http://schemas.openxmlformats.org/officeDocument/2006/relationships/hyperlink" Target="https://statiz.sporki.com/add/?m=draft_school01&amp;ps_school=50110" TargetMode="External"/><Relationship Id="rId9225" Type="http://schemas.openxmlformats.org/officeDocument/2006/relationships/hyperlink" Target="https://statiz.sporki.com/add/?m=draft_school02&amp;ps_school=" TargetMode="External"/><Relationship Id="rId11155" Type="http://schemas.openxmlformats.org/officeDocument/2006/relationships/hyperlink" Target="https://statiz.sporki.com/player/?m=playerinfo&amp;p_no=1316" TargetMode="External"/><Relationship Id="rId12206" Type="http://schemas.openxmlformats.org/officeDocument/2006/relationships/hyperlink" Target="https://statiz.sporki.com/player/?m=playerinfo&amp;p_no=15467" TargetMode="External"/><Relationship Id="rId15776" Type="http://schemas.openxmlformats.org/officeDocument/2006/relationships/hyperlink" Target="https://statiz.sporki.com/player/?m=playerinfo&amp;p_no=1390" TargetMode="External"/><Relationship Id="rId1214" Type="http://schemas.openxmlformats.org/officeDocument/2006/relationships/hyperlink" Target="https://statiz.sporki.com/add/?m=draft_school01&amp;ps_school=50107" TargetMode="External"/><Relationship Id="rId4784" Type="http://schemas.openxmlformats.org/officeDocument/2006/relationships/hyperlink" Target="https://statiz.sporki.com/add/?m=draft_school01&amp;ps_school=50105" TargetMode="External"/><Relationship Id="rId5835" Type="http://schemas.openxmlformats.org/officeDocument/2006/relationships/hyperlink" Target="https://statiz.sporki.com/add/?m=draft_school02&amp;ps_school=60103" TargetMode="External"/><Relationship Id="rId14378" Type="http://schemas.openxmlformats.org/officeDocument/2006/relationships/hyperlink" Target="https://statiz.sporki.com/player/?m=playerinfo&amp;p_no=10607" TargetMode="External"/><Relationship Id="rId15429" Type="http://schemas.openxmlformats.org/officeDocument/2006/relationships/hyperlink" Target="https://statiz.sporki.com/player/?m=playerinfo&amp;p_no=1687" TargetMode="External"/><Relationship Id="rId16827" Type="http://schemas.openxmlformats.org/officeDocument/2006/relationships/hyperlink" Target="https://statiz.sporki.com/add/?m=draft_school01&amp;ps_school=50202" TargetMode="External"/><Relationship Id="rId19300" Type="http://schemas.openxmlformats.org/officeDocument/2006/relationships/hyperlink" Target="https://statiz.sporki.com/add/?m=draft_school01&amp;ps_school=50602" TargetMode="External"/><Relationship Id="rId3386" Type="http://schemas.openxmlformats.org/officeDocument/2006/relationships/hyperlink" Target="https://statiz.sporki.com/add/?m=draft_school01&amp;ps_school=50403" TargetMode="External"/><Relationship Id="rId4437" Type="http://schemas.openxmlformats.org/officeDocument/2006/relationships/hyperlink" Target="https://statiz.sporki.com/add/?m=draft_school02&amp;ps_school=" TargetMode="External"/><Relationship Id="rId18999" Type="http://schemas.openxmlformats.org/officeDocument/2006/relationships/hyperlink" Target="https://statiz.sporki.com/add/?m=draft_school01&amp;ps_school=50403" TargetMode="External"/><Relationship Id="rId3039" Type="http://schemas.openxmlformats.org/officeDocument/2006/relationships/hyperlink" Target="https://statiz.sporki.com/add/?m=draft_school02&amp;ps_school=" TargetMode="External"/><Relationship Id="rId10988" Type="http://schemas.openxmlformats.org/officeDocument/2006/relationships/hyperlink" Target="https://statiz.sporki.com/add/?m=draft_school01&amp;ps_school=50403" TargetMode="External"/><Relationship Id="rId15910" Type="http://schemas.openxmlformats.org/officeDocument/2006/relationships/hyperlink" Target="https://statiz.sporki.com/player/?m=playerinfo&amp;p_no=1351" TargetMode="External"/><Relationship Id="rId9082" Type="http://schemas.openxmlformats.org/officeDocument/2006/relationships/hyperlink" Target="https://statiz.sporki.com/player/?m=playerinfo&amp;p_no=10053" TargetMode="External"/><Relationship Id="rId13461" Type="http://schemas.openxmlformats.org/officeDocument/2006/relationships/hyperlink" Target="https://statiz.sporki.com/player/?m=playerinfo&amp;p_no=11416" TargetMode="External"/><Relationship Id="rId14512" Type="http://schemas.openxmlformats.org/officeDocument/2006/relationships/hyperlink" Target="https://statiz.sporki.com/player/?m=playerinfo&amp;p_no=10259" TargetMode="External"/><Relationship Id="rId3520" Type="http://schemas.openxmlformats.org/officeDocument/2006/relationships/hyperlink" Target="https://statiz.sporki.com/player/?m=playerinfo&amp;p_no=12693" TargetMode="External"/><Relationship Id="rId12063" Type="http://schemas.openxmlformats.org/officeDocument/2006/relationships/hyperlink" Target="https://statiz.sporki.com/add/?m=draft_school02&amp;ps_school=60703" TargetMode="External"/><Relationship Id="rId13114" Type="http://schemas.openxmlformats.org/officeDocument/2006/relationships/hyperlink" Target="https://statiz.sporki.com/player/?m=playerinfo&amp;p_no=12873" TargetMode="External"/><Relationship Id="rId16684" Type="http://schemas.openxmlformats.org/officeDocument/2006/relationships/hyperlink" Target="https://statiz.sporki.com/add/?m=draft_school01&amp;ps_school=50703" TargetMode="External"/><Relationship Id="rId17735" Type="http://schemas.openxmlformats.org/officeDocument/2006/relationships/hyperlink" Target="https://statiz.sporki.com/add/?m=draft_school01&amp;ps_school=50107" TargetMode="External"/><Relationship Id="rId441" Type="http://schemas.openxmlformats.org/officeDocument/2006/relationships/hyperlink" Target="https://statiz.sporki.com/add/?m=draft_school02&amp;ps_school=60109" TargetMode="External"/><Relationship Id="rId1071" Type="http://schemas.openxmlformats.org/officeDocument/2006/relationships/hyperlink" Target="https://statiz.sporki.com/add/?m=draft_school02&amp;ps_school=60705" TargetMode="External"/><Relationship Id="rId2122" Type="http://schemas.openxmlformats.org/officeDocument/2006/relationships/hyperlink" Target="https://statiz.sporki.com/player/?m=playerinfo&amp;p_no=14220" TargetMode="External"/><Relationship Id="rId5692" Type="http://schemas.openxmlformats.org/officeDocument/2006/relationships/hyperlink" Target="https://statiz.sporki.com/player/?m=playerinfo&amp;p_no=11466" TargetMode="External"/><Relationship Id="rId6743" Type="http://schemas.openxmlformats.org/officeDocument/2006/relationships/hyperlink" Target="https://statiz.sporki.com/add/?m=draft_school01&amp;ps_school=50301" TargetMode="External"/><Relationship Id="rId15286" Type="http://schemas.openxmlformats.org/officeDocument/2006/relationships/hyperlink" Target="https://statiz.sporki.com/player/?m=playerinfo&amp;p_no=1782" TargetMode="External"/><Relationship Id="rId16337" Type="http://schemas.openxmlformats.org/officeDocument/2006/relationships/hyperlink" Target="https://statiz.sporki.com/add/?m=draft_school01&amp;ps_school=50601" TargetMode="External"/><Relationship Id="rId4294" Type="http://schemas.openxmlformats.org/officeDocument/2006/relationships/hyperlink" Target="https://statiz.sporki.com/player/?m=playerinfo&amp;p_no=11269" TargetMode="External"/><Relationship Id="rId5345" Type="http://schemas.openxmlformats.org/officeDocument/2006/relationships/hyperlink" Target="https://statiz.sporki.com/add/?m=draft_school01&amp;ps_school=50402" TargetMode="External"/><Relationship Id="rId9966" Type="http://schemas.openxmlformats.org/officeDocument/2006/relationships/hyperlink" Target="https://statiz.sporki.com/add/?m=draft_school02&amp;ps_school=" TargetMode="External"/><Relationship Id="rId8568" Type="http://schemas.openxmlformats.org/officeDocument/2006/relationships/hyperlink" Target="https://statiz.sporki.com/add/?m=draft_school02&amp;ps_school=60203" TargetMode="External"/><Relationship Id="rId9619" Type="http://schemas.openxmlformats.org/officeDocument/2006/relationships/hyperlink" Target="https://statiz.sporki.com/player/?m=playerinfo&amp;p_no=1721" TargetMode="External"/><Relationship Id="rId11896" Type="http://schemas.openxmlformats.org/officeDocument/2006/relationships/hyperlink" Target="https://statiz.sporki.com/player/?m=playerinfo&amp;p_no=1086" TargetMode="External"/><Relationship Id="rId12947" Type="http://schemas.openxmlformats.org/officeDocument/2006/relationships/hyperlink" Target="https://statiz.sporki.com/player/?m=playerinfo&amp;p_no=13106" TargetMode="External"/><Relationship Id="rId1955" Type="http://schemas.openxmlformats.org/officeDocument/2006/relationships/hyperlink" Target="https://statiz.sporki.com/add/?m=draft_school01&amp;ps_school=50107" TargetMode="External"/><Relationship Id="rId10498" Type="http://schemas.openxmlformats.org/officeDocument/2006/relationships/hyperlink" Target="https://statiz.sporki.com/player/?m=playerinfo&amp;p_no=1611" TargetMode="External"/><Relationship Id="rId11549" Type="http://schemas.openxmlformats.org/officeDocument/2006/relationships/hyperlink" Target="https://statiz.sporki.com/add/?m=draft_school01&amp;ps_school=50110" TargetMode="External"/><Relationship Id="rId15420" Type="http://schemas.openxmlformats.org/officeDocument/2006/relationships/hyperlink" Target="https://statiz.sporki.com/player/?m=playerinfo&amp;p_no=1691" TargetMode="External"/><Relationship Id="rId18990" Type="http://schemas.openxmlformats.org/officeDocument/2006/relationships/hyperlink" Target="https://statiz.sporki.com/add/?m=draft_school01&amp;ps_school=50209" TargetMode="External"/><Relationship Id="rId1608" Type="http://schemas.openxmlformats.org/officeDocument/2006/relationships/hyperlink" Target="https://statiz.sporki.com/add/?m=draft_school02&amp;ps_school=" TargetMode="External"/><Relationship Id="rId3030" Type="http://schemas.openxmlformats.org/officeDocument/2006/relationships/hyperlink" Target="https://statiz.sporki.com/add/?m=draft_school02&amp;ps_school=" TargetMode="External"/><Relationship Id="rId14022" Type="http://schemas.openxmlformats.org/officeDocument/2006/relationships/hyperlink" Target="https://statiz.sporki.com/player/?m=playerinfo&amp;p_no=10335" TargetMode="External"/><Relationship Id="rId17592" Type="http://schemas.openxmlformats.org/officeDocument/2006/relationships/hyperlink" Target="https://statiz.sporki.com/add/?m=draft_school01&amp;ps_school=50502" TargetMode="External"/><Relationship Id="rId18643" Type="http://schemas.openxmlformats.org/officeDocument/2006/relationships/hyperlink" Target="https://statiz.sporki.com/add/?m=draft_school01&amp;ps_school=50116" TargetMode="External"/><Relationship Id="rId7651" Type="http://schemas.openxmlformats.org/officeDocument/2006/relationships/hyperlink" Target="https://statiz.sporki.com/player/?m=playerinfo&amp;p_no=2251" TargetMode="External"/><Relationship Id="rId8702" Type="http://schemas.openxmlformats.org/officeDocument/2006/relationships/hyperlink" Target="https://statiz.sporki.com/add/?m=draft_school01&amp;ps_school=50110" TargetMode="External"/><Relationship Id="rId10632" Type="http://schemas.openxmlformats.org/officeDocument/2006/relationships/hyperlink" Target="https://statiz.sporki.com/add/?m=draft_school02&amp;ps_school=60803" TargetMode="External"/><Relationship Id="rId16194" Type="http://schemas.openxmlformats.org/officeDocument/2006/relationships/hyperlink" Target="https://statiz.sporki.com/add/?m=draft_school01&amp;ps_school=50903" TargetMode="External"/><Relationship Id="rId17245" Type="http://schemas.openxmlformats.org/officeDocument/2006/relationships/hyperlink" Target="https://statiz.sporki.com/add/?m=draft_school01&amp;ps_school=50403" TargetMode="External"/><Relationship Id="rId6253" Type="http://schemas.openxmlformats.org/officeDocument/2006/relationships/hyperlink" Target="https://statiz.sporki.com/player/?m=playerinfo&amp;p_no=10172" TargetMode="External"/><Relationship Id="rId7304" Type="http://schemas.openxmlformats.org/officeDocument/2006/relationships/hyperlink" Target="https://statiz.sporki.com/add/?m=draft_school01&amp;ps_school=50109" TargetMode="External"/><Relationship Id="rId2863" Type="http://schemas.openxmlformats.org/officeDocument/2006/relationships/hyperlink" Target="https://statiz.sporki.com/player/?m=playerinfo&amp;p_no=13226" TargetMode="External"/><Relationship Id="rId3914" Type="http://schemas.openxmlformats.org/officeDocument/2006/relationships/hyperlink" Target="https://statiz.sporki.com/add/?m=draft_school01&amp;ps_school=" TargetMode="External"/><Relationship Id="rId9476" Type="http://schemas.openxmlformats.org/officeDocument/2006/relationships/hyperlink" Target="https://statiz.sporki.com/add/?m=draft_school01&amp;ps_school=50116" TargetMode="External"/><Relationship Id="rId12457" Type="http://schemas.openxmlformats.org/officeDocument/2006/relationships/hyperlink" Target="https://statiz.sporki.com/player/?m=playerinfo&amp;p_no=15139" TargetMode="External"/><Relationship Id="rId13508" Type="http://schemas.openxmlformats.org/officeDocument/2006/relationships/hyperlink" Target="https://statiz.sporki.com/player/?m=playerinfo&amp;p_no=11240" TargetMode="External"/><Relationship Id="rId13855" Type="http://schemas.openxmlformats.org/officeDocument/2006/relationships/hyperlink" Target="https://statiz.sporki.com/player/?m=playerinfo&amp;p_no=11107" TargetMode="External"/><Relationship Id="rId14906" Type="http://schemas.openxmlformats.org/officeDocument/2006/relationships/hyperlink" Target="https://statiz.sporki.com/player/?m=playerinfo&amp;p_no=2047" TargetMode="External"/><Relationship Id="rId835" Type="http://schemas.openxmlformats.org/officeDocument/2006/relationships/hyperlink" Target="https://statiz.sporki.com/player/?m=playerinfo&amp;p_no=15154" TargetMode="External"/><Relationship Id="rId1465" Type="http://schemas.openxmlformats.org/officeDocument/2006/relationships/hyperlink" Target="https://statiz.sporki.com/player/?m=playerinfo&amp;p_no=14695" TargetMode="External"/><Relationship Id="rId2516" Type="http://schemas.openxmlformats.org/officeDocument/2006/relationships/hyperlink" Target="https://statiz.sporki.com/add/?m=draft_school01&amp;ps_school=50301" TargetMode="External"/><Relationship Id="rId8078" Type="http://schemas.openxmlformats.org/officeDocument/2006/relationships/hyperlink" Target="https://statiz.sporki.com/add/?m=draft_school01&amp;ps_school=50111" TargetMode="External"/><Relationship Id="rId9129" Type="http://schemas.openxmlformats.org/officeDocument/2006/relationships/hyperlink" Target="https://statiz.sporki.com/add/?m=draft_school02&amp;ps_school=60113" TargetMode="External"/><Relationship Id="rId11059" Type="http://schemas.openxmlformats.org/officeDocument/2006/relationships/hyperlink" Target="https://statiz.sporki.com/player/?m=playerinfo&amp;p_no=1339" TargetMode="External"/><Relationship Id="rId1118" Type="http://schemas.openxmlformats.org/officeDocument/2006/relationships/hyperlink" Target="https://statiz.sporki.com/add/?m=draft_school01&amp;ps_school=50101" TargetMode="External"/><Relationship Id="rId4688" Type="http://schemas.openxmlformats.org/officeDocument/2006/relationships/hyperlink" Target="https://statiz.sporki.com/add/?m=draft_school01&amp;ps_school=" TargetMode="External"/><Relationship Id="rId19551" Type="http://schemas.openxmlformats.org/officeDocument/2006/relationships/hyperlink" Target="https://statiz.sporki.com/add/?m=draft_school01&amp;ps_school=50102" TargetMode="External"/><Relationship Id="rId5739" Type="http://schemas.openxmlformats.org/officeDocument/2006/relationships/hyperlink" Target="https://statiz.sporki.com/add/?m=draft_school02&amp;ps_school=" TargetMode="External"/><Relationship Id="rId7161" Type="http://schemas.openxmlformats.org/officeDocument/2006/relationships/hyperlink" Target="https://statiz.sporki.com/add/?m=draft_school02&amp;ps_school=" TargetMode="External"/><Relationship Id="rId8212" Type="http://schemas.openxmlformats.org/officeDocument/2006/relationships/hyperlink" Target="https://statiz.sporki.com/player/?m=playerinfo&amp;p_no=2112" TargetMode="External"/><Relationship Id="rId9610" Type="http://schemas.openxmlformats.org/officeDocument/2006/relationships/hyperlink" Target="https://statiz.sporki.com/player/?m=playerinfo&amp;p_no=1756" TargetMode="External"/><Relationship Id="rId11540" Type="http://schemas.openxmlformats.org/officeDocument/2006/relationships/hyperlink" Target="https://statiz.sporki.com/add/?m=draft_school01&amp;ps_school=" TargetMode="External"/><Relationship Id="rId18153" Type="http://schemas.openxmlformats.org/officeDocument/2006/relationships/hyperlink" Target="https://statiz.sporki.com/add/?m=draft_school01&amp;ps_school=50303" TargetMode="External"/><Relationship Id="rId19204" Type="http://schemas.openxmlformats.org/officeDocument/2006/relationships/hyperlink" Target="https://statiz.sporki.com/add/?m=draft_school01&amp;ps_school=50403" TargetMode="External"/><Relationship Id="rId10142" Type="http://schemas.openxmlformats.org/officeDocument/2006/relationships/hyperlink" Target="https://statiz.sporki.com/add/?m=draft_school01&amp;ps_school=51100" TargetMode="External"/><Relationship Id="rId14763" Type="http://schemas.openxmlformats.org/officeDocument/2006/relationships/hyperlink" Target="https://statiz.sporki.com/player/?m=playerinfo&amp;p_no=2304" TargetMode="External"/><Relationship Id="rId15814" Type="http://schemas.openxmlformats.org/officeDocument/2006/relationships/hyperlink" Target="https://statiz.sporki.com/player/?m=playerinfo&amp;p_no=1366" TargetMode="External"/><Relationship Id="rId3771" Type="http://schemas.openxmlformats.org/officeDocument/2006/relationships/hyperlink" Target="https://statiz.sporki.com/add/?m=draft_school02&amp;ps_school=60108" TargetMode="External"/><Relationship Id="rId4822" Type="http://schemas.openxmlformats.org/officeDocument/2006/relationships/hyperlink" Target="https://statiz.sporki.com/player/?m=playerinfo&amp;p_no=10847" TargetMode="External"/><Relationship Id="rId13365" Type="http://schemas.openxmlformats.org/officeDocument/2006/relationships/hyperlink" Target="https://statiz.sporki.com/player/?m=playerinfo&amp;p_no=11396" TargetMode="External"/><Relationship Id="rId14416" Type="http://schemas.openxmlformats.org/officeDocument/2006/relationships/hyperlink" Target="https://statiz.sporki.com/player/?m=playerinfo&amp;p_no=2372" TargetMode="External"/><Relationship Id="rId17986" Type="http://schemas.openxmlformats.org/officeDocument/2006/relationships/hyperlink" Target="https://statiz.sporki.com/add/?m=draft_school01&amp;ps_school=50601" TargetMode="External"/><Relationship Id="rId692" Type="http://schemas.openxmlformats.org/officeDocument/2006/relationships/hyperlink" Target="https://statiz.sporki.com/add/?m=draft_school01&amp;ps_school=50106" TargetMode="External"/><Relationship Id="rId2373" Type="http://schemas.openxmlformats.org/officeDocument/2006/relationships/hyperlink" Target="https://statiz.sporki.com/add/?m=draft_school02&amp;ps_school=60204" TargetMode="External"/><Relationship Id="rId3424" Type="http://schemas.openxmlformats.org/officeDocument/2006/relationships/hyperlink" Target="https://statiz.sporki.com/player/?m=playerinfo&amp;p_no=12556" TargetMode="External"/><Relationship Id="rId6994" Type="http://schemas.openxmlformats.org/officeDocument/2006/relationships/hyperlink" Target="https://statiz.sporki.com/player/?m=playerinfo&amp;p_no=2308" TargetMode="External"/><Relationship Id="rId13018" Type="http://schemas.openxmlformats.org/officeDocument/2006/relationships/hyperlink" Target="https://statiz.sporki.com/player/?m=playerinfo&amp;p_no=13063" TargetMode="External"/><Relationship Id="rId16588" Type="http://schemas.openxmlformats.org/officeDocument/2006/relationships/hyperlink" Target="https://statiz.sporki.com/add/?m=draft_school01&amp;ps_school=50802" TargetMode="External"/><Relationship Id="rId17639" Type="http://schemas.openxmlformats.org/officeDocument/2006/relationships/hyperlink" Target="https://statiz.sporki.com/add/?m=draft_school01&amp;ps_school=50605" TargetMode="External"/><Relationship Id="rId345" Type="http://schemas.openxmlformats.org/officeDocument/2006/relationships/hyperlink" Target="https://statiz.sporki.com/add/?m=draft_school02&amp;ps_school=" TargetMode="External"/><Relationship Id="rId2026" Type="http://schemas.openxmlformats.org/officeDocument/2006/relationships/hyperlink" Target="https://statiz.sporki.com/player/?m=playerinfo&amp;p_no=14182" TargetMode="External"/><Relationship Id="rId5596" Type="http://schemas.openxmlformats.org/officeDocument/2006/relationships/hyperlink" Target="https://statiz.sporki.com/player/?m=playerinfo&amp;p_no=10549" TargetMode="External"/><Relationship Id="rId6647" Type="http://schemas.openxmlformats.org/officeDocument/2006/relationships/hyperlink" Target="https://statiz.sporki.com/add/?m=draft_school01&amp;ps_school=" TargetMode="External"/><Relationship Id="rId19061" Type="http://schemas.openxmlformats.org/officeDocument/2006/relationships/hyperlink" Target="https://statiz.sporki.com/add/?m=draft_school01&amp;ps_school=50111" TargetMode="External"/><Relationship Id="rId4198" Type="http://schemas.openxmlformats.org/officeDocument/2006/relationships/hyperlink" Target="https://statiz.sporki.com/player/?m=playerinfo&amp;p_no=11284" TargetMode="External"/><Relationship Id="rId5249" Type="http://schemas.openxmlformats.org/officeDocument/2006/relationships/hyperlink" Target="https://statiz.sporki.com/add/?m=draft_school01&amp;ps_school=50904" TargetMode="External"/><Relationship Id="rId9120" Type="http://schemas.openxmlformats.org/officeDocument/2006/relationships/hyperlink" Target="https://statiz.sporki.com/add/?m=draft_school02&amp;ps_school=60114" TargetMode="External"/><Relationship Id="rId11050" Type="http://schemas.openxmlformats.org/officeDocument/2006/relationships/hyperlink" Target="https://statiz.sporki.com/player/?m=playerinfo&amp;p_no=1344" TargetMode="External"/><Relationship Id="rId12101" Type="http://schemas.openxmlformats.org/officeDocument/2006/relationships/hyperlink" Target="https://statiz.sporki.com/add/?m=draft_school01&amp;ps_school=50807" TargetMode="External"/><Relationship Id="rId15671" Type="http://schemas.openxmlformats.org/officeDocument/2006/relationships/hyperlink" Target="https://statiz.sporki.com/player/?m=playerinfo&amp;p_no=1478" TargetMode="External"/><Relationship Id="rId16722" Type="http://schemas.openxmlformats.org/officeDocument/2006/relationships/hyperlink" Target="https://statiz.sporki.com/add/?m=draft_school01&amp;ps_school=50605" TargetMode="External"/><Relationship Id="rId1859" Type="http://schemas.openxmlformats.org/officeDocument/2006/relationships/hyperlink" Target="https://statiz.sporki.com/add/?m=draft_school01&amp;ps_school=50209" TargetMode="External"/><Relationship Id="rId5730" Type="http://schemas.openxmlformats.org/officeDocument/2006/relationships/hyperlink" Target="https://statiz.sporki.com/add/?m=draft_school02&amp;ps_school=" TargetMode="External"/><Relationship Id="rId14273" Type="http://schemas.openxmlformats.org/officeDocument/2006/relationships/hyperlink" Target="https://statiz.sporki.com/player/?m=playerinfo&amp;p_no=10094" TargetMode="External"/><Relationship Id="rId15324" Type="http://schemas.openxmlformats.org/officeDocument/2006/relationships/hyperlink" Target="https://statiz.sporki.com/player/?m=playerinfo&amp;p_no=1893" TargetMode="External"/><Relationship Id="rId18894" Type="http://schemas.openxmlformats.org/officeDocument/2006/relationships/hyperlink" Target="https://statiz.sporki.com/add/?m=draft_school01&amp;ps_school=50502" TargetMode="External"/><Relationship Id="rId3281" Type="http://schemas.openxmlformats.org/officeDocument/2006/relationships/hyperlink" Target="https://statiz.sporki.com/add/?m=draft_school01&amp;ps_school=50202" TargetMode="External"/><Relationship Id="rId4332" Type="http://schemas.openxmlformats.org/officeDocument/2006/relationships/hyperlink" Target="https://statiz.sporki.com/add/?m=draft_school02&amp;ps_school=" TargetMode="External"/><Relationship Id="rId8953" Type="http://schemas.openxmlformats.org/officeDocument/2006/relationships/hyperlink" Target="https://statiz.sporki.com/player/?m=playerinfo&amp;p_no=1966" TargetMode="External"/><Relationship Id="rId10883" Type="http://schemas.openxmlformats.org/officeDocument/2006/relationships/hyperlink" Target="https://statiz.sporki.com/add/?m=draft_school01&amp;ps_school=50301" TargetMode="External"/><Relationship Id="rId17496" Type="http://schemas.openxmlformats.org/officeDocument/2006/relationships/hyperlink" Target="https://statiz.sporki.com/add/?m=draft_school01&amp;ps_school=50101" TargetMode="External"/><Relationship Id="rId18547" Type="http://schemas.openxmlformats.org/officeDocument/2006/relationships/hyperlink" Target="https://statiz.sporki.com/add/?m=draft_school01&amp;ps_school=50203" TargetMode="External"/><Relationship Id="rId7555" Type="http://schemas.openxmlformats.org/officeDocument/2006/relationships/hyperlink" Target="https://statiz.sporki.com/player/?m=playerinfo&amp;p_no=2219" TargetMode="External"/><Relationship Id="rId8606" Type="http://schemas.openxmlformats.org/officeDocument/2006/relationships/hyperlink" Target="https://statiz.sporki.com/add/?m=draft_school01&amp;ps_school=50403" TargetMode="External"/><Relationship Id="rId10536" Type="http://schemas.openxmlformats.org/officeDocument/2006/relationships/hyperlink" Target="https://statiz.sporki.com/add/?m=draft_school02&amp;ps_school=" TargetMode="External"/><Relationship Id="rId11934" Type="http://schemas.openxmlformats.org/officeDocument/2006/relationships/hyperlink" Target="https://statiz.sporki.com/add/?m=draft_school02&amp;ps_school=60103" TargetMode="External"/><Relationship Id="rId16098" Type="http://schemas.openxmlformats.org/officeDocument/2006/relationships/hyperlink" Target="https://statiz.sporki.com/player/?m=playerinfo&amp;p_no=1020" TargetMode="External"/><Relationship Id="rId17149" Type="http://schemas.openxmlformats.org/officeDocument/2006/relationships/hyperlink" Target="https://statiz.sporki.com/add/?m=draft_school01&amp;ps_school=50706" TargetMode="External"/><Relationship Id="rId6157" Type="http://schemas.openxmlformats.org/officeDocument/2006/relationships/hyperlink" Target="https://statiz.sporki.com/player/?m=playerinfo&amp;p_no=10100" TargetMode="External"/><Relationship Id="rId7208" Type="http://schemas.openxmlformats.org/officeDocument/2006/relationships/hyperlink" Target="https://statiz.sporki.com/add/?m=draft_school01&amp;ps_school=50606" TargetMode="External"/><Relationship Id="rId2767" Type="http://schemas.openxmlformats.org/officeDocument/2006/relationships/hyperlink" Target="https://statiz.sporki.com/player/?m=playerinfo&amp;p_no=12923" TargetMode="External"/><Relationship Id="rId13759" Type="http://schemas.openxmlformats.org/officeDocument/2006/relationships/hyperlink" Target="https://statiz.sporki.com/player/?m=playerinfo&amp;p_no=10827" TargetMode="External"/><Relationship Id="rId15181" Type="http://schemas.openxmlformats.org/officeDocument/2006/relationships/hyperlink" Target="https://statiz.sporki.com/player/?m=playerinfo&amp;p_no=1979" TargetMode="External"/><Relationship Id="rId17630" Type="http://schemas.openxmlformats.org/officeDocument/2006/relationships/hyperlink" Target="https://statiz.sporki.com/add/?m=draft_school01&amp;ps_school=50502" TargetMode="External"/><Relationship Id="rId739" Type="http://schemas.openxmlformats.org/officeDocument/2006/relationships/hyperlink" Target="https://statiz.sporki.com/player/?m=playerinfo&amp;p_no=15075" TargetMode="External"/><Relationship Id="rId1369" Type="http://schemas.openxmlformats.org/officeDocument/2006/relationships/hyperlink" Target="https://statiz.sporki.com/player/?m=playerinfo&amp;p_no=14852" TargetMode="External"/><Relationship Id="rId3818" Type="http://schemas.openxmlformats.org/officeDocument/2006/relationships/hyperlink" Target="https://statiz.sporki.com/add/?m=draft_school01&amp;ps_school=50103" TargetMode="External"/><Relationship Id="rId5240" Type="http://schemas.openxmlformats.org/officeDocument/2006/relationships/hyperlink" Target="https://statiz.sporki.com/add/?m=draft_school01&amp;ps_school=50703" TargetMode="External"/><Relationship Id="rId16232" Type="http://schemas.openxmlformats.org/officeDocument/2006/relationships/hyperlink" Target="https://statiz.sporki.com/add/?m=draft_school01&amp;ps_school=50105" TargetMode="External"/><Relationship Id="rId9861" Type="http://schemas.openxmlformats.org/officeDocument/2006/relationships/hyperlink" Target="https://statiz.sporki.com/add/?m=draft_school02&amp;ps_school=60802" TargetMode="External"/><Relationship Id="rId11791" Type="http://schemas.openxmlformats.org/officeDocument/2006/relationships/hyperlink" Target="https://statiz.sporki.com/player/?m=playerinfo&amp;p_no=1024" TargetMode="External"/><Relationship Id="rId12842" Type="http://schemas.openxmlformats.org/officeDocument/2006/relationships/hyperlink" Target="https://statiz.sporki.com/player/?m=playerinfo&amp;p_no=14205" TargetMode="External"/><Relationship Id="rId19455" Type="http://schemas.openxmlformats.org/officeDocument/2006/relationships/hyperlink" Target="https://statiz.sporki.com/add/?m=draft_school01&amp;ps_school=50107" TargetMode="External"/><Relationship Id="rId75" Type="http://schemas.openxmlformats.org/officeDocument/2006/relationships/hyperlink" Target="https://statiz.sporki.com/add/?m=draft_school02&amp;ps_school=" TargetMode="External"/><Relationship Id="rId1850" Type="http://schemas.openxmlformats.org/officeDocument/2006/relationships/hyperlink" Target="https://statiz.sporki.com/add/?m=draft_school01&amp;ps_school=50206" TargetMode="External"/><Relationship Id="rId2901" Type="http://schemas.openxmlformats.org/officeDocument/2006/relationships/hyperlink" Target="https://statiz.sporki.com/add/?m=draft_school02&amp;ps_school=" TargetMode="External"/><Relationship Id="rId7065" Type="http://schemas.openxmlformats.org/officeDocument/2006/relationships/hyperlink" Target="https://statiz.sporki.com/add/?m=draft_school02&amp;ps_school=" TargetMode="External"/><Relationship Id="rId8463" Type="http://schemas.openxmlformats.org/officeDocument/2006/relationships/hyperlink" Target="https://statiz.sporki.com/add/?m=draft_school02&amp;ps_school=60501" TargetMode="External"/><Relationship Id="rId9514" Type="http://schemas.openxmlformats.org/officeDocument/2006/relationships/hyperlink" Target="https://statiz.sporki.com/player/?m=playerinfo&amp;p_no=1848" TargetMode="External"/><Relationship Id="rId10393" Type="http://schemas.openxmlformats.org/officeDocument/2006/relationships/hyperlink" Target="https://statiz.sporki.com/player/?m=playerinfo&amp;p_no=1592" TargetMode="External"/><Relationship Id="rId11444" Type="http://schemas.openxmlformats.org/officeDocument/2006/relationships/hyperlink" Target="https://statiz.sporki.com/add/?m=draft_school01&amp;ps_school=50114" TargetMode="External"/><Relationship Id="rId18057" Type="http://schemas.openxmlformats.org/officeDocument/2006/relationships/hyperlink" Target="https://statiz.sporki.com/add/?m=draft_school01&amp;ps_school=50202" TargetMode="External"/><Relationship Id="rId19108" Type="http://schemas.openxmlformats.org/officeDocument/2006/relationships/hyperlink" Target="https://statiz.sporki.com/add/?m=draft_school01&amp;ps_school=50209" TargetMode="External"/><Relationship Id="rId1503" Type="http://schemas.openxmlformats.org/officeDocument/2006/relationships/hyperlink" Target="https://statiz.sporki.com/add/?m=draft_school02&amp;ps_school=" TargetMode="External"/><Relationship Id="rId8116" Type="http://schemas.openxmlformats.org/officeDocument/2006/relationships/hyperlink" Target="https://statiz.sporki.com/player/?m=playerinfo&amp;p_no=2117" TargetMode="External"/><Relationship Id="rId10046" Type="http://schemas.openxmlformats.org/officeDocument/2006/relationships/hyperlink" Target="https://statiz.sporki.com/add/?m=draft_school01&amp;ps_school=50609" TargetMode="External"/><Relationship Id="rId14667" Type="http://schemas.openxmlformats.org/officeDocument/2006/relationships/hyperlink" Target="https://statiz.sporki.com/player/?m=playerinfo&amp;p_no=2193" TargetMode="External"/><Relationship Id="rId15718" Type="http://schemas.openxmlformats.org/officeDocument/2006/relationships/hyperlink" Target="https://statiz.sporki.com/player/?m=playerinfo&amp;p_no=1436" TargetMode="External"/><Relationship Id="rId3675" Type="http://schemas.openxmlformats.org/officeDocument/2006/relationships/hyperlink" Target="https://statiz.sporki.com/add/?m=draft_school02&amp;ps_school=" TargetMode="External"/><Relationship Id="rId4726" Type="http://schemas.openxmlformats.org/officeDocument/2006/relationships/hyperlink" Target="https://statiz.sporki.com/player/?m=playerinfo&amp;p_no=12972" TargetMode="External"/><Relationship Id="rId13269" Type="http://schemas.openxmlformats.org/officeDocument/2006/relationships/hyperlink" Target="https://statiz.sporki.com/player/?m=playerinfo&amp;p_no=12640" TargetMode="External"/><Relationship Id="rId17140" Type="http://schemas.openxmlformats.org/officeDocument/2006/relationships/hyperlink" Target="https://statiz.sporki.com/add/?m=draft_school01&amp;ps_school=50807" TargetMode="External"/><Relationship Id="rId596" Type="http://schemas.openxmlformats.org/officeDocument/2006/relationships/hyperlink" Target="https://statiz.sporki.com/add/?m=draft_school01&amp;ps_school=50502" TargetMode="External"/><Relationship Id="rId2277" Type="http://schemas.openxmlformats.org/officeDocument/2006/relationships/hyperlink" Target="https://statiz.sporki.com/add/?m=draft_school02&amp;ps_school=60113" TargetMode="External"/><Relationship Id="rId3328" Type="http://schemas.openxmlformats.org/officeDocument/2006/relationships/hyperlink" Target="https://statiz.sporki.com/player/?m=playerinfo&amp;p_no=12539" TargetMode="External"/><Relationship Id="rId6898" Type="http://schemas.openxmlformats.org/officeDocument/2006/relationships/hyperlink" Target="https://statiz.sporki.com/player/?m=playerinfo&amp;p_no=10004" TargetMode="External"/><Relationship Id="rId249" Type="http://schemas.openxmlformats.org/officeDocument/2006/relationships/hyperlink" Target="https://statiz.sporki.com/add/?m=draft_school02&amp;ps_school=" TargetMode="External"/><Relationship Id="rId7949" Type="http://schemas.openxmlformats.org/officeDocument/2006/relationships/hyperlink" Target="https://statiz.sporki.com/add/?m=draft_school01&amp;ps_school=50502" TargetMode="External"/><Relationship Id="rId9371" Type="http://schemas.openxmlformats.org/officeDocument/2006/relationships/hyperlink" Target="https://statiz.sporki.com/add/?m=draft_school01&amp;ps_school=" TargetMode="External"/><Relationship Id="rId13750" Type="http://schemas.openxmlformats.org/officeDocument/2006/relationships/hyperlink" Target="https://statiz.sporki.com/player/?m=playerinfo&amp;p_no=10817" TargetMode="External"/><Relationship Id="rId14801" Type="http://schemas.openxmlformats.org/officeDocument/2006/relationships/hyperlink" Target="https://statiz.sporki.com/player/?m=playerinfo&amp;p_no=2124" TargetMode="External"/><Relationship Id="rId9024" Type="http://schemas.openxmlformats.org/officeDocument/2006/relationships/hyperlink" Target="https://statiz.sporki.com/add/?m=draft_school02&amp;ps_school=60204" TargetMode="External"/><Relationship Id="rId12352" Type="http://schemas.openxmlformats.org/officeDocument/2006/relationships/hyperlink" Target="https://statiz.sporki.com/player/?m=playerinfo&amp;p_no=15083" TargetMode="External"/><Relationship Id="rId13403" Type="http://schemas.openxmlformats.org/officeDocument/2006/relationships/hyperlink" Target="https://statiz.sporki.com/player/?m=playerinfo&amp;p_no=11390" TargetMode="External"/><Relationship Id="rId16973" Type="http://schemas.openxmlformats.org/officeDocument/2006/relationships/hyperlink" Target="https://statiz.sporki.com/add/?m=draft_school01&amp;ps_school=50201" TargetMode="External"/><Relationship Id="rId730" Type="http://schemas.openxmlformats.org/officeDocument/2006/relationships/hyperlink" Target="https://statiz.sporki.com/player/?m=playerinfo&amp;p_no=15107" TargetMode="External"/><Relationship Id="rId1013" Type="http://schemas.openxmlformats.org/officeDocument/2006/relationships/hyperlink" Target="https://statiz.sporki.com/add/?m=draft_school01&amp;ps_school=50208" TargetMode="External"/><Relationship Id="rId1360" Type="http://schemas.openxmlformats.org/officeDocument/2006/relationships/hyperlink" Target="https://statiz.sporki.com/player/?m=playerinfo&amp;p_no=14995" TargetMode="External"/><Relationship Id="rId2411" Type="http://schemas.openxmlformats.org/officeDocument/2006/relationships/hyperlink" Target="https://statiz.sporki.com/add/?m=draft_school01&amp;ps_school=50101" TargetMode="External"/><Relationship Id="rId5981" Type="http://schemas.openxmlformats.org/officeDocument/2006/relationships/hyperlink" Target="https://statiz.sporki.com/add/?m=draft_school01&amp;ps_school=50602" TargetMode="External"/><Relationship Id="rId12005" Type="http://schemas.openxmlformats.org/officeDocument/2006/relationships/hyperlink" Target="https://statiz.sporki.com/add/?m=draft_school01&amp;ps_school=50202" TargetMode="External"/><Relationship Id="rId15575" Type="http://schemas.openxmlformats.org/officeDocument/2006/relationships/hyperlink" Target="https://statiz.sporki.com/player/?m=playerinfo&amp;p_no=1607" TargetMode="External"/><Relationship Id="rId16626" Type="http://schemas.openxmlformats.org/officeDocument/2006/relationships/hyperlink" Target="https://statiz.sporki.com/add/?m=draft_school01&amp;ps_school=50207" TargetMode="External"/><Relationship Id="rId4583" Type="http://schemas.openxmlformats.org/officeDocument/2006/relationships/hyperlink" Target="https://statiz.sporki.com/add/?m=draft_school01&amp;ps_school=50604" TargetMode="External"/><Relationship Id="rId5634" Type="http://schemas.openxmlformats.org/officeDocument/2006/relationships/hyperlink" Target="https://statiz.sporki.com/add/?m=draft_school02&amp;ps_school=" TargetMode="External"/><Relationship Id="rId14177" Type="http://schemas.openxmlformats.org/officeDocument/2006/relationships/hyperlink" Target="https://statiz.sporki.com/player/?m=playerinfo&amp;p_no=10353" TargetMode="External"/><Relationship Id="rId15228" Type="http://schemas.openxmlformats.org/officeDocument/2006/relationships/hyperlink" Target="https://statiz.sporki.com/player/?m=playerinfo&amp;p_no=1904" TargetMode="External"/><Relationship Id="rId18798" Type="http://schemas.openxmlformats.org/officeDocument/2006/relationships/hyperlink" Target="https://statiz.sporki.com/add/?m=draft_school01&amp;ps_school=50105" TargetMode="External"/><Relationship Id="rId3185" Type="http://schemas.openxmlformats.org/officeDocument/2006/relationships/hyperlink" Target="https://statiz.sporki.com/add/?m=draft_school01&amp;ps_school=50114" TargetMode="External"/><Relationship Id="rId4236" Type="http://schemas.openxmlformats.org/officeDocument/2006/relationships/hyperlink" Target="https://statiz.sporki.com/add/?m=draft_school02&amp;ps_school=60102" TargetMode="External"/><Relationship Id="rId8857" Type="http://schemas.openxmlformats.org/officeDocument/2006/relationships/hyperlink" Target="https://statiz.sporki.com/player/?m=playerinfo&amp;p_no=1941" TargetMode="External"/><Relationship Id="rId9908" Type="http://schemas.openxmlformats.org/officeDocument/2006/relationships/hyperlink" Target="https://statiz.sporki.com/add/?m=draft_school01&amp;ps_school=" TargetMode="External"/><Relationship Id="rId7459" Type="http://schemas.openxmlformats.org/officeDocument/2006/relationships/hyperlink" Target="https://statiz.sporki.com/player/?m=playerinfo&amp;p_no=10240" TargetMode="External"/><Relationship Id="rId10787" Type="http://schemas.openxmlformats.org/officeDocument/2006/relationships/hyperlink" Target="https://statiz.sporki.com/add/?m=draft_school01&amp;ps_school=50103" TargetMode="External"/><Relationship Id="rId11838" Type="http://schemas.openxmlformats.org/officeDocument/2006/relationships/hyperlink" Target="https://statiz.sporki.com/add/?m=draft_school02&amp;ps_school=60109" TargetMode="External"/><Relationship Id="rId13260" Type="http://schemas.openxmlformats.org/officeDocument/2006/relationships/hyperlink" Target="https://statiz.sporki.com/player/?m=playerinfo&amp;p_no=12585" TargetMode="External"/><Relationship Id="rId14311" Type="http://schemas.openxmlformats.org/officeDocument/2006/relationships/hyperlink" Target="https://statiz.sporki.com/player/?m=playerinfo&amp;p_no=10793" TargetMode="External"/><Relationship Id="rId17881" Type="http://schemas.openxmlformats.org/officeDocument/2006/relationships/hyperlink" Target="https://statiz.sporki.com/add/?m=draft_school01&amp;ps_school=50604" TargetMode="External"/><Relationship Id="rId18932" Type="http://schemas.openxmlformats.org/officeDocument/2006/relationships/hyperlink" Target="https://statiz.sporki.com/add/?m=draft_school01&amp;ps_school=50401" TargetMode="External"/><Relationship Id="rId240" Type="http://schemas.openxmlformats.org/officeDocument/2006/relationships/hyperlink" Target="https://statiz.sporki.com/add/?m=draft_school02&amp;ps_school=60707" TargetMode="External"/><Relationship Id="rId7940" Type="http://schemas.openxmlformats.org/officeDocument/2006/relationships/hyperlink" Target="https://statiz.sporki.com/add/?m=draft_school01&amp;ps_school=50601" TargetMode="External"/><Relationship Id="rId10921" Type="http://schemas.openxmlformats.org/officeDocument/2006/relationships/hyperlink" Target="https://statiz.sporki.com/player/?m=playerinfo&amp;p_no=1400" TargetMode="External"/><Relationship Id="rId16483" Type="http://schemas.openxmlformats.org/officeDocument/2006/relationships/hyperlink" Target="https://statiz.sporki.com/add/?m=draft_school01&amp;ps_school=50208" TargetMode="External"/><Relationship Id="rId17534" Type="http://schemas.openxmlformats.org/officeDocument/2006/relationships/hyperlink" Target="https://statiz.sporki.com/add/?m=draft_school01&amp;ps_school=50701" TargetMode="External"/><Relationship Id="rId4093" Type="http://schemas.openxmlformats.org/officeDocument/2006/relationships/hyperlink" Target="https://statiz.sporki.com/player/?m=playerinfo&amp;p_no=11214" TargetMode="External"/><Relationship Id="rId5144" Type="http://schemas.openxmlformats.org/officeDocument/2006/relationships/hyperlink" Target="https://statiz.sporki.com/add/?m=draft_school01&amp;ps_school=50101" TargetMode="External"/><Relationship Id="rId5491" Type="http://schemas.openxmlformats.org/officeDocument/2006/relationships/hyperlink" Target="https://statiz.sporki.com/player/?m=playerinfo&amp;p_no=10131" TargetMode="External"/><Relationship Id="rId6542" Type="http://schemas.openxmlformats.org/officeDocument/2006/relationships/hyperlink" Target="https://statiz.sporki.com/add/?m=draft_school01&amp;ps_school=50303" TargetMode="External"/><Relationship Id="rId15085" Type="http://schemas.openxmlformats.org/officeDocument/2006/relationships/hyperlink" Target="https://statiz.sporki.com/player/?m=playerinfo&amp;p_no=1918" TargetMode="External"/><Relationship Id="rId16136" Type="http://schemas.openxmlformats.org/officeDocument/2006/relationships/hyperlink" Target="https://statiz.sporki.com/player/?m=playerinfo&amp;p_no=1056" TargetMode="External"/><Relationship Id="rId9765" Type="http://schemas.openxmlformats.org/officeDocument/2006/relationships/hyperlink" Target="https://statiz.sporki.com/add/?m=draft_school02&amp;ps_school=60109" TargetMode="External"/><Relationship Id="rId11695" Type="http://schemas.openxmlformats.org/officeDocument/2006/relationships/hyperlink" Target="https://statiz.sporki.com/player/?m=playerinfo&amp;p_no=1192" TargetMode="External"/><Relationship Id="rId12746" Type="http://schemas.openxmlformats.org/officeDocument/2006/relationships/hyperlink" Target="https://statiz.sporki.com/player/?m=playerinfo&amp;p_no=14886" TargetMode="External"/><Relationship Id="rId19359" Type="http://schemas.openxmlformats.org/officeDocument/2006/relationships/hyperlink" Target="https://statiz.sporki.com/add/?m=draft_school01&amp;ps_school=50116" TargetMode="External"/><Relationship Id="rId1754" Type="http://schemas.openxmlformats.org/officeDocument/2006/relationships/hyperlink" Target="https://statiz.sporki.com/add/?m=draft_school01&amp;ps_school=" TargetMode="External"/><Relationship Id="rId2805" Type="http://schemas.openxmlformats.org/officeDocument/2006/relationships/hyperlink" Target="https://statiz.sporki.com/add/?m=draft_school02&amp;ps_school=" TargetMode="External"/><Relationship Id="rId8367" Type="http://schemas.openxmlformats.org/officeDocument/2006/relationships/hyperlink" Target="https://statiz.sporki.com/add/?m=draft_school02&amp;ps_school=60109" TargetMode="External"/><Relationship Id="rId9418" Type="http://schemas.openxmlformats.org/officeDocument/2006/relationships/hyperlink" Target="https://statiz.sporki.com/player/?m=playerinfo&amp;p_no=1801" TargetMode="External"/><Relationship Id="rId10297" Type="http://schemas.openxmlformats.org/officeDocument/2006/relationships/hyperlink" Target="https://statiz.sporki.com/player/?m=playerinfo&amp;p_no=1540" TargetMode="External"/><Relationship Id="rId11348" Type="http://schemas.openxmlformats.org/officeDocument/2006/relationships/hyperlink" Target="https://statiz.sporki.com/add/?m=draft_school01&amp;ps_school=50608" TargetMode="External"/><Relationship Id="rId1407" Type="http://schemas.openxmlformats.org/officeDocument/2006/relationships/hyperlink" Target="https://statiz.sporki.com/add/?m=draft_school02&amp;ps_school=" TargetMode="External"/><Relationship Id="rId4977" Type="http://schemas.openxmlformats.org/officeDocument/2006/relationships/hyperlink" Target="https://statiz.sporki.com/add/?m=draft_school02&amp;ps_school=60108" TargetMode="External"/><Relationship Id="rId15969" Type="http://schemas.openxmlformats.org/officeDocument/2006/relationships/hyperlink" Target="https://statiz.sporki.com/player/?m=playerinfo&amp;p_no=1196" TargetMode="External"/><Relationship Id="rId17391" Type="http://schemas.openxmlformats.org/officeDocument/2006/relationships/hyperlink" Target="https://statiz.sporki.com/add/?m=draft_school01&amp;ps_school=50903" TargetMode="External"/><Relationship Id="rId3579" Type="http://schemas.openxmlformats.org/officeDocument/2006/relationships/hyperlink" Target="https://statiz.sporki.com/add/?m=draft_school02&amp;ps_school=60104" TargetMode="External"/><Relationship Id="rId7450" Type="http://schemas.openxmlformats.org/officeDocument/2006/relationships/hyperlink" Target="https://statiz.sporki.com/player/?m=playerinfo&amp;p_no=10378" TargetMode="External"/><Relationship Id="rId8501" Type="http://schemas.openxmlformats.org/officeDocument/2006/relationships/hyperlink" Target="https://statiz.sporki.com/add/?m=draft_school01&amp;ps_school=50209" TargetMode="External"/><Relationship Id="rId17044" Type="http://schemas.openxmlformats.org/officeDocument/2006/relationships/hyperlink" Target="https://statiz.sporki.com/add/?m=draft_school01&amp;ps_school=50802" TargetMode="External"/><Relationship Id="rId18442" Type="http://schemas.openxmlformats.org/officeDocument/2006/relationships/hyperlink" Target="https://statiz.sporki.com/add/?m=draft_school01&amp;ps_school=50109" TargetMode="External"/><Relationship Id="rId6052" Type="http://schemas.openxmlformats.org/officeDocument/2006/relationships/hyperlink" Target="https://statiz.sporki.com/player/?m=playerinfo&amp;p_no=10429" TargetMode="External"/><Relationship Id="rId7103" Type="http://schemas.openxmlformats.org/officeDocument/2006/relationships/hyperlink" Target="https://statiz.sporki.com/add/?m=draft_school01&amp;ps_school=50602" TargetMode="External"/><Relationship Id="rId10431" Type="http://schemas.openxmlformats.org/officeDocument/2006/relationships/hyperlink" Target="https://statiz.sporki.com/add/?m=draft_school02&amp;ps_school=" TargetMode="External"/><Relationship Id="rId9275" Type="http://schemas.openxmlformats.org/officeDocument/2006/relationships/hyperlink" Target="https://statiz.sporki.com/add/?m=draft_school01&amp;ps_school=50208" TargetMode="External"/><Relationship Id="rId13654" Type="http://schemas.openxmlformats.org/officeDocument/2006/relationships/hyperlink" Target="https://statiz.sporki.com/player/?m=playerinfo&amp;p_no=11088" TargetMode="External"/><Relationship Id="rId14705" Type="http://schemas.openxmlformats.org/officeDocument/2006/relationships/hyperlink" Target="https://statiz.sporki.com/player/?m=playerinfo&amp;p_no=2352" TargetMode="External"/><Relationship Id="rId981" Type="http://schemas.openxmlformats.org/officeDocument/2006/relationships/hyperlink" Target="https://statiz.sporki.com/add/?m=draft_school02&amp;ps_school=" TargetMode="External"/><Relationship Id="rId2662" Type="http://schemas.openxmlformats.org/officeDocument/2006/relationships/hyperlink" Target="https://statiz.sporki.com/player/?m=playerinfo&amp;p_no=13065" TargetMode="External"/><Relationship Id="rId3713" Type="http://schemas.openxmlformats.org/officeDocument/2006/relationships/hyperlink" Target="https://statiz.sporki.com/add/?m=draft_school01&amp;ps_school=50602" TargetMode="External"/><Relationship Id="rId12256" Type="http://schemas.openxmlformats.org/officeDocument/2006/relationships/hyperlink" Target="https://statiz.sporki.com/player/?m=playerinfo&amp;p_no=15537" TargetMode="External"/><Relationship Id="rId13307" Type="http://schemas.openxmlformats.org/officeDocument/2006/relationships/hyperlink" Target="https://statiz.sporki.com/player/?m=playerinfo&amp;p_no=12658" TargetMode="External"/><Relationship Id="rId16877" Type="http://schemas.openxmlformats.org/officeDocument/2006/relationships/hyperlink" Target="https://statiz.sporki.com/add/?m=draft_school01&amp;ps_school=50207" TargetMode="External"/><Relationship Id="rId17928" Type="http://schemas.openxmlformats.org/officeDocument/2006/relationships/hyperlink" Target="https://statiz.sporki.com/add/?m=draft_school01&amp;ps_school=50602" TargetMode="External"/><Relationship Id="rId634" Type="http://schemas.openxmlformats.org/officeDocument/2006/relationships/hyperlink" Target="https://statiz.sporki.com/player/?m=playerinfo&amp;p_no=15115" TargetMode="External"/><Relationship Id="rId1264" Type="http://schemas.openxmlformats.org/officeDocument/2006/relationships/hyperlink" Target="https://statiz.sporki.com/player/?m=playerinfo&amp;p_no=14831" TargetMode="External"/><Relationship Id="rId2315" Type="http://schemas.openxmlformats.org/officeDocument/2006/relationships/hyperlink" Target="https://statiz.sporki.com/add/?m=draft_school01&amp;ps_school=50705" TargetMode="External"/><Relationship Id="rId5885" Type="http://schemas.openxmlformats.org/officeDocument/2006/relationships/hyperlink" Target="https://statiz.sporki.com/add/?m=draft_school01&amp;ps_school=50107" TargetMode="External"/><Relationship Id="rId6936" Type="http://schemas.openxmlformats.org/officeDocument/2006/relationships/hyperlink" Target="https://statiz.sporki.com/add/?m=draft_school02&amp;ps_school=" TargetMode="External"/><Relationship Id="rId15479" Type="http://schemas.openxmlformats.org/officeDocument/2006/relationships/hyperlink" Target="https://statiz.sporki.com/player/?m=playerinfo&amp;p_no=1636" TargetMode="External"/><Relationship Id="rId19350" Type="http://schemas.openxmlformats.org/officeDocument/2006/relationships/hyperlink" Target="https://statiz.sporki.com/add/?m=draft_school01&amp;ps_school=50703" TargetMode="External"/><Relationship Id="rId4487" Type="http://schemas.openxmlformats.org/officeDocument/2006/relationships/hyperlink" Target="https://statiz.sporki.com/add/?m=draft_school01&amp;ps_school=50110" TargetMode="External"/><Relationship Id="rId5538" Type="http://schemas.openxmlformats.org/officeDocument/2006/relationships/hyperlink" Target="https://statiz.sporki.com/add/?m=draft_school02&amp;ps_school=60102" TargetMode="External"/><Relationship Id="rId19003" Type="http://schemas.openxmlformats.org/officeDocument/2006/relationships/hyperlink" Target="https://statiz.sporki.com/add/?m=draft_school01&amp;ps_school=50114" TargetMode="External"/><Relationship Id="rId3089" Type="http://schemas.openxmlformats.org/officeDocument/2006/relationships/hyperlink" Target="https://statiz.sporki.com/add/?m=draft_school01&amp;ps_school=" TargetMode="External"/><Relationship Id="rId8011" Type="http://schemas.openxmlformats.org/officeDocument/2006/relationships/hyperlink" Target="https://statiz.sporki.com/player/?m=playerinfo&amp;p_no=2121" TargetMode="External"/><Relationship Id="rId15960" Type="http://schemas.openxmlformats.org/officeDocument/2006/relationships/hyperlink" Target="https://statiz.sporki.com/player/?m=playerinfo&amp;p_no=1220" TargetMode="External"/><Relationship Id="rId14562" Type="http://schemas.openxmlformats.org/officeDocument/2006/relationships/hyperlink" Target="https://statiz.sporki.com/player/?m=playerinfo&amp;p_no=2295" TargetMode="External"/><Relationship Id="rId15613" Type="http://schemas.openxmlformats.org/officeDocument/2006/relationships/hyperlink" Target="https://statiz.sporki.com/player/?m=playerinfo&amp;p_no=1525" TargetMode="External"/><Relationship Id="rId491" Type="http://schemas.openxmlformats.org/officeDocument/2006/relationships/hyperlink" Target="https://statiz.sporki.com/add/?m=draft_school01&amp;ps_school=50107" TargetMode="External"/><Relationship Id="rId2172" Type="http://schemas.openxmlformats.org/officeDocument/2006/relationships/hyperlink" Target="https://statiz.sporki.com/add/?m=draft_school02&amp;ps_school=61113" TargetMode="External"/><Relationship Id="rId3223" Type="http://schemas.openxmlformats.org/officeDocument/2006/relationships/hyperlink" Target="https://statiz.sporki.com/player/?m=playerinfo&amp;p_no=12628" TargetMode="External"/><Relationship Id="rId3570" Type="http://schemas.openxmlformats.org/officeDocument/2006/relationships/hyperlink" Target="https://statiz.sporki.com/add/?m=draft_school02&amp;ps_school=60204" TargetMode="External"/><Relationship Id="rId4621" Type="http://schemas.openxmlformats.org/officeDocument/2006/relationships/hyperlink" Target="https://statiz.sporki.com/player/?m=playerinfo&amp;p_no=11074" TargetMode="External"/><Relationship Id="rId13164" Type="http://schemas.openxmlformats.org/officeDocument/2006/relationships/hyperlink" Target="https://statiz.sporki.com/player/?m=playerinfo&amp;p_no=13005" TargetMode="External"/><Relationship Id="rId14215" Type="http://schemas.openxmlformats.org/officeDocument/2006/relationships/hyperlink" Target="https://statiz.sporki.com/player/?m=playerinfo&amp;p_no=10482" TargetMode="External"/><Relationship Id="rId17785" Type="http://schemas.openxmlformats.org/officeDocument/2006/relationships/hyperlink" Target="https://statiz.sporki.com/add/?m=draft_school01&amp;ps_school=50401" TargetMode="External"/><Relationship Id="rId18836" Type="http://schemas.openxmlformats.org/officeDocument/2006/relationships/hyperlink" Target="https://statiz.sporki.com/add/?m=draft_school01&amp;ps_school=50814" TargetMode="External"/><Relationship Id="rId144" Type="http://schemas.openxmlformats.org/officeDocument/2006/relationships/hyperlink" Target="https://statiz.sporki.com/add/?m=draft_school02&amp;ps_school=60804" TargetMode="External"/><Relationship Id="rId6793" Type="http://schemas.openxmlformats.org/officeDocument/2006/relationships/hyperlink" Target="https://statiz.sporki.com/player/?m=playerinfo&amp;p_no=10347" TargetMode="External"/><Relationship Id="rId7844" Type="http://schemas.openxmlformats.org/officeDocument/2006/relationships/hyperlink" Target="https://statiz.sporki.com/add/?m=draft_school01&amp;ps_school=50105" TargetMode="External"/><Relationship Id="rId10825" Type="http://schemas.openxmlformats.org/officeDocument/2006/relationships/hyperlink" Target="https://statiz.sporki.com/player/?m=playerinfo&amp;p_no=1396" TargetMode="External"/><Relationship Id="rId16387" Type="http://schemas.openxmlformats.org/officeDocument/2006/relationships/hyperlink" Target="https://statiz.sporki.com/add/?m=draft_school01&amp;ps_school=50401" TargetMode="External"/><Relationship Id="rId17438" Type="http://schemas.openxmlformats.org/officeDocument/2006/relationships/hyperlink" Target="https://statiz.sporki.com/add/?m=draft_school01&amp;ps_school=50209" TargetMode="External"/><Relationship Id="rId5395" Type="http://schemas.openxmlformats.org/officeDocument/2006/relationships/hyperlink" Target="https://statiz.sporki.com/player/?m=playerinfo&amp;p_no=10646" TargetMode="External"/><Relationship Id="rId6446" Type="http://schemas.openxmlformats.org/officeDocument/2006/relationships/hyperlink" Target="https://statiz.sporki.com/add/?m=draft_school01&amp;ps_school=" TargetMode="External"/><Relationship Id="rId5048" Type="http://schemas.openxmlformats.org/officeDocument/2006/relationships/hyperlink" Target="https://statiz.sporki.com/add/?m=draft_school01&amp;ps_school=51100" TargetMode="External"/><Relationship Id="rId9669" Type="http://schemas.openxmlformats.org/officeDocument/2006/relationships/hyperlink" Target="https://statiz.sporki.com/add/?m=draft_school02&amp;ps_school=" TargetMode="External"/><Relationship Id="rId11599" Type="http://schemas.openxmlformats.org/officeDocument/2006/relationships/hyperlink" Target="https://statiz.sporki.com/player/?m=playerinfo&amp;p_no=1140" TargetMode="External"/><Relationship Id="rId12997" Type="http://schemas.openxmlformats.org/officeDocument/2006/relationships/hyperlink" Target="https://statiz.sporki.com/player/?m=playerinfo&amp;p_no=13111" TargetMode="External"/><Relationship Id="rId15470" Type="http://schemas.openxmlformats.org/officeDocument/2006/relationships/hyperlink" Target="https://statiz.sporki.com/player/?m=playerinfo&amp;p_no=1766" TargetMode="External"/><Relationship Id="rId1658" Type="http://schemas.openxmlformats.org/officeDocument/2006/relationships/hyperlink" Target="https://statiz.sporki.com/add/?m=draft_school01&amp;ps_school=50802" TargetMode="External"/><Relationship Id="rId2709" Type="http://schemas.openxmlformats.org/officeDocument/2006/relationships/hyperlink" Target="https://statiz.sporki.com/add/?m=draft_school02&amp;ps_school=" TargetMode="External"/><Relationship Id="rId14072" Type="http://schemas.openxmlformats.org/officeDocument/2006/relationships/hyperlink" Target="https://statiz.sporki.com/player/?m=playerinfo&amp;p_no=10424" TargetMode="External"/><Relationship Id="rId15123" Type="http://schemas.openxmlformats.org/officeDocument/2006/relationships/hyperlink" Target="https://statiz.sporki.com/player/?m=playerinfo&amp;p_no=1945" TargetMode="External"/><Relationship Id="rId16521" Type="http://schemas.openxmlformats.org/officeDocument/2006/relationships/hyperlink" Target="https://statiz.sporki.com/add/?m=draft_school01&amp;ps_school=50902" TargetMode="External"/><Relationship Id="rId3080" Type="http://schemas.openxmlformats.org/officeDocument/2006/relationships/hyperlink" Target="https://statiz.sporki.com/add/?m=draft_school01&amp;ps_school=" TargetMode="External"/><Relationship Id="rId4131" Type="http://schemas.openxmlformats.org/officeDocument/2006/relationships/hyperlink" Target="https://statiz.sporki.com/add/?m=draft_school02&amp;ps_school=60204" TargetMode="External"/><Relationship Id="rId18693" Type="http://schemas.openxmlformats.org/officeDocument/2006/relationships/hyperlink" Target="https://statiz.sporki.com/add/?m=draft_school01&amp;ps_school=50103" TargetMode="External"/><Relationship Id="rId7354" Type="http://schemas.openxmlformats.org/officeDocument/2006/relationships/hyperlink" Target="https://statiz.sporki.com/player/?m=playerinfo&amp;p_no=10049" TargetMode="External"/><Relationship Id="rId8752" Type="http://schemas.openxmlformats.org/officeDocument/2006/relationships/hyperlink" Target="https://statiz.sporki.com/player/?m=playerinfo&amp;p_no=2190" TargetMode="External"/><Relationship Id="rId9803" Type="http://schemas.openxmlformats.org/officeDocument/2006/relationships/hyperlink" Target="https://statiz.sporki.com/add/?m=draft_school01&amp;ps_school=50202" TargetMode="External"/><Relationship Id="rId10682" Type="http://schemas.openxmlformats.org/officeDocument/2006/relationships/hyperlink" Target="https://statiz.sporki.com/add/?m=draft_school01&amp;ps_school=50805" TargetMode="External"/><Relationship Id="rId11733" Type="http://schemas.openxmlformats.org/officeDocument/2006/relationships/hyperlink" Target="https://statiz.sporki.com/add/?m=draft_school02&amp;ps_school=60703" TargetMode="External"/><Relationship Id="rId17295" Type="http://schemas.openxmlformats.org/officeDocument/2006/relationships/hyperlink" Target="https://statiz.sporki.com/add/?m=draft_school01&amp;ps_school=50705" TargetMode="External"/><Relationship Id="rId18346" Type="http://schemas.openxmlformats.org/officeDocument/2006/relationships/hyperlink" Target="https://statiz.sporki.com/add/?m=draft_school01&amp;ps_school=50804" TargetMode="External"/><Relationship Id="rId17" Type="http://schemas.openxmlformats.org/officeDocument/2006/relationships/hyperlink" Target="https://statiz.sporki.com/add/?m=draft_school01&amp;ps_school=50903" TargetMode="External"/><Relationship Id="rId7007" Type="http://schemas.openxmlformats.org/officeDocument/2006/relationships/hyperlink" Target="https://statiz.sporki.com/add/?m=draft_school01&amp;ps_school=50702" TargetMode="External"/><Relationship Id="rId8405" Type="http://schemas.openxmlformats.org/officeDocument/2006/relationships/hyperlink" Target="https://statiz.sporki.com/add/?m=draft_school01&amp;ps_school=50202" TargetMode="External"/><Relationship Id="rId10335" Type="http://schemas.openxmlformats.org/officeDocument/2006/relationships/hyperlink" Target="https://statiz.sporki.com/add/?m=draft_school02&amp;ps_school=60101" TargetMode="External"/><Relationship Id="rId14956" Type="http://schemas.openxmlformats.org/officeDocument/2006/relationships/hyperlink" Target="https://statiz.sporki.com/player/?m=playerinfo&amp;p_no=2114" TargetMode="External"/><Relationship Id="rId3964" Type="http://schemas.openxmlformats.org/officeDocument/2006/relationships/hyperlink" Target="https://statiz.sporki.com/player/?m=playerinfo&amp;p_no=12520" TargetMode="External"/><Relationship Id="rId13558" Type="http://schemas.openxmlformats.org/officeDocument/2006/relationships/hyperlink" Target="https://statiz.sporki.com/player/?m=playerinfo&amp;p_no=11424" TargetMode="External"/><Relationship Id="rId14609" Type="http://schemas.openxmlformats.org/officeDocument/2006/relationships/hyperlink" Target="https://statiz.sporki.com/player/?m=playerinfo&amp;p_no=2278" TargetMode="External"/><Relationship Id="rId1" Type="http://schemas.openxmlformats.org/officeDocument/2006/relationships/hyperlink" Target="https://statiz.sporki.com/player/?m=playerinfo&amp;p_no=15421" TargetMode="External"/><Relationship Id="rId885" Type="http://schemas.openxmlformats.org/officeDocument/2006/relationships/hyperlink" Target="https://statiz.sporki.com/add/?m=draft_school02&amp;ps_school=61132" TargetMode="External"/><Relationship Id="rId2566" Type="http://schemas.openxmlformats.org/officeDocument/2006/relationships/hyperlink" Target="https://statiz.sporki.com/player/?m=playerinfo&amp;p_no=13111" TargetMode="External"/><Relationship Id="rId3617" Type="http://schemas.openxmlformats.org/officeDocument/2006/relationships/hyperlink" Target="https://statiz.sporki.com/add/?m=draft_school01&amp;ps_school=50103" TargetMode="External"/><Relationship Id="rId9179" Type="http://schemas.openxmlformats.org/officeDocument/2006/relationships/hyperlink" Target="https://statiz.sporki.com/add/?m=draft_school01&amp;ps_school=50209" TargetMode="External"/><Relationship Id="rId16031" Type="http://schemas.openxmlformats.org/officeDocument/2006/relationships/hyperlink" Target="https://statiz.sporki.com/player/?m=playerinfo&amp;p_no=1136" TargetMode="External"/><Relationship Id="rId538" Type="http://schemas.openxmlformats.org/officeDocument/2006/relationships/hyperlink" Target="https://statiz.sporki.com/player/?m=playerinfo&amp;p_no=15091" TargetMode="External"/><Relationship Id="rId1168" Type="http://schemas.openxmlformats.org/officeDocument/2006/relationships/hyperlink" Target="https://statiz.sporki.com/player/?m=playerinfo&amp;p_no=14881" TargetMode="External"/><Relationship Id="rId2219" Type="http://schemas.openxmlformats.org/officeDocument/2006/relationships/hyperlink" Target="https://statiz.sporki.com/add/?m=draft_school01&amp;ps_school=" TargetMode="External"/><Relationship Id="rId5789" Type="http://schemas.openxmlformats.org/officeDocument/2006/relationships/hyperlink" Target="https://statiz.sporki.com/add/?m=draft_school01&amp;ps_school=50101" TargetMode="External"/><Relationship Id="rId9660" Type="http://schemas.openxmlformats.org/officeDocument/2006/relationships/hyperlink" Target="https://statiz.sporki.com/add/?m=draft_school02&amp;ps_school=60204" TargetMode="External"/><Relationship Id="rId19254" Type="http://schemas.openxmlformats.org/officeDocument/2006/relationships/hyperlink" Target="https://statiz.sporki.com/add/?m=draft_school01&amp;ps_school=50127" TargetMode="External"/><Relationship Id="rId8262" Type="http://schemas.openxmlformats.org/officeDocument/2006/relationships/hyperlink" Target="https://statiz.sporki.com/add/?m=draft_school02&amp;ps_school=" TargetMode="External"/><Relationship Id="rId9313" Type="http://schemas.openxmlformats.org/officeDocument/2006/relationships/hyperlink" Target="https://statiz.sporki.com/player/?m=playerinfo&amp;p_no=1815" TargetMode="External"/><Relationship Id="rId10192" Type="http://schemas.openxmlformats.org/officeDocument/2006/relationships/hyperlink" Target="https://statiz.sporki.com/player/?m=playerinfo&amp;p_no=1625" TargetMode="External"/><Relationship Id="rId11590" Type="http://schemas.openxmlformats.org/officeDocument/2006/relationships/hyperlink" Target="https://statiz.sporki.com/player/?m=playerinfo&amp;p_no=1191" TargetMode="External"/><Relationship Id="rId12641" Type="http://schemas.openxmlformats.org/officeDocument/2006/relationships/hyperlink" Target="https://statiz.sporki.com/player/?m=playerinfo&amp;p_no=14706" TargetMode="External"/><Relationship Id="rId1302" Type="http://schemas.openxmlformats.org/officeDocument/2006/relationships/hyperlink" Target="https://statiz.sporki.com/add/?m=draft_school02&amp;ps_school=" TargetMode="External"/><Relationship Id="rId2700" Type="http://schemas.openxmlformats.org/officeDocument/2006/relationships/hyperlink" Target="https://statiz.sporki.com/add/?m=draft_school02&amp;ps_school=60501" TargetMode="External"/><Relationship Id="rId11243" Type="http://schemas.openxmlformats.org/officeDocument/2006/relationships/hyperlink" Target="https://statiz.sporki.com/add/?m=draft_school01&amp;ps_school=" TargetMode="External"/><Relationship Id="rId15864" Type="http://schemas.openxmlformats.org/officeDocument/2006/relationships/hyperlink" Target="https://statiz.sporki.com/player/?m=playerinfo&amp;p_no=1300" TargetMode="External"/><Relationship Id="rId16915" Type="http://schemas.openxmlformats.org/officeDocument/2006/relationships/hyperlink" Target="https://statiz.sporki.com/add/?m=draft_school01&amp;ps_school=50705" TargetMode="External"/><Relationship Id="rId4872" Type="http://schemas.openxmlformats.org/officeDocument/2006/relationships/hyperlink" Target="https://statiz.sporki.com/add/?m=draft_school02&amp;ps_school=60804" TargetMode="External"/><Relationship Id="rId5923" Type="http://schemas.openxmlformats.org/officeDocument/2006/relationships/hyperlink" Target="https://statiz.sporki.com/player/?m=playerinfo&amp;p_no=10370" TargetMode="External"/><Relationship Id="rId14466" Type="http://schemas.openxmlformats.org/officeDocument/2006/relationships/hyperlink" Target="https://statiz.sporki.com/player/?m=playerinfo&amp;p_no=10311" TargetMode="External"/><Relationship Id="rId15517" Type="http://schemas.openxmlformats.org/officeDocument/2006/relationships/hyperlink" Target="https://statiz.sporki.com/player/?m=playerinfo&amp;p_no=1622" TargetMode="External"/><Relationship Id="rId395" Type="http://schemas.openxmlformats.org/officeDocument/2006/relationships/hyperlink" Target="https://statiz.sporki.com/add/?m=draft_school01&amp;ps_school=" TargetMode="External"/><Relationship Id="rId2076" Type="http://schemas.openxmlformats.org/officeDocument/2006/relationships/hyperlink" Target="https://statiz.sporki.com/add/?m=draft_school02&amp;ps_school=" TargetMode="External"/><Relationship Id="rId3474" Type="http://schemas.openxmlformats.org/officeDocument/2006/relationships/hyperlink" Target="https://statiz.sporki.com/add/?m=draft_school02&amp;ps_school=60703" TargetMode="External"/><Relationship Id="rId4525" Type="http://schemas.openxmlformats.org/officeDocument/2006/relationships/hyperlink" Target="https://statiz.sporki.com/player/?m=playerinfo&amp;p_no=11116" TargetMode="External"/><Relationship Id="rId13068" Type="http://schemas.openxmlformats.org/officeDocument/2006/relationships/hyperlink" Target="https://statiz.sporki.com/player/?m=playerinfo&amp;p_no=12901" TargetMode="External"/><Relationship Id="rId14119" Type="http://schemas.openxmlformats.org/officeDocument/2006/relationships/hyperlink" Target="https://statiz.sporki.com/player/?m=playerinfo&amp;p_no=10508" TargetMode="External"/><Relationship Id="rId17689" Type="http://schemas.openxmlformats.org/officeDocument/2006/relationships/hyperlink" Target="https://statiz.sporki.com/add/?m=draft_school01&amp;ps_school=50111" TargetMode="External"/><Relationship Id="rId3127" Type="http://schemas.openxmlformats.org/officeDocument/2006/relationships/hyperlink" Target="https://statiz.sporki.com/player/?m=playerinfo&amp;p_no=13261" TargetMode="External"/><Relationship Id="rId6697" Type="http://schemas.openxmlformats.org/officeDocument/2006/relationships/hyperlink" Target="https://statiz.sporki.com/player/?m=playerinfo&amp;p_no=10106" TargetMode="External"/><Relationship Id="rId7748" Type="http://schemas.openxmlformats.org/officeDocument/2006/relationships/hyperlink" Target="https://statiz.sporki.com/add/?m=draft_school01&amp;ps_school=" TargetMode="External"/><Relationship Id="rId5299" Type="http://schemas.openxmlformats.org/officeDocument/2006/relationships/hyperlink" Target="https://statiz.sporki.com/player/?m=playerinfo&amp;p_no=10764" TargetMode="External"/><Relationship Id="rId9170" Type="http://schemas.openxmlformats.org/officeDocument/2006/relationships/hyperlink" Target="https://statiz.sporki.com/add/?m=draft_school01&amp;ps_school=50202" TargetMode="External"/><Relationship Id="rId10729" Type="http://schemas.openxmlformats.org/officeDocument/2006/relationships/hyperlink" Target="https://statiz.sporki.com/player/?m=playerinfo&amp;p_no=1436" TargetMode="External"/><Relationship Id="rId12151" Type="http://schemas.openxmlformats.org/officeDocument/2006/relationships/hyperlink" Target="https://statiz.sporki.com/player/?m=playerinfo&amp;p_no=15518" TargetMode="External"/><Relationship Id="rId13202" Type="http://schemas.openxmlformats.org/officeDocument/2006/relationships/hyperlink" Target="https://statiz.sporki.com/player/?m=playerinfo&amp;p_no=12521" TargetMode="External"/><Relationship Id="rId14600" Type="http://schemas.openxmlformats.org/officeDocument/2006/relationships/hyperlink" Target="https://statiz.sporki.com/player/?m=playerinfo&amp;p_no=10086" TargetMode="External"/><Relationship Id="rId2210" Type="http://schemas.openxmlformats.org/officeDocument/2006/relationships/hyperlink" Target="https://statiz.sporki.com/add/?m=draft_school01&amp;ps_school=" TargetMode="External"/><Relationship Id="rId16772" Type="http://schemas.openxmlformats.org/officeDocument/2006/relationships/hyperlink" Target="https://statiz.sporki.com/add/?m=draft_school01&amp;ps_school=50114" TargetMode="External"/><Relationship Id="rId17823" Type="http://schemas.openxmlformats.org/officeDocument/2006/relationships/hyperlink" Target="https://statiz.sporki.com/add/?m=draft_school01&amp;ps_school=50207" TargetMode="External"/><Relationship Id="rId4382" Type="http://schemas.openxmlformats.org/officeDocument/2006/relationships/hyperlink" Target="https://statiz.sporki.com/add/?m=draft_school01&amp;ps_school=" TargetMode="External"/><Relationship Id="rId5433" Type="http://schemas.openxmlformats.org/officeDocument/2006/relationships/hyperlink" Target="https://statiz.sporki.com/add/?m=draft_school02&amp;ps_school=60502" TargetMode="External"/><Relationship Id="rId5780" Type="http://schemas.openxmlformats.org/officeDocument/2006/relationships/hyperlink" Target="https://statiz.sporki.com/add/?m=draft_school01&amp;ps_school=50502" TargetMode="External"/><Relationship Id="rId6831" Type="http://schemas.openxmlformats.org/officeDocument/2006/relationships/hyperlink" Target="https://statiz.sporki.com/add/?m=draft_school02&amp;ps_school=" TargetMode="External"/><Relationship Id="rId15374" Type="http://schemas.openxmlformats.org/officeDocument/2006/relationships/hyperlink" Target="https://statiz.sporki.com/player/?m=playerinfo&amp;p_no=1799" TargetMode="External"/><Relationship Id="rId16425" Type="http://schemas.openxmlformats.org/officeDocument/2006/relationships/hyperlink" Target="https://statiz.sporki.com/add/?m=draft_school01&amp;ps_school=50809" TargetMode="External"/><Relationship Id="rId4035" Type="http://schemas.openxmlformats.org/officeDocument/2006/relationships/hyperlink" Target="https://statiz.sporki.com/add/?m=draft_school02&amp;ps_school=" TargetMode="External"/><Relationship Id="rId11984" Type="http://schemas.openxmlformats.org/officeDocument/2006/relationships/hyperlink" Target="https://statiz.sporki.com/add/?m=draft_school01&amp;ps_school=50209" TargetMode="External"/><Relationship Id="rId15027" Type="http://schemas.openxmlformats.org/officeDocument/2006/relationships/hyperlink" Target="https://statiz.sporki.com/player/?m=playerinfo&amp;p_no=1973" TargetMode="External"/><Relationship Id="rId18597" Type="http://schemas.openxmlformats.org/officeDocument/2006/relationships/hyperlink" Target="https://statiz.sporki.com/add/?m=draft_school01&amp;ps_school=50103" TargetMode="External"/><Relationship Id="rId19648" Type="http://schemas.openxmlformats.org/officeDocument/2006/relationships/hyperlink" Target="https://statiz.sporki.com/add/?m=draft_school01&amp;ps_school=50711" TargetMode="External"/><Relationship Id="rId8656" Type="http://schemas.openxmlformats.org/officeDocument/2006/relationships/hyperlink" Target="https://statiz.sporki.com/player/?m=playerinfo&amp;p_no=1973" TargetMode="External"/><Relationship Id="rId9707" Type="http://schemas.openxmlformats.org/officeDocument/2006/relationships/hyperlink" Target="https://statiz.sporki.com/add/?m=draft_school01&amp;ps_school=50609" TargetMode="External"/><Relationship Id="rId10586" Type="http://schemas.openxmlformats.org/officeDocument/2006/relationships/hyperlink" Target="https://statiz.sporki.com/add/?m=draft_school01&amp;ps_school=50807" TargetMode="External"/><Relationship Id="rId11637" Type="http://schemas.openxmlformats.org/officeDocument/2006/relationships/hyperlink" Target="https://statiz.sporki.com/add/?m=draft_school02&amp;ps_school=60113" TargetMode="External"/><Relationship Id="rId17199" Type="http://schemas.openxmlformats.org/officeDocument/2006/relationships/hyperlink" Target="https://statiz.sporki.com/add/?m=draft_school01&amp;ps_school=50116" TargetMode="External"/><Relationship Id="rId7258" Type="http://schemas.openxmlformats.org/officeDocument/2006/relationships/hyperlink" Target="https://statiz.sporki.com/player/?m=playerinfo&amp;p_no=2290" TargetMode="External"/><Relationship Id="rId8309" Type="http://schemas.openxmlformats.org/officeDocument/2006/relationships/hyperlink" Target="https://statiz.sporki.com/add/?m=draft_school01&amp;ps_school=50108" TargetMode="External"/><Relationship Id="rId10239" Type="http://schemas.openxmlformats.org/officeDocument/2006/relationships/hyperlink" Target="https://statiz.sporki.com/add/?m=draft_school02&amp;ps_school=" TargetMode="External"/><Relationship Id="rId14110" Type="http://schemas.openxmlformats.org/officeDocument/2006/relationships/hyperlink" Target="https://statiz.sporki.com/player/?m=playerinfo&amp;p_no=10468" TargetMode="External"/><Relationship Id="rId17680" Type="http://schemas.openxmlformats.org/officeDocument/2006/relationships/hyperlink" Target="https://statiz.sporki.com/add/?m=draft_school01&amp;ps_school=50802" TargetMode="External"/><Relationship Id="rId3868" Type="http://schemas.openxmlformats.org/officeDocument/2006/relationships/hyperlink" Target="https://statiz.sporki.com/player/?m=playerinfo&amp;p_no=13010" TargetMode="External"/><Relationship Id="rId4919" Type="http://schemas.openxmlformats.org/officeDocument/2006/relationships/hyperlink" Target="https://statiz.sporki.com/add/?m=draft_school01&amp;ps_school=" TargetMode="External"/><Relationship Id="rId16282" Type="http://schemas.openxmlformats.org/officeDocument/2006/relationships/hyperlink" Target="https://statiz.sporki.com/add/?m=draft_school01&amp;ps_school=50701" TargetMode="External"/><Relationship Id="rId17333" Type="http://schemas.openxmlformats.org/officeDocument/2006/relationships/hyperlink" Target="https://statiz.sporki.com/add/?m=draft_school01&amp;ps_school=50209" TargetMode="External"/><Relationship Id="rId18731" Type="http://schemas.openxmlformats.org/officeDocument/2006/relationships/hyperlink" Target="https://statiz.sporki.com/add/?m=draft_school01&amp;ps_school=50203" TargetMode="External"/><Relationship Id="rId789" Type="http://schemas.openxmlformats.org/officeDocument/2006/relationships/hyperlink" Target="https://statiz.sporki.com/add/?m=draft_school02&amp;ps_school=" TargetMode="External"/><Relationship Id="rId5290" Type="http://schemas.openxmlformats.org/officeDocument/2006/relationships/hyperlink" Target="https://statiz.sporki.com/player/?m=playerinfo&amp;p_no=10769" TargetMode="External"/><Relationship Id="rId6341" Type="http://schemas.openxmlformats.org/officeDocument/2006/relationships/hyperlink" Target="https://statiz.sporki.com/add/?m=draft_school01&amp;ps_school=50803" TargetMode="External"/><Relationship Id="rId10720" Type="http://schemas.openxmlformats.org/officeDocument/2006/relationships/hyperlink" Target="https://statiz.sporki.com/player/?m=playerinfo&amp;p_no=1631" TargetMode="External"/><Relationship Id="rId9564" Type="http://schemas.openxmlformats.org/officeDocument/2006/relationships/hyperlink" Target="https://statiz.sporki.com/add/?m=draft_school02&amp;ps_school=60101" TargetMode="External"/><Relationship Id="rId12892" Type="http://schemas.openxmlformats.org/officeDocument/2006/relationships/hyperlink" Target="https://statiz.sporki.com/player/?m=playerinfo&amp;p_no=14189" TargetMode="External"/><Relationship Id="rId13943" Type="http://schemas.openxmlformats.org/officeDocument/2006/relationships/hyperlink" Target="https://statiz.sporki.com/player/?m=playerinfo&amp;p_no=10638" TargetMode="External"/><Relationship Id="rId19158" Type="http://schemas.openxmlformats.org/officeDocument/2006/relationships/hyperlink" Target="https://statiz.sporki.com/add/?m=draft_school01&amp;ps_school=50802" TargetMode="External"/><Relationship Id="rId2951" Type="http://schemas.openxmlformats.org/officeDocument/2006/relationships/hyperlink" Target="https://statiz.sporki.com/add/?m=draft_school01&amp;ps_school=50103" TargetMode="External"/><Relationship Id="rId8166" Type="http://schemas.openxmlformats.org/officeDocument/2006/relationships/hyperlink" Target="https://statiz.sporki.com/add/?m=draft_school02&amp;ps_school=60501" TargetMode="External"/><Relationship Id="rId9217" Type="http://schemas.openxmlformats.org/officeDocument/2006/relationships/hyperlink" Target="https://statiz.sporki.com/player/?m=playerinfo&amp;p_no=1877" TargetMode="External"/><Relationship Id="rId11494" Type="http://schemas.openxmlformats.org/officeDocument/2006/relationships/hyperlink" Target="https://statiz.sporki.com/player/?m=playerinfo&amp;p_no=1225" TargetMode="External"/><Relationship Id="rId12545" Type="http://schemas.openxmlformats.org/officeDocument/2006/relationships/hyperlink" Target="https://statiz.sporki.com/player/?m=playerinfo&amp;p_no=14838" TargetMode="External"/><Relationship Id="rId923" Type="http://schemas.openxmlformats.org/officeDocument/2006/relationships/hyperlink" Target="https://statiz.sporki.com/add/?m=draft_school01&amp;ps_school=50207" TargetMode="External"/><Relationship Id="rId1553" Type="http://schemas.openxmlformats.org/officeDocument/2006/relationships/hyperlink" Target="https://statiz.sporki.com/add/?m=draft_school01&amp;ps_school=50116" TargetMode="External"/><Relationship Id="rId2604" Type="http://schemas.openxmlformats.org/officeDocument/2006/relationships/hyperlink" Target="https://statiz.sporki.com/add/?m=draft_school02&amp;ps_school=60501" TargetMode="External"/><Relationship Id="rId10096" Type="http://schemas.openxmlformats.org/officeDocument/2006/relationships/hyperlink" Target="https://statiz.sporki.com/player/?m=playerinfo&amp;p_no=1606" TargetMode="External"/><Relationship Id="rId11147" Type="http://schemas.openxmlformats.org/officeDocument/2006/relationships/hyperlink" Target="https://statiz.sporki.com/add/?m=draft_school01&amp;ps_school=50209" TargetMode="External"/><Relationship Id="rId15768" Type="http://schemas.openxmlformats.org/officeDocument/2006/relationships/hyperlink" Target="https://statiz.sporki.com/player/?m=playerinfo&amp;p_no=1397" TargetMode="External"/><Relationship Id="rId16819" Type="http://schemas.openxmlformats.org/officeDocument/2006/relationships/hyperlink" Target="https://statiz.sporki.com/add/?m=draft_school01&amp;ps_school=50703" TargetMode="External"/><Relationship Id="rId1206" Type="http://schemas.openxmlformats.org/officeDocument/2006/relationships/hyperlink" Target="https://statiz.sporki.com/add/?m=draft_school02&amp;ps_school=60108" TargetMode="External"/><Relationship Id="rId4776" Type="http://schemas.openxmlformats.org/officeDocument/2006/relationships/hyperlink" Target="https://statiz.sporki.com/add/?m=draft_school02&amp;ps_school=" TargetMode="External"/><Relationship Id="rId5827" Type="http://schemas.openxmlformats.org/officeDocument/2006/relationships/hyperlink" Target="https://statiz.sporki.com/player/?m=playerinfo&amp;p_no=10143" TargetMode="External"/><Relationship Id="rId17190" Type="http://schemas.openxmlformats.org/officeDocument/2006/relationships/hyperlink" Target="https://statiz.sporki.com/add/?m=draft_school01&amp;ps_school=50108" TargetMode="External"/><Relationship Id="rId18241" Type="http://schemas.openxmlformats.org/officeDocument/2006/relationships/hyperlink" Target="https://statiz.sporki.com/add/?m=draft_school01&amp;ps_school=50402" TargetMode="External"/><Relationship Id="rId3378" Type="http://schemas.openxmlformats.org/officeDocument/2006/relationships/hyperlink" Target="https://statiz.sporki.com/add/?m=draft_school02&amp;ps_school=" TargetMode="External"/><Relationship Id="rId4429" Type="http://schemas.openxmlformats.org/officeDocument/2006/relationships/hyperlink" Target="https://statiz.sporki.com/player/?m=playerinfo&amp;p_no=11413" TargetMode="External"/><Relationship Id="rId7999" Type="http://schemas.openxmlformats.org/officeDocument/2006/relationships/hyperlink" Target="https://statiz.sporki.com/player/?m=playerinfo&amp;p_no=2119" TargetMode="External"/><Relationship Id="rId8300" Type="http://schemas.openxmlformats.org/officeDocument/2006/relationships/hyperlink" Target="https://statiz.sporki.com/add/?m=draft_school01&amp;ps_school=50802" TargetMode="External"/><Relationship Id="rId10230" Type="http://schemas.openxmlformats.org/officeDocument/2006/relationships/hyperlink" Target="https://statiz.sporki.com/add/?m=draft_school02&amp;ps_school=" TargetMode="External"/><Relationship Id="rId299" Type="http://schemas.openxmlformats.org/officeDocument/2006/relationships/hyperlink" Target="https://statiz.sporki.com/add/?m=draft_school01&amp;ps_school=50901" TargetMode="External"/><Relationship Id="rId14851" Type="http://schemas.openxmlformats.org/officeDocument/2006/relationships/hyperlink" Target="https://statiz.sporki.com/player/?m=playerinfo&amp;p_no=10372" TargetMode="External"/><Relationship Id="rId15902" Type="http://schemas.openxmlformats.org/officeDocument/2006/relationships/hyperlink" Target="https://statiz.sporki.com/player/?m=playerinfo&amp;p_no=1239" TargetMode="External"/><Relationship Id="rId780" Type="http://schemas.openxmlformats.org/officeDocument/2006/relationships/hyperlink" Target="https://statiz.sporki.com/add/?m=draft_school02&amp;ps_school=60103" TargetMode="External"/><Relationship Id="rId2461" Type="http://schemas.openxmlformats.org/officeDocument/2006/relationships/hyperlink" Target="https://statiz.sporki.com/player/?m=playerinfo&amp;p_no=13150" TargetMode="External"/><Relationship Id="rId3512" Type="http://schemas.openxmlformats.org/officeDocument/2006/relationships/hyperlink" Target="https://statiz.sporki.com/add/?m=draft_school01&amp;ps_school=" TargetMode="External"/><Relationship Id="rId4910" Type="http://schemas.openxmlformats.org/officeDocument/2006/relationships/hyperlink" Target="https://statiz.sporki.com/add/?m=draft_school01&amp;ps_school=50116" TargetMode="External"/><Relationship Id="rId9074" Type="http://schemas.openxmlformats.org/officeDocument/2006/relationships/hyperlink" Target="https://statiz.sporki.com/add/?m=draft_school01&amp;ps_school=50604" TargetMode="External"/><Relationship Id="rId12055" Type="http://schemas.openxmlformats.org/officeDocument/2006/relationships/hyperlink" Target="https://statiz.sporki.com/player/?m=playerinfo&amp;p_no=1028" TargetMode="External"/><Relationship Id="rId13453" Type="http://schemas.openxmlformats.org/officeDocument/2006/relationships/hyperlink" Target="https://statiz.sporki.com/player/?m=playerinfo&amp;p_no=11496" TargetMode="External"/><Relationship Id="rId14504" Type="http://schemas.openxmlformats.org/officeDocument/2006/relationships/hyperlink" Target="https://statiz.sporki.com/player/?m=playerinfo&amp;p_no=2367" TargetMode="External"/><Relationship Id="rId433" Type="http://schemas.openxmlformats.org/officeDocument/2006/relationships/hyperlink" Target="https://statiz.sporki.com/player/?m=playerinfo&amp;p_no=15615" TargetMode="External"/><Relationship Id="rId1063" Type="http://schemas.openxmlformats.org/officeDocument/2006/relationships/hyperlink" Target="https://statiz.sporki.com/player/?m=playerinfo&amp;p_no=14793" TargetMode="External"/><Relationship Id="rId2114" Type="http://schemas.openxmlformats.org/officeDocument/2006/relationships/hyperlink" Target="https://statiz.sporki.com/add/?m=draft_school01&amp;ps_school=50101" TargetMode="External"/><Relationship Id="rId13106" Type="http://schemas.openxmlformats.org/officeDocument/2006/relationships/hyperlink" Target="https://statiz.sporki.com/player/?m=playerinfo&amp;p_no=12867" TargetMode="External"/><Relationship Id="rId16676" Type="http://schemas.openxmlformats.org/officeDocument/2006/relationships/hyperlink" Target="https://statiz.sporki.com/add/?m=draft_school01&amp;ps_school=50801" TargetMode="External"/><Relationship Id="rId17727" Type="http://schemas.openxmlformats.org/officeDocument/2006/relationships/hyperlink" Target="https://statiz.sporki.com/add/?m=draft_school01&amp;ps_school=50111" TargetMode="External"/><Relationship Id="rId4286" Type="http://schemas.openxmlformats.org/officeDocument/2006/relationships/hyperlink" Target="https://statiz.sporki.com/add/?m=draft_school01&amp;ps_school=50208" TargetMode="External"/><Relationship Id="rId5684" Type="http://schemas.openxmlformats.org/officeDocument/2006/relationships/hyperlink" Target="https://statiz.sporki.com/add/?m=draft_school01&amp;ps_school=" TargetMode="External"/><Relationship Id="rId6735" Type="http://schemas.openxmlformats.org/officeDocument/2006/relationships/hyperlink" Target="https://statiz.sporki.com/add/?m=draft_school02&amp;ps_school=" TargetMode="External"/><Relationship Id="rId15278" Type="http://schemas.openxmlformats.org/officeDocument/2006/relationships/hyperlink" Target="https://statiz.sporki.com/player/?m=playerinfo&amp;p_no=1831" TargetMode="External"/><Relationship Id="rId16329" Type="http://schemas.openxmlformats.org/officeDocument/2006/relationships/hyperlink" Target="https://statiz.sporki.com/add/?m=draft_school01&amp;ps_school=50801" TargetMode="External"/><Relationship Id="rId5337" Type="http://schemas.openxmlformats.org/officeDocument/2006/relationships/hyperlink" Target="https://statiz.sporki.com/add/?m=draft_school02&amp;ps_school=60114" TargetMode="External"/><Relationship Id="rId9958" Type="http://schemas.openxmlformats.org/officeDocument/2006/relationships/hyperlink" Target="https://statiz.sporki.com/player/?m=playerinfo&amp;p_no=10020" TargetMode="External"/><Relationship Id="rId11888" Type="http://schemas.openxmlformats.org/officeDocument/2006/relationships/hyperlink" Target="https://statiz.sporki.com/add/?m=draft_school01&amp;ps_school=50812" TargetMode="External"/><Relationship Id="rId12939" Type="http://schemas.openxmlformats.org/officeDocument/2006/relationships/hyperlink" Target="https://statiz.sporki.com/player/?m=playerinfo&amp;p_no=13127" TargetMode="External"/><Relationship Id="rId1947" Type="http://schemas.openxmlformats.org/officeDocument/2006/relationships/hyperlink" Target="https://statiz.sporki.com/add/?m=draft_school02&amp;ps_school=" TargetMode="External"/><Relationship Id="rId14361" Type="http://schemas.openxmlformats.org/officeDocument/2006/relationships/hyperlink" Target="https://statiz.sporki.com/player/?m=playerinfo&amp;p_no=2373" TargetMode="External"/><Relationship Id="rId15412" Type="http://schemas.openxmlformats.org/officeDocument/2006/relationships/hyperlink" Target="https://statiz.sporki.com/player/?m=playerinfo&amp;p_no=1707" TargetMode="External"/><Relationship Id="rId16810" Type="http://schemas.openxmlformats.org/officeDocument/2006/relationships/hyperlink" Target="https://statiz.sporki.com/add/?m=draft_school01&amp;ps_school=50807" TargetMode="External"/><Relationship Id="rId4420" Type="http://schemas.openxmlformats.org/officeDocument/2006/relationships/hyperlink" Target="https://statiz.sporki.com/player/?m=playerinfo&amp;p_no=11397" TargetMode="External"/><Relationship Id="rId7990" Type="http://schemas.openxmlformats.org/officeDocument/2006/relationships/hyperlink" Target="https://statiz.sporki.com/player/?m=playerinfo&amp;p_no=2136" TargetMode="External"/><Relationship Id="rId14014" Type="http://schemas.openxmlformats.org/officeDocument/2006/relationships/hyperlink" Target="https://statiz.sporki.com/player/?m=playerinfo&amp;p_no=10583" TargetMode="External"/><Relationship Id="rId18982" Type="http://schemas.openxmlformats.org/officeDocument/2006/relationships/hyperlink" Target="https://statiz.sporki.com/add/?m=draft_school01&amp;ps_school=50711" TargetMode="External"/><Relationship Id="rId290" Type="http://schemas.openxmlformats.org/officeDocument/2006/relationships/hyperlink" Target="https://statiz.sporki.com/add/?m=draft_school01&amp;ps_school=50105" TargetMode="External"/><Relationship Id="rId3022" Type="http://schemas.openxmlformats.org/officeDocument/2006/relationships/hyperlink" Target="https://statiz.sporki.com/player/?m=playerinfo&amp;p_no=12882" TargetMode="External"/><Relationship Id="rId6592" Type="http://schemas.openxmlformats.org/officeDocument/2006/relationships/hyperlink" Target="https://statiz.sporki.com/player/?m=playerinfo&amp;p_no=10111" TargetMode="External"/><Relationship Id="rId7643" Type="http://schemas.openxmlformats.org/officeDocument/2006/relationships/hyperlink" Target="https://statiz.sporki.com/add/?m=draft_school01&amp;ps_school=50706" TargetMode="External"/><Relationship Id="rId10971" Type="http://schemas.openxmlformats.org/officeDocument/2006/relationships/hyperlink" Target="https://statiz.sporki.com/add/?m=draft_school02&amp;ps_school=60208" TargetMode="External"/><Relationship Id="rId16186" Type="http://schemas.openxmlformats.org/officeDocument/2006/relationships/hyperlink" Target="https://statiz.sporki.com/player/?m=playerinfo&amp;p_no=1033" TargetMode="External"/><Relationship Id="rId17237" Type="http://schemas.openxmlformats.org/officeDocument/2006/relationships/hyperlink" Target="https://statiz.sporki.com/add/?m=draft_school01&amp;ps_school=50103" TargetMode="External"/><Relationship Id="rId17584" Type="http://schemas.openxmlformats.org/officeDocument/2006/relationships/hyperlink" Target="https://statiz.sporki.com/add/?m=draft_school01&amp;ps_school=50604" TargetMode="External"/><Relationship Id="rId18635" Type="http://schemas.openxmlformats.org/officeDocument/2006/relationships/hyperlink" Target="https://statiz.sporki.com/add/?m=draft_school01&amp;ps_school=50106" TargetMode="External"/><Relationship Id="rId5194" Type="http://schemas.openxmlformats.org/officeDocument/2006/relationships/hyperlink" Target="https://statiz.sporki.com/player/?m=playerinfo&amp;p_no=10749" TargetMode="External"/><Relationship Id="rId6245" Type="http://schemas.openxmlformats.org/officeDocument/2006/relationships/hyperlink" Target="https://statiz.sporki.com/add/?m=draft_school01&amp;ps_school=50109" TargetMode="External"/><Relationship Id="rId10624" Type="http://schemas.openxmlformats.org/officeDocument/2006/relationships/hyperlink" Target="https://statiz.sporki.com/player/?m=playerinfo&amp;p_no=1442" TargetMode="External"/><Relationship Id="rId12796" Type="http://schemas.openxmlformats.org/officeDocument/2006/relationships/hyperlink" Target="https://statiz.sporki.com/player/?m=playerinfo&amp;p_no=14127" TargetMode="External"/><Relationship Id="rId13847" Type="http://schemas.openxmlformats.org/officeDocument/2006/relationships/hyperlink" Target="https://statiz.sporki.com/player/?m=playerinfo&amp;p_no=10862" TargetMode="External"/><Relationship Id="rId2855" Type="http://schemas.openxmlformats.org/officeDocument/2006/relationships/hyperlink" Target="https://statiz.sporki.com/add/?m=draft_school01&amp;ps_school=50901" TargetMode="External"/><Relationship Id="rId3906" Type="http://schemas.openxmlformats.org/officeDocument/2006/relationships/hyperlink" Target="https://statiz.sporki.com/add/?m=draft_school02&amp;ps_school=" TargetMode="External"/><Relationship Id="rId9468" Type="http://schemas.openxmlformats.org/officeDocument/2006/relationships/hyperlink" Target="https://statiz.sporki.com/add/?m=draft_school02&amp;ps_school=60101" TargetMode="External"/><Relationship Id="rId11398" Type="http://schemas.openxmlformats.org/officeDocument/2006/relationships/hyperlink" Target="https://statiz.sporki.com/player/?m=playerinfo&amp;p_no=1224" TargetMode="External"/><Relationship Id="rId12449" Type="http://schemas.openxmlformats.org/officeDocument/2006/relationships/hyperlink" Target="https://statiz.sporki.com/player/?m=playerinfo&amp;p_no=15134" TargetMode="External"/><Relationship Id="rId16320" Type="http://schemas.openxmlformats.org/officeDocument/2006/relationships/hyperlink" Target="https://statiz.sporki.com/add/?m=draft_school01&amp;ps_school=50111" TargetMode="External"/><Relationship Id="rId827" Type="http://schemas.openxmlformats.org/officeDocument/2006/relationships/hyperlink" Target="https://statiz.sporki.com/add/?m=draft_school01&amp;ps_school=" TargetMode="External"/><Relationship Id="rId1457" Type="http://schemas.openxmlformats.org/officeDocument/2006/relationships/hyperlink" Target="https://statiz.sporki.com/add/?m=draft_school01&amp;ps_school=50401" TargetMode="External"/><Relationship Id="rId2508" Type="http://schemas.openxmlformats.org/officeDocument/2006/relationships/hyperlink" Target="https://statiz.sporki.com/add/?m=draft_school02&amp;ps_school=" TargetMode="External"/><Relationship Id="rId18492" Type="http://schemas.openxmlformats.org/officeDocument/2006/relationships/hyperlink" Target="https://statiz.sporki.com/add/?m=draft_school01&amp;ps_school=50209" TargetMode="External"/><Relationship Id="rId19543" Type="http://schemas.openxmlformats.org/officeDocument/2006/relationships/hyperlink" Target="https://statiz.sporki.com/add/?m=draft_school01&amp;ps_school=50703" TargetMode="External"/><Relationship Id="rId8551" Type="http://schemas.openxmlformats.org/officeDocument/2006/relationships/hyperlink" Target="https://statiz.sporki.com/player/?m=playerinfo&amp;p_no=2043" TargetMode="External"/><Relationship Id="rId9602" Type="http://schemas.openxmlformats.org/officeDocument/2006/relationships/hyperlink" Target="https://statiz.sporki.com/add/?m=draft_school01&amp;ps_school=" TargetMode="External"/><Relationship Id="rId10481" Type="http://schemas.openxmlformats.org/officeDocument/2006/relationships/hyperlink" Target="https://statiz.sporki.com/add/?m=draft_school01&amp;ps_school=50702" TargetMode="External"/><Relationship Id="rId12930" Type="http://schemas.openxmlformats.org/officeDocument/2006/relationships/hyperlink" Target="https://statiz.sporki.com/player/?m=playerinfo&amp;p_no=13093" TargetMode="External"/><Relationship Id="rId17094" Type="http://schemas.openxmlformats.org/officeDocument/2006/relationships/hyperlink" Target="https://statiz.sporki.com/add/?m=draft_school01&amp;ps_school=50108" TargetMode="External"/><Relationship Id="rId18145" Type="http://schemas.openxmlformats.org/officeDocument/2006/relationships/hyperlink" Target="https://statiz.sporki.com/add/?m=draft_school01&amp;ps_school=50115" TargetMode="External"/><Relationship Id="rId7153" Type="http://schemas.openxmlformats.org/officeDocument/2006/relationships/hyperlink" Target="https://statiz.sporki.com/player/?m=playerinfo&amp;p_no=10464" TargetMode="External"/><Relationship Id="rId8204" Type="http://schemas.openxmlformats.org/officeDocument/2006/relationships/hyperlink" Target="https://statiz.sporki.com/add/?m=draft_school01&amp;ps_school=50602" TargetMode="External"/><Relationship Id="rId10134" Type="http://schemas.openxmlformats.org/officeDocument/2006/relationships/hyperlink" Target="https://statiz.sporki.com/add/?m=draft_school02&amp;ps_school=60501" TargetMode="External"/><Relationship Id="rId11532" Type="http://schemas.openxmlformats.org/officeDocument/2006/relationships/hyperlink" Target="https://statiz.sporki.com/add/?m=draft_school02&amp;ps_school=" TargetMode="External"/><Relationship Id="rId14755" Type="http://schemas.openxmlformats.org/officeDocument/2006/relationships/hyperlink" Target="https://statiz.sporki.com/player/?m=playerinfo&amp;p_no=10241" TargetMode="External"/><Relationship Id="rId15806" Type="http://schemas.openxmlformats.org/officeDocument/2006/relationships/hyperlink" Target="https://statiz.sporki.com/player/?m=playerinfo&amp;p_no=1368" TargetMode="External"/><Relationship Id="rId684" Type="http://schemas.openxmlformats.org/officeDocument/2006/relationships/hyperlink" Target="https://statiz.sporki.com/add/?m=draft_school02&amp;ps_school=60203" TargetMode="External"/><Relationship Id="rId2365" Type="http://schemas.openxmlformats.org/officeDocument/2006/relationships/hyperlink" Target="https://statiz.sporki.com/player/?m=playerinfo&amp;p_no=13093" TargetMode="External"/><Relationship Id="rId3763" Type="http://schemas.openxmlformats.org/officeDocument/2006/relationships/hyperlink" Target="https://statiz.sporki.com/player/?m=playerinfo&amp;p_no=13180" TargetMode="External"/><Relationship Id="rId4814" Type="http://schemas.openxmlformats.org/officeDocument/2006/relationships/hyperlink" Target="https://statiz.sporki.com/add/?m=draft_school01&amp;ps_school=50701" TargetMode="External"/><Relationship Id="rId13357" Type="http://schemas.openxmlformats.org/officeDocument/2006/relationships/hyperlink" Target="https://statiz.sporki.com/player/?m=playerinfo&amp;p_no=11317" TargetMode="External"/><Relationship Id="rId14408" Type="http://schemas.openxmlformats.org/officeDocument/2006/relationships/hyperlink" Target="https://statiz.sporki.com/player/?m=playerinfo&amp;p_no=10206" TargetMode="External"/><Relationship Id="rId17978" Type="http://schemas.openxmlformats.org/officeDocument/2006/relationships/hyperlink" Target="https://statiz.sporki.com/add/?m=draft_school01&amp;ps_school=50109" TargetMode="External"/><Relationship Id="rId337" Type="http://schemas.openxmlformats.org/officeDocument/2006/relationships/hyperlink" Target="https://statiz.sporki.com/player/?m=playerinfo&amp;p_no=15532" TargetMode="External"/><Relationship Id="rId2018" Type="http://schemas.openxmlformats.org/officeDocument/2006/relationships/hyperlink" Target="https://statiz.sporki.com/add/?m=draft_school01&amp;ps_school=50703" TargetMode="External"/><Relationship Id="rId3416" Type="http://schemas.openxmlformats.org/officeDocument/2006/relationships/hyperlink" Target="https://statiz.sporki.com/add/?m=draft_school01&amp;ps_school=50208" TargetMode="External"/><Relationship Id="rId6986" Type="http://schemas.openxmlformats.org/officeDocument/2006/relationships/hyperlink" Target="https://statiz.sporki.com/add/?m=draft_school01&amp;ps_school=50201" TargetMode="External"/><Relationship Id="rId5588" Type="http://schemas.openxmlformats.org/officeDocument/2006/relationships/hyperlink" Target="https://statiz.sporki.com/add/?m=draft_school01&amp;ps_school=50803" TargetMode="External"/><Relationship Id="rId6639" Type="http://schemas.openxmlformats.org/officeDocument/2006/relationships/hyperlink" Target="https://statiz.sporki.com/add/?m=draft_school02&amp;ps_school=" TargetMode="External"/><Relationship Id="rId12440" Type="http://schemas.openxmlformats.org/officeDocument/2006/relationships/hyperlink" Target="https://statiz.sporki.com/player/?m=playerinfo&amp;p_no=15123" TargetMode="External"/><Relationship Id="rId19053" Type="http://schemas.openxmlformats.org/officeDocument/2006/relationships/hyperlink" Target="https://statiz.sporki.com/add/?m=draft_school01&amp;ps_school=50805" TargetMode="External"/><Relationship Id="rId8061" Type="http://schemas.openxmlformats.org/officeDocument/2006/relationships/hyperlink" Target="https://statiz.sporki.com/add/?m=draft_school02&amp;ps_school=60113" TargetMode="External"/><Relationship Id="rId9112" Type="http://schemas.openxmlformats.org/officeDocument/2006/relationships/hyperlink" Target="https://statiz.sporki.com/player/?m=playerinfo&amp;p_no=2061" TargetMode="External"/><Relationship Id="rId11042" Type="http://schemas.openxmlformats.org/officeDocument/2006/relationships/hyperlink" Target="https://statiz.sporki.com/add/?m=draft_school01&amp;ps_school=50601" TargetMode="External"/><Relationship Id="rId1101" Type="http://schemas.openxmlformats.org/officeDocument/2006/relationships/hyperlink" Target="https://statiz.sporki.com/add/?m=draft_school02&amp;ps_school=" TargetMode="External"/><Relationship Id="rId4671" Type="http://schemas.openxmlformats.org/officeDocument/2006/relationships/hyperlink" Target="https://statiz.sporki.com/add/?m=draft_school02&amp;ps_school=" TargetMode="External"/><Relationship Id="rId5722" Type="http://schemas.openxmlformats.org/officeDocument/2006/relationships/hyperlink" Target="https://statiz.sporki.com/player/?m=playerinfo&amp;p_no=11147" TargetMode="External"/><Relationship Id="rId14265" Type="http://schemas.openxmlformats.org/officeDocument/2006/relationships/hyperlink" Target="https://statiz.sporki.com/player/?m=playerinfo&amp;p_no=10328" TargetMode="External"/><Relationship Id="rId15663" Type="http://schemas.openxmlformats.org/officeDocument/2006/relationships/hyperlink" Target="https://statiz.sporki.com/player/?m=playerinfo&amp;p_no=1459" TargetMode="External"/><Relationship Id="rId16714" Type="http://schemas.openxmlformats.org/officeDocument/2006/relationships/hyperlink" Target="https://statiz.sporki.com/add/?m=draft_school01&amp;ps_school=50209" TargetMode="External"/><Relationship Id="rId3273" Type="http://schemas.openxmlformats.org/officeDocument/2006/relationships/hyperlink" Target="https://statiz.sporki.com/add/?m=draft_school02&amp;ps_school=" TargetMode="External"/><Relationship Id="rId4324" Type="http://schemas.openxmlformats.org/officeDocument/2006/relationships/hyperlink" Target="https://statiz.sporki.com/player/?m=playerinfo&amp;p_no=11217" TargetMode="External"/><Relationship Id="rId15316" Type="http://schemas.openxmlformats.org/officeDocument/2006/relationships/hyperlink" Target="https://statiz.sporki.com/player/?m=playerinfo&amp;p_no=1785" TargetMode="External"/><Relationship Id="rId18886" Type="http://schemas.openxmlformats.org/officeDocument/2006/relationships/hyperlink" Target="https://statiz.sporki.com/add/?m=draft_school01&amp;ps_school=50209" TargetMode="External"/><Relationship Id="rId194" Type="http://schemas.openxmlformats.org/officeDocument/2006/relationships/hyperlink" Target="https://statiz.sporki.com/add/?m=draft_school01&amp;ps_school=50403" TargetMode="External"/><Relationship Id="rId6496" Type="http://schemas.openxmlformats.org/officeDocument/2006/relationships/hyperlink" Target="https://statiz.sporki.com/player/?m=playerinfo&amp;p_no=10082" TargetMode="External"/><Relationship Id="rId7894" Type="http://schemas.openxmlformats.org/officeDocument/2006/relationships/hyperlink" Target="https://statiz.sporki.com/player/?m=playerinfo&amp;p_no=2321" TargetMode="External"/><Relationship Id="rId8945" Type="http://schemas.openxmlformats.org/officeDocument/2006/relationships/hyperlink" Target="https://statiz.sporki.com/add/?m=draft_school01&amp;ps_school=50701" TargetMode="External"/><Relationship Id="rId10875" Type="http://schemas.openxmlformats.org/officeDocument/2006/relationships/hyperlink" Target="https://statiz.sporki.com/add/?m=draft_school02&amp;ps_school=60703" TargetMode="External"/><Relationship Id="rId11926" Type="http://schemas.openxmlformats.org/officeDocument/2006/relationships/hyperlink" Target="https://statiz.sporki.com/player/?m=playerinfo&amp;p_no=1125" TargetMode="External"/><Relationship Id="rId17488" Type="http://schemas.openxmlformats.org/officeDocument/2006/relationships/hyperlink" Target="https://statiz.sporki.com/add/?m=draft_school01&amp;ps_school=50604" TargetMode="External"/><Relationship Id="rId18539" Type="http://schemas.openxmlformats.org/officeDocument/2006/relationships/hyperlink" Target="https://statiz.sporki.com/add/?m=draft_school01&amp;ps_school=50116" TargetMode="External"/><Relationship Id="rId5098" Type="http://schemas.openxmlformats.org/officeDocument/2006/relationships/hyperlink" Target="https://statiz.sporki.com/player/?m=playerinfo&amp;p_no=10811" TargetMode="External"/><Relationship Id="rId6149" Type="http://schemas.openxmlformats.org/officeDocument/2006/relationships/hyperlink" Target="https://statiz.sporki.com/add/?m=draft_school01&amp;ps_school=50605" TargetMode="External"/><Relationship Id="rId7547" Type="http://schemas.openxmlformats.org/officeDocument/2006/relationships/hyperlink" Target="https://statiz.sporki.com/add/?m=draft_school01&amp;ps_school=50116" TargetMode="External"/><Relationship Id="rId10528" Type="http://schemas.openxmlformats.org/officeDocument/2006/relationships/hyperlink" Target="https://statiz.sporki.com/player/?m=playerinfo&amp;p_no=1541" TargetMode="External"/><Relationship Id="rId13001" Type="http://schemas.openxmlformats.org/officeDocument/2006/relationships/hyperlink" Target="https://statiz.sporki.com/player/?m=playerinfo&amp;p_no=13078" TargetMode="External"/><Relationship Id="rId16571" Type="http://schemas.openxmlformats.org/officeDocument/2006/relationships/hyperlink" Target="https://statiz.sporki.com/add/?m=draft_school01&amp;ps_school=50807" TargetMode="External"/><Relationship Id="rId17622" Type="http://schemas.openxmlformats.org/officeDocument/2006/relationships/hyperlink" Target="https://statiz.sporki.com/add/?m=draft_school01&amp;ps_school=50105" TargetMode="External"/><Relationship Id="rId2759" Type="http://schemas.openxmlformats.org/officeDocument/2006/relationships/hyperlink" Target="https://statiz.sporki.com/add/?m=draft_school01&amp;ps_school=50110" TargetMode="External"/><Relationship Id="rId6630" Type="http://schemas.openxmlformats.org/officeDocument/2006/relationships/hyperlink" Target="https://statiz.sporki.com/add/?m=draft_school02&amp;ps_school=" TargetMode="External"/><Relationship Id="rId15173" Type="http://schemas.openxmlformats.org/officeDocument/2006/relationships/hyperlink" Target="https://statiz.sporki.com/player/?m=playerinfo&amp;p_no=1903" TargetMode="External"/><Relationship Id="rId16224" Type="http://schemas.openxmlformats.org/officeDocument/2006/relationships/hyperlink" Target="https://statiz.sporki.com/add/?m=draft_school01&amp;ps_school=50103" TargetMode="External"/><Relationship Id="rId4181" Type="http://schemas.openxmlformats.org/officeDocument/2006/relationships/hyperlink" Target="https://statiz.sporki.com/add/?m=draft_school01&amp;ps_school=50112" TargetMode="External"/><Relationship Id="rId5232" Type="http://schemas.openxmlformats.org/officeDocument/2006/relationships/hyperlink" Target="https://statiz.sporki.com/add/?m=draft_school02&amp;ps_school=60102" TargetMode="External"/><Relationship Id="rId9853" Type="http://schemas.openxmlformats.org/officeDocument/2006/relationships/hyperlink" Target="https://statiz.sporki.com/player/?m=playerinfo&amp;p_no=1682" TargetMode="External"/><Relationship Id="rId18396" Type="http://schemas.openxmlformats.org/officeDocument/2006/relationships/hyperlink" Target="https://statiz.sporki.com/add/?m=draft_school01&amp;ps_school=50802" TargetMode="External"/><Relationship Id="rId19447" Type="http://schemas.openxmlformats.org/officeDocument/2006/relationships/hyperlink" Target="https://statiz.sporki.com/add/?m=draft_school01&amp;ps_school=50805" TargetMode="External"/><Relationship Id="rId67" Type="http://schemas.openxmlformats.org/officeDocument/2006/relationships/hyperlink" Target="https://statiz.sporki.com/player/?m=playerinfo&amp;p_no=15498" TargetMode="External"/><Relationship Id="rId8455" Type="http://schemas.openxmlformats.org/officeDocument/2006/relationships/hyperlink" Target="https://statiz.sporki.com/player/?m=playerinfo&amp;p_no=2085" TargetMode="External"/><Relationship Id="rId9506" Type="http://schemas.openxmlformats.org/officeDocument/2006/relationships/hyperlink" Target="https://statiz.sporki.com/add/?m=draft_school01&amp;ps_school=50806" TargetMode="External"/><Relationship Id="rId11783" Type="http://schemas.openxmlformats.org/officeDocument/2006/relationships/hyperlink" Target="https://statiz.sporki.com/add/?m=draft_school01&amp;ps_school=50123" TargetMode="External"/><Relationship Id="rId12834" Type="http://schemas.openxmlformats.org/officeDocument/2006/relationships/hyperlink" Target="https://statiz.sporki.com/player/?m=playerinfo&amp;p_no=14120" TargetMode="External"/><Relationship Id="rId18049" Type="http://schemas.openxmlformats.org/officeDocument/2006/relationships/hyperlink" Target="https://statiz.sporki.com/add/?m=draft_school01&amp;ps_school=50601" TargetMode="External"/><Relationship Id="rId1842" Type="http://schemas.openxmlformats.org/officeDocument/2006/relationships/hyperlink" Target="https://statiz.sporki.com/add/?m=draft_school02&amp;ps_school=60803" TargetMode="External"/><Relationship Id="rId7057" Type="http://schemas.openxmlformats.org/officeDocument/2006/relationships/hyperlink" Target="https://statiz.sporki.com/player/?m=playerinfo&amp;p_no=2335" TargetMode="External"/><Relationship Id="rId8108" Type="http://schemas.openxmlformats.org/officeDocument/2006/relationships/hyperlink" Target="https://statiz.sporki.com/add/?m=draft_school01&amp;ps_school=50802" TargetMode="External"/><Relationship Id="rId10385" Type="http://schemas.openxmlformats.org/officeDocument/2006/relationships/hyperlink" Target="https://statiz.sporki.com/add/?m=draft_school01&amp;ps_school=50209" TargetMode="External"/><Relationship Id="rId11436" Type="http://schemas.openxmlformats.org/officeDocument/2006/relationships/hyperlink" Target="https://statiz.sporki.com/add/?m=draft_school02&amp;ps_school=60703" TargetMode="External"/><Relationship Id="rId10038" Type="http://schemas.openxmlformats.org/officeDocument/2006/relationships/hyperlink" Target="https://statiz.sporki.com/add/?m=draft_school02&amp;ps_school=60103" TargetMode="External"/><Relationship Id="rId14659" Type="http://schemas.openxmlformats.org/officeDocument/2006/relationships/hyperlink" Target="https://statiz.sporki.com/player/?m=playerinfo&amp;p_no=2228" TargetMode="External"/><Relationship Id="rId18530" Type="http://schemas.openxmlformats.org/officeDocument/2006/relationships/hyperlink" Target="https://statiz.sporki.com/add/?m=draft_school01&amp;ps_school=50209" TargetMode="External"/><Relationship Id="rId3667" Type="http://schemas.openxmlformats.org/officeDocument/2006/relationships/hyperlink" Target="https://statiz.sporki.com/player/?m=playerinfo&amp;p_no=11387" TargetMode="External"/><Relationship Id="rId4718" Type="http://schemas.openxmlformats.org/officeDocument/2006/relationships/hyperlink" Target="https://statiz.sporki.com/add/?m=draft_school01&amp;ps_school=51101" TargetMode="External"/><Relationship Id="rId16081" Type="http://schemas.openxmlformats.org/officeDocument/2006/relationships/hyperlink" Target="https://statiz.sporki.com/player/?m=playerinfo&amp;p_no=1045" TargetMode="External"/><Relationship Id="rId17132" Type="http://schemas.openxmlformats.org/officeDocument/2006/relationships/hyperlink" Target="https://statiz.sporki.com/add/?m=draft_school01&amp;ps_school=50202" TargetMode="External"/><Relationship Id="rId588" Type="http://schemas.openxmlformats.org/officeDocument/2006/relationships/hyperlink" Target="https://statiz.sporki.com/add/?m=draft_school02&amp;ps_school=" TargetMode="External"/><Relationship Id="rId2269" Type="http://schemas.openxmlformats.org/officeDocument/2006/relationships/hyperlink" Target="https://statiz.sporki.com/player/?m=playerinfo&amp;p_no=14196" TargetMode="External"/><Relationship Id="rId6140" Type="http://schemas.openxmlformats.org/officeDocument/2006/relationships/hyperlink" Target="https://statiz.sporki.com/add/?m=draft_school01&amp;ps_school=50802" TargetMode="External"/><Relationship Id="rId12691" Type="http://schemas.openxmlformats.org/officeDocument/2006/relationships/hyperlink" Target="https://statiz.sporki.com/player/?m=playerinfo&amp;p_no=14704" TargetMode="External"/><Relationship Id="rId2750" Type="http://schemas.openxmlformats.org/officeDocument/2006/relationships/hyperlink" Target="https://statiz.sporki.com/add/?m=draft_school01&amp;ps_school=50809" TargetMode="External"/><Relationship Id="rId3801" Type="http://schemas.openxmlformats.org/officeDocument/2006/relationships/hyperlink" Target="https://statiz.sporki.com/add/?m=draft_school02&amp;ps_school=" TargetMode="External"/><Relationship Id="rId9363" Type="http://schemas.openxmlformats.org/officeDocument/2006/relationships/hyperlink" Target="https://statiz.sporki.com/add/?m=draft_school02&amp;ps_school=60501" TargetMode="External"/><Relationship Id="rId11293" Type="http://schemas.openxmlformats.org/officeDocument/2006/relationships/hyperlink" Target="https://statiz.sporki.com/player/?m=playerinfo&amp;p_no=1248" TargetMode="External"/><Relationship Id="rId12344" Type="http://schemas.openxmlformats.org/officeDocument/2006/relationships/hyperlink" Target="https://statiz.sporki.com/player/?m=playerinfo&amp;p_no=15114" TargetMode="External"/><Relationship Id="rId13742" Type="http://schemas.openxmlformats.org/officeDocument/2006/relationships/hyperlink" Target="https://statiz.sporki.com/player/?m=playerinfo&amp;p_no=10840" TargetMode="External"/><Relationship Id="rId722" Type="http://schemas.openxmlformats.org/officeDocument/2006/relationships/hyperlink" Target="https://statiz.sporki.com/add/?m=draft_school01&amp;ps_school=50107" TargetMode="External"/><Relationship Id="rId1352" Type="http://schemas.openxmlformats.org/officeDocument/2006/relationships/hyperlink" Target="https://statiz.sporki.com/add/?m=draft_school01&amp;ps_school=50503" TargetMode="External"/><Relationship Id="rId2403" Type="http://schemas.openxmlformats.org/officeDocument/2006/relationships/hyperlink" Target="https://statiz.sporki.com/add/?m=draft_school02&amp;ps_school=" TargetMode="External"/><Relationship Id="rId9016" Type="http://schemas.openxmlformats.org/officeDocument/2006/relationships/hyperlink" Target="https://statiz.sporki.com/player/?m=playerinfo&amp;p_no=2040" TargetMode="External"/><Relationship Id="rId16965" Type="http://schemas.openxmlformats.org/officeDocument/2006/relationships/hyperlink" Target="https://statiz.sporki.com/add/?m=draft_school01&amp;ps_school=50105" TargetMode="External"/><Relationship Id="rId1005" Type="http://schemas.openxmlformats.org/officeDocument/2006/relationships/hyperlink" Target="https://statiz.sporki.com/add/?m=draft_school02&amp;ps_school=" TargetMode="External"/><Relationship Id="rId4575" Type="http://schemas.openxmlformats.org/officeDocument/2006/relationships/hyperlink" Target="https://statiz.sporki.com/add/?m=draft_school02&amp;ps_school=" TargetMode="External"/><Relationship Id="rId5973" Type="http://schemas.openxmlformats.org/officeDocument/2006/relationships/hyperlink" Target="https://statiz.sporki.com/add/?m=draft_school02&amp;ps_school=60111" TargetMode="External"/><Relationship Id="rId15567" Type="http://schemas.openxmlformats.org/officeDocument/2006/relationships/hyperlink" Target="https://statiz.sporki.com/player/?m=playerinfo&amp;p_no=10386" TargetMode="External"/><Relationship Id="rId16618" Type="http://schemas.openxmlformats.org/officeDocument/2006/relationships/hyperlink" Target="https://statiz.sporki.com/add/?m=draft_school01&amp;ps_school=50401" TargetMode="External"/><Relationship Id="rId3177" Type="http://schemas.openxmlformats.org/officeDocument/2006/relationships/hyperlink" Target="https://statiz.sporki.com/add/?m=draft_school02&amp;ps_school=60102" TargetMode="External"/><Relationship Id="rId4228" Type="http://schemas.openxmlformats.org/officeDocument/2006/relationships/hyperlink" Target="https://statiz.sporki.com/player/?m=playerinfo&amp;p_no=13182" TargetMode="External"/><Relationship Id="rId5626" Type="http://schemas.openxmlformats.org/officeDocument/2006/relationships/hyperlink" Target="https://statiz.sporki.com/player/?m=playerinfo&amp;p_no=10122" TargetMode="External"/><Relationship Id="rId14169" Type="http://schemas.openxmlformats.org/officeDocument/2006/relationships/hyperlink" Target="https://statiz.sporki.com/player/?m=playerinfo&amp;p_no=10525" TargetMode="External"/><Relationship Id="rId18040" Type="http://schemas.openxmlformats.org/officeDocument/2006/relationships/hyperlink" Target="https://statiz.sporki.com/add/?m=draft_school01&amp;ps_school=50801" TargetMode="External"/><Relationship Id="rId7798" Type="http://schemas.openxmlformats.org/officeDocument/2006/relationships/hyperlink" Target="https://statiz.sporki.com/player/?m=playerinfo&amp;p_no=10041" TargetMode="External"/><Relationship Id="rId8849" Type="http://schemas.openxmlformats.org/officeDocument/2006/relationships/hyperlink" Target="https://statiz.sporki.com/add/?m=draft_school01&amp;ps_school=50111" TargetMode="External"/><Relationship Id="rId10779" Type="http://schemas.openxmlformats.org/officeDocument/2006/relationships/hyperlink" Target="https://statiz.sporki.com/add/?m=draft_school02&amp;ps_school=60203" TargetMode="External"/><Relationship Id="rId14650" Type="http://schemas.openxmlformats.org/officeDocument/2006/relationships/hyperlink" Target="https://statiz.sporki.com/player/?m=playerinfo&amp;p_no=2248" TargetMode="External"/><Relationship Id="rId15701" Type="http://schemas.openxmlformats.org/officeDocument/2006/relationships/hyperlink" Target="https://statiz.sporki.com/player/?m=playerinfo&amp;p_no=1520" TargetMode="External"/><Relationship Id="rId13252" Type="http://schemas.openxmlformats.org/officeDocument/2006/relationships/hyperlink" Target="https://statiz.sporki.com/player/?m=playerinfo&amp;p_no=12578" TargetMode="External"/><Relationship Id="rId14303" Type="http://schemas.openxmlformats.org/officeDocument/2006/relationships/hyperlink" Target="https://statiz.sporki.com/player/?m=playerinfo&amp;p_no=10551" TargetMode="External"/><Relationship Id="rId2260" Type="http://schemas.openxmlformats.org/officeDocument/2006/relationships/hyperlink" Target="https://statiz.sporki.com/player/?m=playerinfo&amp;p_no=14199" TargetMode="External"/><Relationship Id="rId3311" Type="http://schemas.openxmlformats.org/officeDocument/2006/relationships/hyperlink" Target="https://statiz.sporki.com/add/?m=draft_school01&amp;ps_school=50209" TargetMode="External"/><Relationship Id="rId6881" Type="http://schemas.openxmlformats.org/officeDocument/2006/relationships/hyperlink" Target="https://statiz.sporki.com/add/?m=draft_school01&amp;ps_school=50110" TargetMode="External"/><Relationship Id="rId7932" Type="http://schemas.openxmlformats.org/officeDocument/2006/relationships/hyperlink" Target="https://statiz.sporki.com/add/?m=draft_school02&amp;ps_school=60101" TargetMode="External"/><Relationship Id="rId16475" Type="http://schemas.openxmlformats.org/officeDocument/2006/relationships/hyperlink" Target="https://statiz.sporki.com/add/?m=draft_school01&amp;ps_school=50301" TargetMode="External"/><Relationship Id="rId17873" Type="http://schemas.openxmlformats.org/officeDocument/2006/relationships/hyperlink" Target="https://statiz.sporki.com/add/?m=draft_school01&amp;ps_school=50207" TargetMode="External"/><Relationship Id="rId18924" Type="http://schemas.openxmlformats.org/officeDocument/2006/relationships/hyperlink" Target="https://statiz.sporki.com/add/?m=draft_school01&amp;ps_school=50602" TargetMode="External"/><Relationship Id="rId232" Type="http://schemas.openxmlformats.org/officeDocument/2006/relationships/hyperlink" Target="https://statiz.sporki.com/player/?m=playerinfo&amp;p_no=15504" TargetMode="External"/><Relationship Id="rId5483" Type="http://schemas.openxmlformats.org/officeDocument/2006/relationships/hyperlink" Target="https://statiz.sporki.com/add/?m=draft_school01&amp;ps_school=50802" TargetMode="External"/><Relationship Id="rId6534" Type="http://schemas.openxmlformats.org/officeDocument/2006/relationships/hyperlink" Target="https://statiz.sporki.com/add/?m=draft_school02&amp;ps_school=60801" TargetMode="External"/><Relationship Id="rId10913" Type="http://schemas.openxmlformats.org/officeDocument/2006/relationships/hyperlink" Target="https://statiz.sporki.com/add/?m=draft_school01&amp;ps_school=" TargetMode="External"/><Relationship Id="rId15077" Type="http://schemas.openxmlformats.org/officeDocument/2006/relationships/hyperlink" Target="https://statiz.sporki.com/player/?m=playerinfo&amp;p_no=10296" TargetMode="External"/><Relationship Id="rId16128" Type="http://schemas.openxmlformats.org/officeDocument/2006/relationships/hyperlink" Target="https://statiz.sporki.com/player/?m=playerinfo&amp;p_no=1132" TargetMode="External"/><Relationship Id="rId17526" Type="http://schemas.openxmlformats.org/officeDocument/2006/relationships/hyperlink" Target="https://statiz.sporki.com/add/?m=draft_school01&amp;ps_school=50101" TargetMode="External"/><Relationship Id="rId4085" Type="http://schemas.openxmlformats.org/officeDocument/2006/relationships/hyperlink" Target="https://statiz.sporki.com/add/?m=draft_school01&amp;ps_school=50801" TargetMode="External"/><Relationship Id="rId5136" Type="http://schemas.openxmlformats.org/officeDocument/2006/relationships/hyperlink" Target="https://statiz.sporki.com/add/?m=draft_school02&amp;ps_school=60113" TargetMode="External"/><Relationship Id="rId8359" Type="http://schemas.openxmlformats.org/officeDocument/2006/relationships/hyperlink" Target="https://statiz.sporki.com/player/?m=playerinfo&amp;p_no=2056" TargetMode="External"/><Relationship Id="rId9757" Type="http://schemas.openxmlformats.org/officeDocument/2006/relationships/hyperlink" Target="https://statiz.sporki.com/player/?m=playerinfo&amp;p_no=1778" TargetMode="External"/><Relationship Id="rId11687" Type="http://schemas.openxmlformats.org/officeDocument/2006/relationships/hyperlink" Target="https://statiz.sporki.com/add/?m=draft_school01&amp;ps_school=50112" TargetMode="External"/><Relationship Id="rId12738" Type="http://schemas.openxmlformats.org/officeDocument/2006/relationships/hyperlink" Target="https://statiz.sporki.com/player/?m=playerinfo&amp;p_no=14672" TargetMode="External"/><Relationship Id="rId1746" Type="http://schemas.openxmlformats.org/officeDocument/2006/relationships/hyperlink" Target="https://statiz.sporki.com/add/?m=draft_school02&amp;ps_school=" TargetMode="External"/><Relationship Id="rId10289" Type="http://schemas.openxmlformats.org/officeDocument/2006/relationships/hyperlink" Target="https://statiz.sporki.com/add/?m=draft_school01&amp;ps_school=50807" TargetMode="External"/><Relationship Id="rId14160" Type="http://schemas.openxmlformats.org/officeDocument/2006/relationships/hyperlink" Target="https://statiz.sporki.com/player/?m=playerinfo&amp;p_no=10608" TargetMode="External"/><Relationship Id="rId15211" Type="http://schemas.openxmlformats.org/officeDocument/2006/relationships/hyperlink" Target="https://statiz.sporki.com/player/?m=playerinfo&amp;p_no=1260" TargetMode="External"/><Relationship Id="rId18781" Type="http://schemas.openxmlformats.org/officeDocument/2006/relationships/hyperlink" Target="https://statiz.sporki.com/add/?m=draft_school01&amp;ps_school=50209" TargetMode="External"/><Relationship Id="rId4969" Type="http://schemas.openxmlformats.org/officeDocument/2006/relationships/hyperlink" Target="https://statiz.sporki.com/player/?m=playerinfo&amp;p_no=10906" TargetMode="External"/><Relationship Id="rId8840" Type="http://schemas.openxmlformats.org/officeDocument/2006/relationships/hyperlink" Target="https://statiz.sporki.com/add/?m=draft_school01&amp;ps_school=50602" TargetMode="External"/><Relationship Id="rId10770" Type="http://schemas.openxmlformats.org/officeDocument/2006/relationships/hyperlink" Target="https://statiz.sporki.com/add/?m=draft_school02&amp;ps_school=" TargetMode="External"/><Relationship Id="rId17383" Type="http://schemas.openxmlformats.org/officeDocument/2006/relationships/hyperlink" Target="https://statiz.sporki.com/add/?m=draft_school01&amp;ps_school=50110" TargetMode="External"/><Relationship Id="rId18434" Type="http://schemas.openxmlformats.org/officeDocument/2006/relationships/hyperlink" Target="https://statiz.sporki.com/add/?m=draft_school01&amp;ps_school=50701" TargetMode="External"/><Relationship Id="rId6391" Type="http://schemas.openxmlformats.org/officeDocument/2006/relationships/hyperlink" Target="https://statiz.sporki.com/player/?m=playerinfo&amp;p_no=10569" TargetMode="External"/><Relationship Id="rId7442" Type="http://schemas.openxmlformats.org/officeDocument/2006/relationships/hyperlink" Target="https://statiz.sporki.com/add/?m=draft_school01&amp;ps_school=50102" TargetMode="External"/><Relationship Id="rId10423" Type="http://schemas.openxmlformats.org/officeDocument/2006/relationships/hyperlink" Target="https://statiz.sporki.com/player/?m=playerinfo&amp;p_no=1542" TargetMode="External"/><Relationship Id="rId11821" Type="http://schemas.openxmlformats.org/officeDocument/2006/relationships/hyperlink" Target="https://statiz.sporki.com/player/?m=playerinfo&amp;p_no=1019" TargetMode="External"/><Relationship Id="rId17036" Type="http://schemas.openxmlformats.org/officeDocument/2006/relationships/hyperlink" Target="https://statiz.sporki.com/add/?m=draft_school01&amp;ps_school=50702" TargetMode="External"/><Relationship Id="rId6044" Type="http://schemas.openxmlformats.org/officeDocument/2006/relationships/hyperlink" Target="https://statiz.sporki.com/add/?m=draft_school01&amp;ps_school=50602" TargetMode="External"/><Relationship Id="rId13993" Type="http://schemas.openxmlformats.org/officeDocument/2006/relationships/hyperlink" Target="https://statiz.sporki.com/player/?m=playerinfo&amp;p_no=10037" TargetMode="External"/><Relationship Id="rId9267" Type="http://schemas.openxmlformats.org/officeDocument/2006/relationships/hyperlink" Target="https://statiz.sporki.com/add/?m=draft_school02&amp;ps_school=" TargetMode="External"/><Relationship Id="rId11197" Type="http://schemas.openxmlformats.org/officeDocument/2006/relationships/hyperlink" Target="https://statiz.sporki.com/player/?m=playerinfo&amp;p_no=1286" TargetMode="External"/><Relationship Id="rId12595" Type="http://schemas.openxmlformats.org/officeDocument/2006/relationships/hyperlink" Target="https://statiz.sporki.com/player/?m=playerinfo&amp;p_no=14995" TargetMode="External"/><Relationship Id="rId13646" Type="http://schemas.openxmlformats.org/officeDocument/2006/relationships/hyperlink" Target="https://statiz.sporki.com/player/?m=playerinfo&amp;p_no=11135" TargetMode="External"/><Relationship Id="rId626" Type="http://schemas.openxmlformats.org/officeDocument/2006/relationships/hyperlink" Target="https://statiz.sporki.com/add/?m=draft_school01&amp;ps_school=50101" TargetMode="External"/><Relationship Id="rId973" Type="http://schemas.openxmlformats.org/officeDocument/2006/relationships/hyperlink" Target="https://statiz.sporki.com/player/?m=playerinfo&amp;p_no=14796" TargetMode="External"/><Relationship Id="rId1256" Type="http://schemas.openxmlformats.org/officeDocument/2006/relationships/hyperlink" Target="https://statiz.sporki.com/add/?m=draft_school01&amp;ps_school=50601" TargetMode="External"/><Relationship Id="rId2307" Type="http://schemas.openxmlformats.org/officeDocument/2006/relationships/hyperlink" Target="https://statiz.sporki.com/add/?m=draft_school02&amp;ps_school=" TargetMode="External"/><Relationship Id="rId2654" Type="http://schemas.openxmlformats.org/officeDocument/2006/relationships/hyperlink" Target="https://statiz.sporki.com/add/?m=draft_school01&amp;ps_school=" TargetMode="External"/><Relationship Id="rId3705" Type="http://schemas.openxmlformats.org/officeDocument/2006/relationships/hyperlink" Target="https://statiz.sporki.com/add/?m=draft_school02&amp;ps_school=" TargetMode="External"/><Relationship Id="rId12248" Type="http://schemas.openxmlformats.org/officeDocument/2006/relationships/hyperlink" Target="https://statiz.sporki.com/player/?m=playerinfo&amp;p_no=15517" TargetMode="External"/><Relationship Id="rId16869" Type="http://schemas.openxmlformats.org/officeDocument/2006/relationships/hyperlink" Target="https://statiz.sporki.com/add/?m=draft_school01&amp;ps_school=50107" TargetMode="External"/><Relationship Id="rId5877" Type="http://schemas.openxmlformats.org/officeDocument/2006/relationships/hyperlink" Target="https://statiz.sporki.com/add/?m=draft_school02&amp;ps_school=60111" TargetMode="External"/><Relationship Id="rId6928" Type="http://schemas.openxmlformats.org/officeDocument/2006/relationships/hyperlink" Target="https://statiz.sporki.com/player/?m=playerinfo&amp;p_no=10368" TargetMode="External"/><Relationship Id="rId18291" Type="http://schemas.openxmlformats.org/officeDocument/2006/relationships/hyperlink" Target="https://statiz.sporki.com/add/?m=draft_school01&amp;ps_school=50602" TargetMode="External"/><Relationship Id="rId19342" Type="http://schemas.openxmlformats.org/officeDocument/2006/relationships/hyperlink" Target="https://statiz.sporki.com/add/?m=draft_school01&amp;ps_school=50805" TargetMode="External"/><Relationship Id="rId4479" Type="http://schemas.openxmlformats.org/officeDocument/2006/relationships/hyperlink" Target="https://statiz.sporki.com/add/?m=draft_school02&amp;ps_school=" TargetMode="External"/><Relationship Id="rId8350" Type="http://schemas.openxmlformats.org/officeDocument/2006/relationships/hyperlink" Target="https://statiz.sporki.com/player/?m=playerinfo&amp;p_no=2065" TargetMode="External"/><Relationship Id="rId9401" Type="http://schemas.openxmlformats.org/officeDocument/2006/relationships/hyperlink" Target="https://statiz.sporki.com/add/?m=draft_school01&amp;ps_school=50114" TargetMode="External"/><Relationship Id="rId10280" Type="http://schemas.openxmlformats.org/officeDocument/2006/relationships/hyperlink" Target="https://statiz.sporki.com/add/?m=draft_school01&amp;ps_school=50107" TargetMode="External"/><Relationship Id="rId11331" Type="http://schemas.openxmlformats.org/officeDocument/2006/relationships/hyperlink" Target="https://statiz.sporki.com/add/?m=draft_school02&amp;ps_school=60204" TargetMode="External"/><Relationship Id="rId4960" Type="http://schemas.openxmlformats.org/officeDocument/2006/relationships/hyperlink" Target="https://statiz.sporki.com/player/?m=playerinfo&amp;p_no=10912" TargetMode="External"/><Relationship Id="rId8003" Type="http://schemas.openxmlformats.org/officeDocument/2006/relationships/hyperlink" Target="https://statiz.sporki.com/add/?m=draft_school01&amp;ps_school=" TargetMode="External"/><Relationship Id="rId14554" Type="http://schemas.openxmlformats.org/officeDocument/2006/relationships/hyperlink" Target="https://statiz.sporki.com/player/?m=playerinfo&amp;p_no=2275" TargetMode="External"/><Relationship Id="rId15952" Type="http://schemas.openxmlformats.org/officeDocument/2006/relationships/hyperlink" Target="https://statiz.sporki.com/player/?m=playerinfo&amp;p_no=1308" TargetMode="External"/><Relationship Id="rId3562" Type="http://schemas.openxmlformats.org/officeDocument/2006/relationships/hyperlink" Target="https://statiz.sporki.com/player/?m=playerinfo&amp;p_no=12560" TargetMode="External"/><Relationship Id="rId4613" Type="http://schemas.openxmlformats.org/officeDocument/2006/relationships/hyperlink" Target="https://statiz.sporki.com/add/?m=draft_school01&amp;ps_school=50209" TargetMode="External"/><Relationship Id="rId13156" Type="http://schemas.openxmlformats.org/officeDocument/2006/relationships/hyperlink" Target="https://statiz.sporki.com/player/?m=playerinfo&amp;p_no=12883" TargetMode="External"/><Relationship Id="rId14207" Type="http://schemas.openxmlformats.org/officeDocument/2006/relationships/hyperlink" Target="https://statiz.sporki.com/player/?m=playerinfo&amp;p_no=2425" TargetMode="External"/><Relationship Id="rId15605" Type="http://schemas.openxmlformats.org/officeDocument/2006/relationships/hyperlink" Target="https://statiz.sporki.com/player/?m=playerinfo&amp;p_no=1508" TargetMode="External"/><Relationship Id="rId483" Type="http://schemas.openxmlformats.org/officeDocument/2006/relationships/hyperlink" Target="https://statiz.sporki.com/add/?m=draft_school02&amp;ps_school=" TargetMode="External"/><Relationship Id="rId2164" Type="http://schemas.openxmlformats.org/officeDocument/2006/relationships/hyperlink" Target="https://statiz.sporki.com/player/?m=playerinfo&amp;p_no=14123" TargetMode="External"/><Relationship Id="rId3215" Type="http://schemas.openxmlformats.org/officeDocument/2006/relationships/hyperlink" Target="https://statiz.sporki.com/add/?m=draft_school01&amp;ps_school=50116" TargetMode="External"/><Relationship Id="rId6785" Type="http://schemas.openxmlformats.org/officeDocument/2006/relationships/hyperlink" Target="https://statiz.sporki.com/add/?m=draft_school01&amp;ps_school=50809" TargetMode="External"/><Relationship Id="rId17777" Type="http://schemas.openxmlformats.org/officeDocument/2006/relationships/hyperlink" Target="https://statiz.sporki.com/add/?m=draft_school01&amp;ps_school=50901" TargetMode="External"/><Relationship Id="rId18828" Type="http://schemas.openxmlformats.org/officeDocument/2006/relationships/hyperlink" Target="https://statiz.sporki.com/add/?m=draft_school01&amp;ps_school=50111" TargetMode="External"/><Relationship Id="rId136" Type="http://schemas.openxmlformats.org/officeDocument/2006/relationships/hyperlink" Target="https://statiz.sporki.com/player/?m=playerinfo&amp;p_no=15477" TargetMode="External"/><Relationship Id="rId5387" Type="http://schemas.openxmlformats.org/officeDocument/2006/relationships/hyperlink" Target="https://statiz.sporki.com/add/?m=draft_school01&amp;ps_school=" TargetMode="External"/><Relationship Id="rId6438" Type="http://schemas.openxmlformats.org/officeDocument/2006/relationships/hyperlink" Target="https://statiz.sporki.com/add/?m=draft_school02&amp;ps_school=" TargetMode="External"/><Relationship Id="rId7836" Type="http://schemas.openxmlformats.org/officeDocument/2006/relationships/hyperlink" Target="https://statiz.sporki.com/add/?m=draft_school02&amp;ps_school=" TargetMode="External"/><Relationship Id="rId10817" Type="http://schemas.openxmlformats.org/officeDocument/2006/relationships/hyperlink" Target="https://statiz.sporki.com/add/?m=draft_school01&amp;ps_school=50403" TargetMode="External"/><Relationship Id="rId16379" Type="http://schemas.openxmlformats.org/officeDocument/2006/relationships/hyperlink" Target="https://statiz.sporki.com/add/?m=draft_school01&amp;ps_school=50103" TargetMode="External"/><Relationship Id="rId12989" Type="http://schemas.openxmlformats.org/officeDocument/2006/relationships/hyperlink" Target="https://statiz.sporki.com/player/?m=playerinfo&amp;p_no=13132" TargetMode="External"/><Relationship Id="rId16860" Type="http://schemas.openxmlformats.org/officeDocument/2006/relationships/hyperlink" Target="https://statiz.sporki.com/add/?m=draft_school01&amp;ps_school=50109" TargetMode="External"/><Relationship Id="rId17911" Type="http://schemas.openxmlformats.org/officeDocument/2006/relationships/hyperlink" Target="https://statiz.sporki.com/add/?m=draft_school01&amp;ps_school=50101" TargetMode="External"/><Relationship Id="rId1997" Type="http://schemas.openxmlformats.org/officeDocument/2006/relationships/hyperlink" Target="https://statiz.sporki.com/add/?m=draft_school01&amp;ps_school=50105" TargetMode="External"/><Relationship Id="rId15462" Type="http://schemas.openxmlformats.org/officeDocument/2006/relationships/hyperlink" Target="https://statiz.sporki.com/player/?m=playerinfo&amp;p_no=1674" TargetMode="External"/><Relationship Id="rId16513" Type="http://schemas.openxmlformats.org/officeDocument/2006/relationships/hyperlink" Target="https://statiz.sporki.com/add/?m=draft_school01&amp;ps_school=50209" TargetMode="External"/><Relationship Id="rId4470" Type="http://schemas.openxmlformats.org/officeDocument/2006/relationships/hyperlink" Target="https://statiz.sporki.com/add/?m=draft_school02&amp;ps_school=" TargetMode="External"/><Relationship Id="rId5521" Type="http://schemas.openxmlformats.org/officeDocument/2006/relationships/hyperlink" Target="https://statiz.sporki.com/player/?m=playerinfo&amp;p_no=10018" TargetMode="External"/><Relationship Id="rId14064" Type="http://schemas.openxmlformats.org/officeDocument/2006/relationships/hyperlink" Target="https://statiz.sporki.com/player/?m=playerinfo&amp;p_no=10539" TargetMode="External"/><Relationship Id="rId15115" Type="http://schemas.openxmlformats.org/officeDocument/2006/relationships/hyperlink" Target="https://statiz.sporki.com/player/?m=playerinfo&amp;p_no=1926" TargetMode="External"/><Relationship Id="rId18685" Type="http://schemas.openxmlformats.org/officeDocument/2006/relationships/hyperlink" Target="https://statiz.sporki.com/add/?m=draft_school01&amp;ps_school=50110" TargetMode="External"/><Relationship Id="rId3072" Type="http://schemas.openxmlformats.org/officeDocument/2006/relationships/hyperlink" Target="https://statiz.sporki.com/add/?m=draft_school02&amp;ps_school=" TargetMode="External"/><Relationship Id="rId4123" Type="http://schemas.openxmlformats.org/officeDocument/2006/relationships/hyperlink" Target="https://statiz.sporki.com/player/?m=playerinfo&amp;p_no=11213" TargetMode="External"/><Relationship Id="rId7693" Type="http://schemas.openxmlformats.org/officeDocument/2006/relationships/hyperlink" Target="https://statiz.sporki.com/player/?m=playerinfo&amp;p_no=10076" TargetMode="External"/><Relationship Id="rId8744" Type="http://schemas.openxmlformats.org/officeDocument/2006/relationships/hyperlink" Target="https://statiz.sporki.com/add/?m=draft_school01&amp;ps_school=50116" TargetMode="External"/><Relationship Id="rId17287" Type="http://schemas.openxmlformats.org/officeDocument/2006/relationships/hyperlink" Target="https://statiz.sporki.com/add/?m=draft_school01&amp;ps_school=50402" TargetMode="External"/><Relationship Id="rId18338" Type="http://schemas.openxmlformats.org/officeDocument/2006/relationships/hyperlink" Target="https://statiz.sporki.com/add/?m=draft_school01&amp;ps_school=50804" TargetMode="External"/><Relationship Id="rId6295" Type="http://schemas.openxmlformats.org/officeDocument/2006/relationships/hyperlink" Target="https://statiz.sporki.com/player/?m=playerinfo&amp;p_no=10309" TargetMode="External"/><Relationship Id="rId7346" Type="http://schemas.openxmlformats.org/officeDocument/2006/relationships/hyperlink" Target="https://statiz.sporki.com/add/?m=draft_school01&amp;ps_school=50401" TargetMode="External"/><Relationship Id="rId10674" Type="http://schemas.openxmlformats.org/officeDocument/2006/relationships/hyperlink" Target="https://statiz.sporki.com/add/?m=draft_school02&amp;ps_school=60204" TargetMode="External"/><Relationship Id="rId11725" Type="http://schemas.openxmlformats.org/officeDocument/2006/relationships/hyperlink" Target="https://statiz.sporki.com/player/?m=playerinfo&amp;p_no=1027" TargetMode="External"/><Relationship Id="rId10327" Type="http://schemas.openxmlformats.org/officeDocument/2006/relationships/hyperlink" Target="https://statiz.sporki.com/player/?m=playerinfo&amp;p_no=1518" TargetMode="External"/><Relationship Id="rId13897" Type="http://schemas.openxmlformats.org/officeDocument/2006/relationships/hyperlink" Target="https://statiz.sporki.com/player/?m=playerinfo&amp;p_no=10705" TargetMode="External"/><Relationship Id="rId14948" Type="http://schemas.openxmlformats.org/officeDocument/2006/relationships/hyperlink" Target="https://statiz.sporki.com/player/?m=playerinfo&amp;p_no=2030" TargetMode="External"/><Relationship Id="rId3956" Type="http://schemas.openxmlformats.org/officeDocument/2006/relationships/hyperlink" Target="https://statiz.sporki.com/add/?m=draft_school01&amp;ps_school=" TargetMode="External"/><Relationship Id="rId12499" Type="http://schemas.openxmlformats.org/officeDocument/2006/relationships/hyperlink" Target="https://statiz.sporki.com/player/?m=playerinfo&amp;p_no=14810" TargetMode="External"/><Relationship Id="rId16370" Type="http://schemas.openxmlformats.org/officeDocument/2006/relationships/hyperlink" Target="https://statiz.sporki.com/add/?m=draft_school01&amp;ps_school=50802" TargetMode="External"/><Relationship Id="rId17421" Type="http://schemas.openxmlformats.org/officeDocument/2006/relationships/hyperlink" Target="https://statiz.sporki.com/add/?m=draft_school01&amp;ps_school=50207" TargetMode="External"/><Relationship Id="rId877" Type="http://schemas.openxmlformats.org/officeDocument/2006/relationships/hyperlink" Target="https://statiz.sporki.com/player/?m=playerinfo&amp;p_no=15004" TargetMode="External"/><Relationship Id="rId2558" Type="http://schemas.openxmlformats.org/officeDocument/2006/relationships/hyperlink" Target="https://statiz.sporki.com/add/?m=draft_school01&amp;ps_school=50606" TargetMode="External"/><Relationship Id="rId3609" Type="http://schemas.openxmlformats.org/officeDocument/2006/relationships/hyperlink" Target="https://statiz.sporki.com/add/?m=draft_school02&amp;ps_school=60108" TargetMode="External"/><Relationship Id="rId12980" Type="http://schemas.openxmlformats.org/officeDocument/2006/relationships/hyperlink" Target="https://statiz.sporki.com/player/?m=playerinfo&amp;p_no=13098" TargetMode="External"/><Relationship Id="rId16023" Type="http://schemas.openxmlformats.org/officeDocument/2006/relationships/hyperlink" Target="https://statiz.sporki.com/player/?m=playerinfo&amp;p_no=1172" TargetMode="External"/><Relationship Id="rId19593" Type="http://schemas.openxmlformats.org/officeDocument/2006/relationships/hyperlink" Target="https://statiz.sporki.com/add/?m=draft_school01&amp;ps_school=50802" TargetMode="External"/><Relationship Id="rId5031" Type="http://schemas.openxmlformats.org/officeDocument/2006/relationships/hyperlink" Target="https://statiz.sporki.com/add/?m=draft_school02&amp;ps_school=" TargetMode="External"/><Relationship Id="rId9652" Type="http://schemas.openxmlformats.org/officeDocument/2006/relationships/hyperlink" Target="https://statiz.sporki.com/player/?m=playerinfo&amp;p_no=1779" TargetMode="External"/><Relationship Id="rId11582" Type="http://schemas.openxmlformats.org/officeDocument/2006/relationships/hyperlink" Target="https://statiz.sporki.com/add/?m=draft_school01&amp;ps_school=50109" TargetMode="External"/><Relationship Id="rId12633" Type="http://schemas.openxmlformats.org/officeDocument/2006/relationships/hyperlink" Target="https://statiz.sporki.com/player/?m=playerinfo&amp;p_no=14601" TargetMode="External"/><Relationship Id="rId18195" Type="http://schemas.openxmlformats.org/officeDocument/2006/relationships/hyperlink" Target="https://statiz.sporki.com/add/?m=draft_school01&amp;ps_school=50104" TargetMode="External"/><Relationship Id="rId19246" Type="http://schemas.openxmlformats.org/officeDocument/2006/relationships/hyperlink" Target="https://statiz.sporki.com/add/?m=draft_school01&amp;ps_school=50101" TargetMode="External"/><Relationship Id="rId1641" Type="http://schemas.openxmlformats.org/officeDocument/2006/relationships/hyperlink" Target="https://statiz.sporki.com/add/?m=draft_school02&amp;ps_school=" TargetMode="External"/><Relationship Id="rId8254" Type="http://schemas.openxmlformats.org/officeDocument/2006/relationships/hyperlink" Target="https://statiz.sporki.com/player/?m=playerinfo&amp;p_no=2090" TargetMode="External"/><Relationship Id="rId9305" Type="http://schemas.openxmlformats.org/officeDocument/2006/relationships/hyperlink" Target="https://statiz.sporki.com/add/?m=draft_school01&amp;ps_school=50116" TargetMode="External"/><Relationship Id="rId10184" Type="http://schemas.openxmlformats.org/officeDocument/2006/relationships/hyperlink" Target="https://statiz.sporki.com/add/?m=draft_school01&amp;ps_school=50112" TargetMode="External"/><Relationship Id="rId11235" Type="http://schemas.openxmlformats.org/officeDocument/2006/relationships/hyperlink" Target="https://statiz.sporki.com/add/?m=draft_school02&amp;ps_school=" TargetMode="External"/><Relationship Id="rId4864" Type="http://schemas.openxmlformats.org/officeDocument/2006/relationships/hyperlink" Target="https://statiz.sporki.com/player/?m=playerinfo&amp;p_no=10916" TargetMode="External"/><Relationship Id="rId15856" Type="http://schemas.openxmlformats.org/officeDocument/2006/relationships/hyperlink" Target="https://statiz.sporki.com/player/?m=playerinfo&amp;p_no=1272" TargetMode="External"/><Relationship Id="rId16907" Type="http://schemas.openxmlformats.org/officeDocument/2006/relationships/hyperlink" Target="https://statiz.sporki.com/add/?m=draft_school01&amp;ps_school=50114" TargetMode="External"/><Relationship Id="rId3466" Type="http://schemas.openxmlformats.org/officeDocument/2006/relationships/hyperlink" Target="https://statiz.sporki.com/player/?m=playerinfo&amp;p_no=12611" TargetMode="External"/><Relationship Id="rId4517" Type="http://schemas.openxmlformats.org/officeDocument/2006/relationships/hyperlink" Target="https://statiz.sporki.com/add/?m=draft_school01&amp;ps_school=50605" TargetMode="External"/><Relationship Id="rId5915" Type="http://schemas.openxmlformats.org/officeDocument/2006/relationships/hyperlink" Target="https://statiz.sporki.com/add/?m=draft_school01&amp;ps_school=50108" TargetMode="External"/><Relationship Id="rId14458" Type="http://schemas.openxmlformats.org/officeDocument/2006/relationships/hyperlink" Target="https://statiz.sporki.com/player/?m=playerinfo&amp;p_no=10496" TargetMode="External"/><Relationship Id="rId15509" Type="http://schemas.openxmlformats.org/officeDocument/2006/relationships/hyperlink" Target="https://statiz.sporki.com/player/?m=playerinfo&amp;p_no=1582" TargetMode="External"/><Relationship Id="rId387" Type="http://schemas.openxmlformats.org/officeDocument/2006/relationships/hyperlink" Target="https://statiz.sporki.com/add/?m=draft_school02&amp;ps_school=" TargetMode="External"/><Relationship Id="rId2068" Type="http://schemas.openxmlformats.org/officeDocument/2006/relationships/hyperlink" Target="https://statiz.sporki.com/player/?m=playerinfo&amp;p_no=14152" TargetMode="External"/><Relationship Id="rId3119" Type="http://schemas.openxmlformats.org/officeDocument/2006/relationships/hyperlink" Target="https://statiz.sporki.com/add/?m=draft_school01&amp;ps_school=50802" TargetMode="External"/><Relationship Id="rId6689" Type="http://schemas.openxmlformats.org/officeDocument/2006/relationships/hyperlink" Target="https://statiz.sporki.com/add/?m=draft_school01&amp;ps_school=50807" TargetMode="External"/><Relationship Id="rId9162" Type="http://schemas.openxmlformats.org/officeDocument/2006/relationships/hyperlink" Target="https://statiz.sporki.com/add/?m=draft_school02&amp;ps_school=60203" TargetMode="External"/><Relationship Id="rId12490" Type="http://schemas.openxmlformats.org/officeDocument/2006/relationships/hyperlink" Target="https://statiz.sporki.com/player/?m=playerinfo&amp;p_no=14787" TargetMode="External"/><Relationship Id="rId13541" Type="http://schemas.openxmlformats.org/officeDocument/2006/relationships/hyperlink" Target="https://statiz.sporki.com/player/?m=playerinfo&amp;p_no=11284" TargetMode="External"/><Relationship Id="rId3600" Type="http://schemas.openxmlformats.org/officeDocument/2006/relationships/hyperlink" Target="https://statiz.sporki.com/add/?m=draft_school02&amp;ps_school=60501" TargetMode="External"/><Relationship Id="rId11092" Type="http://schemas.openxmlformats.org/officeDocument/2006/relationships/hyperlink" Target="https://statiz.sporki.com/player/?m=playerinfo&amp;p_no=1325" TargetMode="External"/><Relationship Id="rId12143" Type="http://schemas.openxmlformats.org/officeDocument/2006/relationships/hyperlink" Target="https://statiz.sporki.com/player/?m=playerinfo&amp;p_no=15432" TargetMode="External"/><Relationship Id="rId16764" Type="http://schemas.openxmlformats.org/officeDocument/2006/relationships/hyperlink" Target="https://statiz.sporki.com/add/?m=draft_school01&amp;ps_school=50211" TargetMode="External"/><Relationship Id="rId521" Type="http://schemas.openxmlformats.org/officeDocument/2006/relationships/hyperlink" Target="https://statiz.sporki.com/add/?m=draft_school01&amp;ps_school=50501" TargetMode="External"/><Relationship Id="rId1151" Type="http://schemas.openxmlformats.org/officeDocument/2006/relationships/hyperlink" Target="https://statiz.sporki.com/add/?m=draft_school01&amp;ps_school=50805" TargetMode="External"/><Relationship Id="rId2202" Type="http://schemas.openxmlformats.org/officeDocument/2006/relationships/hyperlink" Target="https://statiz.sporki.com/add/?m=draft_school02&amp;ps_school=" TargetMode="External"/><Relationship Id="rId5772" Type="http://schemas.openxmlformats.org/officeDocument/2006/relationships/hyperlink" Target="https://statiz.sporki.com/add/?m=draft_school02&amp;ps_school=60702" TargetMode="External"/><Relationship Id="rId6823" Type="http://schemas.openxmlformats.org/officeDocument/2006/relationships/hyperlink" Target="https://statiz.sporki.com/player/?m=playerinfo&amp;p_no=2372" TargetMode="External"/><Relationship Id="rId15366" Type="http://schemas.openxmlformats.org/officeDocument/2006/relationships/hyperlink" Target="https://statiz.sporki.com/player/?m=playerinfo&amp;p_no=11439" TargetMode="External"/><Relationship Id="rId16417" Type="http://schemas.openxmlformats.org/officeDocument/2006/relationships/hyperlink" Target="https://statiz.sporki.com/add/?m=draft_school01&amp;ps_school=50703" TargetMode="External"/><Relationship Id="rId17815" Type="http://schemas.openxmlformats.org/officeDocument/2006/relationships/hyperlink" Target="https://statiz.sporki.com/add/?m=draft_school01&amp;ps_school=50805" TargetMode="External"/><Relationship Id="rId4374" Type="http://schemas.openxmlformats.org/officeDocument/2006/relationships/hyperlink" Target="https://statiz.sporki.com/add/?m=draft_school02&amp;ps_school=" TargetMode="External"/><Relationship Id="rId5425" Type="http://schemas.openxmlformats.org/officeDocument/2006/relationships/hyperlink" Target="https://statiz.sporki.com/player/?m=playerinfo&amp;p_no=10925" TargetMode="External"/><Relationship Id="rId8995" Type="http://schemas.openxmlformats.org/officeDocument/2006/relationships/hyperlink" Target="https://statiz.sporki.com/player/?m=playerinfo&amp;p_no=1942" TargetMode="External"/><Relationship Id="rId15019" Type="http://schemas.openxmlformats.org/officeDocument/2006/relationships/hyperlink" Target="https://statiz.sporki.com/player/?m=playerinfo&amp;p_no=1982" TargetMode="External"/><Relationship Id="rId4027" Type="http://schemas.openxmlformats.org/officeDocument/2006/relationships/hyperlink" Target="https://statiz.sporki.com/player/?m=playerinfo&amp;p_no=11226" TargetMode="External"/><Relationship Id="rId7597" Type="http://schemas.openxmlformats.org/officeDocument/2006/relationships/hyperlink" Target="https://statiz.sporki.com/player/?m=playerinfo&amp;p_no=10584" TargetMode="External"/><Relationship Id="rId8648" Type="http://schemas.openxmlformats.org/officeDocument/2006/relationships/hyperlink" Target="https://statiz.sporki.com/add/?m=draft_school01&amp;ps_school=50401" TargetMode="External"/><Relationship Id="rId11976" Type="http://schemas.openxmlformats.org/officeDocument/2006/relationships/hyperlink" Target="https://statiz.sporki.com/add/?m=draft_school02&amp;ps_school=60204" TargetMode="External"/><Relationship Id="rId18589" Type="http://schemas.openxmlformats.org/officeDocument/2006/relationships/hyperlink" Target="https://statiz.sporki.com/add/?m=draft_school01&amp;ps_school=50804" TargetMode="External"/><Relationship Id="rId6199" Type="http://schemas.openxmlformats.org/officeDocument/2006/relationships/hyperlink" Target="https://statiz.sporki.com/player/?m=playerinfo&amp;p_no=2426" TargetMode="External"/><Relationship Id="rId10578" Type="http://schemas.openxmlformats.org/officeDocument/2006/relationships/hyperlink" Target="https://statiz.sporki.com/add/?m=draft_school02&amp;ps_school=60109" TargetMode="External"/><Relationship Id="rId11629" Type="http://schemas.openxmlformats.org/officeDocument/2006/relationships/hyperlink" Target="https://statiz.sporki.com/player/?m=playerinfo&amp;p_no=1138" TargetMode="External"/><Relationship Id="rId15500" Type="http://schemas.openxmlformats.org/officeDocument/2006/relationships/hyperlink" Target="https://statiz.sporki.com/player/?m=playerinfo&amp;p_no=1618" TargetMode="External"/><Relationship Id="rId13051" Type="http://schemas.openxmlformats.org/officeDocument/2006/relationships/hyperlink" Target="https://statiz.sporki.com/player/?m=playerinfo&amp;p_no=13258" TargetMode="External"/><Relationship Id="rId14102" Type="http://schemas.openxmlformats.org/officeDocument/2006/relationships/hyperlink" Target="https://statiz.sporki.com/player/?m=playerinfo&amp;p_no=10548" TargetMode="External"/><Relationship Id="rId17672" Type="http://schemas.openxmlformats.org/officeDocument/2006/relationships/hyperlink" Target="https://statiz.sporki.com/add/?m=draft_school01&amp;ps_school=50110" TargetMode="External"/><Relationship Id="rId18723" Type="http://schemas.openxmlformats.org/officeDocument/2006/relationships/hyperlink" Target="https://statiz.sporki.com/add/?m=draft_school01&amp;ps_school=50103" TargetMode="External"/><Relationship Id="rId3110" Type="http://schemas.openxmlformats.org/officeDocument/2006/relationships/hyperlink" Target="https://statiz.sporki.com/add/?m=draft_school01&amp;ps_school=" TargetMode="External"/><Relationship Id="rId6680" Type="http://schemas.openxmlformats.org/officeDocument/2006/relationships/hyperlink" Target="https://statiz.sporki.com/add/?m=draft_school01&amp;ps_school=50701" TargetMode="External"/><Relationship Id="rId7731" Type="http://schemas.openxmlformats.org/officeDocument/2006/relationships/hyperlink" Target="https://statiz.sporki.com/add/?m=draft_school02&amp;ps_school=" TargetMode="External"/><Relationship Id="rId10712" Type="http://schemas.openxmlformats.org/officeDocument/2006/relationships/hyperlink" Target="https://statiz.sporki.com/add/?m=draft_school01&amp;ps_school=50903" TargetMode="External"/><Relationship Id="rId16274" Type="http://schemas.openxmlformats.org/officeDocument/2006/relationships/hyperlink" Target="https://statiz.sporki.com/add/?m=draft_school01&amp;ps_school=50208" TargetMode="External"/><Relationship Id="rId17325" Type="http://schemas.openxmlformats.org/officeDocument/2006/relationships/hyperlink" Target="https://statiz.sporki.com/add/?m=draft_school01&amp;ps_school=50501" TargetMode="External"/><Relationship Id="rId5282" Type="http://schemas.openxmlformats.org/officeDocument/2006/relationships/hyperlink" Target="https://statiz.sporki.com/add/?m=draft_school01&amp;ps_school=50107" TargetMode="External"/><Relationship Id="rId6333" Type="http://schemas.openxmlformats.org/officeDocument/2006/relationships/hyperlink" Target="https://statiz.sporki.com/add/?m=draft_school02&amp;ps_school=" TargetMode="External"/><Relationship Id="rId19497" Type="http://schemas.openxmlformats.org/officeDocument/2006/relationships/hyperlink" Target="https://statiz.sporki.com/add/?m=draft_school01&amp;ps_school=50109" TargetMode="External"/><Relationship Id="rId1892" Type="http://schemas.openxmlformats.org/officeDocument/2006/relationships/hyperlink" Target="https://statiz.sporki.com/add/?m=draft_school01&amp;ps_school=50301" TargetMode="External"/><Relationship Id="rId9556" Type="http://schemas.openxmlformats.org/officeDocument/2006/relationships/hyperlink" Target="https://statiz.sporki.com/player/?m=playerinfo&amp;p_no=1769" TargetMode="External"/><Relationship Id="rId11486" Type="http://schemas.openxmlformats.org/officeDocument/2006/relationships/hyperlink" Target="https://statiz.sporki.com/add/?m=draft_school01&amp;ps_school=50703" TargetMode="External"/><Relationship Id="rId12884" Type="http://schemas.openxmlformats.org/officeDocument/2006/relationships/hyperlink" Target="https://statiz.sporki.com/player/?m=playerinfo&amp;p_no=14225" TargetMode="External"/><Relationship Id="rId13935" Type="http://schemas.openxmlformats.org/officeDocument/2006/relationships/hyperlink" Target="https://statiz.sporki.com/player/?m=playerinfo&amp;p_no=10715" TargetMode="External"/><Relationship Id="rId18099" Type="http://schemas.openxmlformats.org/officeDocument/2006/relationships/hyperlink" Target="https://statiz.sporki.com/add/?m=draft_school01&amp;ps_school=50113" TargetMode="External"/><Relationship Id="rId915" Type="http://schemas.openxmlformats.org/officeDocument/2006/relationships/hyperlink" Target="https://statiz.sporki.com/add/?m=draft_school02&amp;ps_school=" TargetMode="External"/><Relationship Id="rId1545" Type="http://schemas.openxmlformats.org/officeDocument/2006/relationships/hyperlink" Target="https://statiz.sporki.com/add/?m=draft_school02&amp;ps_school=" TargetMode="External"/><Relationship Id="rId2943" Type="http://schemas.openxmlformats.org/officeDocument/2006/relationships/hyperlink" Target="https://statiz.sporki.com/add/?m=draft_school02&amp;ps_school=60103" TargetMode="External"/><Relationship Id="rId8158" Type="http://schemas.openxmlformats.org/officeDocument/2006/relationships/hyperlink" Target="https://statiz.sporki.com/player/?m=playerinfo&amp;p_no=11457" TargetMode="External"/><Relationship Id="rId9209" Type="http://schemas.openxmlformats.org/officeDocument/2006/relationships/hyperlink" Target="https://statiz.sporki.com/add/?m=draft_school01&amp;ps_school=" TargetMode="External"/><Relationship Id="rId10088" Type="http://schemas.openxmlformats.org/officeDocument/2006/relationships/hyperlink" Target="https://statiz.sporki.com/add/?m=draft_school01&amp;ps_school=50701" TargetMode="External"/><Relationship Id="rId11139" Type="http://schemas.openxmlformats.org/officeDocument/2006/relationships/hyperlink" Target="https://statiz.sporki.com/add/?m=draft_school02&amp;ps_school=60113" TargetMode="External"/><Relationship Id="rId12537" Type="http://schemas.openxmlformats.org/officeDocument/2006/relationships/hyperlink" Target="https://statiz.sporki.com/player/?m=playerinfo&amp;p_no=14865" TargetMode="External"/><Relationship Id="rId15010" Type="http://schemas.openxmlformats.org/officeDocument/2006/relationships/hyperlink" Target="https://statiz.sporki.com/player/?m=playerinfo&amp;p_no=1970" TargetMode="External"/><Relationship Id="rId18580" Type="http://schemas.openxmlformats.org/officeDocument/2006/relationships/hyperlink" Target="https://statiz.sporki.com/add/?m=draft_school01&amp;ps_school=50116" TargetMode="External"/><Relationship Id="rId19631" Type="http://schemas.openxmlformats.org/officeDocument/2006/relationships/hyperlink" Target="https://statiz.sporki.com/add/?m=draft_school01&amp;ps_school=50107" TargetMode="External"/><Relationship Id="rId4768" Type="http://schemas.openxmlformats.org/officeDocument/2006/relationships/hyperlink" Target="https://statiz.sporki.com/player/?m=playerinfo&amp;p_no=10854" TargetMode="External"/><Relationship Id="rId5819" Type="http://schemas.openxmlformats.org/officeDocument/2006/relationships/hyperlink" Target="https://statiz.sporki.com/add/?m=draft_school01&amp;ps_school=50703" TargetMode="External"/><Relationship Id="rId6190" Type="http://schemas.openxmlformats.org/officeDocument/2006/relationships/hyperlink" Target="https://statiz.sporki.com/player/?m=playerinfo&amp;p_no=2419" TargetMode="External"/><Relationship Id="rId11620" Type="http://schemas.openxmlformats.org/officeDocument/2006/relationships/hyperlink" Target="https://statiz.sporki.com/player/?m=playerinfo&amp;p_no=1160" TargetMode="External"/><Relationship Id="rId17182" Type="http://schemas.openxmlformats.org/officeDocument/2006/relationships/hyperlink" Target="https://statiz.sporki.com/add/?m=draft_school01&amp;ps_school=50703" TargetMode="External"/><Relationship Id="rId18233" Type="http://schemas.openxmlformats.org/officeDocument/2006/relationships/hyperlink" Target="https://statiz.sporki.com/add/?m=draft_school01&amp;ps_school=50609" TargetMode="External"/><Relationship Id="rId7241" Type="http://schemas.openxmlformats.org/officeDocument/2006/relationships/hyperlink" Target="https://statiz.sporki.com/add/?m=draft_school01&amp;ps_school=" TargetMode="External"/><Relationship Id="rId10222" Type="http://schemas.openxmlformats.org/officeDocument/2006/relationships/hyperlink" Target="https://statiz.sporki.com/player/?m=playerinfo&amp;p_no=1822" TargetMode="External"/><Relationship Id="rId13792" Type="http://schemas.openxmlformats.org/officeDocument/2006/relationships/hyperlink" Target="https://statiz.sporki.com/player/?m=playerinfo&amp;p_no=10896" TargetMode="External"/><Relationship Id="rId14843" Type="http://schemas.openxmlformats.org/officeDocument/2006/relationships/hyperlink" Target="https://statiz.sporki.com/player/?m=playerinfo&amp;p_no=10346" TargetMode="External"/><Relationship Id="rId3851" Type="http://schemas.openxmlformats.org/officeDocument/2006/relationships/hyperlink" Target="https://statiz.sporki.com/add/?m=draft_school01&amp;ps_school=50101" TargetMode="External"/><Relationship Id="rId4902" Type="http://schemas.openxmlformats.org/officeDocument/2006/relationships/hyperlink" Target="https://statiz.sporki.com/add/?m=draft_school02&amp;ps_school=60801" TargetMode="External"/><Relationship Id="rId12394" Type="http://schemas.openxmlformats.org/officeDocument/2006/relationships/hyperlink" Target="https://statiz.sporki.com/player/?m=playerinfo&amp;p_no=15032" TargetMode="External"/><Relationship Id="rId13445" Type="http://schemas.openxmlformats.org/officeDocument/2006/relationships/hyperlink" Target="https://statiz.sporki.com/player/?m=playerinfo&amp;p_no=11495" TargetMode="External"/><Relationship Id="rId772" Type="http://schemas.openxmlformats.org/officeDocument/2006/relationships/hyperlink" Target="https://statiz.sporki.com/player/?m=playerinfo&amp;p_no=15021" TargetMode="External"/><Relationship Id="rId2453" Type="http://schemas.openxmlformats.org/officeDocument/2006/relationships/hyperlink" Target="https://statiz.sporki.com/add/?m=draft_school01&amp;ps_school=50108" TargetMode="External"/><Relationship Id="rId3504" Type="http://schemas.openxmlformats.org/officeDocument/2006/relationships/hyperlink" Target="https://statiz.sporki.com/add/?m=draft_school02&amp;ps_school=" TargetMode="External"/><Relationship Id="rId9066" Type="http://schemas.openxmlformats.org/officeDocument/2006/relationships/hyperlink" Target="https://statiz.sporki.com/add/?m=draft_school02&amp;ps_school=60703" TargetMode="External"/><Relationship Id="rId12047" Type="http://schemas.openxmlformats.org/officeDocument/2006/relationships/hyperlink" Target="https://statiz.sporki.com/add/?m=draft_school01&amp;ps_school=" TargetMode="External"/><Relationship Id="rId425" Type="http://schemas.openxmlformats.org/officeDocument/2006/relationships/hyperlink" Target="https://statiz.sporki.com/add/?m=draft_school01&amp;ps_school=50105" TargetMode="External"/><Relationship Id="rId1055" Type="http://schemas.openxmlformats.org/officeDocument/2006/relationships/hyperlink" Target="https://statiz.sporki.com/add/?m=draft_school01&amp;ps_school=50211" TargetMode="External"/><Relationship Id="rId2106" Type="http://schemas.openxmlformats.org/officeDocument/2006/relationships/hyperlink" Target="https://statiz.sporki.com/add/?m=draft_school02&amp;ps_school=" TargetMode="External"/><Relationship Id="rId5676" Type="http://schemas.openxmlformats.org/officeDocument/2006/relationships/hyperlink" Target="https://statiz.sporki.com/add/?m=draft_school02&amp;ps_school=" TargetMode="External"/><Relationship Id="rId6727" Type="http://schemas.openxmlformats.org/officeDocument/2006/relationships/hyperlink" Target="https://statiz.sporki.com/player/?m=playerinfo&amp;p_no=10061" TargetMode="External"/><Relationship Id="rId16668" Type="http://schemas.openxmlformats.org/officeDocument/2006/relationships/hyperlink" Target="https://statiz.sporki.com/add/?m=draft_school01&amp;ps_school=50604" TargetMode="External"/><Relationship Id="rId17719" Type="http://schemas.openxmlformats.org/officeDocument/2006/relationships/hyperlink" Target="https://statiz.sporki.com/add/?m=draft_school01&amp;ps_school=50901" TargetMode="External"/><Relationship Id="rId18090" Type="http://schemas.openxmlformats.org/officeDocument/2006/relationships/hyperlink" Target="https://statiz.sporki.com/add/?m=draft_school01&amp;ps_school=50202" TargetMode="External"/><Relationship Id="rId19141" Type="http://schemas.openxmlformats.org/officeDocument/2006/relationships/hyperlink" Target="https://statiz.sporki.com/add/?m=draft_school01&amp;ps_school=50807" TargetMode="External"/><Relationship Id="rId4278" Type="http://schemas.openxmlformats.org/officeDocument/2006/relationships/hyperlink" Target="https://statiz.sporki.com/add/?m=draft_school02&amp;ps_school=60108" TargetMode="External"/><Relationship Id="rId5329" Type="http://schemas.openxmlformats.org/officeDocument/2006/relationships/hyperlink" Target="https://statiz.sporki.com/player/?m=playerinfo&amp;p_no=10767" TargetMode="External"/><Relationship Id="rId9200" Type="http://schemas.openxmlformats.org/officeDocument/2006/relationships/hyperlink" Target="https://statiz.sporki.com/add/?m=draft_school01&amp;ps_school=50402" TargetMode="External"/><Relationship Id="rId8899" Type="http://schemas.openxmlformats.org/officeDocument/2006/relationships/hyperlink" Target="https://statiz.sporki.com/player/?m=playerinfo&amp;p_no=1934" TargetMode="External"/><Relationship Id="rId11130" Type="http://schemas.openxmlformats.org/officeDocument/2006/relationships/hyperlink" Target="https://statiz.sporki.com/add/?m=draft_school02&amp;ps_school=60113" TargetMode="External"/><Relationship Id="rId15751" Type="http://schemas.openxmlformats.org/officeDocument/2006/relationships/hyperlink" Target="https://statiz.sporki.com/player/?m=playerinfo&amp;p_no=1376" TargetMode="External"/><Relationship Id="rId16802" Type="http://schemas.openxmlformats.org/officeDocument/2006/relationships/hyperlink" Target="https://statiz.sporki.com/add/?m=draft_school01&amp;ps_school=50701" TargetMode="External"/><Relationship Id="rId1939" Type="http://schemas.openxmlformats.org/officeDocument/2006/relationships/hyperlink" Target="https://statiz.sporki.com/player/?m=playerinfo&amp;p_no=14108" TargetMode="External"/><Relationship Id="rId5810" Type="http://schemas.openxmlformats.org/officeDocument/2006/relationships/hyperlink" Target="https://statiz.sporki.com/add/?m=draft_school01&amp;ps_school=50116" TargetMode="External"/><Relationship Id="rId14353" Type="http://schemas.openxmlformats.org/officeDocument/2006/relationships/hyperlink" Target="https://statiz.sporki.com/player/?m=playerinfo&amp;p_no=2377" TargetMode="External"/><Relationship Id="rId15404" Type="http://schemas.openxmlformats.org/officeDocument/2006/relationships/hyperlink" Target="https://statiz.sporki.com/player/?m=playerinfo&amp;p_no=1686" TargetMode="External"/><Relationship Id="rId18974" Type="http://schemas.openxmlformats.org/officeDocument/2006/relationships/hyperlink" Target="https://statiz.sporki.com/add/?m=draft_school01&amp;ps_school=50802" TargetMode="External"/><Relationship Id="rId3361" Type="http://schemas.openxmlformats.org/officeDocument/2006/relationships/hyperlink" Target="https://statiz.sporki.com/player/?m=playerinfo&amp;p_no=12579" TargetMode="External"/><Relationship Id="rId4412" Type="http://schemas.openxmlformats.org/officeDocument/2006/relationships/hyperlink" Target="https://statiz.sporki.com/add/?m=draft_school01&amp;ps_school=50706" TargetMode="External"/><Relationship Id="rId7982" Type="http://schemas.openxmlformats.org/officeDocument/2006/relationships/hyperlink" Target="https://statiz.sporki.com/add/?m=draft_school01&amp;ps_school=" TargetMode="External"/><Relationship Id="rId14006" Type="http://schemas.openxmlformats.org/officeDocument/2006/relationships/hyperlink" Target="https://statiz.sporki.com/player/?m=playerinfo&amp;p_no=10338" TargetMode="External"/><Relationship Id="rId17576" Type="http://schemas.openxmlformats.org/officeDocument/2006/relationships/hyperlink" Target="https://statiz.sporki.com/add/?m=draft_school01&amp;ps_school=50701" TargetMode="External"/><Relationship Id="rId18627" Type="http://schemas.openxmlformats.org/officeDocument/2006/relationships/hyperlink" Target="https://statiz.sporki.com/add/?m=draft_school01&amp;ps_school=50110" TargetMode="External"/><Relationship Id="rId282" Type="http://schemas.openxmlformats.org/officeDocument/2006/relationships/hyperlink" Target="https://statiz.sporki.com/add/?m=draft_school02&amp;ps_school=" TargetMode="External"/><Relationship Id="rId3014" Type="http://schemas.openxmlformats.org/officeDocument/2006/relationships/hyperlink" Target="https://statiz.sporki.com/add/?m=draft_school01&amp;ps_school=50807" TargetMode="External"/><Relationship Id="rId6584" Type="http://schemas.openxmlformats.org/officeDocument/2006/relationships/hyperlink" Target="https://statiz.sporki.com/add/?m=draft_school01&amp;ps_school=50501" TargetMode="External"/><Relationship Id="rId7635" Type="http://schemas.openxmlformats.org/officeDocument/2006/relationships/hyperlink" Target="https://statiz.sporki.com/add/?m=draft_school02&amp;ps_school=60703" TargetMode="External"/><Relationship Id="rId10963" Type="http://schemas.openxmlformats.org/officeDocument/2006/relationships/hyperlink" Target="https://statiz.sporki.com/player/?m=playerinfo&amp;p_no=1439" TargetMode="External"/><Relationship Id="rId16178" Type="http://schemas.openxmlformats.org/officeDocument/2006/relationships/hyperlink" Target="https://statiz.sporki.com/player/?m=playerinfo&amp;p_no=1055" TargetMode="External"/><Relationship Id="rId17229" Type="http://schemas.openxmlformats.org/officeDocument/2006/relationships/hyperlink" Target="https://statiz.sporki.com/add/?m=draft_school01&amp;ps_school=50105" TargetMode="External"/><Relationship Id="rId5186" Type="http://schemas.openxmlformats.org/officeDocument/2006/relationships/hyperlink" Target="https://statiz.sporki.com/add/?m=draft_school01&amp;ps_school=50602" TargetMode="External"/><Relationship Id="rId6237" Type="http://schemas.openxmlformats.org/officeDocument/2006/relationships/hyperlink" Target="https://statiz.sporki.com/add/?m=draft_school02&amp;ps_school=60108" TargetMode="External"/><Relationship Id="rId10616" Type="http://schemas.openxmlformats.org/officeDocument/2006/relationships/hyperlink" Target="https://statiz.sporki.com/add/?m=draft_school01&amp;ps_school=50602" TargetMode="External"/><Relationship Id="rId12788" Type="http://schemas.openxmlformats.org/officeDocument/2006/relationships/hyperlink" Target="https://statiz.sporki.com/player/?m=playerinfo&amp;p_no=14108" TargetMode="External"/><Relationship Id="rId13839" Type="http://schemas.openxmlformats.org/officeDocument/2006/relationships/hyperlink" Target="https://statiz.sporki.com/player/?m=playerinfo&amp;p_no=11267" TargetMode="External"/><Relationship Id="rId17710" Type="http://schemas.openxmlformats.org/officeDocument/2006/relationships/hyperlink" Target="https://statiz.sporki.com/add/?m=draft_school01&amp;ps_school=50602" TargetMode="External"/><Relationship Id="rId1449" Type="http://schemas.openxmlformats.org/officeDocument/2006/relationships/hyperlink" Target="https://statiz.sporki.com/add/?m=draft_school02&amp;ps_school=" TargetMode="External"/><Relationship Id="rId1796" Type="http://schemas.openxmlformats.org/officeDocument/2006/relationships/hyperlink" Target="https://statiz.sporki.com/add/?m=draft_school01&amp;ps_school=50110" TargetMode="External"/><Relationship Id="rId2847" Type="http://schemas.openxmlformats.org/officeDocument/2006/relationships/hyperlink" Target="https://statiz.sporki.com/add/?m=draft_school02&amp;ps_school=" TargetMode="External"/><Relationship Id="rId15261" Type="http://schemas.openxmlformats.org/officeDocument/2006/relationships/hyperlink" Target="https://statiz.sporki.com/player/?m=playerinfo&amp;p_no=14566" TargetMode="External"/><Relationship Id="rId16312" Type="http://schemas.openxmlformats.org/officeDocument/2006/relationships/hyperlink" Target="https://statiz.sporki.com/add/?m=draft_school01&amp;ps_school=50107" TargetMode="External"/><Relationship Id="rId819" Type="http://schemas.openxmlformats.org/officeDocument/2006/relationships/hyperlink" Target="https://statiz.sporki.com/add/?m=draft_school02&amp;ps_school=" TargetMode="External"/><Relationship Id="rId5320" Type="http://schemas.openxmlformats.org/officeDocument/2006/relationships/hyperlink" Target="https://statiz.sporki.com/player/?m=playerinfo&amp;p_no=10734" TargetMode="External"/><Relationship Id="rId8890" Type="http://schemas.openxmlformats.org/officeDocument/2006/relationships/hyperlink" Target="https://statiz.sporki.com/player/?m=playerinfo&amp;p_no=10412" TargetMode="External"/><Relationship Id="rId9941" Type="http://schemas.openxmlformats.org/officeDocument/2006/relationships/hyperlink" Target="https://statiz.sporki.com/add/?m=draft_school01&amp;ps_school=50802" TargetMode="External"/><Relationship Id="rId11871" Type="http://schemas.openxmlformats.org/officeDocument/2006/relationships/hyperlink" Target="https://statiz.sporki.com/add/?m=draft_school02&amp;ps_school=60109" TargetMode="External"/><Relationship Id="rId12922" Type="http://schemas.openxmlformats.org/officeDocument/2006/relationships/hyperlink" Target="https://statiz.sporki.com/player/?m=playerinfo&amp;p_no=13146" TargetMode="External"/><Relationship Id="rId18484" Type="http://schemas.openxmlformats.org/officeDocument/2006/relationships/hyperlink" Target="https://statiz.sporki.com/add/?m=draft_school01&amp;ps_school=50107" TargetMode="External"/><Relationship Id="rId19535" Type="http://schemas.openxmlformats.org/officeDocument/2006/relationships/hyperlink" Target="https://statiz.sporki.com/add/?m=draft_school01&amp;ps_school=50402" TargetMode="External"/><Relationship Id="rId1930" Type="http://schemas.openxmlformats.org/officeDocument/2006/relationships/hyperlink" Target="https://statiz.sporki.com/player/?m=playerinfo&amp;p_no=14115" TargetMode="External"/><Relationship Id="rId7492" Type="http://schemas.openxmlformats.org/officeDocument/2006/relationships/hyperlink" Target="https://statiz.sporki.com/player/?m=playerinfo&amp;p_no=2265" TargetMode="External"/><Relationship Id="rId8543" Type="http://schemas.openxmlformats.org/officeDocument/2006/relationships/hyperlink" Target="https://statiz.sporki.com/add/?m=draft_school01&amp;ps_school=" TargetMode="External"/><Relationship Id="rId10473" Type="http://schemas.openxmlformats.org/officeDocument/2006/relationships/hyperlink" Target="https://statiz.sporki.com/add/?m=draft_school02&amp;ps_school=" TargetMode="External"/><Relationship Id="rId11524" Type="http://schemas.openxmlformats.org/officeDocument/2006/relationships/hyperlink" Target="https://statiz.sporki.com/player/?m=playerinfo&amp;p_no=1216" TargetMode="External"/><Relationship Id="rId17086" Type="http://schemas.openxmlformats.org/officeDocument/2006/relationships/hyperlink" Target="https://statiz.sporki.com/add/?m=draft_school01&amp;ps_school=50604" TargetMode="External"/><Relationship Id="rId18137" Type="http://schemas.openxmlformats.org/officeDocument/2006/relationships/hyperlink" Target="https://statiz.sporki.com/add/?m=draft_school01&amp;ps_school=50805" TargetMode="External"/><Relationship Id="rId6094" Type="http://schemas.openxmlformats.org/officeDocument/2006/relationships/hyperlink" Target="https://statiz.sporki.com/player/?m=playerinfo&amp;p_no=10230" TargetMode="External"/><Relationship Id="rId7145" Type="http://schemas.openxmlformats.org/officeDocument/2006/relationships/hyperlink" Target="https://statiz.sporki.com/add/?m=draft_school01&amp;ps_school=50107" TargetMode="External"/><Relationship Id="rId10126" Type="http://schemas.openxmlformats.org/officeDocument/2006/relationships/hyperlink" Target="https://statiz.sporki.com/player/?m=playerinfo&amp;p_no=1622" TargetMode="External"/><Relationship Id="rId13696" Type="http://schemas.openxmlformats.org/officeDocument/2006/relationships/hyperlink" Target="https://statiz.sporki.com/player/?m=playerinfo&amp;p_no=11184" TargetMode="External"/><Relationship Id="rId3755" Type="http://schemas.openxmlformats.org/officeDocument/2006/relationships/hyperlink" Target="https://statiz.sporki.com/add/?m=draft_school01&amp;ps_school=50705" TargetMode="External"/><Relationship Id="rId4806" Type="http://schemas.openxmlformats.org/officeDocument/2006/relationships/hyperlink" Target="https://statiz.sporki.com/add/?m=draft_school02&amp;ps_school=60802" TargetMode="External"/><Relationship Id="rId12298" Type="http://schemas.openxmlformats.org/officeDocument/2006/relationships/hyperlink" Target="https://statiz.sporki.com/player/?m=playerinfo&amp;p_no=15631" TargetMode="External"/><Relationship Id="rId13349" Type="http://schemas.openxmlformats.org/officeDocument/2006/relationships/hyperlink" Target="https://statiz.sporki.com/player/?m=playerinfo&amp;p_no=11369" TargetMode="External"/><Relationship Id="rId14747" Type="http://schemas.openxmlformats.org/officeDocument/2006/relationships/hyperlink" Target="https://statiz.sporki.com/player/?m=playerinfo&amp;p_no=10362" TargetMode="External"/><Relationship Id="rId17220" Type="http://schemas.openxmlformats.org/officeDocument/2006/relationships/hyperlink" Target="https://statiz.sporki.com/add/?m=draft_school01&amp;ps_school=50805" TargetMode="External"/><Relationship Id="rId676" Type="http://schemas.openxmlformats.org/officeDocument/2006/relationships/hyperlink" Target="https://statiz.sporki.com/player/?m=playerinfo&amp;p_no=15040" TargetMode="External"/><Relationship Id="rId2357" Type="http://schemas.openxmlformats.org/officeDocument/2006/relationships/hyperlink" Target="https://statiz.sporki.com/add/?m=draft_school01&amp;ps_school=50107" TargetMode="External"/><Relationship Id="rId3408" Type="http://schemas.openxmlformats.org/officeDocument/2006/relationships/hyperlink" Target="https://statiz.sporki.com/add/?m=draft_school02&amp;ps_school=60111" TargetMode="External"/><Relationship Id="rId329" Type="http://schemas.openxmlformats.org/officeDocument/2006/relationships/hyperlink" Target="https://statiz.sporki.com/add/?m=draft_school01&amp;ps_school=" TargetMode="External"/><Relationship Id="rId6978" Type="http://schemas.openxmlformats.org/officeDocument/2006/relationships/hyperlink" Target="https://statiz.sporki.com/add/?m=draft_school02&amp;ps_school=60202" TargetMode="External"/><Relationship Id="rId13830" Type="http://schemas.openxmlformats.org/officeDocument/2006/relationships/hyperlink" Target="https://statiz.sporki.com/player/?m=playerinfo&amp;p_no=10936" TargetMode="External"/><Relationship Id="rId19392" Type="http://schemas.openxmlformats.org/officeDocument/2006/relationships/hyperlink" Target="https://statiz.sporki.com/add/?m=draft_school01&amp;ps_school=50501" TargetMode="External"/><Relationship Id="rId8053" Type="http://schemas.openxmlformats.org/officeDocument/2006/relationships/hyperlink" Target="https://statiz.sporki.com/player/?m=playerinfo&amp;p_no=2089" TargetMode="External"/><Relationship Id="rId9104" Type="http://schemas.openxmlformats.org/officeDocument/2006/relationships/hyperlink" Target="https://statiz.sporki.com/add/?m=draft_school01&amp;ps_school=50202" TargetMode="External"/><Relationship Id="rId9451" Type="http://schemas.openxmlformats.org/officeDocument/2006/relationships/hyperlink" Target="https://statiz.sporki.com/player/?m=playerinfo&amp;p_no=1846" TargetMode="External"/><Relationship Id="rId11381" Type="http://schemas.openxmlformats.org/officeDocument/2006/relationships/hyperlink" Target="https://statiz.sporki.com/add/?m=draft_school01&amp;ps_school=50114" TargetMode="External"/><Relationship Id="rId12432" Type="http://schemas.openxmlformats.org/officeDocument/2006/relationships/hyperlink" Target="https://statiz.sporki.com/player/?m=playerinfo&amp;p_no=15001" TargetMode="External"/><Relationship Id="rId19045" Type="http://schemas.openxmlformats.org/officeDocument/2006/relationships/hyperlink" Target="https://statiz.sporki.com/add/?m=draft_school01&amp;ps_school=50805" TargetMode="External"/><Relationship Id="rId810" Type="http://schemas.openxmlformats.org/officeDocument/2006/relationships/hyperlink" Target="https://statiz.sporki.com/add/?m=draft_school02&amp;ps_school=" TargetMode="External"/><Relationship Id="rId1440" Type="http://schemas.openxmlformats.org/officeDocument/2006/relationships/hyperlink" Target="https://statiz.sporki.com/add/?m=draft_school02&amp;ps_school=" TargetMode="External"/><Relationship Id="rId11034" Type="http://schemas.openxmlformats.org/officeDocument/2006/relationships/hyperlink" Target="https://statiz.sporki.com/add/?m=draft_school02&amp;ps_school=60801" TargetMode="External"/><Relationship Id="rId15655" Type="http://schemas.openxmlformats.org/officeDocument/2006/relationships/hyperlink" Target="https://statiz.sporki.com/player/?m=playerinfo&amp;p_no=1457" TargetMode="External"/><Relationship Id="rId16706" Type="http://schemas.openxmlformats.org/officeDocument/2006/relationships/hyperlink" Target="https://statiz.sporki.com/add/?m=draft_school01&amp;ps_school=51115" TargetMode="External"/><Relationship Id="rId4663" Type="http://schemas.openxmlformats.org/officeDocument/2006/relationships/hyperlink" Target="https://statiz.sporki.com/player/?m=playerinfo&amp;p_no=11184" TargetMode="External"/><Relationship Id="rId5714" Type="http://schemas.openxmlformats.org/officeDocument/2006/relationships/hyperlink" Target="https://statiz.sporki.com/add/?m=draft_school01&amp;ps_school=50403" TargetMode="External"/><Relationship Id="rId14257" Type="http://schemas.openxmlformats.org/officeDocument/2006/relationships/hyperlink" Target="https://statiz.sporki.com/player/?m=playerinfo&amp;p_no=10238" TargetMode="External"/><Relationship Id="rId15308" Type="http://schemas.openxmlformats.org/officeDocument/2006/relationships/hyperlink" Target="https://statiz.sporki.com/player/?m=playerinfo&amp;p_no=1806" TargetMode="External"/><Relationship Id="rId3265" Type="http://schemas.openxmlformats.org/officeDocument/2006/relationships/hyperlink" Target="https://statiz.sporki.com/player/?m=playerinfo&amp;p_no=12582" TargetMode="External"/><Relationship Id="rId4316" Type="http://schemas.openxmlformats.org/officeDocument/2006/relationships/hyperlink" Target="https://statiz.sporki.com/add/?m=draft_school01&amp;ps_school=" TargetMode="External"/><Relationship Id="rId7886" Type="http://schemas.openxmlformats.org/officeDocument/2006/relationships/hyperlink" Target="https://statiz.sporki.com/add/?m=draft_school01&amp;ps_school=50802" TargetMode="External"/><Relationship Id="rId8937" Type="http://schemas.openxmlformats.org/officeDocument/2006/relationships/hyperlink" Target="https://statiz.sporki.com/add/?m=draft_school02&amp;ps_school=60203" TargetMode="External"/><Relationship Id="rId18878" Type="http://schemas.openxmlformats.org/officeDocument/2006/relationships/hyperlink" Target="https://statiz.sporki.com/add/?m=draft_school01&amp;ps_school=50101" TargetMode="External"/><Relationship Id="rId186" Type="http://schemas.openxmlformats.org/officeDocument/2006/relationships/hyperlink" Target="https://statiz.sporki.com/add/?m=draft_school02&amp;ps_school=" TargetMode="External"/><Relationship Id="rId6488" Type="http://schemas.openxmlformats.org/officeDocument/2006/relationships/hyperlink" Target="https://statiz.sporki.com/add/?m=draft_school01&amp;ps_school=50207" TargetMode="External"/><Relationship Id="rId7539" Type="http://schemas.openxmlformats.org/officeDocument/2006/relationships/hyperlink" Target="https://statiz.sporki.com/add/?m=draft_school02&amp;ps_school=" TargetMode="External"/><Relationship Id="rId10867" Type="http://schemas.openxmlformats.org/officeDocument/2006/relationships/hyperlink" Target="https://statiz.sporki.com/player/?m=playerinfo&amp;p_no=1392" TargetMode="External"/><Relationship Id="rId11918" Type="http://schemas.openxmlformats.org/officeDocument/2006/relationships/hyperlink" Target="https://statiz.sporki.com/add/?m=draft_school01&amp;ps_school=50805" TargetMode="External"/><Relationship Id="rId13340" Type="http://schemas.openxmlformats.org/officeDocument/2006/relationships/hyperlink" Target="https://statiz.sporki.com/player/?m=playerinfo&amp;p_no=12983" TargetMode="External"/><Relationship Id="rId17961" Type="http://schemas.openxmlformats.org/officeDocument/2006/relationships/hyperlink" Target="https://statiz.sporki.com/add/?m=draft_school01&amp;ps_school=50802" TargetMode="External"/><Relationship Id="rId320" Type="http://schemas.openxmlformats.org/officeDocument/2006/relationships/hyperlink" Target="https://statiz.sporki.com/add/?m=draft_school01&amp;ps_school=50116" TargetMode="External"/><Relationship Id="rId2001" Type="http://schemas.openxmlformats.org/officeDocument/2006/relationships/hyperlink" Target="https://statiz.sporki.com/add/?m=draft_school02&amp;ps_school=" TargetMode="External"/><Relationship Id="rId16563" Type="http://schemas.openxmlformats.org/officeDocument/2006/relationships/hyperlink" Target="https://statiz.sporki.com/add/?m=draft_school01&amp;ps_school=50119" TargetMode="External"/><Relationship Id="rId17614" Type="http://schemas.openxmlformats.org/officeDocument/2006/relationships/hyperlink" Target="https://statiz.sporki.com/add/?m=draft_school01&amp;ps_school=50107" TargetMode="External"/><Relationship Id="rId5571" Type="http://schemas.openxmlformats.org/officeDocument/2006/relationships/hyperlink" Target="https://statiz.sporki.com/add/?m=draft_school02&amp;ps_school=" TargetMode="External"/><Relationship Id="rId6622" Type="http://schemas.openxmlformats.org/officeDocument/2006/relationships/hyperlink" Target="https://statiz.sporki.com/player/?m=playerinfo&amp;p_no=10119" TargetMode="External"/><Relationship Id="rId15165" Type="http://schemas.openxmlformats.org/officeDocument/2006/relationships/hyperlink" Target="https://statiz.sporki.com/player/?m=playerinfo&amp;p_no=10449" TargetMode="External"/><Relationship Id="rId16216" Type="http://schemas.openxmlformats.org/officeDocument/2006/relationships/hyperlink" Target="https://statiz.sporki.com/add/?m=draft_school01&amp;ps_school=50119" TargetMode="External"/><Relationship Id="rId4173" Type="http://schemas.openxmlformats.org/officeDocument/2006/relationships/hyperlink" Target="https://statiz.sporki.com/add/?m=draft_school02&amp;ps_school=" TargetMode="External"/><Relationship Id="rId5224" Type="http://schemas.openxmlformats.org/officeDocument/2006/relationships/hyperlink" Target="https://statiz.sporki.com/player/?m=playerinfo&amp;p_no=10700" TargetMode="External"/><Relationship Id="rId8794" Type="http://schemas.openxmlformats.org/officeDocument/2006/relationships/hyperlink" Target="https://statiz.sporki.com/player/?m=playerinfo&amp;p_no=1914" TargetMode="External"/><Relationship Id="rId9845" Type="http://schemas.openxmlformats.org/officeDocument/2006/relationships/hyperlink" Target="https://statiz.sporki.com/add/?m=draft_school01&amp;ps_school=50403" TargetMode="External"/><Relationship Id="rId11775" Type="http://schemas.openxmlformats.org/officeDocument/2006/relationships/hyperlink" Target="https://statiz.sporki.com/add/?m=draft_school02&amp;ps_school=" TargetMode="External"/><Relationship Id="rId18388" Type="http://schemas.openxmlformats.org/officeDocument/2006/relationships/hyperlink" Target="https://statiz.sporki.com/add/?m=draft_school01&amp;ps_school=50209" TargetMode="External"/><Relationship Id="rId19439" Type="http://schemas.openxmlformats.org/officeDocument/2006/relationships/hyperlink" Target="https://statiz.sporki.com/add/?m=draft_school01&amp;ps_school=50608" TargetMode="External"/><Relationship Id="rId59" Type="http://schemas.openxmlformats.org/officeDocument/2006/relationships/hyperlink" Target="https://statiz.sporki.com/add/?m=draft_school01&amp;ps_school=50111" TargetMode="External"/><Relationship Id="rId1834" Type="http://schemas.openxmlformats.org/officeDocument/2006/relationships/hyperlink" Target="https://statiz.sporki.com/player/?m=playerinfo&amp;p_no=14641" TargetMode="External"/><Relationship Id="rId7396" Type="http://schemas.openxmlformats.org/officeDocument/2006/relationships/hyperlink" Target="https://statiz.sporki.com/player/?m=playerinfo&amp;p_no=2391" TargetMode="External"/><Relationship Id="rId8447" Type="http://schemas.openxmlformats.org/officeDocument/2006/relationships/hyperlink" Target="https://statiz.sporki.com/add/?m=draft_school01&amp;ps_school=50303" TargetMode="External"/><Relationship Id="rId10377" Type="http://schemas.openxmlformats.org/officeDocument/2006/relationships/hyperlink" Target="https://statiz.sporki.com/add/?m=draft_school02&amp;ps_school=60803" TargetMode="External"/><Relationship Id="rId11428" Type="http://schemas.openxmlformats.org/officeDocument/2006/relationships/hyperlink" Target="https://statiz.sporki.com/player/?m=playerinfo&amp;p_no=1209" TargetMode="External"/><Relationship Id="rId12826" Type="http://schemas.openxmlformats.org/officeDocument/2006/relationships/hyperlink" Target="https://statiz.sporki.com/player/?m=playerinfo&amp;p_no=14713" TargetMode="External"/><Relationship Id="rId7049" Type="http://schemas.openxmlformats.org/officeDocument/2006/relationships/hyperlink" Target="https://statiz.sporki.com/add/?m=draft_school01&amp;ps_school=50104" TargetMode="External"/><Relationship Id="rId14998" Type="http://schemas.openxmlformats.org/officeDocument/2006/relationships/hyperlink" Target="https://statiz.sporki.com/player/?m=playerinfo&amp;p_no=10284" TargetMode="External"/><Relationship Id="rId3659" Type="http://schemas.openxmlformats.org/officeDocument/2006/relationships/hyperlink" Target="https://statiz.sporki.com/add/?m=draft_school01&amp;ps_school=50808" TargetMode="External"/><Relationship Id="rId16073" Type="http://schemas.openxmlformats.org/officeDocument/2006/relationships/hyperlink" Target="https://statiz.sporki.com/player/?m=playerinfo&amp;p_no=1012" TargetMode="External"/><Relationship Id="rId17471" Type="http://schemas.openxmlformats.org/officeDocument/2006/relationships/hyperlink" Target="https://statiz.sporki.com/add/?m=draft_school01&amp;ps_school=50903" TargetMode="External"/><Relationship Id="rId18522" Type="http://schemas.openxmlformats.org/officeDocument/2006/relationships/hyperlink" Target="https://statiz.sporki.com/add/?m=draft_school01&amp;ps_school=50107" TargetMode="External"/><Relationship Id="rId5081" Type="http://schemas.openxmlformats.org/officeDocument/2006/relationships/hyperlink" Target="https://statiz.sporki.com/add/?m=draft_school01&amp;ps_school=50111" TargetMode="External"/><Relationship Id="rId6132" Type="http://schemas.openxmlformats.org/officeDocument/2006/relationships/hyperlink" Target="https://statiz.sporki.com/add/?m=draft_school02&amp;ps_school=" TargetMode="External"/><Relationship Id="rId7530" Type="http://schemas.openxmlformats.org/officeDocument/2006/relationships/hyperlink" Target="https://statiz.sporki.com/add/?m=draft_school02&amp;ps_school=" TargetMode="External"/><Relationship Id="rId10511" Type="http://schemas.openxmlformats.org/officeDocument/2006/relationships/hyperlink" Target="https://statiz.sporki.com/add/?m=draft_school01&amp;ps_school=50602" TargetMode="External"/><Relationship Id="rId17124" Type="http://schemas.openxmlformats.org/officeDocument/2006/relationships/hyperlink" Target="https://statiz.sporki.com/add/?m=draft_school01&amp;ps_school=50606" TargetMode="External"/><Relationship Id="rId12683" Type="http://schemas.openxmlformats.org/officeDocument/2006/relationships/hyperlink" Target="https://statiz.sporki.com/player/?m=playerinfo&amp;p_no=14720" TargetMode="External"/><Relationship Id="rId13734" Type="http://schemas.openxmlformats.org/officeDocument/2006/relationships/hyperlink" Target="https://statiz.sporki.com/player/?m=playerinfo&amp;p_no=10885" TargetMode="External"/><Relationship Id="rId19296" Type="http://schemas.openxmlformats.org/officeDocument/2006/relationships/hyperlink" Target="https://statiz.sporki.com/add/?m=draft_school01&amp;ps_school=50701" TargetMode="External"/><Relationship Id="rId1691" Type="http://schemas.openxmlformats.org/officeDocument/2006/relationships/hyperlink" Target="https://statiz.sporki.com/add/?m=draft_school01&amp;ps_school=50807" TargetMode="External"/><Relationship Id="rId2742" Type="http://schemas.openxmlformats.org/officeDocument/2006/relationships/hyperlink" Target="https://statiz.sporki.com/add/?m=draft_school02&amp;ps_school=" TargetMode="External"/><Relationship Id="rId9355" Type="http://schemas.openxmlformats.org/officeDocument/2006/relationships/hyperlink" Target="https://statiz.sporki.com/player/?m=playerinfo&amp;p_no=1786" TargetMode="External"/><Relationship Id="rId11285" Type="http://schemas.openxmlformats.org/officeDocument/2006/relationships/hyperlink" Target="https://statiz.sporki.com/add/?m=draft_school01&amp;ps_school=" TargetMode="External"/><Relationship Id="rId12336" Type="http://schemas.openxmlformats.org/officeDocument/2006/relationships/hyperlink" Target="https://statiz.sporki.com/player/?m=playerinfo&amp;p_no=15049" TargetMode="External"/><Relationship Id="rId714" Type="http://schemas.openxmlformats.org/officeDocument/2006/relationships/hyperlink" Target="https://statiz.sporki.com/add/?m=draft_school02&amp;ps_school=" TargetMode="External"/><Relationship Id="rId1344" Type="http://schemas.openxmlformats.org/officeDocument/2006/relationships/hyperlink" Target="https://statiz.sporki.com/add/?m=draft_school02&amp;ps_school=60102" TargetMode="External"/><Relationship Id="rId5965" Type="http://schemas.openxmlformats.org/officeDocument/2006/relationships/hyperlink" Target="https://statiz.sporki.com/player/?m=playerinfo&amp;p_no=10566" TargetMode="External"/><Relationship Id="rId9008" Type="http://schemas.openxmlformats.org/officeDocument/2006/relationships/hyperlink" Target="https://statiz.sporki.com/add/?m=draft_school01&amp;ps_school=50121" TargetMode="External"/><Relationship Id="rId15559" Type="http://schemas.openxmlformats.org/officeDocument/2006/relationships/hyperlink" Target="https://statiz.sporki.com/player/?m=playerinfo&amp;p_no=1714" TargetMode="External"/><Relationship Id="rId16957" Type="http://schemas.openxmlformats.org/officeDocument/2006/relationships/hyperlink" Target="https://statiz.sporki.com/add/?m=draft_school01&amp;ps_school=50107" TargetMode="External"/><Relationship Id="rId19430" Type="http://schemas.openxmlformats.org/officeDocument/2006/relationships/hyperlink" Target="https://statiz.sporki.com/add/?m=draft_school01&amp;ps_school=50121" TargetMode="External"/><Relationship Id="rId50" Type="http://schemas.openxmlformats.org/officeDocument/2006/relationships/hyperlink" Target="https://statiz.sporki.com/add/?m=draft_school01&amp;ps_school=50108" TargetMode="External"/><Relationship Id="rId4567" Type="http://schemas.openxmlformats.org/officeDocument/2006/relationships/hyperlink" Target="https://statiz.sporki.com/player/?m=playerinfo&amp;p_no=11241" TargetMode="External"/><Relationship Id="rId5618" Type="http://schemas.openxmlformats.org/officeDocument/2006/relationships/hyperlink" Target="https://statiz.sporki.com/add/?m=draft_school01&amp;ps_school=50202" TargetMode="External"/><Relationship Id="rId18032" Type="http://schemas.openxmlformats.org/officeDocument/2006/relationships/hyperlink" Target="https://statiz.sporki.com/add/?m=draft_school01&amp;ps_school=50104" TargetMode="External"/><Relationship Id="rId3169" Type="http://schemas.openxmlformats.org/officeDocument/2006/relationships/hyperlink" Target="https://statiz.sporki.com/player/?m=playerinfo&amp;p_no=12569" TargetMode="External"/><Relationship Id="rId7040" Type="http://schemas.openxmlformats.org/officeDocument/2006/relationships/hyperlink" Target="https://statiz.sporki.com/add/?m=draft_school01&amp;ps_school=50203" TargetMode="External"/><Relationship Id="rId10021" Type="http://schemas.openxmlformats.org/officeDocument/2006/relationships/hyperlink" Target="https://statiz.sporki.com/player/?m=playerinfo&amp;p_no=1627" TargetMode="External"/><Relationship Id="rId13591" Type="http://schemas.openxmlformats.org/officeDocument/2006/relationships/hyperlink" Target="https://statiz.sporki.com/player/?m=playerinfo&amp;p_no=11239" TargetMode="External"/><Relationship Id="rId14642" Type="http://schemas.openxmlformats.org/officeDocument/2006/relationships/hyperlink" Target="https://statiz.sporki.com/player/?m=playerinfo&amp;p_no=2241" TargetMode="External"/><Relationship Id="rId3650" Type="http://schemas.openxmlformats.org/officeDocument/2006/relationships/hyperlink" Target="https://statiz.sporki.com/add/?m=draft_school01&amp;ps_school=50101" TargetMode="External"/><Relationship Id="rId4701" Type="http://schemas.openxmlformats.org/officeDocument/2006/relationships/hyperlink" Target="https://statiz.sporki.com/add/?m=draft_school02&amp;ps_school=61001" TargetMode="External"/><Relationship Id="rId12193" Type="http://schemas.openxmlformats.org/officeDocument/2006/relationships/hyperlink" Target="https://statiz.sporki.com/player/?m=playerinfo&amp;p_no=15436" TargetMode="External"/><Relationship Id="rId13244" Type="http://schemas.openxmlformats.org/officeDocument/2006/relationships/hyperlink" Target="https://statiz.sporki.com/player/?m=playerinfo&amp;p_no=12621" TargetMode="External"/><Relationship Id="rId17865" Type="http://schemas.openxmlformats.org/officeDocument/2006/relationships/hyperlink" Target="https://statiz.sporki.com/add/?m=draft_school01&amp;ps_school=50114" TargetMode="External"/><Relationship Id="rId18916" Type="http://schemas.openxmlformats.org/officeDocument/2006/relationships/hyperlink" Target="https://statiz.sporki.com/add/?m=draft_school01&amp;ps_school=50602" TargetMode="External"/><Relationship Id="rId571" Type="http://schemas.openxmlformats.org/officeDocument/2006/relationships/hyperlink" Target="https://statiz.sporki.com/player/?m=playerinfo&amp;p_no=15113" TargetMode="External"/><Relationship Id="rId2252" Type="http://schemas.openxmlformats.org/officeDocument/2006/relationships/hyperlink" Target="https://statiz.sporki.com/add/?m=draft_school01&amp;ps_school=50102" TargetMode="External"/><Relationship Id="rId3303" Type="http://schemas.openxmlformats.org/officeDocument/2006/relationships/hyperlink" Target="https://statiz.sporki.com/add/?m=draft_school02&amp;ps_school=" TargetMode="External"/><Relationship Id="rId6873" Type="http://schemas.openxmlformats.org/officeDocument/2006/relationships/hyperlink" Target="https://statiz.sporki.com/add/?m=draft_school02&amp;ps_school=" TargetMode="External"/><Relationship Id="rId7924" Type="http://schemas.openxmlformats.org/officeDocument/2006/relationships/hyperlink" Target="https://statiz.sporki.com/player/?m=playerinfo&amp;p_no=10096" TargetMode="External"/><Relationship Id="rId16467" Type="http://schemas.openxmlformats.org/officeDocument/2006/relationships/hyperlink" Target="https://statiz.sporki.com/add/?m=draft_school01&amp;ps_school=50114" TargetMode="External"/><Relationship Id="rId17518" Type="http://schemas.openxmlformats.org/officeDocument/2006/relationships/hyperlink" Target="https://statiz.sporki.com/add/?m=draft_school01&amp;ps_school=50209" TargetMode="External"/><Relationship Id="rId224" Type="http://schemas.openxmlformats.org/officeDocument/2006/relationships/hyperlink" Target="https://statiz.sporki.com/add/?m=draft_school01&amp;ps_school=50219" TargetMode="External"/><Relationship Id="rId5475" Type="http://schemas.openxmlformats.org/officeDocument/2006/relationships/hyperlink" Target="https://statiz.sporki.com/add/?m=draft_school02&amp;ps_school=" TargetMode="External"/><Relationship Id="rId6526" Type="http://schemas.openxmlformats.org/officeDocument/2006/relationships/hyperlink" Target="https://statiz.sporki.com/player/?m=playerinfo&amp;p_no=10381" TargetMode="External"/><Relationship Id="rId10905" Type="http://schemas.openxmlformats.org/officeDocument/2006/relationships/hyperlink" Target="https://statiz.sporki.com/add/?m=draft_school02&amp;ps_school=" TargetMode="External"/><Relationship Id="rId15069" Type="http://schemas.openxmlformats.org/officeDocument/2006/relationships/hyperlink" Target="https://statiz.sporki.com/player/?m=playerinfo&amp;p_no=1967" TargetMode="External"/><Relationship Id="rId4077" Type="http://schemas.openxmlformats.org/officeDocument/2006/relationships/hyperlink" Target="https://statiz.sporki.com/add/?m=draft_school02&amp;ps_school=60104" TargetMode="External"/><Relationship Id="rId5128" Type="http://schemas.openxmlformats.org/officeDocument/2006/relationships/hyperlink" Target="https://statiz.sporki.com/player/?m=playerinfo&amp;p_no=10833" TargetMode="External"/><Relationship Id="rId8698" Type="http://schemas.openxmlformats.org/officeDocument/2006/relationships/hyperlink" Target="https://statiz.sporki.com/player/?m=playerinfo&amp;p_no=2181" TargetMode="External"/><Relationship Id="rId9749" Type="http://schemas.openxmlformats.org/officeDocument/2006/relationships/hyperlink" Target="https://statiz.sporki.com/add/?m=draft_school01&amp;ps_school=50604" TargetMode="External"/><Relationship Id="rId1738" Type="http://schemas.openxmlformats.org/officeDocument/2006/relationships/hyperlink" Target="https://statiz.sporki.com/player/?m=playerinfo&amp;p_no=14575" TargetMode="External"/><Relationship Id="rId11679" Type="http://schemas.openxmlformats.org/officeDocument/2006/relationships/hyperlink" Target="https://statiz.sporki.com/add/?m=draft_school02&amp;ps_school=60108" TargetMode="External"/><Relationship Id="rId14152" Type="http://schemas.openxmlformats.org/officeDocument/2006/relationships/hyperlink" Target="https://statiz.sporki.com/player/?m=playerinfo&amp;p_no=10341" TargetMode="External"/><Relationship Id="rId15550" Type="http://schemas.openxmlformats.org/officeDocument/2006/relationships/hyperlink" Target="https://statiz.sporki.com/player/?m=playerinfo&amp;p_no=1672" TargetMode="External"/><Relationship Id="rId16601" Type="http://schemas.openxmlformats.org/officeDocument/2006/relationships/hyperlink" Target="https://statiz.sporki.com/add/?m=draft_school01&amp;ps_school=50111" TargetMode="External"/><Relationship Id="rId3160" Type="http://schemas.openxmlformats.org/officeDocument/2006/relationships/hyperlink" Target="https://statiz.sporki.com/player/?m=playerinfo&amp;p_no=12571" TargetMode="External"/><Relationship Id="rId4211" Type="http://schemas.openxmlformats.org/officeDocument/2006/relationships/hyperlink" Target="https://statiz.sporki.com/add/?m=draft_school01&amp;ps_school=50703" TargetMode="External"/><Relationship Id="rId15203" Type="http://schemas.openxmlformats.org/officeDocument/2006/relationships/hyperlink" Target="https://statiz.sporki.com/player/?m=playerinfo&amp;p_no=10041" TargetMode="External"/><Relationship Id="rId18773" Type="http://schemas.openxmlformats.org/officeDocument/2006/relationships/hyperlink" Target="https://statiz.sporki.com/add/?m=draft_school01&amp;ps_school=50105" TargetMode="External"/><Relationship Id="rId7781" Type="http://schemas.openxmlformats.org/officeDocument/2006/relationships/hyperlink" Target="https://statiz.sporki.com/add/?m=draft_school01&amp;ps_school=" TargetMode="External"/><Relationship Id="rId8832" Type="http://schemas.openxmlformats.org/officeDocument/2006/relationships/hyperlink" Target="https://statiz.sporki.com/add/?m=draft_school02&amp;ps_school=60109" TargetMode="External"/><Relationship Id="rId10762" Type="http://schemas.openxmlformats.org/officeDocument/2006/relationships/hyperlink" Target="https://statiz.sporki.com/player/?m=playerinfo&amp;p_no=1487" TargetMode="External"/><Relationship Id="rId11813" Type="http://schemas.openxmlformats.org/officeDocument/2006/relationships/hyperlink" Target="https://statiz.sporki.com/add/?m=draft_school01&amp;ps_school=50121" TargetMode="External"/><Relationship Id="rId17375" Type="http://schemas.openxmlformats.org/officeDocument/2006/relationships/hyperlink" Target="https://statiz.sporki.com/add/?m=draft_school01&amp;ps_school=50108" TargetMode="External"/><Relationship Id="rId18426" Type="http://schemas.openxmlformats.org/officeDocument/2006/relationships/hyperlink" Target="https://statiz.sporki.com/add/?m=draft_school01&amp;ps_school=50502" TargetMode="External"/><Relationship Id="rId6036" Type="http://schemas.openxmlformats.org/officeDocument/2006/relationships/hyperlink" Target="https://statiz.sporki.com/add/?m=draft_school02&amp;ps_school=" TargetMode="External"/><Relationship Id="rId6383" Type="http://schemas.openxmlformats.org/officeDocument/2006/relationships/hyperlink" Target="https://statiz.sporki.com/add/?m=draft_school01&amp;ps_school=50805" TargetMode="External"/><Relationship Id="rId7434" Type="http://schemas.openxmlformats.org/officeDocument/2006/relationships/hyperlink" Target="https://statiz.sporki.com/add/?m=draft_school02&amp;ps_school=" TargetMode="External"/><Relationship Id="rId10415" Type="http://schemas.openxmlformats.org/officeDocument/2006/relationships/hyperlink" Target="https://statiz.sporki.com/add/?m=draft_school01&amp;ps_school=50904" TargetMode="External"/><Relationship Id="rId13985" Type="http://schemas.openxmlformats.org/officeDocument/2006/relationships/hyperlink" Target="https://statiz.sporki.com/player/?m=playerinfo&amp;p_no=10249" TargetMode="External"/><Relationship Id="rId17028" Type="http://schemas.openxmlformats.org/officeDocument/2006/relationships/hyperlink" Target="https://statiz.sporki.com/add/?m=draft_school01&amp;ps_school=50210" TargetMode="External"/><Relationship Id="rId2993" Type="http://schemas.openxmlformats.org/officeDocument/2006/relationships/hyperlink" Target="https://statiz.sporki.com/add/?m=draft_school01&amp;ps_school=50604" TargetMode="External"/><Relationship Id="rId12587" Type="http://schemas.openxmlformats.org/officeDocument/2006/relationships/hyperlink" Target="https://statiz.sporki.com/player/?m=playerinfo&amp;p_no=14761" TargetMode="External"/><Relationship Id="rId13638" Type="http://schemas.openxmlformats.org/officeDocument/2006/relationships/hyperlink" Target="https://statiz.sporki.com/player/?m=playerinfo&amp;p_no=11364" TargetMode="External"/><Relationship Id="rId965" Type="http://schemas.openxmlformats.org/officeDocument/2006/relationships/hyperlink" Target="https://statiz.sporki.com/add/?m=draft_school01&amp;ps_school=50114" TargetMode="External"/><Relationship Id="rId1595" Type="http://schemas.openxmlformats.org/officeDocument/2006/relationships/hyperlink" Target="https://statiz.sporki.com/add/?m=draft_school01&amp;ps_school=50110" TargetMode="External"/><Relationship Id="rId2646" Type="http://schemas.openxmlformats.org/officeDocument/2006/relationships/hyperlink" Target="https://statiz.sporki.com/add/?m=draft_school02&amp;ps_school=" TargetMode="External"/><Relationship Id="rId9259" Type="http://schemas.openxmlformats.org/officeDocument/2006/relationships/hyperlink" Target="https://statiz.sporki.com/player/?m=playerinfo&amp;p_no=1904" TargetMode="External"/><Relationship Id="rId11189" Type="http://schemas.openxmlformats.org/officeDocument/2006/relationships/hyperlink" Target="https://statiz.sporki.com/add/?m=draft_school01&amp;ps_school=50701" TargetMode="External"/><Relationship Id="rId15060" Type="http://schemas.openxmlformats.org/officeDocument/2006/relationships/hyperlink" Target="https://statiz.sporki.com/player/?m=playerinfo&amp;p_no=2076" TargetMode="External"/><Relationship Id="rId16111" Type="http://schemas.openxmlformats.org/officeDocument/2006/relationships/hyperlink" Target="https://statiz.sporki.com/player/?m=playerinfo&amp;p_no=1095" TargetMode="External"/><Relationship Id="rId618" Type="http://schemas.openxmlformats.org/officeDocument/2006/relationships/hyperlink" Target="https://statiz.sporki.com/add/?m=draft_school02&amp;ps_school=" TargetMode="External"/><Relationship Id="rId1248" Type="http://schemas.openxmlformats.org/officeDocument/2006/relationships/hyperlink" Target="https://statiz.sporki.com/add/?m=draft_school02&amp;ps_school=" TargetMode="External"/><Relationship Id="rId5869" Type="http://schemas.openxmlformats.org/officeDocument/2006/relationships/hyperlink" Target="https://statiz.sporki.com/player/?m=playerinfo&amp;p_no=10195" TargetMode="External"/><Relationship Id="rId18283" Type="http://schemas.openxmlformats.org/officeDocument/2006/relationships/hyperlink" Target="https://statiz.sporki.com/add/?m=draft_school01&amp;ps_school=50105" TargetMode="External"/><Relationship Id="rId7291" Type="http://schemas.openxmlformats.org/officeDocument/2006/relationships/hyperlink" Target="https://statiz.sporki.com/player/?m=playerinfo&amp;p_no=2303" TargetMode="External"/><Relationship Id="rId8342" Type="http://schemas.openxmlformats.org/officeDocument/2006/relationships/hyperlink" Target="https://statiz.sporki.com/add/?m=draft_school01&amp;ps_school=50107" TargetMode="External"/><Relationship Id="rId9740" Type="http://schemas.openxmlformats.org/officeDocument/2006/relationships/hyperlink" Target="https://statiz.sporki.com/add/?m=draft_school01&amp;ps_school=50706" TargetMode="External"/><Relationship Id="rId11670" Type="http://schemas.openxmlformats.org/officeDocument/2006/relationships/hyperlink" Target="https://statiz.sporki.com/add/?m=draft_school02&amp;ps_school=60109" TargetMode="External"/><Relationship Id="rId12721" Type="http://schemas.openxmlformats.org/officeDocument/2006/relationships/hyperlink" Target="https://statiz.sporki.com/player/?m=playerinfo&amp;p_no=14575" TargetMode="External"/><Relationship Id="rId19334" Type="http://schemas.openxmlformats.org/officeDocument/2006/relationships/hyperlink" Target="https://statiz.sporki.com/add/?m=draft_school01&amp;ps_school=50403" TargetMode="External"/><Relationship Id="rId10272" Type="http://schemas.openxmlformats.org/officeDocument/2006/relationships/hyperlink" Target="https://statiz.sporki.com/add/?m=draft_school02&amp;ps_school=" TargetMode="External"/><Relationship Id="rId11323" Type="http://schemas.openxmlformats.org/officeDocument/2006/relationships/hyperlink" Target="https://statiz.sporki.com/player/?m=playerinfo&amp;p_no=1249" TargetMode="External"/><Relationship Id="rId14893" Type="http://schemas.openxmlformats.org/officeDocument/2006/relationships/hyperlink" Target="https://statiz.sporki.com/player/?m=playerinfo&amp;p_no=2090" TargetMode="External"/><Relationship Id="rId15944" Type="http://schemas.openxmlformats.org/officeDocument/2006/relationships/hyperlink" Target="https://statiz.sporki.com/player/?m=playerinfo&amp;p_no=1193" TargetMode="External"/><Relationship Id="rId4952" Type="http://schemas.openxmlformats.org/officeDocument/2006/relationships/hyperlink" Target="https://statiz.sporki.com/add/?m=draft_school01&amp;ps_school=50702" TargetMode="External"/><Relationship Id="rId13495" Type="http://schemas.openxmlformats.org/officeDocument/2006/relationships/hyperlink" Target="https://statiz.sporki.com/player/?m=playerinfo&amp;p_no=11329" TargetMode="External"/><Relationship Id="rId14546" Type="http://schemas.openxmlformats.org/officeDocument/2006/relationships/hyperlink" Target="https://statiz.sporki.com/player/?m=playerinfo&amp;p_no=10263" TargetMode="External"/><Relationship Id="rId3554" Type="http://schemas.openxmlformats.org/officeDocument/2006/relationships/hyperlink" Target="https://statiz.sporki.com/add/?m=draft_school01&amp;ps_school=50902" TargetMode="External"/><Relationship Id="rId4605" Type="http://schemas.openxmlformats.org/officeDocument/2006/relationships/hyperlink" Target="https://statiz.sporki.com/add/?m=draft_school02&amp;ps_school=" TargetMode="External"/><Relationship Id="rId12097" Type="http://schemas.openxmlformats.org/officeDocument/2006/relationships/hyperlink" Target="https://statiz.sporki.com/player/?m=playerinfo&amp;p_no=1119" TargetMode="External"/><Relationship Id="rId13148" Type="http://schemas.openxmlformats.org/officeDocument/2006/relationships/hyperlink" Target="https://statiz.sporki.com/player/?m=playerinfo&amp;p_no=12890" TargetMode="External"/><Relationship Id="rId17769" Type="http://schemas.openxmlformats.org/officeDocument/2006/relationships/hyperlink" Target="https://statiz.sporki.com/add/?m=draft_school01&amp;ps_school=50403" TargetMode="External"/><Relationship Id="rId475" Type="http://schemas.openxmlformats.org/officeDocument/2006/relationships/hyperlink" Target="https://statiz.sporki.com/player/?m=playerinfo&amp;p_no=15056" TargetMode="External"/><Relationship Id="rId2156" Type="http://schemas.openxmlformats.org/officeDocument/2006/relationships/hyperlink" Target="https://statiz.sporki.com/add/?m=draft_school01&amp;ps_school=50802" TargetMode="External"/><Relationship Id="rId3207" Type="http://schemas.openxmlformats.org/officeDocument/2006/relationships/hyperlink" Target="https://statiz.sporki.com/add/?m=draft_school02&amp;ps_school=60114" TargetMode="External"/><Relationship Id="rId6777" Type="http://schemas.openxmlformats.org/officeDocument/2006/relationships/hyperlink" Target="https://statiz.sporki.com/add/?m=draft_school02&amp;ps_school=" TargetMode="External"/><Relationship Id="rId7828" Type="http://schemas.openxmlformats.org/officeDocument/2006/relationships/hyperlink" Target="https://statiz.sporki.com/player/?m=playerinfo&amp;p_no=10559" TargetMode="External"/><Relationship Id="rId19191" Type="http://schemas.openxmlformats.org/officeDocument/2006/relationships/hyperlink" Target="https://statiz.sporki.com/add/?m=draft_school01&amp;ps_school=50609" TargetMode="External"/><Relationship Id="rId128" Type="http://schemas.openxmlformats.org/officeDocument/2006/relationships/hyperlink" Target="https://statiz.sporki.com/add/?m=draft_school01&amp;ps_school=50301" TargetMode="External"/><Relationship Id="rId5379" Type="http://schemas.openxmlformats.org/officeDocument/2006/relationships/hyperlink" Target="https://statiz.sporki.com/add/?m=draft_school02&amp;ps_school=" TargetMode="External"/><Relationship Id="rId9250" Type="http://schemas.openxmlformats.org/officeDocument/2006/relationships/hyperlink" Target="https://statiz.sporki.com/player/?m=playerinfo&amp;p_no=1977" TargetMode="External"/><Relationship Id="rId10809" Type="http://schemas.openxmlformats.org/officeDocument/2006/relationships/hyperlink" Target="https://statiz.sporki.com/add/?m=draft_school02&amp;ps_school=" TargetMode="External"/><Relationship Id="rId11180" Type="http://schemas.openxmlformats.org/officeDocument/2006/relationships/hyperlink" Target="https://statiz.sporki.com/add/?m=draft_school01&amp;ps_school=" TargetMode="External"/><Relationship Id="rId12231" Type="http://schemas.openxmlformats.org/officeDocument/2006/relationships/hyperlink" Target="https://statiz.sporki.com/player/?m=playerinfo&amp;p_no=15525" TargetMode="External"/><Relationship Id="rId16852" Type="http://schemas.openxmlformats.org/officeDocument/2006/relationships/hyperlink" Target="https://statiz.sporki.com/add/?m=draft_school01&amp;ps_school=50208" TargetMode="External"/><Relationship Id="rId17903" Type="http://schemas.openxmlformats.org/officeDocument/2006/relationships/hyperlink" Target="https://statiz.sporki.com/add/?m=draft_school01&amp;ps_school=50605" TargetMode="External"/><Relationship Id="rId1989" Type="http://schemas.openxmlformats.org/officeDocument/2006/relationships/hyperlink" Target="https://statiz.sporki.com/add/?m=draft_school02&amp;ps_school=" TargetMode="External"/><Relationship Id="rId5860" Type="http://schemas.openxmlformats.org/officeDocument/2006/relationships/hyperlink" Target="https://statiz.sporki.com/player/?m=playerinfo&amp;p_no=10480" TargetMode="External"/><Relationship Id="rId6911" Type="http://schemas.openxmlformats.org/officeDocument/2006/relationships/hyperlink" Target="https://statiz.sporki.com/add/?m=draft_school01&amp;ps_school=50105" TargetMode="External"/><Relationship Id="rId15454" Type="http://schemas.openxmlformats.org/officeDocument/2006/relationships/hyperlink" Target="https://statiz.sporki.com/player/?m=playerinfo&amp;p_no=1689" TargetMode="External"/><Relationship Id="rId16505" Type="http://schemas.openxmlformats.org/officeDocument/2006/relationships/hyperlink" Target="https://statiz.sporki.com/add/?m=draft_school01&amp;ps_school=50110" TargetMode="External"/><Relationship Id="rId3064" Type="http://schemas.openxmlformats.org/officeDocument/2006/relationships/hyperlink" Target="https://statiz.sporki.com/player/?m=playerinfo&amp;p_no=12959" TargetMode="External"/><Relationship Id="rId4462" Type="http://schemas.openxmlformats.org/officeDocument/2006/relationships/hyperlink" Target="https://statiz.sporki.com/player/?m=playerinfo&amp;p_no=11077" TargetMode="External"/><Relationship Id="rId5513" Type="http://schemas.openxmlformats.org/officeDocument/2006/relationships/hyperlink" Target="https://statiz.sporki.com/add/?m=draft_school01&amp;ps_school=50605" TargetMode="External"/><Relationship Id="rId14056" Type="http://schemas.openxmlformats.org/officeDocument/2006/relationships/hyperlink" Target="https://statiz.sporki.com/player/?m=playerinfo&amp;p_no=10208" TargetMode="External"/><Relationship Id="rId15107" Type="http://schemas.openxmlformats.org/officeDocument/2006/relationships/hyperlink" Target="https://statiz.sporki.com/player/?m=playerinfo&amp;p_no=12966" TargetMode="External"/><Relationship Id="rId18677" Type="http://schemas.openxmlformats.org/officeDocument/2006/relationships/hyperlink" Target="https://statiz.sporki.com/add/?m=draft_school01&amp;ps_school=50111" TargetMode="External"/><Relationship Id="rId4115" Type="http://schemas.openxmlformats.org/officeDocument/2006/relationships/hyperlink" Target="https://statiz.sporki.com/add/?m=draft_school01&amp;ps_school=50705" TargetMode="External"/><Relationship Id="rId7685" Type="http://schemas.openxmlformats.org/officeDocument/2006/relationships/hyperlink" Target="https://statiz.sporki.com/add/?m=draft_school01&amp;ps_school=50807" TargetMode="External"/><Relationship Id="rId8736" Type="http://schemas.openxmlformats.org/officeDocument/2006/relationships/hyperlink" Target="https://statiz.sporki.com/add/?m=draft_school02&amp;ps_school=" TargetMode="External"/><Relationship Id="rId10666" Type="http://schemas.openxmlformats.org/officeDocument/2006/relationships/hyperlink" Target="https://statiz.sporki.com/player/?m=playerinfo&amp;p_no=11427" TargetMode="External"/><Relationship Id="rId11717" Type="http://schemas.openxmlformats.org/officeDocument/2006/relationships/hyperlink" Target="https://statiz.sporki.com/add/?m=draft_school01&amp;ps_school=50108" TargetMode="External"/><Relationship Id="rId17279" Type="http://schemas.openxmlformats.org/officeDocument/2006/relationships/hyperlink" Target="https://statiz.sporki.com/add/?m=draft_school01&amp;ps_school=50501" TargetMode="External"/><Relationship Id="rId6287" Type="http://schemas.openxmlformats.org/officeDocument/2006/relationships/hyperlink" Target="https://statiz.sporki.com/add/?m=draft_school01&amp;ps_school=50110" TargetMode="External"/><Relationship Id="rId7338" Type="http://schemas.openxmlformats.org/officeDocument/2006/relationships/hyperlink" Target="https://statiz.sporki.com/add/?m=draft_school02&amp;ps_school=" TargetMode="External"/><Relationship Id="rId10319" Type="http://schemas.openxmlformats.org/officeDocument/2006/relationships/hyperlink" Target="https://statiz.sporki.com/add/?m=draft_school01&amp;ps_school=50110" TargetMode="External"/><Relationship Id="rId2897" Type="http://schemas.openxmlformats.org/officeDocument/2006/relationships/hyperlink" Target="https://statiz.sporki.com/add/?m=draft_school01&amp;ps_school=50802" TargetMode="External"/><Relationship Id="rId3948" Type="http://schemas.openxmlformats.org/officeDocument/2006/relationships/hyperlink" Target="https://statiz.sporki.com/add/?m=draft_school02&amp;ps_school=" TargetMode="External"/><Relationship Id="rId13889" Type="http://schemas.openxmlformats.org/officeDocument/2006/relationships/hyperlink" Target="https://statiz.sporki.com/player/?m=playerinfo&amp;p_no=10748" TargetMode="External"/><Relationship Id="rId16362" Type="http://schemas.openxmlformats.org/officeDocument/2006/relationships/hyperlink" Target="https://statiz.sporki.com/add/?m=draft_school01&amp;ps_school=50105" TargetMode="External"/><Relationship Id="rId17760" Type="http://schemas.openxmlformats.org/officeDocument/2006/relationships/hyperlink" Target="https://statiz.sporki.com/add/?m=draft_school01&amp;ps_school=50805" TargetMode="External"/><Relationship Id="rId18811" Type="http://schemas.openxmlformats.org/officeDocument/2006/relationships/hyperlink" Target="https://statiz.sporki.com/add/?m=draft_school01&amp;ps_school=50202" TargetMode="External"/><Relationship Id="rId869" Type="http://schemas.openxmlformats.org/officeDocument/2006/relationships/hyperlink" Target="https://statiz.sporki.com/add/?m=draft_school01&amp;ps_school=" TargetMode="External"/><Relationship Id="rId1499" Type="http://schemas.openxmlformats.org/officeDocument/2006/relationships/hyperlink" Target="https://statiz.sporki.com/add/?m=draft_school01&amp;ps_school=50403" TargetMode="External"/><Relationship Id="rId5370" Type="http://schemas.openxmlformats.org/officeDocument/2006/relationships/hyperlink" Target="https://statiz.sporki.com/add/?m=draft_school02&amp;ps_school=" TargetMode="External"/><Relationship Id="rId6421" Type="http://schemas.openxmlformats.org/officeDocument/2006/relationships/hyperlink" Target="https://statiz.sporki.com/player/?m=playerinfo&amp;p_no=14888" TargetMode="External"/><Relationship Id="rId10800" Type="http://schemas.openxmlformats.org/officeDocument/2006/relationships/hyperlink" Target="https://statiz.sporki.com/add/?m=draft_school02&amp;ps_school=60703" TargetMode="External"/><Relationship Id="rId16015" Type="http://schemas.openxmlformats.org/officeDocument/2006/relationships/hyperlink" Target="https://statiz.sporki.com/player/?m=playerinfo&amp;p_no=1160" TargetMode="External"/><Relationship Id="rId17413" Type="http://schemas.openxmlformats.org/officeDocument/2006/relationships/hyperlink" Target="https://statiz.sporki.com/add/?m=draft_school01&amp;ps_school=50108" TargetMode="External"/><Relationship Id="rId5023" Type="http://schemas.openxmlformats.org/officeDocument/2006/relationships/hyperlink" Target="https://statiz.sporki.com/player/?m=playerinfo&amp;p_no=11146" TargetMode="External"/><Relationship Id="rId9991" Type="http://schemas.openxmlformats.org/officeDocument/2006/relationships/hyperlink" Target="https://statiz.sporki.com/player/?m=playerinfo&amp;p_no=1725" TargetMode="External"/><Relationship Id="rId12972" Type="http://schemas.openxmlformats.org/officeDocument/2006/relationships/hyperlink" Target="https://statiz.sporki.com/player/?m=playerinfo&amp;p_no=13151" TargetMode="External"/><Relationship Id="rId19585" Type="http://schemas.openxmlformats.org/officeDocument/2006/relationships/hyperlink" Target="https://statiz.sporki.com/add/?m=draft_school01&amp;ps_school=50111" TargetMode="External"/><Relationship Id="rId1980" Type="http://schemas.openxmlformats.org/officeDocument/2006/relationships/hyperlink" Target="https://statiz.sporki.com/add/?m=draft_school02&amp;ps_school=" TargetMode="External"/><Relationship Id="rId7195" Type="http://schemas.openxmlformats.org/officeDocument/2006/relationships/hyperlink" Target="https://statiz.sporki.com/player/?m=playerinfo&amp;p_no=10202" TargetMode="External"/><Relationship Id="rId8246" Type="http://schemas.openxmlformats.org/officeDocument/2006/relationships/hyperlink" Target="https://statiz.sporki.com/add/?m=draft_school01&amp;ps_school=50502" TargetMode="External"/><Relationship Id="rId8593" Type="http://schemas.openxmlformats.org/officeDocument/2006/relationships/hyperlink" Target="https://statiz.sporki.com/player/?m=playerinfo&amp;p_no=1980" TargetMode="External"/><Relationship Id="rId9644" Type="http://schemas.openxmlformats.org/officeDocument/2006/relationships/hyperlink" Target="https://statiz.sporki.com/add/?m=draft_school01&amp;ps_school=50102" TargetMode="External"/><Relationship Id="rId11574" Type="http://schemas.openxmlformats.org/officeDocument/2006/relationships/hyperlink" Target="https://statiz.sporki.com/add/?m=draft_school02&amp;ps_school=60104" TargetMode="External"/><Relationship Id="rId12625" Type="http://schemas.openxmlformats.org/officeDocument/2006/relationships/hyperlink" Target="https://statiz.sporki.com/player/?m=playerinfo&amp;p_no=14597" TargetMode="External"/><Relationship Id="rId18187" Type="http://schemas.openxmlformats.org/officeDocument/2006/relationships/hyperlink" Target="https://statiz.sporki.com/add/?m=draft_school01&amp;ps_school=50605" TargetMode="External"/><Relationship Id="rId19238" Type="http://schemas.openxmlformats.org/officeDocument/2006/relationships/hyperlink" Target="https://statiz.sporki.com/add/?m=draft_school01&amp;ps_school=50602" TargetMode="External"/><Relationship Id="rId1633" Type="http://schemas.openxmlformats.org/officeDocument/2006/relationships/hyperlink" Target="https://statiz.sporki.com/player/?m=playerinfo&amp;p_no=14689" TargetMode="External"/><Relationship Id="rId10176" Type="http://schemas.openxmlformats.org/officeDocument/2006/relationships/hyperlink" Target="https://statiz.sporki.com/add/?m=draft_school02&amp;ps_school=60104" TargetMode="External"/><Relationship Id="rId11227" Type="http://schemas.openxmlformats.org/officeDocument/2006/relationships/hyperlink" Target="https://statiz.sporki.com/player/?m=playerinfo&amp;p_no=1335" TargetMode="External"/><Relationship Id="rId14797" Type="http://schemas.openxmlformats.org/officeDocument/2006/relationships/hyperlink" Target="https://statiz.sporki.com/player/?m=playerinfo&amp;p_no=2143" TargetMode="External"/><Relationship Id="rId15848" Type="http://schemas.openxmlformats.org/officeDocument/2006/relationships/hyperlink" Target="https://statiz.sporki.com/player/?m=playerinfo&amp;p_no=1298" TargetMode="External"/><Relationship Id="rId4856" Type="http://schemas.openxmlformats.org/officeDocument/2006/relationships/hyperlink" Target="https://statiz.sporki.com/add/?m=draft_school01&amp;ps_school=50701" TargetMode="External"/><Relationship Id="rId5907" Type="http://schemas.openxmlformats.org/officeDocument/2006/relationships/hyperlink" Target="https://statiz.sporki.com/add/?m=draft_school02&amp;ps_school=" TargetMode="External"/><Relationship Id="rId13399" Type="http://schemas.openxmlformats.org/officeDocument/2006/relationships/hyperlink" Target="https://statiz.sporki.com/player/?m=playerinfo&amp;p_no=13008" TargetMode="External"/><Relationship Id="rId17270" Type="http://schemas.openxmlformats.org/officeDocument/2006/relationships/hyperlink" Target="https://statiz.sporki.com/add/?m=draft_school01&amp;ps_school=50602" TargetMode="External"/><Relationship Id="rId18321" Type="http://schemas.openxmlformats.org/officeDocument/2006/relationships/hyperlink" Target="https://statiz.sporki.com/add/?m=draft_school01&amp;ps_school=50116" TargetMode="External"/><Relationship Id="rId3458" Type="http://schemas.openxmlformats.org/officeDocument/2006/relationships/hyperlink" Target="https://statiz.sporki.com/add/?m=draft_school01&amp;ps_school=50705" TargetMode="External"/><Relationship Id="rId4509" Type="http://schemas.openxmlformats.org/officeDocument/2006/relationships/hyperlink" Target="https://statiz.sporki.com/add/?m=draft_school02&amp;ps_school=61001" TargetMode="External"/><Relationship Id="rId10310" Type="http://schemas.openxmlformats.org/officeDocument/2006/relationships/hyperlink" Target="https://statiz.sporki.com/add/?m=draft_school01&amp;ps_school=50602" TargetMode="External"/><Relationship Id="rId379" Type="http://schemas.openxmlformats.org/officeDocument/2006/relationships/hyperlink" Target="https://statiz.sporki.com/player/?m=playerinfo&amp;p_no=15652" TargetMode="External"/><Relationship Id="rId13880" Type="http://schemas.openxmlformats.org/officeDocument/2006/relationships/hyperlink" Target="https://statiz.sporki.com/player/?m=playerinfo&amp;p_no=10735" TargetMode="External"/><Relationship Id="rId14931" Type="http://schemas.openxmlformats.org/officeDocument/2006/relationships/hyperlink" Target="https://statiz.sporki.com/player/?m=playerinfo&amp;p_no=2330" TargetMode="External"/><Relationship Id="rId19095" Type="http://schemas.openxmlformats.org/officeDocument/2006/relationships/hyperlink" Target="https://statiz.sporki.com/add/?m=draft_school01&amp;ps_school=50126" TargetMode="External"/><Relationship Id="rId1490" Type="http://schemas.openxmlformats.org/officeDocument/2006/relationships/hyperlink" Target="https://statiz.sporki.com/add/?m=draft_school01&amp;ps_school=50207" TargetMode="External"/><Relationship Id="rId9154" Type="http://schemas.openxmlformats.org/officeDocument/2006/relationships/hyperlink" Target="https://statiz.sporki.com/player/?m=playerinfo&amp;p_no=1910" TargetMode="External"/><Relationship Id="rId11084" Type="http://schemas.openxmlformats.org/officeDocument/2006/relationships/hyperlink" Target="https://statiz.sporki.com/add/?m=draft_school01&amp;ps_school=50110" TargetMode="External"/><Relationship Id="rId12482" Type="http://schemas.openxmlformats.org/officeDocument/2006/relationships/hyperlink" Target="https://statiz.sporki.com/player/?m=playerinfo&amp;p_no=14781" TargetMode="External"/><Relationship Id="rId13533" Type="http://schemas.openxmlformats.org/officeDocument/2006/relationships/hyperlink" Target="https://statiz.sporki.com/player/?m=playerinfo&amp;p_no=11313" TargetMode="External"/><Relationship Id="rId860" Type="http://schemas.openxmlformats.org/officeDocument/2006/relationships/hyperlink" Target="https://statiz.sporki.com/add/?m=draft_school01&amp;ps_school=" TargetMode="External"/><Relationship Id="rId1143" Type="http://schemas.openxmlformats.org/officeDocument/2006/relationships/hyperlink" Target="https://statiz.sporki.com/add/?m=draft_school02&amp;ps_school=" TargetMode="External"/><Relationship Id="rId2541" Type="http://schemas.openxmlformats.org/officeDocument/2006/relationships/hyperlink" Target="https://statiz.sporki.com/add/?m=draft_school02&amp;ps_school=" TargetMode="External"/><Relationship Id="rId12135" Type="http://schemas.openxmlformats.org/officeDocument/2006/relationships/hyperlink" Target="https://statiz.sporki.com/add/?m=draft_school02&amp;ps_school=" TargetMode="External"/><Relationship Id="rId16756" Type="http://schemas.openxmlformats.org/officeDocument/2006/relationships/hyperlink" Target="https://statiz.sporki.com/add/?m=draft_school01&amp;ps_school=50107" TargetMode="External"/><Relationship Id="rId17807" Type="http://schemas.openxmlformats.org/officeDocument/2006/relationships/hyperlink" Target="https://statiz.sporki.com/add/?m=draft_school01&amp;ps_school=50108" TargetMode="External"/><Relationship Id="rId513" Type="http://schemas.openxmlformats.org/officeDocument/2006/relationships/hyperlink" Target="https://statiz.sporki.com/add/?m=draft_school02&amp;ps_school=" TargetMode="External"/><Relationship Id="rId5764" Type="http://schemas.openxmlformats.org/officeDocument/2006/relationships/hyperlink" Target="https://statiz.sporki.com/player/?m=playerinfo&amp;p_no=10404" TargetMode="External"/><Relationship Id="rId6815" Type="http://schemas.openxmlformats.org/officeDocument/2006/relationships/hyperlink" Target="https://statiz.sporki.com/add/?m=draft_school01&amp;ps_school=50804" TargetMode="External"/><Relationship Id="rId15358" Type="http://schemas.openxmlformats.org/officeDocument/2006/relationships/hyperlink" Target="https://statiz.sporki.com/player/?m=playerinfo&amp;p_no=1758" TargetMode="External"/><Relationship Id="rId16409" Type="http://schemas.openxmlformats.org/officeDocument/2006/relationships/hyperlink" Target="https://statiz.sporki.com/add/?m=draft_school01&amp;ps_school=50804" TargetMode="External"/><Relationship Id="rId4366" Type="http://schemas.openxmlformats.org/officeDocument/2006/relationships/hyperlink" Target="https://statiz.sporki.com/player/?m=playerinfo&amp;p_no=11195" TargetMode="External"/><Relationship Id="rId5417" Type="http://schemas.openxmlformats.org/officeDocument/2006/relationships/hyperlink" Target="https://statiz.sporki.com/add/?m=draft_school01&amp;ps_school=50703" TargetMode="External"/><Relationship Id="rId8987" Type="http://schemas.openxmlformats.org/officeDocument/2006/relationships/hyperlink" Target="https://statiz.sporki.com/add/?m=draft_school01&amp;ps_school=50107" TargetMode="External"/><Relationship Id="rId4019" Type="http://schemas.openxmlformats.org/officeDocument/2006/relationships/hyperlink" Target="https://statiz.sporki.com/add/?m=draft_school01&amp;ps_school=51001" TargetMode="External"/><Relationship Id="rId7589" Type="http://schemas.openxmlformats.org/officeDocument/2006/relationships/hyperlink" Target="https://statiz.sporki.com/add/?m=draft_school01&amp;ps_school=50904" TargetMode="External"/><Relationship Id="rId11968" Type="http://schemas.openxmlformats.org/officeDocument/2006/relationships/hyperlink" Target="https://statiz.sporki.com/player/?m=playerinfo&amp;p_no=1126" TargetMode="External"/><Relationship Id="rId13390" Type="http://schemas.openxmlformats.org/officeDocument/2006/relationships/hyperlink" Target="https://statiz.sporki.com/player/?m=playerinfo&amp;p_no=11349" TargetMode="External"/><Relationship Id="rId14441" Type="http://schemas.openxmlformats.org/officeDocument/2006/relationships/hyperlink" Target="https://statiz.sporki.com/player/?m=playerinfo&amp;p_no=10004" TargetMode="External"/><Relationship Id="rId4500" Type="http://schemas.openxmlformats.org/officeDocument/2006/relationships/hyperlink" Target="https://statiz.sporki.com/add/?m=draft_school02&amp;ps_school=" TargetMode="External"/><Relationship Id="rId13043" Type="http://schemas.openxmlformats.org/officeDocument/2006/relationships/hyperlink" Target="https://statiz.sporki.com/player/?m=playerinfo&amp;p_no=13433" TargetMode="External"/><Relationship Id="rId370" Type="http://schemas.openxmlformats.org/officeDocument/2006/relationships/hyperlink" Target="https://statiz.sporki.com/player/?m=playerinfo&amp;p_no=12295" TargetMode="External"/><Relationship Id="rId2051" Type="http://schemas.openxmlformats.org/officeDocument/2006/relationships/hyperlink" Target="https://statiz.sporki.com/add/?m=draft_school01&amp;ps_school=50701" TargetMode="External"/><Relationship Id="rId3102" Type="http://schemas.openxmlformats.org/officeDocument/2006/relationships/hyperlink" Target="https://statiz.sporki.com/add/?m=draft_school02&amp;ps_school=" TargetMode="External"/><Relationship Id="rId17664" Type="http://schemas.openxmlformats.org/officeDocument/2006/relationships/hyperlink" Target="https://statiz.sporki.com/add/?m=draft_school01&amp;ps_school=50207" TargetMode="External"/><Relationship Id="rId18715" Type="http://schemas.openxmlformats.org/officeDocument/2006/relationships/hyperlink" Target="https://statiz.sporki.com/add/?m=draft_school01&amp;ps_school=50402" TargetMode="External"/><Relationship Id="rId5274" Type="http://schemas.openxmlformats.org/officeDocument/2006/relationships/hyperlink" Target="https://statiz.sporki.com/add/?m=draft_school02&amp;ps_school=" TargetMode="External"/><Relationship Id="rId6325" Type="http://schemas.openxmlformats.org/officeDocument/2006/relationships/hyperlink" Target="https://statiz.sporki.com/player/?m=playerinfo&amp;p_no=10785" TargetMode="External"/><Relationship Id="rId6672" Type="http://schemas.openxmlformats.org/officeDocument/2006/relationships/hyperlink" Target="https://statiz.sporki.com/add/?m=draft_school02&amp;ps_school=60114" TargetMode="External"/><Relationship Id="rId7723" Type="http://schemas.openxmlformats.org/officeDocument/2006/relationships/hyperlink" Target="https://statiz.sporki.com/player/?m=playerinfo&amp;p_no=2207" TargetMode="External"/><Relationship Id="rId10704" Type="http://schemas.openxmlformats.org/officeDocument/2006/relationships/hyperlink" Target="https://statiz.sporki.com/add/?m=draft_school02&amp;ps_school=60113" TargetMode="External"/><Relationship Id="rId16266" Type="http://schemas.openxmlformats.org/officeDocument/2006/relationships/hyperlink" Target="https://statiz.sporki.com/add/?m=draft_school01&amp;ps_school=50219" TargetMode="External"/><Relationship Id="rId17317" Type="http://schemas.openxmlformats.org/officeDocument/2006/relationships/hyperlink" Target="https://statiz.sporki.com/add/?m=draft_school01&amp;ps_school=50207" TargetMode="External"/><Relationship Id="rId9895" Type="http://schemas.openxmlformats.org/officeDocument/2006/relationships/hyperlink" Target="https://statiz.sporki.com/player/?m=playerinfo&amp;p_no=1709" TargetMode="External"/><Relationship Id="rId12876" Type="http://schemas.openxmlformats.org/officeDocument/2006/relationships/hyperlink" Target="https://statiz.sporki.com/player/?m=playerinfo&amp;p_no=13931" TargetMode="External"/><Relationship Id="rId13927" Type="http://schemas.openxmlformats.org/officeDocument/2006/relationships/hyperlink" Target="https://statiz.sporki.com/player/?m=playerinfo&amp;p_no=10839" TargetMode="External"/><Relationship Id="rId19489" Type="http://schemas.openxmlformats.org/officeDocument/2006/relationships/hyperlink" Target="https://statiz.sporki.com/add/?m=draft_school01&amp;ps_school=50812" TargetMode="External"/><Relationship Id="rId1884" Type="http://schemas.openxmlformats.org/officeDocument/2006/relationships/hyperlink" Target="https://statiz.sporki.com/add/?m=draft_school02&amp;ps_school=" TargetMode="External"/><Relationship Id="rId2935" Type="http://schemas.openxmlformats.org/officeDocument/2006/relationships/hyperlink" Target="https://statiz.sporki.com/player/?m=playerinfo&amp;p_no=12858" TargetMode="External"/><Relationship Id="rId8497" Type="http://schemas.openxmlformats.org/officeDocument/2006/relationships/hyperlink" Target="https://statiz.sporki.com/player/?m=playerinfo&amp;p_no=10385" TargetMode="External"/><Relationship Id="rId9548" Type="http://schemas.openxmlformats.org/officeDocument/2006/relationships/hyperlink" Target="https://statiz.sporki.com/add/?m=draft_school01&amp;ps_school=50803" TargetMode="External"/><Relationship Id="rId11478" Type="http://schemas.openxmlformats.org/officeDocument/2006/relationships/hyperlink" Target="https://statiz.sporki.com/add/?m=draft_school02&amp;ps_school=60703" TargetMode="External"/><Relationship Id="rId12529" Type="http://schemas.openxmlformats.org/officeDocument/2006/relationships/hyperlink" Target="https://statiz.sporki.com/player/?m=playerinfo&amp;p_no=14877" TargetMode="External"/><Relationship Id="rId16400" Type="http://schemas.openxmlformats.org/officeDocument/2006/relationships/hyperlink" Target="https://statiz.sporki.com/add/?m=draft_school01&amp;ps_school=50705" TargetMode="External"/><Relationship Id="rId907" Type="http://schemas.openxmlformats.org/officeDocument/2006/relationships/hyperlink" Target="https://statiz.sporki.com/player/?m=playerinfo&amp;p_no=15127" TargetMode="External"/><Relationship Id="rId1537" Type="http://schemas.openxmlformats.org/officeDocument/2006/relationships/hyperlink" Target="https://statiz.sporki.com/player/?m=playerinfo&amp;p_no=14669" TargetMode="External"/><Relationship Id="rId7099" Type="http://schemas.openxmlformats.org/officeDocument/2006/relationships/hyperlink" Target="https://statiz.sporki.com/player/?m=playerinfo&amp;p_no=2325" TargetMode="External"/><Relationship Id="rId15002" Type="http://schemas.openxmlformats.org/officeDocument/2006/relationships/hyperlink" Target="https://statiz.sporki.com/player/?m=playerinfo&amp;p_no=10046" TargetMode="External"/><Relationship Id="rId18572" Type="http://schemas.openxmlformats.org/officeDocument/2006/relationships/hyperlink" Target="https://statiz.sporki.com/add/?m=draft_school01&amp;ps_school=50403" TargetMode="External"/><Relationship Id="rId4010" Type="http://schemas.openxmlformats.org/officeDocument/2006/relationships/hyperlink" Target="https://statiz.sporki.com/add/?m=draft_school01&amp;ps_school=51101" TargetMode="External"/><Relationship Id="rId7580" Type="http://schemas.openxmlformats.org/officeDocument/2006/relationships/hyperlink" Target="https://statiz.sporki.com/add/?m=draft_school01&amp;ps_school=50110" TargetMode="External"/><Relationship Id="rId8631" Type="http://schemas.openxmlformats.org/officeDocument/2006/relationships/hyperlink" Target="https://statiz.sporki.com/add/?m=draft_school02&amp;ps_school=" TargetMode="External"/><Relationship Id="rId17174" Type="http://schemas.openxmlformats.org/officeDocument/2006/relationships/hyperlink" Target="https://statiz.sporki.com/add/?m=draft_school01&amp;ps_school=50113" TargetMode="External"/><Relationship Id="rId18225" Type="http://schemas.openxmlformats.org/officeDocument/2006/relationships/hyperlink" Target="https://statiz.sporki.com/add/?m=draft_school01&amp;ps_school=50805" TargetMode="External"/><Relationship Id="rId19623" Type="http://schemas.openxmlformats.org/officeDocument/2006/relationships/hyperlink" Target="https://statiz.sporki.com/add/?m=draft_school01&amp;ps_school=50202" TargetMode="External"/><Relationship Id="rId6182" Type="http://schemas.openxmlformats.org/officeDocument/2006/relationships/hyperlink" Target="https://statiz.sporki.com/add/?m=draft_school01&amp;ps_school=" TargetMode="External"/><Relationship Id="rId7233" Type="http://schemas.openxmlformats.org/officeDocument/2006/relationships/hyperlink" Target="https://statiz.sporki.com/add/?m=draft_school02&amp;ps_school=" TargetMode="External"/><Relationship Id="rId10561" Type="http://schemas.openxmlformats.org/officeDocument/2006/relationships/hyperlink" Target="https://statiz.sporki.com/player/?m=playerinfo&amp;p_no=1421" TargetMode="External"/><Relationship Id="rId11612" Type="http://schemas.openxmlformats.org/officeDocument/2006/relationships/hyperlink" Target="https://statiz.sporki.com/add/?m=draft_school01&amp;ps_school=50805" TargetMode="External"/><Relationship Id="rId10214" Type="http://schemas.openxmlformats.org/officeDocument/2006/relationships/hyperlink" Target="https://statiz.sporki.com/add/?m=draft_school01&amp;ps_school=50115" TargetMode="External"/><Relationship Id="rId13784" Type="http://schemas.openxmlformats.org/officeDocument/2006/relationships/hyperlink" Target="https://statiz.sporki.com/player/?m=playerinfo&amp;p_no=10837" TargetMode="External"/><Relationship Id="rId14835" Type="http://schemas.openxmlformats.org/officeDocument/2006/relationships/hyperlink" Target="https://statiz.sporki.com/player/?m=playerinfo&amp;p_no=2084" TargetMode="External"/><Relationship Id="rId2792" Type="http://schemas.openxmlformats.org/officeDocument/2006/relationships/hyperlink" Target="https://statiz.sporki.com/add/?m=draft_school01&amp;ps_school=50807" TargetMode="External"/><Relationship Id="rId3843" Type="http://schemas.openxmlformats.org/officeDocument/2006/relationships/hyperlink" Target="https://statiz.sporki.com/add/?m=draft_school02&amp;ps_school=60803" TargetMode="External"/><Relationship Id="rId9058" Type="http://schemas.openxmlformats.org/officeDocument/2006/relationships/hyperlink" Target="https://statiz.sporki.com/player/?m=playerinfo&amp;p_no=11447" TargetMode="External"/><Relationship Id="rId12386" Type="http://schemas.openxmlformats.org/officeDocument/2006/relationships/hyperlink" Target="https://statiz.sporki.com/player/?m=playerinfo&amp;p_no=15052" TargetMode="External"/><Relationship Id="rId13437" Type="http://schemas.openxmlformats.org/officeDocument/2006/relationships/hyperlink" Target="https://statiz.sporki.com/player/?m=playerinfo&amp;p_no=11323" TargetMode="External"/><Relationship Id="rId764" Type="http://schemas.openxmlformats.org/officeDocument/2006/relationships/hyperlink" Target="https://statiz.sporki.com/add/?m=draft_school01&amp;ps_school=" TargetMode="External"/><Relationship Id="rId1394" Type="http://schemas.openxmlformats.org/officeDocument/2006/relationships/hyperlink" Target="https://statiz.sporki.com/add/?m=draft_school01&amp;ps_school=50207" TargetMode="External"/><Relationship Id="rId2445" Type="http://schemas.openxmlformats.org/officeDocument/2006/relationships/hyperlink" Target="https://statiz.sporki.com/add/?m=draft_school02&amp;ps_school=" TargetMode="External"/><Relationship Id="rId12039" Type="http://schemas.openxmlformats.org/officeDocument/2006/relationships/hyperlink" Target="https://statiz.sporki.com/add/?m=draft_school02&amp;ps_school=60113" TargetMode="External"/><Relationship Id="rId19480" Type="http://schemas.openxmlformats.org/officeDocument/2006/relationships/hyperlink" Target="https://statiz.sporki.com/add/?m=draft_school01&amp;ps_school=50706" TargetMode="External"/><Relationship Id="rId417" Type="http://schemas.openxmlformats.org/officeDocument/2006/relationships/hyperlink" Target="https://statiz.sporki.com/add/?m=draft_school02&amp;ps_school=60501" TargetMode="External"/><Relationship Id="rId1047" Type="http://schemas.openxmlformats.org/officeDocument/2006/relationships/hyperlink" Target="https://statiz.sporki.com/add/?m=draft_school02&amp;ps_school=60902" TargetMode="External"/><Relationship Id="rId5668" Type="http://schemas.openxmlformats.org/officeDocument/2006/relationships/hyperlink" Target="https://statiz.sporki.com/player/?m=playerinfo&amp;p_no=2434" TargetMode="External"/><Relationship Id="rId6719" Type="http://schemas.openxmlformats.org/officeDocument/2006/relationships/hyperlink" Target="https://statiz.sporki.com/add/?m=draft_school01&amp;ps_school=50805" TargetMode="External"/><Relationship Id="rId12520" Type="http://schemas.openxmlformats.org/officeDocument/2006/relationships/hyperlink" Target="https://statiz.sporki.com/player/?m=playerinfo&amp;p_no=14791" TargetMode="External"/><Relationship Id="rId18082" Type="http://schemas.openxmlformats.org/officeDocument/2006/relationships/hyperlink" Target="https://statiz.sporki.com/add/?m=draft_school01&amp;ps_school=50802" TargetMode="External"/><Relationship Id="rId19133" Type="http://schemas.openxmlformats.org/officeDocument/2006/relationships/hyperlink" Target="https://statiz.sporki.com/add/?m=draft_school01&amp;ps_school=50803" TargetMode="External"/><Relationship Id="rId7090" Type="http://schemas.openxmlformats.org/officeDocument/2006/relationships/hyperlink" Target="https://statiz.sporki.com/player/?m=playerinfo&amp;p_no=2341" TargetMode="External"/><Relationship Id="rId8141" Type="http://schemas.openxmlformats.org/officeDocument/2006/relationships/hyperlink" Target="https://statiz.sporki.com/add/?m=draft_school01&amp;ps_school=50108" TargetMode="External"/><Relationship Id="rId10071" Type="http://schemas.openxmlformats.org/officeDocument/2006/relationships/hyperlink" Target="https://statiz.sporki.com/add/?m=draft_school02&amp;ps_school=60113" TargetMode="External"/><Relationship Id="rId11122" Type="http://schemas.openxmlformats.org/officeDocument/2006/relationships/hyperlink" Target="https://statiz.sporki.com/player/?m=playerinfo&amp;p_no=1290" TargetMode="External"/><Relationship Id="rId13294" Type="http://schemas.openxmlformats.org/officeDocument/2006/relationships/hyperlink" Target="https://statiz.sporki.com/player/?m=playerinfo&amp;p_no=12626" TargetMode="External"/><Relationship Id="rId14692" Type="http://schemas.openxmlformats.org/officeDocument/2006/relationships/hyperlink" Target="https://statiz.sporki.com/player/?m=playerinfo&amp;p_no=2251" TargetMode="External"/><Relationship Id="rId15743" Type="http://schemas.openxmlformats.org/officeDocument/2006/relationships/hyperlink" Target="https://statiz.sporki.com/player/?m=playerinfo&amp;p_no=1393" TargetMode="External"/><Relationship Id="rId3353" Type="http://schemas.openxmlformats.org/officeDocument/2006/relationships/hyperlink" Target="https://statiz.sporki.com/add/?m=draft_school01&amp;ps_school=50113" TargetMode="External"/><Relationship Id="rId4751" Type="http://schemas.openxmlformats.org/officeDocument/2006/relationships/hyperlink" Target="https://statiz.sporki.com/add/?m=draft_school01&amp;ps_school=50302" TargetMode="External"/><Relationship Id="rId5802" Type="http://schemas.openxmlformats.org/officeDocument/2006/relationships/hyperlink" Target="https://statiz.sporki.com/add/?m=draft_school02&amp;ps_school=60704" TargetMode="External"/><Relationship Id="rId14345" Type="http://schemas.openxmlformats.org/officeDocument/2006/relationships/hyperlink" Target="https://statiz.sporki.com/player/?m=playerinfo&amp;p_no=10390" TargetMode="External"/><Relationship Id="rId18966" Type="http://schemas.openxmlformats.org/officeDocument/2006/relationships/hyperlink" Target="https://statiz.sporki.com/add/?m=draft_school01&amp;ps_school=50116" TargetMode="External"/><Relationship Id="rId274" Type="http://schemas.openxmlformats.org/officeDocument/2006/relationships/hyperlink" Target="https://statiz.sporki.com/player/?m=playerinfo&amp;p_no=15440" TargetMode="External"/><Relationship Id="rId3006" Type="http://schemas.openxmlformats.org/officeDocument/2006/relationships/hyperlink" Target="https://statiz.sporki.com/add/?m=draft_school02&amp;ps_school=" TargetMode="External"/><Relationship Id="rId4404" Type="http://schemas.openxmlformats.org/officeDocument/2006/relationships/hyperlink" Target="https://statiz.sporki.com/add/?m=draft_school02&amp;ps_school=60108" TargetMode="External"/><Relationship Id="rId7974" Type="http://schemas.openxmlformats.org/officeDocument/2006/relationships/hyperlink" Target="https://statiz.sporki.com/add/?m=draft_school02&amp;ps_school=" TargetMode="External"/><Relationship Id="rId10955" Type="http://schemas.openxmlformats.org/officeDocument/2006/relationships/hyperlink" Target="https://statiz.sporki.com/add/?m=draft_school01&amp;ps_school=50208" TargetMode="External"/><Relationship Id="rId17568" Type="http://schemas.openxmlformats.org/officeDocument/2006/relationships/hyperlink" Target="https://statiz.sporki.com/add/?m=draft_school01&amp;ps_school=50604" TargetMode="External"/><Relationship Id="rId18619" Type="http://schemas.openxmlformats.org/officeDocument/2006/relationships/hyperlink" Target="https://statiz.sporki.com/add/?m=draft_school01&amp;ps_school=50112" TargetMode="External"/><Relationship Id="rId6576" Type="http://schemas.openxmlformats.org/officeDocument/2006/relationships/hyperlink" Target="https://statiz.sporki.com/add/?m=draft_school02&amp;ps_school=60704" TargetMode="External"/><Relationship Id="rId7627" Type="http://schemas.openxmlformats.org/officeDocument/2006/relationships/hyperlink" Target="https://statiz.sporki.com/player/?m=playerinfo&amp;p_no=2175" TargetMode="External"/><Relationship Id="rId10608" Type="http://schemas.openxmlformats.org/officeDocument/2006/relationships/hyperlink" Target="https://statiz.sporki.com/add/?m=draft_school02&amp;ps_school=60108" TargetMode="External"/><Relationship Id="rId5178" Type="http://schemas.openxmlformats.org/officeDocument/2006/relationships/hyperlink" Target="https://statiz.sporki.com/add/?m=draft_school02&amp;ps_school=" TargetMode="External"/><Relationship Id="rId6229" Type="http://schemas.openxmlformats.org/officeDocument/2006/relationships/hyperlink" Target="https://statiz.sporki.com/player/?m=playerinfo&amp;p_no=11173" TargetMode="External"/><Relationship Id="rId9799" Type="http://schemas.openxmlformats.org/officeDocument/2006/relationships/hyperlink" Target="https://statiz.sporki.com/player/?m=playerinfo&amp;p_no=1651" TargetMode="External"/><Relationship Id="rId12030" Type="http://schemas.openxmlformats.org/officeDocument/2006/relationships/hyperlink" Target="https://statiz.sporki.com/add/?m=draft_school02&amp;ps_school=60113" TargetMode="External"/><Relationship Id="rId16651" Type="http://schemas.openxmlformats.org/officeDocument/2006/relationships/hyperlink" Target="https://statiz.sporki.com/add/?m=draft_school01&amp;ps_school=50901" TargetMode="External"/><Relationship Id="rId1788" Type="http://schemas.openxmlformats.org/officeDocument/2006/relationships/hyperlink" Target="https://statiz.sporki.com/add/?m=draft_school02&amp;ps_school=60902" TargetMode="External"/><Relationship Id="rId2839" Type="http://schemas.openxmlformats.org/officeDocument/2006/relationships/hyperlink" Target="https://statiz.sporki.com/player/?m=playerinfo&amp;p_no=12900" TargetMode="External"/><Relationship Id="rId6710" Type="http://schemas.openxmlformats.org/officeDocument/2006/relationships/hyperlink" Target="https://statiz.sporki.com/add/?m=draft_school01&amp;ps_school=50402" TargetMode="External"/><Relationship Id="rId15253" Type="http://schemas.openxmlformats.org/officeDocument/2006/relationships/hyperlink" Target="https://statiz.sporki.com/player/?m=playerinfo&amp;p_no=1857" TargetMode="External"/><Relationship Id="rId16304" Type="http://schemas.openxmlformats.org/officeDocument/2006/relationships/hyperlink" Target="https://statiz.sporki.com/add/?m=draft_school01&amp;ps_school=50710" TargetMode="External"/><Relationship Id="rId17702" Type="http://schemas.openxmlformats.org/officeDocument/2006/relationships/hyperlink" Target="https://statiz.sporki.com/add/?m=draft_school01&amp;ps_school=50107" TargetMode="External"/><Relationship Id="rId4261" Type="http://schemas.openxmlformats.org/officeDocument/2006/relationships/hyperlink" Target="https://statiz.sporki.com/player/?m=playerinfo&amp;p_no=11208" TargetMode="External"/><Relationship Id="rId5312" Type="http://schemas.openxmlformats.org/officeDocument/2006/relationships/hyperlink" Target="https://statiz.sporki.com/add/?m=draft_school01&amp;ps_school=50602" TargetMode="External"/><Relationship Id="rId7484" Type="http://schemas.openxmlformats.org/officeDocument/2006/relationships/hyperlink" Target="https://statiz.sporki.com/add/?m=draft_school01&amp;ps_school=" TargetMode="External"/><Relationship Id="rId8535" Type="http://schemas.openxmlformats.org/officeDocument/2006/relationships/hyperlink" Target="https://statiz.sporki.com/add/?m=draft_school02&amp;ps_school=" TargetMode="External"/><Relationship Id="rId8882" Type="http://schemas.openxmlformats.org/officeDocument/2006/relationships/hyperlink" Target="https://statiz.sporki.com/add/?m=draft_school01&amp;ps_school=50805" TargetMode="External"/><Relationship Id="rId9933" Type="http://schemas.openxmlformats.org/officeDocument/2006/relationships/hyperlink" Target="https://statiz.sporki.com/add/?m=draft_school02&amp;ps_school=" TargetMode="External"/><Relationship Id="rId11863" Type="http://schemas.openxmlformats.org/officeDocument/2006/relationships/hyperlink" Target="https://statiz.sporki.com/player/?m=playerinfo&amp;p_no=1035" TargetMode="External"/><Relationship Id="rId12914" Type="http://schemas.openxmlformats.org/officeDocument/2006/relationships/hyperlink" Target="https://statiz.sporki.com/player/?m=playerinfo&amp;p_no=13134" TargetMode="External"/><Relationship Id="rId17078" Type="http://schemas.openxmlformats.org/officeDocument/2006/relationships/hyperlink" Target="https://statiz.sporki.com/add/?m=draft_school01&amp;ps_school=50701" TargetMode="External"/><Relationship Id="rId18476" Type="http://schemas.openxmlformats.org/officeDocument/2006/relationships/hyperlink" Target="https://statiz.sporki.com/add/?m=draft_school01&amp;ps_school=50114" TargetMode="External"/><Relationship Id="rId19527" Type="http://schemas.openxmlformats.org/officeDocument/2006/relationships/hyperlink" Target="https://statiz.sporki.com/add/?m=draft_school01&amp;ps_school=50701" TargetMode="External"/><Relationship Id="rId1922" Type="http://schemas.openxmlformats.org/officeDocument/2006/relationships/hyperlink" Target="https://statiz.sporki.com/add/?m=draft_school01&amp;ps_school=50213" TargetMode="External"/><Relationship Id="rId6086" Type="http://schemas.openxmlformats.org/officeDocument/2006/relationships/hyperlink" Target="https://statiz.sporki.com/add/?m=draft_school01&amp;ps_school=50805" TargetMode="External"/><Relationship Id="rId7137" Type="http://schemas.openxmlformats.org/officeDocument/2006/relationships/hyperlink" Target="https://statiz.sporki.com/add/?m=draft_school02&amp;ps_school=60602" TargetMode="External"/><Relationship Id="rId10465" Type="http://schemas.openxmlformats.org/officeDocument/2006/relationships/hyperlink" Target="https://statiz.sporki.com/player/?m=playerinfo&amp;p_no=1555" TargetMode="External"/><Relationship Id="rId11516" Type="http://schemas.openxmlformats.org/officeDocument/2006/relationships/hyperlink" Target="https://statiz.sporki.com/add/?m=draft_school01&amp;ps_school=50812" TargetMode="External"/><Relationship Id="rId18129" Type="http://schemas.openxmlformats.org/officeDocument/2006/relationships/hyperlink" Target="https://statiz.sporki.com/add/?m=draft_school01&amp;ps_school=50203" TargetMode="External"/><Relationship Id="rId10118" Type="http://schemas.openxmlformats.org/officeDocument/2006/relationships/hyperlink" Target="https://statiz.sporki.com/add/?m=draft_school01&amp;ps_school=50812" TargetMode="External"/><Relationship Id="rId13688" Type="http://schemas.openxmlformats.org/officeDocument/2006/relationships/hyperlink" Target="https://statiz.sporki.com/player/?m=playerinfo&amp;p_no=11176" TargetMode="External"/><Relationship Id="rId14739" Type="http://schemas.openxmlformats.org/officeDocument/2006/relationships/hyperlink" Target="https://statiz.sporki.com/player/?m=playerinfo&amp;p_no=2166" TargetMode="External"/><Relationship Id="rId18610" Type="http://schemas.openxmlformats.org/officeDocument/2006/relationships/hyperlink" Target="https://statiz.sporki.com/add/?m=draft_school01&amp;ps_school=50701" TargetMode="External"/><Relationship Id="rId2696" Type="http://schemas.openxmlformats.org/officeDocument/2006/relationships/hyperlink" Target="https://statiz.sporki.com/add/?m=draft_school01&amp;ps_school=50403" TargetMode="External"/><Relationship Id="rId3747" Type="http://schemas.openxmlformats.org/officeDocument/2006/relationships/hyperlink" Target="https://statiz.sporki.com/add/?m=draft_school02&amp;ps_school=61101" TargetMode="External"/><Relationship Id="rId16161" Type="http://schemas.openxmlformats.org/officeDocument/2006/relationships/hyperlink" Target="https://statiz.sporki.com/player/?m=playerinfo&amp;p_no=1041" TargetMode="External"/><Relationship Id="rId17212" Type="http://schemas.openxmlformats.org/officeDocument/2006/relationships/hyperlink" Target="https://statiz.sporki.com/add/?m=draft_school01&amp;ps_school=50101" TargetMode="External"/><Relationship Id="rId668" Type="http://schemas.openxmlformats.org/officeDocument/2006/relationships/hyperlink" Target="https://statiz.sporki.com/add/?m=draft_school01&amp;ps_school=50401" TargetMode="External"/><Relationship Id="rId1298" Type="http://schemas.openxmlformats.org/officeDocument/2006/relationships/hyperlink" Target="https://statiz.sporki.com/add/?m=draft_school01&amp;ps_school=51106" TargetMode="External"/><Relationship Id="rId2349" Type="http://schemas.openxmlformats.org/officeDocument/2006/relationships/hyperlink" Target="https://statiz.sporki.com/add/?m=draft_school02&amp;ps_school=" TargetMode="External"/><Relationship Id="rId6220" Type="http://schemas.openxmlformats.org/officeDocument/2006/relationships/hyperlink" Target="https://statiz.sporki.com/player/?m=playerinfo&amp;p_no=10482" TargetMode="External"/><Relationship Id="rId9790" Type="http://schemas.openxmlformats.org/officeDocument/2006/relationships/hyperlink" Target="https://statiz.sporki.com/player/?m=playerinfo&amp;p_no=1695" TargetMode="External"/><Relationship Id="rId19384" Type="http://schemas.openxmlformats.org/officeDocument/2006/relationships/hyperlink" Target="https://statiz.sporki.com/add/?m=draft_school01&amp;ps_school=50209" TargetMode="External"/><Relationship Id="rId8392" Type="http://schemas.openxmlformats.org/officeDocument/2006/relationships/hyperlink" Target="https://statiz.sporki.com/player/?m=playerinfo&amp;p_no=10315" TargetMode="External"/><Relationship Id="rId9443" Type="http://schemas.openxmlformats.org/officeDocument/2006/relationships/hyperlink" Target="https://statiz.sporki.com/add/?m=draft_school01&amp;ps_school=" TargetMode="External"/><Relationship Id="rId11373" Type="http://schemas.openxmlformats.org/officeDocument/2006/relationships/hyperlink" Target="https://statiz.sporki.com/add/?m=draft_school02&amp;ps_school=60103" TargetMode="External"/><Relationship Id="rId12771" Type="http://schemas.openxmlformats.org/officeDocument/2006/relationships/hyperlink" Target="https://statiz.sporki.com/player/?m=playerinfo&amp;p_no=14146" TargetMode="External"/><Relationship Id="rId13822" Type="http://schemas.openxmlformats.org/officeDocument/2006/relationships/hyperlink" Target="https://statiz.sporki.com/player/?m=playerinfo&amp;p_no=11315" TargetMode="External"/><Relationship Id="rId19037" Type="http://schemas.openxmlformats.org/officeDocument/2006/relationships/hyperlink" Target="https://statiz.sporki.com/add/?m=draft_school01&amp;ps_school=50604" TargetMode="External"/><Relationship Id="rId1432" Type="http://schemas.openxmlformats.org/officeDocument/2006/relationships/hyperlink" Target="https://statiz.sporki.com/player/?m=playerinfo&amp;p_no=14613" TargetMode="External"/><Relationship Id="rId2830" Type="http://schemas.openxmlformats.org/officeDocument/2006/relationships/hyperlink" Target="https://statiz.sporki.com/player/?m=playerinfo&amp;p_no=12917" TargetMode="External"/><Relationship Id="rId8045" Type="http://schemas.openxmlformats.org/officeDocument/2006/relationships/hyperlink" Target="https://statiz.sporki.com/add/?m=draft_school01&amp;ps_school=50501" TargetMode="External"/><Relationship Id="rId11026" Type="http://schemas.openxmlformats.org/officeDocument/2006/relationships/hyperlink" Target="https://statiz.sporki.com/player/?m=playerinfo&amp;p_no=1349" TargetMode="External"/><Relationship Id="rId12424" Type="http://schemas.openxmlformats.org/officeDocument/2006/relationships/hyperlink" Target="https://statiz.sporki.com/player/?m=playerinfo&amp;p_no=15007" TargetMode="External"/><Relationship Id="rId15994" Type="http://schemas.openxmlformats.org/officeDocument/2006/relationships/hyperlink" Target="https://statiz.sporki.com/player/?m=playerinfo&amp;p_no=1151" TargetMode="External"/><Relationship Id="rId802" Type="http://schemas.openxmlformats.org/officeDocument/2006/relationships/hyperlink" Target="https://statiz.sporki.com/player/?m=playerinfo&amp;p_no=15022" TargetMode="External"/><Relationship Id="rId14596" Type="http://schemas.openxmlformats.org/officeDocument/2006/relationships/hyperlink" Target="https://statiz.sporki.com/player/?m=playerinfo&amp;p_no=10290" TargetMode="External"/><Relationship Id="rId15647" Type="http://schemas.openxmlformats.org/officeDocument/2006/relationships/hyperlink" Target="https://statiz.sporki.com/player/?m=playerinfo&amp;p_no=1513" TargetMode="External"/><Relationship Id="rId4655" Type="http://schemas.openxmlformats.org/officeDocument/2006/relationships/hyperlink" Target="https://statiz.sporki.com/add/?m=draft_school01&amp;ps_school=50403" TargetMode="External"/><Relationship Id="rId5706" Type="http://schemas.openxmlformats.org/officeDocument/2006/relationships/hyperlink" Target="https://statiz.sporki.com/add/?m=draft_school02&amp;ps_school=60108" TargetMode="External"/><Relationship Id="rId13198" Type="http://schemas.openxmlformats.org/officeDocument/2006/relationships/hyperlink" Target="https://statiz.sporki.com/player/?m=playerinfo&amp;p_no=12569" TargetMode="External"/><Relationship Id="rId14249" Type="http://schemas.openxmlformats.org/officeDocument/2006/relationships/hyperlink" Target="https://statiz.sporki.com/player/?m=playerinfo&amp;p_no=10587" TargetMode="External"/><Relationship Id="rId18120" Type="http://schemas.openxmlformats.org/officeDocument/2006/relationships/hyperlink" Target="https://statiz.sporki.com/add/?m=draft_school01&amp;ps_school=50601" TargetMode="External"/><Relationship Id="rId178" Type="http://schemas.openxmlformats.org/officeDocument/2006/relationships/hyperlink" Target="https://statiz.sporki.com/player/?m=playerinfo&amp;p_no=15522" TargetMode="External"/><Relationship Id="rId3257" Type="http://schemas.openxmlformats.org/officeDocument/2006/relationships/hyperlink" Target="https://statiz.sporki.com/add/?m=draft_school01&amp;ps_school=50802" TargetMode="External"/><Relationship Id="rId4308" Type="http://schemas.openxmlformats.org/officeDocument/2006/relationships/hyperlink" Target="https://statiz.sporki.com/add/?m=draft_school02&amp;ps_school=" TargetMode="External"/><Relationship Id="rId7878" Type="http://schemas.openxmlformats.org/officeDocument/2006/relationships/hyperlink" Target="https://statiz.sporki.com/add/?m=draft_school02&amp;ps_school=60113" TargetMode="External"/><Relationship Id="rId8929" Type="http://schemas.openxmlformats.org/officeDocument/2006/relationships/hyperlink" Target="https://statiz.sporki.com/player/?m=playerinfo&amp;p_no=10097" TargetMode="External"/><Relationship Id="rId10859" Type="http://schemas.openxmlformats.org/officeDocument/2006/relationships/hyperlink" Target="https://statiz.sporki.com/add/?m=draft_school01&amp;ps_school=50403" TargetMode="External"/><Relationship Id="rId14730" Type="http://schemas.openxmlformats.org/officeDocument/2006/relationships/hyperlink" Target="https://statiz.sporki.com/player/?m=playerinfo&amp;p_no=2200" TargetMode="External"/><Relationship Id="rId12281" Type="http://schemas.openxmlformats.org/officeDocument/2006/relationships/hyperlink" Target="https://statiz.sporki.com/player/?m=playerinfo&amp;p_no=15618" TargetMode="External"/><Relationship Id="rId13332" Type="http://schemas.openxmlformats.org/officeDocument/2006/relationships/hyperlink" Target="https://statiz.sporki.com/player/?m=playerinfo&amp;p_no=13000" TargetMode="External"/><Relationship Id="rId2340" Type="http://schemas.openxmlformats.org/officeDocument/2006/relationships/hyperlink" Target="https://statiz.sporki.com/add/?m=draft_school02&amp;ps_school=" TargetMode="External"/><Relationship Id="rId17953" Type="http://schemas.openxmlformats.org/officeDocument/2006/relationships/hyperlink" Target="https://statiz.sporki.com/add/?m=draft_school01&amp;ps_school=50103" TargetMode="External"/><Relationship Id="rId312" Type="http://schemas.openxmlformats.org/officeDocument/2006/relationships/hyperlink" Target="https://statiz.sporki.com/add/?m=draft_school02&amp;ps_school=60501" TargetMode="External"/><Relationship Id="rId5563" Type="http://schemas.openxmlformats.org/officeDocument/2006/relationships/hyperlink" Target="https://statiz.sporki.com/player/?m=playerinfo&amp;p_no=11160" TargetMode="External"/><Relationship Id="rId6961" Type="http://schemas.openxmlformats.org/officeDocument/2006/relationships/hyperlink" Target="https://statiz.sporki.com/player/?m=playerinfo&amp;p_no=2332" TargetMode="External"/><Relationship Id="rId15157" Type="http://schemas.openxmlformats.org/officeDocument/2006/relationships/hyperlink" Target="https://statiz.sporki.com/player/?m=playerinfo&amp;p_no=2057" TargetMode="External"/><Relationship Id="rId16555" Type="http://schemas.openxmlformats.org/officeDocument/2006/relationships/hyperlink" Target="https://statiz.sporki.com/add/?m=draft_school01&amp;ps_school=50102" TargetMode="External"/><Relationship Id="rId17606" Type="http://schemas.openxmlformats.org/officeDocument/2006/relationships/hyperlink" Target="https://statiz.sporki.com/add/?m=draft_school01&amp;ps_school=50901" TargetMode="External"/><Relationship Id="rId4165" Type="http://schemas.openxmlformats.org/officeDocument/2006/relationships/hyperlink" Target="https://statiz.sporki.com/player/?m=playerinfo&amp;p_no=13279" TargetMode="External"/><Relationship Id="rId5216" Type="http://schemas.openxmlformats.org/officeDocument/2006/relationships/hyperlink" Target="https://statiz.sporki.com/add/?m=draft_school01&amp;ps_school=51001" TargetMode="External"/><Relationship Id="rId6614" Type="http://schemas.openxmlformats.org/officeDocument/2006/relationships/hyperlink" Target="https://statiz.sporki.com/add/?m=draft_school01&amp;ps_school=50202" TargetMode="External"/><Relationship Id="rId16208" Type="http://schemas.openxmlformats.org/officeDocument/2006/relationships/hyperlink" Target="https://statiz.sporki.com/add/?m=draft_school01&amp;ps_school=50111" TargetMode="External"/><Relationship Id="rId8786" Type="http://schemas.openxmlformats.org/officeDocument/2006/relationships/hyperlink" Target="https://statiz.sporki.com/add/?m=draft_school01&amp;ps_school=50711" TargetMode="External"/><Relationship Id="rId9837" Type="http://schemas.openxmlformats.org/officeDocument/2006/relationships/hyperlink" Target="https://statiz.sporki.com/add/?m=draft_school02&amp;ps_school=60803" TargetMode="External"/><Relationship Id="rId11767" Type="http://schemas.openxmlformats.org/officeDocument/2006/relationships/hyperlink" Target="https://statiz.sporki.com/player/?m=playerinfo&amp;p_no=1122" TargetMode="External"/><Relationship Id="rId12818" Type="http://schemas.openxmlformats.org/officeDocument/2006/relationships/hyperlink" Target="https://statiz.sporki.com/player/?m=playerinfo&amp;p_no=14191" TargetMode="External"/><Relationship Id="rId1826" Type="http://schemas.openxmlformats.org/officeDocument/2006/relationships/hyperlink" Target="https://statiz.sporki.com/add/?m=draft_school01&amp;ps_school=50103" TargetMode="External"/><Relationship Id="rId7388" Type="http://schemas.openxmlformats.org/officeDocument/2006/relationships/hyperlink" Target="https://statiz.sporki.com/add/?m=draft_school01&amp;ps_school=50109" TargetMode="External"/><Relationship Id="rId8439" Type="http://schemas.openxmlformats.org/officeDocument/2006/relationships/hyperlink" Target="https://statiz.sporki.com/add/?m=draft_school02&amp;ps_school=61000" TargetMode="External"/><Relationship Id="rId10369" Type="http://schemas.openxmlformats.org/officeDocument/2006/relationships/hyperlink" Target="https://statiz.sporki.com/player/?m=playerinfo&amp;p_no=1696" TargetMode="External"/><Relationship Id="rId14240" Type="http://schemas.openxmlformats.org/officeDocument/2006/relationships/hyperlink" Target="https://statiz.sporki.com/player/?m=playerinfo&amp;p_no=10309" TargetMode="External"/><Relationship Id="rId18861" Type="http://schemas.openxmlformats.org/officeDocument/2006/relationships/hyperlink" Target="https://statiz.sporki.com/add/?m=draft_school01&amp;ps_school=50805" TargetMode="External"/><Relationship Id="rId3998" Type="http://schemas.openxmlformats.org/officeDocument/2006/relationships/hyperlink" Target="https://statiz.sporki.com/add/?m=draft_school01&amp;ps_school=50804" TargetMode="External"/><Relationship Id="rId8920" Type="http://schemas.openxmlformats.org/officeDocument/2006/relationships/hyperlink" Target="https://statiz.sporki.com/player/?m=playerinfo&amp;p_no=1926" TargetMode="External"/><Relationship Id="rId17463" Type="http://schemas.openxmlformats.org/officeDocument/2006/relationships/hyperlink" Target="https://statiz.sporki.com/add/?m=draft_school01&amp;ps_school=50402" TargetMode="External"/><Relationship Id="rId18514" Type="http://schemas.openxmlformats.org/officeDocument/2006/relationships/hyperlink" Target="https://statiz.sporki.com/add/?m=draft_school01&amp;ps_school=50701" TargetMode="External"/><Relationship Id="rId6471" Type="http://schemas.openxmlformats.org/officeDocument/2006/relationships/hyperlink" Target="https://statiz.sporki.com/add/?m=draft_school02&amp;ps_school=60501" TargetMode="External"/><Relationship Id="rId7522" Type="http://schemas.openxmlformats.org/officeDocument/2006/relationships/hyperlink" Target="https://statiz.sporki.com/player/?m=playerinfo&amp;p_no=2269" TargetMode="External"/><Relationship Id="rId10850" Type="http://schemas.openxmlformats.org/officeDocument/2006/relationships/hyperlink" Target="https://statiz.sporki.com/add/?m=draft_school01&amp;ps_school=50701" TargetMode="External"/><Relationship Id="rId11901" Type="http://schemas.openxmlformats.org/officeDocument/2006/relationships/hyperlink" Target="https://statiz.sporki.com/add/?m=draft_school02&amp;ps_school=60803" TargetMode="External"/><Relationship Id="rId16065" Type="http://schemas.openxmlformats.org/officeDocument/2006/relationships/hyperlink" Target="https://statiz.sporki.com/player/?m=playerinfo&amp;p_no=1127" TargetMode="External"/><Relationship Id="rId17116" Type="http://schemas.openxmlformats.org/officeDocument/2006/relationships/hyperlink" Target="https://statiz.sporki.com/add/?m=draft_school01&amp;ps_school=50403" TargetMode="External"/><Relationship Id="rId5073" Type="http://schemas.openxmlformats.org/officeDocument/2006/relationships/hyperlink" Target="https://statiz.sporki.com/add/?m=draft_school02&amp;ps_school=" TargetMode="External"/><Relationship Id="rId6124" Type="http://schemas.openxmlformats.org/officeDocument/2006/relationships/hyperlink" Target="https://statiz.sporki.com/player/?m=playerinfo&amp;p_no=10506" TargetMode="External"/><Relationship Id="rId9694" Type="http://schemas.openxmlformats.org/officeDocument/2006/relationships/hyperlink" Target="https://statiz.sporki.com/player/?m=playerinfo&amp;p_no=1752" TargetMode="External"/><Relationship Id="rId10503" Type="http://schemas.openxmlformats.org/officeDocument/2006/relationships/hyperlink" Target="https://statiz.sporki.com/add/?m=draft_school02&amp;ps_school=" TargetMode="External"/><Relationship Id="rId19288" Type="http://schemas.openxmlformats.org/officeDocument/2006/relationships/hyperlink" Target="https://statiz.sporki.com/add/?m=draft_school01&amp;ps_school=50107" TargetMode="External"/><Relationship Id="rId8296" Type="http://schemas.openxmlformats.org/officeDocument/2006/relationships/hyperlink" Target="https://statiz.sporki.com/player/?m=playerinfo&amp;p_no=10463" TargetMode="External"/><Relationship Id="rId9347" Type="http://schemas.openxmlformats.org/officeDocument/2006/relationships/hyperlink" Target="https://statiz.sporki.com/add/?m=draft_school01&amp;ps_school=50115" TargetMode="External"/><Relationship Id="rId12675" Type="http://schemas.openxmlformats.org/officeDocument/2006/relationships/hyperlink" Target="https://statiz.sporki.com/player/?m=playerinfo&amp;p_no=14716" TargetMode="External"/><Relationship Id="rId13726" Type="http://schemas.openxmlformats.org/officeDocument/2006/relationships/hyperlink" Target="https://statiz.sporki.com/player/?m=playerinfo&amp;p_no=11185" TargetMode="External"/><Relationship Id="rId1683" Type="http://schemas.openxmlformats.org/officeDocument/2006/relationships/hyperlink" Target="https://statiz.sporki.com/add/?m=draft_school02&amp;ps_school=" TargetMode="External"/><Relationship Id="rId2734" Type="http://schemas.openxmlformats.org/officeDocument/2006/relationships/hyperlink" Target="https://statiz.sporki.com/player/?m=playerinfo&amp;p_no=13236" TargetMode="External"/><Relationship Id="rId11277" Type="http://schemas.openxmlformats.org/officeDocument/2006/relationships/hyperlink" Target="https://statiz.sporki.com/add/?m=draft_school02&amp;ps_school=" TargetMode="External"/><Relationship Id="rId12328" Type="http://schemas.openxmlformats.org/officeDocument/2006/relationships/hyperlink" Target="https://statiz.sporki.com/player/?m=playerinfo&amp;p_no=15069" TargetMode="External"/><Relationship Id="rId15898" Type="http://schemas.openxmlformats.org/officeDocument/2006/relationships/hyperlink" Target="https://statiz.sporki.com/player/?m=playerinfo&amp;p_no=1259" TargetMode="External"/><Relationship Id="rId16949" Type="http://schemas.openxmlformats.org/officeDocument/2006/relationships/hyperlink" Target="https://statiz.sporki.com/add/?m=draft_school01&amp;ps_school=50705" TargetMode="External"/><Relationship Id="rId706" Type="http://schemas.openxmlformats.org/officeDocument/2006/relationships/hyperlink" Target="https://statiz.sporki.com/player/?m=playerinfo&amp;p_no=15041" TargetMode="External"/><Relationship Id="rId1336" Type="http://schemas.openxmlformats.org/officeDocument/2006/relationships/hyperlink" Target="https://statiz.sporki.com/player/?m=playerinfo&amp;p_no=14761" TargetMode="External"/><Relationship Id="rId5957" Type="http://schemas.openxmlformats.org/officeDocument/2006/relationships/hyperlink" Target="https://statiz.sporki.com/add/?m=draft_school01&amp;ps_school=" TargetMode="External"/><Relationship Id="rId18371" Type="http://schemas.openxmlformats.org/officeDocument/2006/relationships/hyperlink" Target="https://statiz.sporki.com/add/?m=draft_school01&amp;ps_school=50301" TargetMode="External"/><Relationship Id="rId19422" Type="http://schemas.openxmlformats.org/officeDocument/2006/relationships/hyperlink" Target="https://statiz.sporki.com/add/?m=draft_school01&amp;ps_school=50812" TargetMode="External"/><Relationship Id="rId42" Type="http://schemas.openxmlformats.org/officeDocument/2006/relationships/hyperlink" Target="https://statiz.sporki.com/add/?m=draft_school02&amp;ps_school=" TargetMode="External"/><Relationship Id="rId4559" Type="http://schemas.openxmlformats.org/officeDocument/2006/relationships/hyperlink" Target="https://statiz.sporki.com/add/?m=draft_school01&amp;ps_school=50108" TargetMode="External"/><Relationship Id="rId8430" Type="http://schemas.openxmlformats.org/officeDocument/2006/relationships/hyperlink" Target="https://statiz.sporki.com/add/?m=draft_school02&amp;ps_school=60113" TargetMode="External"/><Relationship Id="rId10360" Type="http://schemas.openxmlformats.org/officeDocument/2006/relationships/hyperlink" Target="https://statiz.sporki.com/player/?m=playerinfo&amp;p_no=1537" TargetMode="External"/><Relationship Id="rId11411" Type="http://schemas.openxmlformats.org/officeDocument/2006/relationships/hyperlink" Target="https://statiz.sporki.com/add/?m=draft_school01&amp;ps_school=50110" TargetMode="External"/><Relationship Id="rId18024" Type="http://schemas.openxmlformats.org/officeDocument/2006/relationships/hyperlink" Target="https://statiz.sporki.com/add/?m=draft_school01&amp;ps_school=50805" TargetMode="External"/><Relationship Id="rId7032" Type="http://schemas.openxmlformats.org/officeDocument/2006/relationships/hyperlink" Target="https://statiz.sporki.com/add/?m=draft_school02&amp;ps_school=" TargetMode="External"/><Relationship Id="rId10013" Type="http://schemas.openxmlformats.org/officeDocument/2006/relationships/hyperlink" Target="https://statiz.sporki.com/add/?m=draft_school01&amp;ps_school=50604" TargetMode="External"/><Relationship Id="rId13583" Type="http://schemas.openxmlformats.org/officeDocument/2006/relationships/hyperlink" Target="https://statiz.sporki.com/player/?m=playerinfo&amp;p_no=11217" TargetMode="External"/><Relationship Id="rId14981" Type="http://schemas.openxmlformats.org/officeDocument/2006/relationships/hyperlink" Target="https://statiz.sporki.com/player/?m=playerinfo&amp;p_no=2025" TargetMode="External"/><Relationship Id="rId2591" Type="http://schemas.openxmlformats.org/officeDocument/2006/relationships/hyperlink" Target="https://statiz.sporki.com/add/?m=draft_school01&amp;ps_school=50606" TargetMode="External"/><Relationship Id="rId3642" Type="http://schemas.openxmlformats.org/officeDocument/2006/relationships/hyperlink" Target="https://statiz.sporki.com/add/?m=draft_school02&amp;ps_school=" TargetMode="External"/><Relationship Id="rId12185" Type="http://schemas.openxmlformats.org/officeDocument/2006/relationships/hyperlink" Target="https://statiz.sporki.com/player/?m=playerinfo&amp;p_no=15454" TargetMode="External"/><Relationship Id="rId13236" Type="http://schemas.openxmlformats.org/officeDocument/2006/relationships/hyperlink" Target="https://statiz.sporki.com/player/?m=playerinfo&amp;p_no=12630" TargetMode="External"/><Relationship Id="rId14634" Type="http://schemas.openxmlformats.org/officeDocument/2006/relationships/hyperlink" Target="https://statiz.sporki.com/player/?m=playerinfo&amp;p_no=2266" TargetMode="External"/><Relationship Id="rId563" Type="http://schemas.openxmlformats.org/officeDocument/2006/relationships/hyperlink" Target="https://statiz.sporki.com/add/?m=draft_school01&amp;ps_school=50606" TargetMode="External"/><Relationship Id="rId1193" Type="http://schemas.openxmlformats.org/officeDocument/2006/relationships/hyperlink" Target="https://statiz.sporki.com/add/?m=draft_school01&amp;ps_school=50119" TargetMode="External"/><Relationship Id="rId2244" Type="http://schemas.openxmlformats.org/officeDocument/2006/relationships/hyperlink" Target="https://statiz.sporki.com/add/?m=draft_school02&amp;ps_school=" TargetMode="External"/><Relationship Id="rId17857" Type="http://schemas.openxmlformats.org/officeDocument/2006/relationships/hyperlink" Target="https://statiz.sporki.com/add/?m=draft_school01&amp;ps_school=50502" TargetMode="External"/><Relationship Id="rId18908" Type="http://schemas.openxmlformats.org/officeDocument/2006/relationships/hyperlink" Target="https://statiz.sporki.com/add/?m=draft_school01&amp;ps_school=50401" TargetMode="External"/><Relationship Id="rId216" Type="http://schemas.openxmlformats.org/officeDocument/2006/relationships/hyperlink" Target="https://statiz.sporki.com/add/?m=draft_school02&amp;ps_school=" TargetMode="External"/><Relationship Id="rId6865" Type="http://schemas.openxmlformats.org/officeDocument/2006/relationships/hyperlink" Target="https://statiz.sporki.com/player/?m=playerinfo&amp;p_no=2344" TargetMode="External"/><Relationship Id="rId7916" Type="http://schemas.openxmlformats.org/officeDocument/2006/relationships/hyperlink" Target="https://statiz.sporki.com/add/?m=draft_school01&amp;ps_school=50401" TargetMode="External"/><Relationship Id="rId16459" Type="http://schemas.openxmlformats.org/officeDocument/2006/relationships/hyperlink" Target="https://statiz.sporki.com/add/?m=draft_school01&amp;ps_school=50102" TargetMode="External"/><Relationship Id="rId4069" Type="http://schemas.openxmlformats.org/officeDocument/2006/relationships/hyperlink" Target="https://statiz.sporki.com/player/?m=playerinfo&amp;p_no=11235" TargetMode="External"/><Relationship Id="rId5467" Type="http://schemas.openxmlformats.org/officeDocument/2006/relationships/hyperlink" Target="https://statiz.sporki.com/player/?m=playerinfo&amp;p_no=10516" TargetMode="External"/><Relationship Id="rId6518" Type="http://schemas.openxmlformats.org/officeDocument/2006/relationships/hyperlink" Target="https://statiz.sporki.com/add/?m=draft_school01&amp;ps_school=50209" TargetMode="External"/><Relationship Id="rId16940" Type="http://schemas.openxmlformats.org/officeDocument/2006/relationships/hyperlink" Target="https://statiz.sporki.com/add/?m=draft_school01&amp;ps_school=50114" TargetMode="External"/><Relationship Id="rId14491" Type="http://schemas.openxmlformats.org/officeDocument/2006/relationships/hyperlink" Target="https://statiz.sporki.com/player/?m=playerinfo&amp;p_no=10802" TargetMode="External"/><Relationship Id="rId15542" Type="http://schemas.openxmlformats.org/officeDocument/2006/relationships/hyperlink" Target="https://statiz.sporki.com/player/?m=playerinfo&amp;p_no=1613" TargetMode="External"/><Relationship Id="rId4550" Type="http://schemas.openxmlformats.org/officeDocument/2006/relationships/hyperlink" Target="https://statiz.sporki.com/add/?m=draft_school01&amp;ps_school=50903" TargetMode="External"/><Relationship Id="rId5601" Type="http://schemas.openxmlformats.org/officeDocument/2006/relationships/hyperlink" Target="https://statiz.sporki.com/add/?m=draft_school02&amp;ps_school=60703" TargetMode="External"/><Relationship Id="rId13093" Type="http://schemas.openxmlformats.org/officeDocument/2006/relationships/hyperlink" Target="https://statiz.sporki.com/player/?m=playerinfo&amp;p_no=12932" TargetMode="External"/><Relationship Id="rId14144" Type="http://schemas.openxmlformats.org/officeDocument/2006/relationships/hyperlink" Target="https://statiz.sporki.com/player/?m=playerinfo&amp;p_no=11354" TargetMode="External"/><Relationship Id="rId3152" Type="http://schemas.openxmlformats.org/officeDocument/2006/relationships/hyperlink" Target="https://statiz.sporki.com/add/?m=draft_school01&amp;ps_school=50701" TargetMode="External"/><Relationship Id="rId4203" Type="http://schemas.openxmlformats.org/officeDocument/2006/relationships/hyperlink" Target="https://statiz.sporki.com/add/?m=draft_school02&amp;ps_school=60204" TargetMode="External"/><Relationship Id="rId7773" Type="http://schemas.openxmlformats.org/officeDocument/2006/relationships/hyperlink" Target="https://statiz.sporki.com/add/?m=draft_school02&amp;ps_school=" TargetMode="External"/><Relationship Id="rId8824" Type="http://schemas.openxmlformats.org/officeDocument/2006/relationships/hyperlink" Target="https://statiz.sporki.com/player/?m=playerinfo&amp;p_no=1920" TargetMode="External"/><Relationship Id="rId17367" Type="http://schemas.openxmlformats.org/officeDocument/2006/relationships/hyperlink" Target="https://statiz.sporki.com/add/?m=draft_school01&amp;ps_school=50702" TargetMode="External"/><Relationship Id="rId18765" Type="http://schemas.openxmlformats.org/officeDocument/2006/relationships/hyperlink" Target="https://statiz.sporki.com/add/?m=draft_school01&amp;ps_school=50113" TargetMode="External"/><Relationship Id="rId6375" Type="http://schemas.openxmlformats.org/officeDocument/2006/relationships/hyperlink" Target="https://statiz.sporki.com/add/?m=draft_school02&amp;ps_school=60101" TargetMode="External"/><Relationship Id="rId7426" Type="http://schemas.openxmlformats.org/officeDocument/2006/relationships/hyperlink" Target="https://statiz.sporki.com/player/?m=playerinfo&amp;p_no=10031" TargetMode="External"/><Relationship Id="rId10754" Type="http://schemas.openxmlformats.org/officeDocument/2006/relationships/hyperlink" Target="https://statiz.sporki.com/add/?m=draft_school01&amp;ps_school=" TargetMode="External"/><Relationship Id="rId11805" Type="http://schemas.openxmlformats.org/officeDocument/2006/relationships/hyperlink" Target="https://statiz.sporki.com/add/?m=draft_school02&amp;ps_school=" TargetMode="External"/><Relationship Id="rId18418" Type="http://schemas.openxmlformats.org/officeDocument/2006/relationships/hyperlink" Target="https://statiz.sporki.com/add/?m=draft_school01&amp;ps_school=50502" TargetMode="External"/><Relationship Id="rId6028" Type="http://schemas.openxmlformats.org/officeDocument/2006/relationships/hyperlink" Target="https://statiz.sporki.com/player/?m=playerinfo&amp;p_no=10235" TargetMode="External"/><Relationship Id="rId9598" Type="http://schemas.openxmlformats.org/officeDocument/2006/relationships/hyperlink" Target="https://statiz.sporki.com/player/?m=playerinfo&amp;p_no=1720" TargetMode="External"/><Relationship Id="rId10407" Type="http://schemas.openxmlformats.org/officeDocument/2006/relationships/hyperlink" Target="https://statiz.sporki.com/add/?m=draft_school02&amp;ps_school=60801" TargetMode="External"/><Relationship Id="rId13977" Type="http://schemas.openxmlformats.org/officeDocument/2006/relationships/hyperlink" Target="https://statiz.sporki.com/player/?m=playerinfo&amp;p_no=10066" TargetMode="External"/><Relationship Id="rId2985" Type="http://schemas.openxmlformats.org/officeDocument/2006/relationships/hyperlink" Target="https://statiz.sporki.com/add/?m=draft_school02&amp;ps_school=60114" TargetMode="External"/><Relationship Id="rId12579" Type="http://schemas.openxmlformats.org/officeDocument/2006/relationships/hyperlink" Target="https://statiz.sporki.com/player/?m=playerinfo&amp;p_no=14751" TargetMode="External"/><Relationship Id="rId16450" Type="http://schemas.openxmlformats.org/officeDocument/2006/relationships/hyperlink" Target="https://statiz.sporki.com/add/?m=draft_school01&amp;ps_school=50806" TargetMode="External"/><Relationship Id="rId17501" Type="http://schemas.openxmlformats.org/officeDocument/2006/relationships/hyperlink" Target="https://statiz.sporki.com/add/?m=draft_school01&amp;ps_school=50207" TargetMode="External"/><Relationship Id="rId957" Type="http://schemas.openxmlformats.org/officeDocument/2006/relationships/hyperlink" Target="https://statiz.sporki.com/add/?m=draft_school02&amp;ps_school=60902" TargetMode="External"/><Relationship Id="rId1587" Type="http://schemas.openxmlformats.org/officeDocument/2006/relationships/hyperlink" Target="https://statiz.sporki.com/add/?m=draft_school02&amp;ps_school=" TargetMode="External"/><Relationship Id="rId2638" Type="http://schemas.openxmlformats.org/officeDocument/2006/relationships/hyperlink" Target="https://statiz.sporki.com/player/?m=playerinfo&amp;p_no=13286" TargetMode="External"/><Relationship Id="rId15052" Type="http://schemas.openxmlformats.org/officeDocument/2006/relationships/hyperlink" Target="https://statiz.sporki.com/player/?m=playerinfo&amp;p_no=2023" TargetMode="External"/><Relationship Id="rId16103" Type="http://schemas.openxmlformats.org/officeDocument/2006/relationships/hyperlink" Target="https://statiz.sporki.com/player/?m=playerinfo&amp;p_no=1120" TargetMode="External"/><Relationship Id="rId4060" Type="http://schemas.openxmlformats.org/officeDocument/2006/relationships/hyperlink" Target="https://statiz.sporki.com/player/?m=playerinfo&amp;p_no=11329" TargetMode="External"/><Relationship Id="rId5111" Type="http://schemas.openxmlformats.org/officeDocument/2006/relationships/hyperlink" Target="https://statiz.sporki.com/add/?m=draft_school01&amp;ps_school=50303" TargetMode="External"/><Relationship Id="rId8681" Type="http://schemas.openxmlformats.org/officeDocument/2006/relationships/hyperlink" Target="https://statiz.sporki.com/add/?m=draft_school01&amp;ps_school=50105" TargetMode="External"/><Relationship Id="rId9732" Type="http://schemas.openxmlformats.org/officeDocument/2006/relationships/hyperlink" Target="https://statiz.sporki.com/add/?m=draft_school02&amp;ps_school=" TargetMode="External"/><Relationship Id="rId11662" Type="http://schemas.openxmlformats.org/officeDocument/2006/relationships/hyperlink" Target="https://statiz.sporki.com/player/?m=playerinfo&amp;p_no=1167" TargetMode="External"/><Relationship Id="rId18275" Type="http://schemas.openxmlformats.org/officeDocument/2006/relationships/hyperlink" Target="https://statiz.sporki.com/add/?m=draft_school01&amp;ps_school=50101" TargetMode="External"/><Relationship Id="rId19326" Type="http://schemas.openxmlformats.org/officeDocument/2006/relationships/hyperlink" Target="https://statiz.sporki.com/add/?m=draft_school01&amp;ps_school=50122" TargetMode="External"/><Relationship Id="rId1721" Type="http://schemas.openxmlformats.org/officeDocument/2006/relationships/hyperlink" Target="https://statiz.sporki.com/add/?m=draft_school01&amp;ps_school=" TargetMode="External"/><Relationship Id="rId7283" Type="http://schemas.openxmlformats.org/officeDocument/2006/relationships/hyperlink" Target="https://statiz.sporki.com/add/?m=draft_school01&amp;ps_school=50112" TargetMode="External"/><Relationship Id="rId8334" Type="http://schemas.openxmlformats.org/officeDocument/2006/relationships/hyperlink" Target="https://statiz.sporki.com/add/?m=draft_school02&amp;ps_school=" TargetMode="External"/><Relationship Id="rId10264" Type="http://schemas.openxmlformats.org/officeDocument/2006/relationships/hyperlink" Target="https://statiz.sporki.com/player/?m=playerinfo&amp;p_no=15650" TargetMode="External"/><Relationship Id="rId11315" Type="http://schemas.openxmlformats.org/officeDocument/2006/relationships/hyperlink" Target="https://statiz.sporki.com/add/?m=draft_school01&amp;ps_school=50209" TargetMode="External"/><Relationship Id="rId12713" Type="http://schemas.openxmlformats.org/officeDocument/2006/relationships/hyperlink" Target="https://statiz.sporki.com/player/?m=playerinfo&amp;p_no=14610" TargetMode="External"/><Relationship Id="rId14885" Type="http://schemas.openxmlformats.org/officeDocument/2006/relationships/hyperlink" Target="https://statiz.sporki.com/player/?m=playerinfo&amp;p_no=11454" TargetMode="External"/><Relationship Id="rId15936" Type="http://schemas.openxmlformats.org/officeDocument/2006/relationships/hyperlink" Target="https://statiz.sporki.com/player/?m=playerinfo&amp;p_no=1430" TargetMode="External"/><Relationship Id="rId2495" Type="http://schemas.openxmlformats.org/officeDocument/2006/relationships/hyperlink" Target="https://statiz.sporki.com/add/?m=draft_school01&amp;ps_school=50403" TargetMode="External"/><Relationship Id="rId3893" Type="http://schemas.openxmlformats.org/officeDocument/2006/relationships/hyperlink" Target="https://statiz.sporki.com/add/?m=draft_school01&amp;ps_school=" TargetMode="External"/><Relationship Id="rId4944" Type="http://schemas.openxmlformats.org/officeDocument/2006/relationships/hyperlink" Target="https://statiz.sporki.com/add/?m=draft_school02&amp;ps_school=60203" TargetMode="External"/><Relationship Id="rId12089" Type="http://schemas.openxmlformats.org/officeDocument/2006/relationships/hyperlink" Target="https://statiz.sporki.com/add/?m=draft_school01&amp;ps_school=50501" TargetMode="External"/><Relationship Id="rId13487" Type="http://schemas.openxmlformats.org/officeDocument/2006/relationships/hyperlink" Target="https://statiz.sporki.com/player/?m=playerinfo&amp;p_no=11196" TargetMode="External"/><Relationship Id="rId14538" Type="http://schemas.openxmlformats.org/officeDocument/2006/relationships/hyperlink" Target="https://statiz.sporki.com/player/?m=playerinfo&amp;p_no=2306" TargetMode="External"/><Relationship Id="rId467" Type="http://schemas.openxmlformats.org/officeDocument/2006/relationships/hyperlink" Target="https://statiz.sporki.com/add/?m=draft_school01&amp;ps_school=50111" TargetMode="External"/><Relationship Id="rId1097" Type="http://schemas.openxmlformats.org/officeDocument/2006/relationships/hyperlink" Target="https://statiz.sporki.com/add/?m=draft_school01&amp;ps_school=50105" TargetMode="External"/><Relationship Id="rId2148" Type="http://schemas.openxmlformats.org/officeDocument/2006/relationships/hyperlink" Target="https://statiz.sporki.com/add/?m=draft_school02&amp;ps_school=" TargetMode="External"/><Relationship Id="rId3546" Type="http://schemas.openxmlformats.org/officeDocument/2006/relationships/hyperlink" Target="https://statiz.sporki.com/add/?m=draft_school02&amp;ps_school=" TargetMode="External"/><Relationship Id="rId17011" Type="http://schemas.openxmlformats.org/officeDocument/2006/relationships/hyperlink" Target="https://statiz.sporki.com/add/?m=draft_school01&amp;ps_school=50103" TargetMode="External"/><Relationship Id="rId6769" Type="http://schemas.openxmlformats.org/officeDocument/2006/relationships/hyperlink" Target="https://statiz.sporki.com/player/?m=playerinfo&amp;p_no=10425" TargetMode="External"/><Relationship Id="rId12570" Type="http://schemas.openxmlformats.org/officeDocument/2006/relationships/hyperlink" Target="https://statiz.sporki.com/player/?m=playerinfo&amp;p_no=14994" TargetMode="External"/><Relationship Id="rId13621" Type="http://schemas.openxmlformats.org/officeDocument/2006/relationships/hyperlink" Target="https://statiz.sporki.com/player/?m=playerinfo&amp;p_no=11126" TargetMode="External"/><Relationship Id="rId19183" Type="http://schemas.openxmlformats.org/officeDocument/2006/relationships/hyperlink" Target="https://statiz.sporki.com/add/?m=draft_school01&amp;ps_school=50209" TargetMode="External"/><Relationship Id="rId8191" Type="http://schemas.openxmlformats.org/officeDocument/2006/relationships/hyperlink" Target="https://statiz.sporki.com/player/?m=playerinfo&amp;p_no=10443" TargetMode="External"/><Relationship Id="rId9242" Type="http://schemas.openxmlformats.org/officeDocument/2006/relationships/hyperlink" Target="https://statiz.sporki.com/add/?m=draft_school01&amp;ps_school=50121" TargetMode="External"/><Relationship Id="rId11172" Type="http://schemas.openxmlformats.org/officeDocument/2006/relationships/hyperlink" Target="https://statiz.sporki.com/add/?m=draft_school02&amp;ps_school=60104" TargetMode="External"/><Relationship Id="rId12223" Type="http://schemas.openxmlformats.org/officeDocument/2006/relationships/hyperlink" Target="https://statiz.sporki.com/player/?m=playerinfo&amp;p_no=15439" TargetMode="External"/><Relationship Id="rId15793" Type="http://schemas.openxmlformats.org/officeDocument/2006/relationships/hyperlink" Target="https://statiz.sporki.com/player/?m=playerinfo&amp;p_no=1408" TargetMode="External"/><Relationship Id="rId601" Type="http://schemas.openxmlformats.org/officeDocument/2006/relationships/hyperlink" Target="https://statiz.sporki.com/player/?m=playerinfo&amp;p_no=15082" TargetMode="External"/><Relationship Id="rId1231" Type="http://schemas.openxmlformats.org/officeDocument/2006/relationships/hyperlink" Target="https://statiz.sporki.com/player/?m=playerinfo&amp;p_no=14846" TargetMode="External"/><Relationship Id="rId5852" Type="http://schemas.openxmlformats.org/officeDocument/2006/relationships/hyperlink" Target="https://statiz.sporki.com/add/?m=draft_school01&amp;ps_school=50604" TargetMode="External"/><Relationship Id="rId14395" Type="http://schemas.openxmlformats.org/officeDocument/2006/relationships/hyperlink" Target="https://statiz.sporki.com/player/?m=playerinfo&amp;p_no=10921" TargetMode="External"/><Relationship Id="rId15446" Type="http://schemas.openxmlformats.org/officeDocument/2006/relationships/hyperlink" Target="https://statiz.sporki.com/player/?m=playerinfo&amp;p_no=1666" TargetMode="External"/><Relationship Id="rId16844" Type="http://schemas.openxmlformats.org/officeDocument/2006/relationships/hyperlink" Target="https://statiz.sporki.com/add/?m=draft_school01&amp;ps_school=50210" TargetMode="External"/><Relationship Id="rId4454" Type="http://schemas.openxmlformats.org/officeDocument/2006/relationships/hyperlink" Target="https://statiz.sporki.com/add/?m=draft_school01&amp;ps_school=50805" TargetMode="External"/><Relationship Id="rId5505" Type="http://schemas.openxmlformats.org/officeDocument/2006/relationships/hyperlink" Target="https://statiz.sporki.com/add/?m=draft_school02&amp;ps_school=" TargetMode="External"/><Relationship Id="rId6903" Type="http://schemas.openxmlformats.org/officeDocument/2006/relationships/hyperlink" Target="https://statiz.sporki.com/add/?m=draft_school02&amp;ps_school=" TargetMode="External"/><Relationship Id="rId14048" Type="http://schemas.openxmlformats.org/officeDocument/2006/relationships/hyperlink" Target="https://statiz.sporki.com/player/?m=playerinfo&amp;p_no=10890" TargetMode="External"/><Relationship Id="rId3056" Type="http://schemas.openxmlformats.org/officeDocument/2006/relationships/hyperlink" Target="https://statiz.sporki.com/add/?m=draft_school01&amp;ps_school=" TargetMode="External"/><Relationship Id="rId4107" Type="http://schemas.openxmlformats.org/officeDocument/2006/relationships/hyperlink" Target="https://statiz.sporki.com/add/?m=draft_school02&amp;ps_school=" TargetMode="External"/><Relationship Id="rId18669" Type="http://schemas.openxmlformats.org/officeDocument/2006/relationships/hyperlink" Target="https://statiz.sporki.com/add/?m=draft_school01&amp;ps_school=50110" TargetMode="External"/><Relationship Id="rId6279" Type="http://schemas.openxmlformats.org/officeDocument/2006/relationships/hyperlink" Target="https://statiz.sporki.com/add/?m=draft_school02&amp;ps_school=" TargetMode="External"/><Relationship Id="rId7677" Type="http://schemas.openxmlformats.org/officeDocument/2006/relationships/hyperlink" Target="https://statiz.sporki.com/add/?m=draft_school02&amp;ps_school=" TargetMode="External"/><Relationship Id="rId8728" Type="http://schemas.openxmlformats.org/officeDocument/2006/relationships/hyperlink" Target="https://statiz.sporki.com/player/?m=playerinfo&amp;p_no=2060" TargetMode="External"/><Relationship Id="rId10658" Type="http://schemas.openxmlformats.org/officeDocument/2006/relationships/hyperlink" Target="https://statiz.sporki.com/add/?m=draft_school01&amp;ps_school=50222" TargetMode="External"/><Relationship Id="rId11709" Type="http://schemas.openxmlformats.org/officeDocument/2006/relationships/hyperlink" Target="https://statiz.sporki.com/add/?m=draft_school02&amp;ps_school=" TargetMode="External"/><Relationship Id="rId12080" Type="http://schemas.openxmlformats.org/officeDocument/2006/relationships/hyperlink" Target="https://statiz.sporki.com/add/?m=draft_school01&amp;ps_school=50711" TargetMode="External"/><Relationship Id="rId13131" Type="http://schemas.openxmlformats.org/officeDocument/2006/relationships/hyperlink" Target="https://statiz.sporki.com/player/?m=playerinfo&amp;p_no=12893" TargetMode="External"/><Relationship Id="rId17752" Type="http://schemas.openxmlformats.org/officeDocument/2006/relationships/hyperlink" Target="https://statiz.sporki.com/add/?m=draft_school01&amp;ps_school=50102" TargetMode="External"/><Relationship Id="rId18803" Type="http://schemas.openxmlformats.org/officeDocument/2006/relationships/hyperlink" Target="https://statiz.sporki.com/add/?m=draft_school01&amp;ps_school=50803" TargetMode="External"/><Relationship Id="rId2889" Type="http://schemas.openxmlformats.org/officeDocument/2006/relationships/hyperlink" Target="https://statiz.sporki.com/add/?m=draft_school02&amp;ps_school=60114" TargetMode="External"/><Relationship Id="rId6760" Type="http://schemas.openxmlformats.org/officeDocument/2006/relationships/hyperlink" Target="https://statiz.sporki.com/player/?m=playerinfo&amp;p_no=10921" TargetMode="External"/><Relationship Id="rId7811" Type="http://schemas.openxmlformats.org/officeDocument/2006/relationships/hyperlink" Target="https://statiz.sporki.com/add/?m=draft_school01&amp;ps_school=50608" TargetMode="External"/><Relationship Id="rId16354" Type="http://schemas.openxmlformats.org/officeDocument/2006/relationships/hyperlink" Target="https://statiz.sporki.com/add/?m=draft_school01&amp;ps_school=50108" TargetMode="External"/><Relationship Id="rId17405" Type="http://schemas.openxmlformats.org/officeDocument/2006/relationships/hyperlink" Target="https://statiz.sporki.com/add/?m=draft_school01&amp;ps_school=50602" TargetMode="External"/><Relationship Id="rId111" Type="http://schemas.openxmlformats.org/officeDocument/2006/relationships/hyperlink" Target="https://statiz.sporki.com/add/?m=draft_school02&amp;ps_school=" TargetMode="External"/><Relationship Id="rId5362" Type="http://schemas.openxmlformats.org/officeDocument/2006/relationships/hyperlink" Target="https://statiz.sporki.com/player/?m=playerinfo&amp;p_no=13187" TargetMode="External"/><Relationship Id="rId6413" Type="http://schemas.openxmlformats.org/officeDocument/2006/relationships/hyperlink" Target="https://statiz.sporki.com/add/?m=draft_school01&amp;ps_school=50116" TargetMode="External"/><Relationship Id="rId9983" Type="http://schemas.openxmlformats.org/officeDocument/2006/relationships/hyperlink" Target="https://statiz.sporki.com/add/?m=draft_school01&amp;ps_school=50807" TargetMode="External"/><Relationship Id="rId16007" Type="http://schemas.openxmlformats.org/officeDocument/2006/relationships/hyperlink" Target="https://statiz.sporki.com/player/?m=playerinfo&amp;p_no=1183" TargetMode="External"/><Relationship Id="rId19577" Type="http://schemas.openxmlformats.org/officeDocument/2006/relationships/hyperlink" Target="https://statiz.sporki.com/add/?m=draft_school01&amp;ps_school=50121" TargetMode="External"/><Relationship Id="rId5015" Type="http://schemas.openxmlformats.org/officeDocument/2006/relationships/hyperlink" Target="https://statiz.sporki.com/add/?m=draft_school01&amp;ps_school=50108" TargetMode="External"/><Relationship Id="rId8585" Type="http://schemas.openxmlformats.org/officeDocument/2006/relationships/hyperlink" Target="https://statiz.sporki.com/add/?m=draft_school01&amp;ps_school=50805" TargetMode="External"/><Relationship Id="rId9636" Type="http://schemas.openxmlformats.org/officeDocument/2006/relationships/hyperlink" Target="https://statiz.sporki.com/add/?m=draft_school02&amp;ps_school=60113" TargetMode="External"/><Relationship Id="rId12964" Type="http://schemas.openxmlformats.org/officeDocument/2006/relationships/hyperlink" Target="https://statiz.sporki.com/player/?m=playerinfo&amp;p_no=13139" TargetMode="External"/><Relationship Id="rId18179" Type="http://schemas.openxmlformats.org/officeDocument/2006/relationships/hyperlink" Target="https://statiz.sporki.com/add/?m=draft_school01&amp;ps_school=50609" TargetMode="External"/><Relationship Id="rId1972" Type="http://schemas.openxmlformats.org/officeDocument/2006/relationships/hyperlink" Target="https://statiz.sporki.com/player/?m=playerinfo&amp;p_no=14138" TargetMode="External"/><Relationship Id="rId7187" Type="http://schemas.openxmlformats.org/officeDocument/2006/relationships/hyperlink" Target="https://statiz.sporki.com/add/?m=draft_school01&amp;ps_school=50803" TargetMode="External"/><Relationship Id="rId8238" Type="http://schemas.openxmlformats.org/officeDocument/2006/relationships/hyperlink" Target="https://statiz.sporki.com/add/?m=draft_school02&amp;ps_school=" TargetMode="External"/><Relationship Id="rId10168" Type="http://schemas.openxmlformats.org/officeDocument/2006/relationships/hyperlink" Target="https://statiz.sporki.com/player/?m=playerinfo&amp;p_no=1578" TargetMode="External"/><Relationship Id="rId11566" Type="http://schemas.openxmlformats.org/officeDocument/2006/relationships/hyperlink" Target="https://statiz.sporki.com/player/?m=playerinfo&amp;p_no=1177" TargetMode="External"/><Relationship Id="rId12617" Type="http://schemas.openxmlformats.org/officeDocument/2006/relationships/hyperlink" Target="https://statiz.sporki.com/player/?m=playerinfo&amp;p_no=14570" TargetMode="External"/><Relationship Id="rId1625" Type="http://schemas.openxmlformats.org/officeDocument/2006/relationships/hyperlink" Target="https://statiz.sporki.com/add/?m=draft_school01&amp;ps_school=50116" TargetMode="External"/><Relationship Id="rId11219" Type="http://schemas.openxmlformats.org/officeDocument/2006/relationships/hyperlink" Target="https://statiz.sporki.com/add/?m=draft_school01&amp;ps_school=50802" TargetMode="External"/><Relationship Id="rId14789" Type="http://schemas.openxmlformats.org/officeDocument/2006/relationships/hyperlink" Target="https://statiz.sporki.com/player/?m=playerinfo&amp;p_no=10444" TargetMode="External"/><Relationship Id="rId18660" Type="http://schemas.openxmlformats.org/officeDocument/2006/relationships/hyperlink" Target="https://statiz.sporki.com/add/?m=draft_school01&amp;ps_school=50501" TargetMode="External"/><Relationship Id="rId3797" Type="http://schemas.openxmlformats.org/officeDocument/2006/relationships/hyperlink" Target="https://statiz.sporki.com/add/?m=draft_school01&amp;ps_school=50705" TargetMode="External"/><Relationship Id="rId4848" Type="http://schemas.openxmlformats.org/officeDocument/2006/relationships/hyperlink" Target="https://statiz.sporki.com/add/?m=draft_school02&amp;ps_school=" TargetMode="External"/><Relationship Id="rId11700" Type="http://schemas.openxmlformats.org/officeDocument/2006/relationships/hyperlink" Target="https://statiz.sporki.com/add/?m=draft_school02&amp;ps_school=" TargetMode="External"/><Relationship Id="rId17262" Type="http://schemas.openxmlformats.org/officeDocument/2006/relationships/hyperlink" Target="https://statiz.sporki.com/add/?m=draft_school01&amp;ps_school=50805" TargetMode="External"/><Relationship Id="rId18313" Type="http://schemas.openxmlformats.org/officeDocument/2006/relationships/hyperlink" Target="https://statiz.sporki.com/add/?m=draft_school01&amp;ps_school=50608" TargetMode="External"/><Relationship Id="rId2399" Type="http://schemas.openxmlformats.org/officeDocument/2006/relationships/hyperlink" Target="https://statiz.sporki.com/add/?m=draft_school01&amp;ps_school=50116" TargetMode="External"/><Relationship Id="rId6270" Type="http://schemas.openxmlformats.org/officeDocument/2006/relationships/hyperlink" Target="https://statiz.sporki.com/add/?m=draft_school02&amp;ps_school=60108" TargetMode="External"/><Relationship Id="rId7321" Type="http://schemas.openxmlformats.org/officeDocument/2006/relationships/hyperlink" Target="https://statiz.sporki.com/player/?m=playerinfo&amp;p_no=10090" TargetMode="External"/><Relationship Id="rId10302" Type="http://schemas.openxmlformats.org/officeDocument/2006/relationships/hyperlink" Target="https://statiz.sporki.com/add/?m=draft_school02&amp;ps_school=60101" TargetMode="External"/><Relationship Id="rId13872" Type="http://schemas.openxmlformats.org/officeDocument/2006/relationships/hyperlink" Target="https://statiz.sporki.com/player/?m=playerinfo&amp;p_no=10681" TargetMode="External"/><Relationship Id="rId2880" Type="http://schemas.openxmlformats.org/officeDocument/2006/relationships/hyperlink" Target="https://statiz.sporki.com/add/?m=draft_school02&amp;ps_school=" TargetMode="External"/><Relationship Id="rId3931" Type="http://schemas.openxmlformats.org/officeDocument/2006/relationships/hyperlink" Target="https://statiz.sporki.com/player/?m=playerinfo&amp;p_no=11382" TargetMode="External"/><Relationship Id="rId9493" Type="http://schemas.openxmlformats.org/officeDocument/2006/relationships/hyperlink" Target="https://statiz.sporki.com/player/?m=playerinfo&amp;p_no=1847" TargetMode="External"/><Relationship Id="rId12474" Type="http://schemas.openxmlformats.org/officeDocument/2006/relationships/hyperlink" Target="https://statiz.sporki.com/player/?m=playerinfo&amp;p_no=14806" TargetMode="External"/><Relationship Id="rId13525" Type="http://schemas.openxmlformats.org/officeDocument/2006/relationships/hyperlink" Target="https://statiz.sporki.com/player/?m=playerinfo&amp;p_no=11312" TargetMode="External"/><Relationship Id="rId14923" Type="http://schemas.openxmlformats.org/officeDocument/2006/relationships/hyperlink" Target="https://statiz.sporki.com/player/?m=playerinfo&amp;p_no=2024" TargetMode="External"/><Relationship Id="rId19087" Type="http://schemas.openxmlformats.org/officeDocument/2006/relationships/hyperlink" Target="https://statiz.sporki.com/add/?m=draft_school01&amp;ps_school=50806" TargetMode="External"/><Relationship Id="rId852" Type="http://schemas.openxmlformats.org/officeDocument/2006/relationships/hyperlink" Target="https://statiz.sporki.com/add/?m=draft_school02&amp;ps_school=" TargetMode="External"/><Relationship Id="rId1482" Type="http://schemas.openxmlformats.org/officeDocument/2006/relationships/hyperlink" Target="https://statiz.sporki.com/add/?m=draft_school02&amp;ps_school=" TargetMode="External"/><Relationship Id="rId2533" Type="http://schemas.openxmlformats.org/officeDocument/2006/relationships/hyperlink" Target="https://statiz.sporki.com/player/?m=playerinfo&amp;p_no=13175" TargetMode="External"/><Relationship Id="rId8095" Type="http://schemas.openxmlformats.org/officeDocument/2006/relationships/hyperlink" Target="https://statiz.sporki.com/player/?m=playerinfo&amp;p_no=2284" TargetMode="External"/><Relationship Id="rId9146" Type="http://schemas.openxmlformats.org/officeDocument/2006/relationships/hyperlink" Target="https://statiz.sporki.com/add/?m=draft_school01&amp;ps_school=50103" TargetMode="External"/><Relationship Id="rId11076" Type="http://schemas.openxmlformats.org/officeDocument/2006/relationships/hyperlink" Target="https://statiz.sporki.com/add/?m=draft_school02&amp;ps_school=60113" TargetMode="External"/><Relationship Id="rId12127" Type="http://schemas.openxmlformats.org/officeDocument/2006/relationships/hyperlink" Target="https://statiz.sporki.com/player/?m=playerinfo&amp;p_no=1030" TargetMode="External"/><Relationship Id="rId505" Type="http://schemas.openxmlformats.org/officeDocument/2006/relationships/hyperlink" Target="https://statiz.sporki.com/player/?m=playerinfo&amp;p_no=15057" TargetMode="External"/><Relationship Id="rId1135" Type="http://schemas.openxmlformats.org/officeDocument/2006/relationships/hyperlink" Target="https://statiz.sporki.com/player/?m=playerinfo&amp;p_no=14791" TargetMode="External"/><Relationship Id="rId14299" Type="http://schemas.openxmlformats.org/officeDocument/2006/relationships/hyperlink" Target="https://statiz.sporki.com/player/?m=playerinfo&amp;p_no=10276" TargetMode="External"/><Relationship Id="rId15697" Type="http://schemas.openxmlformats.org/officeDocument/2006/relationships/hyperlink" Target="https://statiz.sporki.com/player/?m=playerinfo&amp;p_no=11427" TargetMode="External"/><Relationship Id="rId16748" Type="http://schemas.openxmlformats.org/officeDocument/2006/relationships/hyperlink" Target="https://statiz.sporki.com/add/?m=draft_school01&amp;ps_school=50602" TargetMode="External"/><Relationship Id="rId18170" Type="http://schemas.openxmlformats.org/officeDocument/2006/relationships/hyperlink" Target="https://statiz.sporki.com/add/?m=draft_school01&amp;ps_school=50109" TargetMode="External"/><Relationship Id="rId4358" Type="http://schemas.openxmlformats.org/officeDocument/2006/relationships/hyperlink" Target="https://statiz.sporki.com/add/?m=draft_school01&amp;ps_school=" TargetMode="External"/><Relationship Id="rId5409" Type="http://schemas.openxmlformats.org/officeDocument/2006/relationships/hyperlink" Target="https://statiz.sporki.com/add/?m=draft_school02&amp;ps_school=" TargetMode="External"/><Relationship Id="rId5756" Type="http://schemas.openxmlformats.org/officeDocument/2006/relationships/hyperlink" Target="https://statiz.sporki.com/add/?m=draft_school01&amp;ps_school=50111" TargetMode="External"/><Relationship Id="rId6807" Type="http://schemas.openxmlformats.org/officeDocument/2006/relationships/hyperlink" Target="https://statiz.sporki.com/add/?m=draft_school02&amp;ps_school=60108" TargetMode="External"/><Relationship Id="rId19221" Type="http://schemas.openxmlformats.org/officeDocument/2006/relationships/hyperlink" Target="https://statiz.sporki.com/add/?m=draft_school01&amp;ps_school=50602" TargetMode="External"/><Relationship Id="rId8979" Type="http://schemas.openxmlformats.org/officeDocument/2006/relationships/hyperlink" Target="https://statiz.sporki.com/add/?m=draft_school02&amp;ps_school=" TargetMode="External"/><Relationship Id="rId11210" Type="http://schemas.openxmlformats.org/officeDocument/2006/relationships/hyperlink" Target="https://statiz.sporki.com/add/?m=draft_school01&amp;ps_school=" TargetMode="External"/><Relationship Id="rId14780" Type="http://schemas.openxmlformats.org/officeDocument/2006/relationships/hyperlink" Target="https://statiz.sporki.com/player/?m=playerinfo&amp;p_no=2353" TargetMode="External"/><Relationship Id="rId15831" Type="http://schemas.openxmlformats.org/officeDocument/2006/relationships/hyperlink" Target="https://statiz.sporki.com/player/?m=playerinfo&amp;p_no=1309" TargetMode="External"/><Relationship Id="rId13382" Type="http://schemas.openxmlformats.org/officeDocument/2006/relationships/hyperlink" Target="https://statiz.sporki.com/player/?m=playerinfo&amp;p_no=12503" TargetMode="External"/><Relationship Id="rId14433" Type="http://schemas.openxmlformats.org/officeDocument/2006/relationships/hyperlink" Target="https://statiz.sporki.com/player/?m=playerinfo&amp;p_no=2342" TargetMode="External"/><Relationship Id="rId2390" Type="http://schemas.openxmlformats.org/officeDocument/2006/relationships/hyperlink" Target="https://statiz.sporki.com/add/?m=draft_school01&amp;ps_school=50212" TargetMode="External"/><Relationship Id="rId3441" Type="http://schemas.openxmlformats.org/officeDocument/2006/relationships/hyperlink" Target="https://statiz.sporki.com/add/?m=draft_school02&amp;ps_school=" TargetMode="External"/><Relationship Id="rId13035" Type="http://schemas.openxmlformats.org/officeDocument/2006/relationships/hyperlink" Target="https://statiz.sporki.com/player/?m=playerinfo&amp;p_no=13233" TargetMode="External"/><Relationship Id="rId17656" Type="http://schemas.openxmlformats.org/officeDocument/2006/relationships/hyperlink" Target="https://statiz.sporki.com/add/?m=draft_school01&amp;ps_school=50812" TargetMode="External"/><Relationship Id="rId362" Type="http://schemas.openxmlformats.org/officeDocument/2006/relationships/hyperlink" Target="https://statiz.sporki.com/add/?m=draft_school01&amp;ps_school=" TargetMode="External"/><Relationship Id="rId2043" Type="http://schemas.openxmlformats.org/officeDocument/2006/relationships/hyperlink" Target="https://statiz.sporki.com/add/?m=draft_school02&amp;ps_school=" TargetMode="External"/><Relationship Id="rId6664" Type="http://schemas.openxmlformats.org/officeDocument/2006/relationships/hyperlink" Target="https://statiz.sporki.com/player/?m=playerinfo&amp;p_no=2374" TargetMode="External"/><Relationship Id="rId7715" Type="http://schemas.openxmlformats.org/officeDocument/2006/relationships/hyperlink" Target="https://statiz.sporki.com/add/?m=draft_school01&amp;ps_school=" TargetMode="External"/><Relationship Id="rId16258" Type="http://schemas.openxmlformats.org/officeDocument/2006/relationships/hyperlink" Target="https://statiz.sporki.com/add/?m=draft_school01&amp;ps_school=50604" TargetMode="External"/><Relationship Id="rId17309" Type="http://schemas.openxmlformats.org/officeDocument/2006/relationships/hyperlink" Target="https://statiz.sporki.com/add/?m=draft_school01&amp;ps_school=50402" TargetMode="External"/><Relationship Id="rId18707" Type="http://schemas.openxmlformats.org/officeDocument/2006/relationships/hyperlink" Target="https://statiz.sporki.com/add/?m=draft_school01&amp;ps_school=50703" TargetMode="External"/><Relationship Id="rId5266" Type="http://schemas.openxmlformats.org/officeDocument/2006/relationships/hyperlink" Target="https://statiz.sporki.com/player/?m=playerinfo&amp;p_no=10705" TargetMode="External"/><Relationship Id="rId6317" Type="http://schemas.openxmlformats.org/officeDocument/2006/relationships/hyperlink" Target="https://statiz.sporki.com/add/?m=draft_school01&amp;ps_school=50403" TargetMode="External"/><Relationship Id="rId9887" Type="http://schemas.openxmlformats.org/officeDocument/2006/relationships/hyperlink" Target="https://statiz.sporki.com/add/?m=draft_school01&amp;ps_school=50403" TargetMode="External"/><Relationship Id="rId8489" Type="http://schemas.openxmlformats.org/officeDocument/2006/relationships/hyperlink" Target="https://statiz.sporki.com/add/?m=draft_school01&amp;ps_school=50502" TargetMode="External"/><Relationship Id="rId12868" Type="http://schemas.openxmlformats.org/officeDocument/2006/relationships/hyperlink" Target="https://statiz.sporki.com/player/?m=playerinfo&amp;p_no=13925" TargetMode="External"/><Relationship Id="rId13919" Type="http://schemas.openxmlformats.org/officeDocument/2006/relationships/hyperlink" Target="https://statiz.sporki.com/player/?m=playerinfo&amp;p_no=10756" TargetMode="External"/><Relationship Id="rId1876" Type="http://schemas.openxmlformats.org/officeDocument/2006/relationships/hyperlink" Target="https://statiz.sporki.com/player/?m=playerinfo&amp;p_no=14177" TargetMode="External"/><Relationship Id="rId2927" Type="http://schemas.openxmlformats.org/officeDocument/2006/relationships/hyperlink" Target="https://statiz.sporki.com/add/?m=draft_school01&amp;ps_school=51001" TargetMode="External"/><Relationship Id="rId14290" Type="http://schemas.openxmlformats.org/officeDocument/2006/relationships/hyperlink" Target="https://statiz.sporki.com/player/?m=playerinfo&amp;p_no=10521" TargetMode="External"/><Relationship Id="rId15341" Type="http://schemas.openxmlformats.org/officeDocument/2006/relationships/hyperlink" Target="https://statiz.sporki.com/player/?m=playerinfo&amp;p_no=1720" TargetMode="External"/><Relationship Id="rId1529" Type="http://schemas.openxmlformats.org/officeDocument/2006/relationships/hyperlink" Target="https://statiz.sporki.com/add/?m=draft_school01&amp;ps_school=50807" TargetMode="External"/><Relationship Id="rId5400" Type="http://schemas.openxmlformats.org/officeDocument/2006/relationships/hyperlink" Target="https://statiz.sporki.com/add/?m=draft_school02&amp;ps_school=" TargetMode="External"/><Relationship Id="rId8970" Type="http://schemas.openxmlformats.org/officeDocument/2006/relationships/hyperlink" Target="https://statiz.sporki.com/add/?m=draft_school02&amp;ps_school=60101" TargetMode="External"/><Relationship Id="rId11951" Type="http://schemas.openxmlformats.org/officeDocument/2006/relationships/hyperlink" Target="https://statiz.sporki.com/add/?m=draft_school01&amp;ps_school=50209" TargetMode="External"/><Relationship Id="rId18564" Type="http://schemas.openxmlformats.org/officeDocument/2006/relationships/hyperlink" Target="https://statiz.sporki.com/add/?m=draft_school01&amp;ps_school=50105" TargetMode="External"/><Relationship Id="rId19615" Type="http://schemas.openxmlformats.org/officeDocument/2006/relationships/hyperlink" Target="https://statiz.sporki.com/add/?m=draft_school01&amp;ps_school=50209" TargetMode="External"/><Relationship Id="rId4002" Type="http://schemas.openxmlformats.org/officeDocument/2006/relationships/hyperlink" Target="https://statiz.sporki.com/add/?m=draft_school02&amp;ps_school=60103" TargetMode="External"/><Relationship Id="rId7572" Type="http://schemas.openxmlformats.org/officeDocument/2006/relationships/hyperlink" Target="https://statiz.sporki.com/add/?m=draft_school02&amp;ps_school=60901" TargetMode="External"/><Relationship Id="rId8623" Type="http://schemas.openxmlformats.org/officeDocument/2006/relationships/hyperlink" Target="https://statiz.sporki.com/player/?m=playerinfo&amp;p_no=1974" TargetMode="External"/><Relationship Id="rId10553" Type="http://schemas.openxmlformats.org/officeDocument/2006/relationships/hyperlink" Target="https://statiz.sporki.com/add/?m=draft_school01&amp;ps_school=50114" TargetMode="External"/><Relationship Id="rId11604" Type="http://schemas.openxmlformats.org/officeDocument/2006/relationships/hyperlink" Target="https://statiz.sporki.com/add/?m=draft_school02&amp;ps_school=60103" TargetMode="External"/><Relationship Id="rId17166" Type="http://schemas.openxmlformats.org/officeDocument/2006/relationships/hyperlink" Target="https://statiz.sporki.com/add/?m=draft_school01&amp;ps_school=50109" TargetMode="External"/><Relationship Id="rId18217" Type="http://schemas.openxmlformats.org/officeDocument/2006/relationships/hyperlink" Target="https://statiz.sporki.com/add/?m=draft_school01&amp;ps_school=50802" TargetMode="External"/><Relationship Id="rId6174" Type="http://schemas.openxmlformats.org/officeDocument/2006/relationships/hyperlink" Target="https://statiz.sporki.com/add/?m=draft_school02&amp;ps_school=" TargetMode="External"/><Relationship Id="rId7225" Type="http://schemas.openxmlformats.org/officeDocument/2006/relationships/hyperlink" Target="https://statiz.sporki.com/player/?m=playerinfo&amp;p_no=10484" TargetMode="External"/><Relationship Id="rId10206" Type="http://schemas.openxmlformats.org/officeDocument/2006/relationships/hyperlink" Target="https://statiz.sporki.com/add/?m=draft_school02&amp;ps_school=" TargetMode="External"/><Relationship Id="rId2784" Type="http://schemas.openxmlformats.org/officeDocument/2006/relationships/hyperlink" Target="https://statiz.sporki.com/add/?m=draft_school02&amp;ps_school=" TargetMode="External"/><Relationship Id="rId9397" Type="http://schemas.openxmlformats.org/officeDocument/2006/relationships/hyperlink" Target="https://statiz.sporki.com/player/?m=playerinfo&amp;p_no=1803" TargetMode="External"/><Relationship Id="rId12378" Type="http://schemas.openxmlformats.org/officeDocument/2006/relationships/hyperlink" Target="https://statiz.sporki.com/player/?m=playerinfo&amp;p_no=15074" TargetMode="External"/><Relationship Id="rId13776" Type="http://schemas.openxmlformats.org/officeDocument/2006/relationships/hyperlink" Target="https://statiz.sporki.com/player/?m=playerinfo&amp;p_no=10814" TargetMode="External"/><Relationship Id="rId14827" Type="http://schemas.openxmlformats.org/officeDocument/2006/relationships/hyperlink" Target="https://statiz.sporki.com/player/?m=playerinfo&amp;p_no=10148" TargetMode="External"/><Relationship Id="rId756" Type="http://schemas.openxmlformats.org/officeDocument/2006/relationships/hyperlink" Target="https://statiz.sporki.com/add/?m=draft_school02&amp;ps_school=60501" TargetMode="External"/><Relationship Id="rId1386" Type="http://schemas.openxmlformats.org/officeDocument/2006/relationships/hyperlink" Target="https://statiz.sporki.com/add/?m=draft_school02&amp;ps_school=" TargetMode="External"/><Relationship Id="rId2437" Type="http://schemas.openxmlformats.org/officeDocument/2006/relationships/hyperlink" Target="https://statiz.sporki.com/player/?m=playerinfo&amp;p_no=13138" TargetMode="External"/><Relationship Id="rId3835" Type="http://schemas.openxmlformats.org/officeDocument/2006/relationships/hyperlink" Target="https://statiz.sporki.com/player/?m=playerinfo&amp;p_no=11389" TargetMode="External"/><Relationship Id="rId13429" Type="http://schemas.openxmlformats.org/officeDocument/2006/relationships/hyperlink" Target="https://statiz.sporki.com/player/?m=playerinfo&amp;p_no=13235" TargetMode="External"/><Relationship Id="rId16999" Type="http://schemas.openxmlformats.org/officeDocument/2006/relationships/hyperlink" Target="https://statiz.sporki.com/add/?m=draft_school01&amp;ps_school=50805" TargetMode="External"/><Relationship Id="rId17300" Type="http://schemas.openxmlformats.org/officeDocument/2006/relationships/hyperlink" Target="https://statiz.sporki.com/add/?m=draft_school01&amp;ps_school=50501" TargetMode="External"/><Relationship Id="rId409" Type="http://schemas.openxmlformats.org/officeDocument/2006/relationships/hyperlink" Target="https://statiz.sporki.com/player/?m=playerinfo&amp;p_no=15619" TargetMode="External"/><Relationship Id="rId1039" Type="http://schemas.openxmlformats.org/officeDocument/2006/relationships/hyperlink" Target="https://statiz.sporki.com/player/?m=playerinfo&amp;p_no=14848" TargetMode="External"/><Relationship Id="rId13910" Type="http://schemas.openxmlformats.org/officeDocument/2006/relationships/hyperlink" Target="https://statiz.sporki.com/player/?m=playerinfo&amp;p_no=10731" TargetMode="External"/><Relationship Id="rId19472" Type="http://schemas.openxmlformats.org/officeDocument/2006/relationships/hyperlink" Target="https://statiz.sporki.com/add/?m=draft_school01&amp;ps_school=50805" TargetMode="External"/><Relationship Id="rId92" Type="http://schemas.openxmlformats.org/officeDocument/2006/relationships/hyperlink" Target="https://statiz.sporki.com/add/?m=draft_school01&amp;ps_school=50803" TargetMode="External"/><Relationship Id="rId7082" Type="http://schemas.openxmlformats.org/officeDocument/2006/relationships/hyperlink" Target="https://statiz.sporki.com/add/?m=draft_school01&amp;ps_school=" TargetMode="External"/><Relationship Id="rId8480" Type="http://schemas.openxmlformats.org/officeDocument/2006/relationships/hyperlink" Target="https://statiz.sporki.com/add/?m=draft_school01&amp;ps_school=50802" TargetMode="External"/><Relationship Id="rId9531" Type="http://schemas.openxmlformats.org/officeDocument/2006/relationships/hyperlink" Target="https://statiz.sporki.com/add/?m=draft_school02&amp;ps_school=" TargetMode="External"/><Relationship Id="rId11461" Type="http://schemas.openxmlformats.org/officeDocument/2006/relationships/hyperlink" Target="https://statiz.sporki.com/player/?m=playerinfo&amp;p_no=1195" TargetMode="External"/><Relationship Id="rId12512" Type="http://schemas.openxmlformats.org/officeDocument/2006/relationships/hyperlink" Target="https://statiz.sporki.com/player/?m=playerinfo&amp;p_no=14844" TargetMode="External"/><Relationship Id="rId18074" Type="http://schemas.openxmlformats.org/officeDocument/2006/relationships/hyperlink" Target="https://statiz.sporki.com/add/?m=draft_school01&amp;ps_school=50602" TargetMode="External"/><Relationship Id="rId19125" Type="http://schemas.openxmlformats.org/officeDocument/2006/relationships/hyperlink" Target="https://statiz.sporki.com/add/?m=draft_school01&amp;ps_school=50209" TargetMode="External"/><Relationship Id="rId1520" Type="http://schemas.openxmlformats.org/officeDocument/2006/relationships/hyperlink" Target="https://statiz.sporki.com/add/?m=draft_school01&amp;ps_school=50602" TargetMode="External"/><Relationship Id="rId8133" Type="http://schemas.openxmlformats.org/officeDocument/2006/relationships/hyperlink" Target="https://statiz.sporki.com/add/?m=draft_school02&amp;ps_school=60114" TargetMode="External"/><Relationship Id="rId10063" Type="http://schemas.openxmlformats.org/officeDocument/2006/relationships/hyperlink" Target="https://statiz.sporki.com/player/?m=playerinfo&amp;p_no=1616" TargetMode="External"/><Relationship Id="rId11114" Type="http://schemas.openxmlformats.org/officeDocument/2006/relationships/hyperlink" Target="https://statiz.sporki.com/add/?m=draft_school01&amp;ps_school=50402" TargetMode="External"/><Relationship Id="rId14684" Type="http://schemas.openxmlformats.org/officeDocument/2006/relationships/hyperlink" Target="https://statiz.sporki.com/player/?m=playerinfo&amp;p_no=2175" TargetMode="External"/><Relationship Id="rId15735" Type="http://schemas.openxmlformats.org/officeDocument/2006/relationships/hyperlink" Target="https://statiz.sporki.com/player/?m=playerinfo&amp;p_no=1380" TargetMode="External"/><Relationship Id="rId3692" Type="http://schemas.openxmlformats.org/officeDocument/2006/relationships/hyperlink" Target="https://statiz.sporki.com/add/?m=draft_school01&amp;ps_school=50701" TargetMode="External"/><Relationship Id="rId4743" Type="http://schemas.openxmlformats.org/officeDocument/2006/relationships/hyperlink" Target="https://statiz.sporki.com/add/?m=draft_school02&amp;ps_school=60503" TargetMode="External"/><Relationship Id="rId13286" Type="http://schemas.openxmlformats.org/officeDocument/2006/relationships/hyperlink" Target="https://statiz.sporki.com/player/?m=playerinfo&amp;p_no=12635" TargetMode="External"/><Relationship Id="rId14337" Type="http://schemas.openxmlformats.org/officeDocument/2006/relationships/hyperlink" Target="https://statiz.sporki.com/player/?m=playerinfo&amp;p_no=10456" TargetMode="External"/><Relationship Id="rId2294" Type="http://schemas.openxmlformats.org/officeDocument/2006/relationships/hyperlink" Target="https://statiz.sporki.com/add/?m=draft_school01&amp;ps_school=50208" TargetMode="External"/><Relationship Id="rId3345" Type="http://schemas.openxmlformats.org/officeDocument/2006/relationships/hyperlink" Target="https://statiz.sporki.com/add/?m=draft_school02&amp;ps_school=" TargetMode="External"/><Relationship Id="rId18958" Type="http://schemas.openxmlformats.org/officeDocument/2006/relationships/hyperlink" Target="https://statiz.sporki.com/add/?m=draft_school01&amp;ps_school=50208" TargetMode="External"/><Relationship Id="rId266" Type="http://schemas.openxmlformats.org/officeDocument/2006/relationships/hyperlink" Target="https://statiz.sporki.com/add/?m=draft_school01&amp;ps_school=50101" TargetMode="External"/><Relationship Id="rId6568" Type="http://schemas.openxmlformats.org/officeDocument/2006/relationships/hyperlink" Target="https://statiz.sporki.com/player/?m=playerinfo&amp;p_no=10050" TargetMode="External"/><Relationship Id="rId7619" Type="http://schemas.openxmlformats.org/officeDocument/2006/relationships/hyperlink" Target="https://statiz.sporki.com/add/?m=draft_school01&amp;ps_school=50804" TargetMode="External"/><Relationship Id="rId7966" Type="http://schemas.openxmlformats.org/officeDocument/2006/relationships/hyperlink" Target="https://statiz.sporki.com/player/?m=playerinfo&amp;p_no=2143" TargetMode="External"/><Relationship Id="rId10947" Type="http://schemas.openxmlformats.org/officeDocument/2006/relationships/hyperlink" Target="https://statiz.sporki.com/add/?m=draft_school02&amp;ps_school=" TargetMode="External"/><Relationship Id="rId9041" Type="http://schemas.openxmlformats.org/officeDocument/2006/relationships/hyperlink" Target="https://statiz.sporki.com/add/?m=draft_school01&amp;ps_school=50804" TargetMode="External"/><Relationship Id="rId13420" Type="http://schemas.openxmlformats.org/officeDocument/2006/relationships/hyperlink" Target="https://statiz.sporki.com/player/?m=playerinfo&amp;p_no=11389" TargetMode="External"/><Relationship Id="rId16990" Type="http://schemas.openxmlformats.org/officeDocument/2006/relationships/hyperlink" Target="https://statiz.sporki.com/add/?m=draft_school01&amp;ps_school=50201" TargetMode="External"/><Relationship Id="rId1030" Type="http://schemas.openxmlformats.org/officeDocument/2006/relationships/hyperlink" Target="https://statiz.sporki.com/player/?m=playerinfo&amp;p_no=14770" TargetMode="External"/><Relationship Id="rId12022" Type="http://schemas.openxmlformats.org/officeDocument/2006/relationships/hyperlink" Target="https://statiz.sporki.com/player/?m=playerinfo&amp;p_no=1044" TargetMode="External"/><Relationship Id="rId15592" Type="http://schemas.openxmlformats.org/officeDocument/2006/relationships/hyperlink" Target="https://statiz.sporki.com/player/?m=playerinfo&amp;p_no=1497" TargetMode="External"/><Relationship Id="rId16643" Type="http://schemas.openxmlformats.org/officeDocument/2006/relationships/hyperlink" Target="https://statiz.sporki.com/add/?m=draft_school01&amp;ps_school=50403" TargetMode="External"/><Relationship Id="rId400" Type="http://schemas.openxmlformats.org/officeDocument/2006/relationships/hyperlink" Target="https://statiz.sporki.com/player/?m=playerinfo&amp;p_no=15641" TargetMode="External"/><Relationship Id="rId5651" Type="http://schemas.openxmlformats.org/officeDocument/2006/relationships/hyperlink" Target="https://statiz.sporki.com/add/?m=draft_school01&amp;ps_school=50112" TargetMode="External"/><Relationship Id="rId6702" Type="http://schemas.openxmlformats.org/officeDocument/2006/relationships/hyperlink" Target="https://statiz.sporki.com/add/?m=draft_school02&amp;ps_school=" TargetMode="External"/><Relationship Id="rId14194" Type="http://schemas.openxmlformats.org/officeDocument/2006/relationships/hyperlink" Target="https://statiz.sporki.com/player/?m=playerinfo&amp;p_no=10100" TargetMode="External"/><Relationship Id="rId15245" Type="http://schemas.openxmlformats.org/officeDocument/2006/relationships/hyperlink" Target="https://statiz.sporki.com/player/?m=playerinfo&amp;p_no=1836" TargetMode="External"/><Relationship Id="rId4253" Type="http://schemas.openxmlformats.org/officeDocument/2006/relationships/hyperlink" Target="https://statiz.sporki.com/add/?m=draft_school01&amp;ps_school=50701" TargetMode="External"/><Relationship Id="rId5304" Type="http://schemas.openxmlformats.org/officeDocument/2006/relationships/hyperlink" Target="https://statiz.sporki.com/add/?m=draft_school02&amp;ps_school=" TargetMode="External"/><Relationship Id="rId8874" Type="http://schemas.openxmlformats.org/officeDocument/2006/relationships/hyperlink" Target="https://statiz.sporki.com/add/?m=draft_school02&amp;ps_school=60111" TargetMode="External"/><Relationship Id="rId9925" Type="http://schemas.openxmlformats.org/officeDocument/2006/relationships/hyperlink" Target="https://statiz.sporki.com/player/?m=playerinfo&amp;p_no=1649" TargetMode="External"/><Relationship Id="rId18468" Type="http://schemas.openxmlformats.org/officeDocument/2006/relationships/hyperlink" Target="https://statiz.sporki.com/add/?m=draft_school01&amp;ps_school=50108" TargetMode="External"/><Relationship Id="rId19519" Type="http://schemas.openxmlformats.org/officeDocument/2006/relationships/hyperlink" Target="https://statiz.sporki.com/add/?m=draft_school01&amp;ps_school=50209" TargetMode="External"/><Relationship Id="rId7476" Type="http://schemas.openxmlformats.org/officeDocument/2006/relationships/hyperlink" Target="https://statiz.sporki.com/add/?m=draft_school02&amp;ps_school=60204" TargetMode="External"/><Relationship Id="rId8527" Type="http://schemas.openxmlformats.org/officeDocument/2006/relationships/hyperlink" Target="https://statiz.sporki.com/player/?m=playerinfo&amp;p_no=2055" TargetMode="External"/><Relationship Id="rId10457" Type="http://schemas.openxmlformats.org/officeDocument/2006/relationships/hyperlink" Target="https://statiz.sporki.com/add/?m=draft_school01&amp;ps_school=50119" TargetMode="External"/><Relationship Id="rId11855" Type="http://schemas.openxmlformats.org/officeDocument/2006/relationships/hyperlink" Target="https://statiz.sporki.com/add/?m=draft_school01&amp;ps_school=50111" TargetMode="External"/><Relationship Id="rId12906" Type="http://schemas.openxmlformats.org/officeDocument/2006/relationships/hyperlink" Target="https://statiz.sporki.com/player/?m=playerinfo&amp;p_no=13167" TargetMode="External"/><Relationship Id="rId1914" Type="http://schemas.openxmlformats.org/officeDocument/2006/relationships/hyperlink" Target="https://statiz.sporki.com/add/?m=draft_school02&amp;ps_school=" TargetMode="External"/><Relationship Id="rId6078" Type="http://schemas.openxmlformats.org/officeDocument/2006/relationships/hyperlink" Target="https://statiz.sporki.com/add/?m=draft_school02&amp;ps_school=61001" TargetMode="External"/><Relationship Id="rId7129" Type="http://schemas.openxmlformats.org/officeDocument/2006/relationships/hyperlink" Target="https://statiz.sporki.com/player/?m=playerinfo&amp;p_no=10683" TargetMode="External"/><Relationship Id="rId11508" Type="http://schemas.openxmlformats.org/officeDocument/2006/relationships/hyperlink" Target="https://statiz.sporki.com/add/?m=draft_school02&amp;ps_school=60104" TargetMode="External"/><Relationship Id="rId17551" Type="http://schemas.openxmlformats.org/officeDocument/2006/relationships/hyperlink" Target="https://statiz.sporki.com/add/?m=draft_school01&amp;ps_school=50804" TargetMode="External"/><Relationship Id="rId18602" Type="http://schemas.openxmlformats.org/officeDocument/2006/relationships/hyperlink" Target="https://statiz.sporki.com/add/?m=draft_school01&amp;ps_school=50701" TargetMode="External"/><Relationship Id="rId2688" Type="http://schemas.openxmlformats.org/officeDocument/2006/relationships/hyperlink" Target="https://statiz.sporki.com/add/?m=draft_school02&amp;ps_school=60803" TargetMode="External"/><Relationship Id="rId3739" Type="http://schemas.openxmlformats.org/officeDocument/2006/relationships/hyperlink" Target="https://statiz.sporki.com/player/?m=playerinfo&amp;p_no=11303" TargetMode="External"/><Relationship Id="rId5161" Type="http://schemas.openxmlformats.org/officeDocument/2006/relationships/hyperlink" Target="https://statiz.sporki.com/player/?m=playerinfo&amp;p_no=10720" TargetMode="External"/><Relationship Id="rId7610" Type="http://schemas.openxmlformats.org/officeDocument/2006/relationships/hyperlink" Target="https://statiz.sporki.com/add/?m=draft_school01&amp;ps_school=50803" TargetMode="External"/><Relationship Id="rId16153" Type="http://schemas.openxmlformats.org/officeDocument/2006/relationships/hyperlink" Target="https://statiz.sporki.com/player/?m=playerinfo&amp;p_no=1016" TargetMode="External"/><Relationship Id="rId17204" Type="http://schemas.openxmlformats.org/officeDocument/2006/relationships/hyperlink" Target="https://statiz.sporki.com/add/?m=draft_school01&amp;ps_school=50901" TargetMode="External"/><Relationship Id="rId6212" Type="http://schemas.openxmlformats.org/officeDocument/2006/relationships/hyperlink" Target="https://statiz.sporki.com/add/?m=draft_school01&amp;ps_school=" TargetMode="External"/><Relationship Id="rId9782" Type="http://schemas.openxmlformats.org/officeDocument/2006/relationships/hyperlink" Target="https://statiz.sporki.com/add/?m=draft_school01&amp;ps_school=50202" TargetMode="External"/><Relationship Id="rId12763" Type="http://schemas.openxmlformats.org/officeDocument/2006/relationships/hyperlink" Target="https://statiz.sporki.com/player/?m=playerinfo&amp;p_no=14170" TargetMode="External"/><Relationship Id="rId13814" Type="http://schemas.openxmlformats.org/officeDocument/2006/relationships/hyperlink" Target="https://statiz.sporki.com/player/?m=playerinfo&amp;p_no=11125" TargetMode="External"/><Relationship Id="rId19376" Type="http://schemas.openxmlformats.org/officeDocument/2006/relationships/hyperlink" Target="https://statiz.sporki.com/add/?m=draft_school01&amp;ps_school=50403" TargetMode="External"/><Relationship Id="rId1771" Type="http://schemas.openxmlformats.org/officeDocument/2006/relationships/hyperlink" Target="https://statiz.sporki.com/player/?m=playerinfo&amp;p_no=14727" TargetMode="External"/><Relationship Id="rId2822" Type="http://schemas.openxmlformats.org/officeDocument/2006/relationships/hyperlink" Target="https://statiz.sporki.com/add/?m=draft_school01&amp;ps_school=50210" TargetMode="External"/><Relationship Id="rId8384" Type="http://schemas.openxmlformats.org/officeDocument/2006/relationships/hyperlink" Target="https://statiz.sporki.com/add/?m=draft_school01&amp;ps_school=50108" TargetMode="External"/><Relationship Id="rId9435" Type="http://schemas.openxmlformats.org/officeDocument/2006/relationships/hyperlink" Target="https://statiz.sporki.com/add/?m=draft_school02&amp;ps_school=60203" TargetMode="External"/><Relationship Id="rId11365" Type="http://schemas.openxmlformats.org/officeDocument/2006/relationships/hyperlink" Target="https://statiz.sporki.com/player/?m=playerinfo&amp;p_no=14223" TargetMode="External"/><Relationship Id="rId12416" Type="http://schemas.openxmlformats.org/officeDocument/2006/relationships/hyperlink" Target="https://statiz.sporki.com/player/?m=playerinfo&amp;p_no=15000" TargetMode="External"/><Relationship Id="rId19029" Type="http://schemas.openxmlformats.org/officeDocument/2006/relationships/hyperlink" Target="https://statiz.sporki.com/add/?m=draft_school01&amp;ps_school=50501" TargetMode="External"/><Relationship Id="rId1424" Type="http://schemas.openxmlformats.org/officeDocument/2006/relationships/hyperlink" Target="https://statiz.sporki.com/add/?m=draft_school01&amp;ps_school=50802" TargetMode="External"/><Relationship Id="rId4994" Type="http://schemas.openxmlformats.org/officeDocument/2006/relationships/hyperlink" Target="https://statiz.sporki.com/add/?m=draft_school01&amp;ps_school=50111" TargetMode="External"/><Relationship Id="rId8037" Type="http://schemas.openxmlformats.org/officeDocument/2006/relationships/hyperlink" Target="https://statiz.sporki.com/add/?m=draft_school02&amp;ps_school=60113" TargetMode="External"/><Relationship Id="rId11018" Type="http://schemas.openxmlformats.org/officeDocument/2006/relationships/hyperlink" Target="https://statiz.sporki.com/add/?m=draft_school01&amp;ps_school=50501" TargetMode="External"/><Relationship Id="rId14588" Type="http://schemas.openxmlformats.org/officeDocument/2006/relationships/hyperlink" Target="https://statiz.sporki.com/player/?m=playerinfo&amp;p_no=10171" TargetMode="External"/><Relationship Id="rId15986" Type="http://schemas.openxmlformats.org/officeDocument/2006/relationships/hyperlink" Target="https://statiz.sporki.com/player/?m=playerinfo&amp;p_no=1194" TargetMode="External"/><Relationship Id="rId3596" Type="http://schemas.openxmlformats.org/officeDocument/2006/relationships/hyperlink" Target="https://statiz.sporki.com/add/?m=draft_school01&amp;ps_school=50402" TargetMode="External"/><Relationship Id="rId4647" Type="http://schemas.openxmlformats.org/officeDocument/2006/relationships/hyperlink" Target="https://statiz.sporki.com/add/?m=draft_school02&amp;ps_school=" TargetMode="External"/><Relationship Id="rId15639" Type="http://schemas.openxmlformats.org/officeDocument/2006/relationships/hyperlink" Target="https://statiz.sporki.com/player/?m=playerinfo&amp;p_no=1623" TargetMode="External"/><Relationship Id="rId17061" Type="http://schemas.openxmlformats.org/officeDocument/2006/relationships/hyperlink" Target="https://statiz.sporki.com/add/?m=draft_school01&amp;ps_school=50205" TargetMode="External"/><Relationship Id="rId18112" Type="http://schemas.openxmlformats.org/officeDocument/2006/relationships/hyperlink" Target="https://statiz.sporki.com/add/?m=draft_school01&amp;ps_school=50807" TargetMode="External"/><Relationship Id="rId19510" Type="http://schemas.openxmlformats.org/officeDocument/2006/relationships/hyperlink" Target="https://statiz.sporki.com/add/?m=draft_school01&amp;ps_school=50802" TargetMode="External"/><Relationship Id="rId2198" Type="http://schemas.openxmlformats.org/officeDocument/2006/relationships/hyperlink" Target="https://statiz.sporki.com/add/?m=draft_school01&amp;ps_school=51105" TargetMode="External"/><Relationship Id="rId3249" Type="http://schemas.openxmlformats.org/officeDocument/2006/relationships/hyperlink" Target="https://statiz.sporki.com/add/?m=draft_school02&amp;ps_school=" TargetMode="External"/><Relationship Id="rId7120" Type="http://schemas.openxmlformats.org/officeDocument/2006/relationships/hyperlink" Target="https://statiz.sporki.com/player/?m=playerinfo&amp;p_no=10271" TargetMode="External"/><Relationship Id="rId9292" Type="http://schemas.openxmlformats.org/officeDocument/2006/relationships/hyperlink" Target="https://statiz.sporki.com/player/?m=playerinfo&amp;p_no=10465" TargetMode="External"/><Relationship Id="rId10101" Type="http://schemas.openxmlformats.org/officeDocument/2006/relationships/hyperlink" Target="https://statiz.sporki.com/add/?m=draft_school02&amp;ps_school=60111" TargetMode="External"/><Relationship Id="rId13671" Type="http://schemas.openxmlformats.org/officeDocument/2006/relationships/hyperlink" Target="https://statiz.sporki.com/player/?m=playerinfo&amp;p_no=11169" TargetMode="External"/><Relationship Id="rId14722" Type="http://schemas.openxmlformats.org/officeDocument/2006/relationships/hyperlink" Target="https://statiz.sporki.com/player/?m=playerinfo&amp;p_no=2197" TargetMode="External"/><Relationship Id="rId3730" Type="http://schemas.openxmlformats.org/officeDocument/2006/relationships/hyperlink" Target="https://statiz.sporki.com/player/?m=playerinfo&amp;p_no=11422" TargetMode="External"/><Relationship Id="rId12273" Type="http://schemas.openxmlformats.org/officeDocument/2006/relationships/hyperlink" Target="https://statiz.sporki.com/player/?m=playerinfo&amp;p_no=15541" TargetMode="External"/><Relationship Id="rId13324" Type="http://schemas.openxmlformats.org/officeDocument/2006/relationships/hyperlink" Target="https://statiz.sporki.com/player/?m=playerinfo&amp;p_no=12648" TargetMode="External"/><Relationship Id="rId16894" Type="http://schemas.openxmlformats.org/officeDocument/2006/relationships/hyperlink" Target="https://statiz.sporki.com/add/?m=draft_school01&amp;ps_school=50116" TargetMode="External"/><Relationship Id="rId17945" Type="http://schemas.openxmlformats.org/officeDocument/2006/relationships/hyperlink" Target="https://statiz.sporki.com/add/?m=draft_school01&amp;ps_school=50108" TargetMode="External"/><Relationship Id="rId651" Type="http://schemas.openxmlformats.org/officeDocument/2006/relationships/hyperlink" Target="https://statiz.sporki.com/add/?m=draft_school02&amp;ps_school=" TargetMode="External"/><Relationship Id="rId1281" Type="http://schemas.openxmlformats.org/officeDocument/2006/relationships/hyperlink" Target="https://statiz.sporki.com/add/?m=draft_school02&amp;ps_school=" TargetMode="External"/><Relationship Id="rId2332" Type="http://schemas.openxmlformats.org/officeDocument/2006/relationships/hyperlink" Target="https://statiz.sporki.com/player/?m=playerinfo&amp;p_no=13125" TargetMode="External"/><Relationship Id="rId6953" Type="http://schemas.openxmlformats.org/officeDocument/2006/relationships/hyperlink" Target="https://statiz.sporki.com/add/?m=draft_school01&amp;ps_school=50805" TargetMode="External"/><Relationship Id="rId15496" Type="http://schemas.openxmlformats.org/officeDocument/2006/relationships/hyperlink" Target="https://statiz.sporki.com/player/?m=playerinfo&amp;p_no=1616" TargetMode="External"/><Relationship Id="rId16547" Type="http://schemas.openxmlformats.org/officeDocument/2006/relationships/hyperlink" Target="https://statiz.sporki.com/add/?m=draft_school01&amp;ps_school=50710" TargetMode="External"/><Relationship Id="rId304" Type="http://schemas.openxmlformats.org/officeDocument/2006/relationships/hyperlink" Target="https://statiz.sporki.com/player/?m=playerinfo&amp;p_no=15460" TargetMode="External"/><Relationship Id="rId5555" Type="http://schemas.openxmlformats.org/officeDocument/2006/relationships/hyperlink" Target="https://statiz.sporki.com/add/?m=draft_school01&amp;ps_school=50110" TargetMode="External"/><Relationship Id="rId6606" Type="http://schemas.openxmlformats.org/officeDocument/2006/relationships/hyperlink" Target="https://statiz.sporki.com/add/?m=draft_school02&amp;ps_school=" TargetMode="External"/><Relationship Id="rId14098" Type="http://schemas.openxmlformats.org/officeDocument/2006/relationships/hyperlink" Target="https://statiz.sporki.com/player/?m=playerinfo&amp;p_no=10195" TargetMode="External"/><Relationship Id="rId15149" Type="http://schemas.openxmlformats.org/officeDocument/2006/relationships/hyperlink" Target="https://statiz.sporki.com/player/?m=playerinfo&amp;p_no=1930" TargetMode="External"/><Relationship Id="rId19020" Type="http://schemas.openxmlformats.org/officeDocument/2006/relationships/hyperlink" Target="https://statiz.sporki.com/add/?m=draft_school01&amp;ps_school=50210" TargetMode="External"/><Relationship Id="rId4157" Type="http://schemas.openxmlformats.org/officeDocument/2006/relationships/hyperlink" Target="https://statiz.sporki.com/add/?m=draft_school01&amp;ps_school=50110" TargetMode="External"/><Relationship Id="rId5208" Type="http://schemas.openxmlformats.org/officeDocument/2006/relationships/hyperlink" Target="https://statiz.sporki.com/add/?m=draft_school02&amp;ps_school=60113" TargetMode="External"/><Relationship Id="rId8778" Type="http://schemas.openxmlformats.org/officeDocument/2006/relationships/hyperlink" Target="https://statiz.sporki.com/add/?m=draft_school02&amp;ps_school=60109" TargetMode="External"/><Relationship Id="rId9829" Type="http://schemas.openxmlformats.org/officeDocument/2006/relationships/hyperlink" Target="https://statiz.sporki.com/player/?m=playerinfo&amp;p_no=1671" TargetMode="External"/><Relationship Id="rId11759" Type="http://schemas.openxmlformats.org/officeDocument/2006/relationships/hyperlink" Target="https://statiz.sporki.com/add/?m=draft_school01&amp;ps_school=50116" TargetMode="External"/><Relationship Id="rId15630" Type="http://schemas.openxmlformats.org/officeDocument/2006/relationships/hyperlink" Target="https://statiz.sporki.com/player/?m=playerinfo&amp;p_no=1555" TargetMode="External"/><Relationship Id="rId1818" Type="http://schemas.openxmlformats.org/officeDocument/2006/relationships/hyperlink" Target="https://statiz.sporki.com/add/?m=draft_school02&amp;ps_school=" TargetMode="External"/><Relationship Id="rId3240" Type="http://schemas.openxmlformats.org/officeDocument/2006/relationships/hyperlink" Target="https://statiz.sporki.com/add/?m=draft_school02&amp;ps_school=" TargetMode="External"/><Relationship Id="rId13181" Type="http://schemas.openxmlformats.org/officeDocument/2006/relationships/hyperlink" Target="https://statiz.sporki.com/player/?m=playerinfo&amp;p_no=13002" TargetMode="External"/><Relationship Id="rId14232" Type="http://schemas.openxmlformats.org/officeDocument/2006/relationships/hyperlink" Target="https://statiz.sporki.com/player/?m=playerinfo&amp;p_no=10563" TargetMode="External"/><Relationship Id="rId18853" Type="http://schemas.openxmlformats.org/officeDocument/2006/relationships/hyperlink" Target="https://statiz.sporki.com/add/?m=draft_school01&amp;ps_school=50126" TargetMode="External"/><Relationship Id="rId161" Type="http://schemas.openxmlformats.org/officeDocument/2006/relationships/hyperlink" Target="https://statiz.sporki.com/add/?m=draft_school01&amp;ps_school=50802" TargetMode="External"/><Relationship Id="rId7861" Type="http://schemas.openxmlformats.org/officeDocument/2006/relationships/hyperlink" Target="https://statiz.sporki.com/player/?m=playerinfo&amp;p_no=2152" TargetMode="External"/><Relationship Id="rId8912" Type="http://schemas.openxmlformats.org/officeDocument/2006/relationships/hyperlink" Target="https://statiz.sporki.com/add/?m=draft_school01&amp;ps_school=50203" TargetMode="External"/><Relationship Id="rId10842" Type="http://schemas.openxmlformats.org/officeDocument/2006/relationships/hyperlink" Target="https://statiz.sporki.com/add/?m=draft_school02&amp;ps_school=60102" TargetMode="External"/><Relationship Id="rId17455" Type="http://schemas.openxmlformats.org/officeDocument/2006/relationships/hyperlink" Target="https://statiz.sporki.com/add/?m=draft_school01&amp;ps_school=50604" TargetMode="External"/><Relationship Id="rId18506" Type="http://schemas.openxmlformats.org/officeDocument/2006/relationships/hyperlink" Target="https://statiz.sporki.com/add/?m=draft_school01&amp;ps_school=50203" TargetMode="External"/><Relationship Id="rId6463" Type="http://schemas.openxmlformats.org/officeDocument/2006/relationships/hyperlink" Target="https://statiz.sporki.com/player/?m=playerinfo&amp;p_no=2395" TargetMode="External"/><Relationship Id="rId7514" Type="http://schemas.openxmlformats.org/officeDocument/2006/relationships/hyperlink" Target="https://statiz.sporki.com/add/?m=draft_school01&amp;ps_school=" TargetMode="External"/><Relationship Id="rId16057" Type="http://schemas.openxmlformats.org/officeDocument/2006/relationships/hyperlink" Target="https://statiz.sporki.com/player/?m=playerinfo&amp;p_no=1111" TargetMode="External"/><Relationship Id="rId17108" Type="http://schemas.openxmlformats.org/officeDocument/2006/relationships/hyperlink" Target="https://statiz.sporki.com/add/?m=draft_school01&amp;ps_school=50701" TargetMode="External"/><Relationship Id="rId5065" Type="http://schemas.openxmlformats.org/officeDocument/2006/relationships/hyperlink" Target="https://statiz.sporki.com/player/?m=playerinfo&amp;p_no=10936" TargetMode="External"/><Relationship Id="rId6116" Type="http://schemas.openxmlformats.org/officeDocument/2006/relationships/hyperlink" Target="https://statiz.sporki.com/add/?m=draft_school01&amp;ps_school=50103" TargetMode="External"/><Relationship Id="rId9686" Type="http://schemas.openxmlformats.org/officeDocument/2006/relationships/hyperlink" Target="https://statiz.sporki.com/add/?m=draft_school01&amp;ps_school=50209" TargetMode="External"/><Relationship Id="rId12667" Type="http://schemas.openxmlformats.org/officeDocument/2006/relationships/hyperlink" Target="https://statiz.sporki.com/player/?m=playerinfo&amp;p_no=14737" TargetMode="External"/><Relationship Id="rId1675" Type="http://schemas.openxmlformats.org/officeDocument/2006/relationships/hyperlink" Target="https://statiz.sporki.com/player/?m=playerinfo&amp;p_no=14700" TargetMode="External"/><Relationship Id="rId2726" Type="http://schemas.openxmlformats.org/officeDocument/2006/relationships/hyperlink" Target="https://statiz.sporki.com/add/?m=draft_school01&amp;ps_school=50703" TargetMode="External"/><Relationship Id="rId8288" Type="http://schemas.openxmlformats.org/officeDocument/2006/relationships/hyperlink" Target="https://statiz.sporki.com/add/?m=draft_school01&amp;ps_school=50701" TargetMode="External"/><Relationship Id="rId9339" Type="http://schemas.openxmlformats.org/officeDocument/2006/relationships/hyperlink" Target="https://statiz.sporki.com/add/?m=draft_school02&amp;ps_school=60705" TargetMode="External"/><Relationship Id="rId11269" Type="http://schemas.openxmlformats.org/officeDocument/2006/relationships/hyperlink" Target="https://statiz.sporki.com/player/?m=playerinfo&amp;p_no=1259" TargetMode="External"/><Relationship Id="rId13718" Type="http://schemas.openxmlformats.org/officeDocument/2006/relationships/hyperlink" Target="https://statiz.sporki.com/player/?m=playerinfo&amp;p_no=11359" TargetMode="External"/><Relationship Id="rId15140" Type="http://schemas.openxmlformats.org/officeDocument/2006/relationships/hyperlink" Target="https://statiz.sporki.com/player/?m=playerinfo&amp;p_no=1942" TargetMode="External"/><Relationship Id="rId1328" Type="http://schemas.openxmlformats.org/officeDocument/2006/relationships/hyperlink" Target="https://statiz.sporki.com/add/?m=draft_school01&amp;ps_school=" TargetMode="External"/><Relationship Id="rId4898" Type="http://schemas.openxmlformats.org/officeDocument/2006/relationships/hyperlink" Target="https://statiz.sporki.com/add/?m=draft_school01&amp;ps_school=50107" TargetMode="External"/><Relationship Id="rId5949" Type="http://schemas.openxmlformats.org/officeDocument/2006/relationships/hyperlink" Target="https://statiz.sporki.com/add/?m=draft_school02&amp;ps_school=" TargetMode="External"/><Relationship Id="rId7371" Type="http://schemas.openxmlformats.org/officeDocument/2006/relationships/hyperlink" Target="https://statiz.sporki.com/add/?m=draft_school02&amp;ps_school=" TargetMode="External"/><Relationship Id="rId9820" Type="http://schemas.openxmlformats.org/officeDocument/2006/relationships/hyperlink" Target="https://statiz.sporki.com/player/?m=playerinfo&amp;p_no=1664" TargetMode="External"/><Relationship Id="rId11750" Type="http://schemas.openxmlformats.org/officeDocument/2006/relationships/hyperlink" Target="https://statiz.sporki.com/add/?m=draft_school01&amp;ps_school=50111" TargetMode="External"/><Relationship Id="rId12801" Type="http://schemas.openxmlformats.org/officeDocument/2006/relationships/hyperlink" Target="https://statiz.sporki.com/player/?m=playerinfo&amp;p_no=14149" TargetMode="External"/><Relationship Id="rId18363" Type="http://schemas.openxmlformats.org/officeDocument/2006/relationships/hyperlink" Target="https://statiz.sporki.com/add/?m=draft_school01&amp;ps_school=50110" TargetMode="External"/><Relationship Id="rId19414" Type="http://schemas.openxmlformats.org/officeDocument/2006/relationships/hyperlink" Target="https://statiz.sporki.com/add/?m=draft_school01&amp;ps_school=50121" TargetMode="External"/><Relationship Id="rId34" Type="http://schemas.openxmlformats.org/officeDocument/2006/relationships/hyperlink" Target="https://statiz.sporki.com/player/?m=playerinfo&amp;p_no=15473" TargetMode="External"/><Relationship Id="rId7024" Type="http://schemas.openxmlformats.org/officeDocument/2006/relationships/hyperlink" Target="https://statiz.sporki.com/player/?m=playerinfo&amp;p_no=10383" TargetMode="External"/><Relationship Id="rId8422" Type="http://schemas.openxmlformats.org/officeDocument/2006/relationships/hyperlink" Target="https://statiz.sporki.com/player/?m=playerinfo&amp;p_no=2291" TargetMode="External"/><Relationship Id="rId10352" Type="http://schemas.openxmlformats.org/officeDocument/2006/relationships/hyperlink" Target="https://statiz.sporki.com/add/?m=draft_school01&amp;ps_school=50602" TargetMode="External"/><Relationship Id="rId11403" Type="http://schemas.openxmlformats.org/officeDocument/2006/relationships/hyperlink" Target="https://statiz.sporki.com/add/?m=draft_school02&amp;ps_school=60109" TargetMode="External"/><Relationship Id="rId14973" Type="http://schemas.openxmlformats.org/officeDocument/2006/relationships/hyperlink" Target="https://statiz.sporki.com/player/?m=playerinfo&amp;p_no=10497" TargetMode="External"/><Relationship Id="rId18016" Type="http://schemas.openxmlformats.org/officeDocument/2006/relationships/hyperlink" Target="https://statiz.sporki.com/add/?m=draft_school01&amp;ps_school=50209" TargetMode="External"/><Relationship Id="rId3981" Type="http://schemas.openxmlformats.org/officeDocument/2006/relationships/hyperlink" Target="https://statiz.sporki.com/add/?m=draft_school02&amp;ps_school=60501" TargetMode="External"/><Relationship Id="rId10005" Type="http://schemas.openxmlformats.org/officeDocument/2006/relationships/hyperlink" Target="https://statiz.sporki.com/add/?m=draft_school02&amp;ps_school=60803" TargetMode="External"/><Relationship Id="rId13575" Type="http://schemas.openxmlformats.org/officeDocument/2006/relationships/hyperlink" Target="https://statiz.sporki.com/player/?m=playerinfo&amp;p_no=11311" TargetMode="External"/><Relationship Id="rId14626" Type="http://schemas.openxmlformats.org/officeDocument/2006/relationships/hyperlink" Target="https://statiz.sporki.com/player/?m=playerinfo&amp;p_no=2243" TargetMode="External"/><Relationship Id="rId2583" Type="http://schemas.openxmlformats.org/officeDocument/2006/relationships/hyperlink" Target="https://statiz.sporki.com/add/?m=draft_school02&amp;ps_school=" TargetMode="External"/><Relationship Id="rId3634" Type="http://schemas.openxmlformats.org/officeDocument/2006/relationships/hyperlink" Target="https://statiz.sporki.com/player/?m=playerinfo&amp;p_no=13239" TargetMode="External"/><Relationship Id="rId9196" Type="http://schemas.openxmlformats.org/officeDocument/2006/relationships/hyperlink" Target="https://statiz.sporki.com/player/?m=playerinfo&amp;p_no=1944" TargetMode="External"/><Relationship Id="rId12177" Type="http://schemas.openxmlformats.org/officeDocument/2006/relationships/hyperlink" Target="https://statiz.sporki.com/player/?m=playerinfo&amp;p_no=15476" TargetMode="External"/><Relationship Id="rId13228" Type="http://schemas.openxmlformats.org/officeDocument/2006/relationships/hyperlink" Target="https://statiz.sporki.com/player/?m=playerinfo&amp;p_no=12592" TargetMode="External"/><Relationship Id="rId16798" Type="http://schemas.openxmlformats.org/officeDocument/2006/relationships/hyperlink" Target="https://statiz.sporki.com/add/?m=draft_school01&amp;ps_school=50701" TargetMode="External"/><Relationship Id="rId555" Type="http://schemas.openxmlformats.org/officeDocument/2006/relationships/hyperlink" Target="https://statiz.sporki.com/add/?m=draft_school02&amp;ps_school=" TargetMode="External"/><Relationship Id="rId1185" Type="http://schemas.openxmlformats.org/officeDocument/2006/relationships/hyperlink" Target="https://statiz.sporki.com/add/?m=draft_school02&amp;ps_school=" TargetMode="External"/><Relationship Id="rId2236" Type="http://schemas.openxmlformats.org/officeDocument/2006/relationships/hyperlink" Target="https://statiz.sporki.com/player/?m=playerinfo&amp;p_no=14232" TargetMode="External"/><Relationship Id="rId6857" Type="http://schemas.openxmlformats.org/officeDocument/2006/relationships/hyperlink" Target="https://statiz.sporki.com/add/?m=draft_school01&amp;ps_school=" TargetMode="External"/><Relationship Id="rId7908" Type="http://schemas.openxmlformats.org/officeDocument/2006/relationships/hyperlink" Target="https://statiz.sporki.com/add/?m=draft_school02&amp;ps_school=60804" TargetMode="External"/><Relationship Id="rId17849" Type="http://schemas.openxmlformats.org/officeDocument/2006/relationships/hyperlink" Target="https://statiz.sporki.com/add/?m=draft_school01&amp;ps_school=50111" TargetMode="External"/><Relationship Id="rId19271" Type="http://schemas.openxmlformats.org/officeDocument/2006/relationships/hyperlink" Target="https://statiz.sporki.com/add/?m=draft_school01&amp;ps_school=50119" TargetMode="External"/><Relationship Id="rId208" Type="http://schemas.openxmlformats.org/officeDocument/2006/relationships/hyperlink" Target="https://statiz.sporki.com/player/?m=playerinfo&amp;p_no=15523" TargetMode="External"/><Relationship Id="rId5459" Type="http://schemas.openxmlformats.org/officeDocument/2006/relationships/hyperlink" Target="https://statiz.sporki.com/add/?m=draft_school01&amp;ps_school=50802" TargetMode="External"/><Relationship Id="rId9330" Type="http://schemas.openxmlformats.org/officeDocument/2006/relationships/hyperlink" Target="https://statiz.sporki.com/add/?m=draft_school02&amp;ps_school=60108" TargetMode="External"/><Relationship Id="rId11260" Type="http://schemas.openxmlformats.org/officeDocument/2006/relationships/hyperlink" Target="https://statiz.sporki.com/player/?m=playerinfo&amp;p_no=1251" TargetMode="External"/><Relationship Id="rId12311" Type="http://schemas.openxmlformats.org/officeDocument/2006/relationships/hyperlink" Target="https://statiz.sporki.com/player/?m=playerinfo&amp;p_no=15090" TargetMode="External"/><Relationship Id="rId15881" Type="http://schemas.openxmlformats.org/officeDocument/2006/relationships/hyperlink" Target="https://statiz.sporki.com/player/?m=playerinfo&amp;p_no=1331" TargetMode="External"/><Relationship Id="rId16932" Type="http://schemas.openxmlformats.org/officeDocument/2006/relationships/hyperlink" Target="https://statiz.sporki.com/add/?m=draft_school01&amp;ps_school=50706" TargetMode="External"/><Relationship Id="rId5940" Type="http://schemas.openxmlformats.org/officeDocument/2006/relationships/hyperlink" Target="https://statiz.sporki.com/add/?m=draft_school02&amp;ps_school=" TargetMode="External"/><Relationship Id="rId14483" Type="http://schemas.openxmlformats.org/officeDocument/2006/relationships/hyperlink" Target="https://statiz.sporki.com/player/?m=playerinfo&amp;p_no=10383" TargetMode="External"/><Relationship Id="rId15534" Type="http://schemas.openxmlformats.org/officeDocument/2006/relationships/hyperlink" Target="https://statiz.sporki.com/player/?m=playerinfo&amp;p_no=10080" TargetMode="External"/><Relationship Id="rId2093" Type="http://schemas.openxmlformats.org/officeDocument/2006/relationships/hyperlink" Target="https://statiz.sporki.com/add/?m=draft_school01&amp;ps_school=50805" TargetMode="External"/><Relationship Id="rId3491" Type="http://schemas.openxmlformats.org/officeDocument/2006/relationships/hyperlink" Target="https://statiz.sporki.com/add/?m=draft_school01&amp;ps_school=" TargetMode="External"/><Relationship Id="rId4542" Type="http://schemas.openxmlformats.org/officeDocument/2006/relationships/hyperlink" Target="https://statiz.sporki.com/add/?m=draft_school02&amp;ps_school=" TargetMode="External"/><Relationship Id="rId13085" Type="http://schemas.openxmlformats.org/officeDocument/2006/relationships/hyperlink" Target="https://statiz.sporki.com/player/?m=playerinfo&amp;p_no=12917" TargetMode="External"/><Relationship Id="rId14136" Type="http://schemas.openxmlformats.org/officeDocument/2006/relationships/hyperlink" Target="https://statiz.sporki.com/player/?m=playerinfo&amp;p_no=11171" TargetMode="External"/><Relationship Id="rId18757" Type="http://schemas.openxmlformats.org/officeDocument/2006/relationships/hyperlink" Target="https://statiz.sporki.com/add/?m=draft_school01&amp;ps_school=50813" TargetMode="External"/><Relationship Id="rId3144" Type="http://schemas.openxmlformats.org/officeDocument/2006/relationships/hyperlink" Target="https://statiz.sporki.com/add/?m=draft_school02&amp;ps_school=60804" TargetMode="External"/><Relationship Id="rId7765" Type="http://schemas.openxmlformats.org/officeDocument/2006/relationships/hyperlink" Target="https://statiz.sporki.com/player/?m=playerinfo&amp;p_no=2200" TargetMode="External"/><Relationship Id="rId8816" Type="http://schemas.openxmlformats.org/officeDocument/2006/relationships/hyperlink" Target="https://statiz.sporki.com/add/?m=draft_school01&amp;ps_school=50604" TargetMode="External"/><Relationship Id="rId10746" Type="http://schemas.openxmlformats.org/officeDocument/2006/relationships/hyperlink" Target="https://statiz.sporki.com/add/?m=draft_school02&amp;ps_school=" TargetMode="External"/><Relationship Id="rId17359" Type="http://schemas.openxmlformats.org/officeDocument/2006/relationships/hyperlink" Target="https://statiz.sporki.com/add/?m=draft_school01&amp;ps_school=50114" TargetMode="External"/><Relationship Id="rId6367" Type="http://schemas.openxmlformats.org/officeDocument/2006/relationships/hyperlink" Target="https://statiz.sporki.com/player/?m=playerinfo&amp;p_no=10893" TargetMode="External"/><Relationship Id="rId7418" Type="http://schemas.openxmlformats.org/officeDocument/2006/relationships/hyperlink" Target="https://statiz.sporki.com/add/?m=draft_school01&amp;ps_school=50115" TargetMode="External"/><Relationship Id="rId13969" Type="http://schemas.openxmlformats.org/officeDocument/2006/relationships/hyperlink" Target="https://statiz.sporki.com/player/?m=playerinfo&amp;p_no=10307" TargetMode="External"/><Relationship Id="rId17840" Type="http://schemas.openxmlformats.org/officeDocument/2006/relationships/hyperlink" Target="https://statiz.sporki.com/add/?m=draft_school01&amp;ps_school=50703" TargetMode="External"/><Relationship Id="rId1579" Type="http://schemas.openxmlformats.org/officeDocument/2006/relationships/hyperlink" Target="https://statiz.sporki.com/player/?m=playerinfo&amp;p_no=14640" TargetMode="External"/><Relationship Id="rId2977" Type="http://schemas.openxmlformats.org/officeDocument/2006/relationships/hyperlink" Target="https://statiz.sporki.com/player/?m=playerinfo&amp;p_no=12874" TargetMode="External"/><Relationship Id="rId5450" Type="http://schemas.openxmlformats.org/officeDocument/2006/relationships/hyperlink" Target="https://statiz.sporki.com/add/?m=draft_school01&amp;ps_school=50805" TargetMode="External"/><Relationship Id="rId15044" Type="http://schemas.openxmlformats.org/officeDocument/2006/relationships/hyperlink" Target="https://statiz.sporki.com/player/?m=playerinfo&amp;p_no=2005" TargetMode="External"/><Relationship Id="rId15391" Type="http://schemas.openxmlformats.org/officeDocument/2006/relationships/hyperlink" Target="https://statiz.sporki.com/player/?m=playerinfo&amp;p_no=1774" TargetMode="External"/><Relationship Id="rId16442" Type="http://schemas.openxmlformats.org/officeDocument/2006/relationships/hyperlink" Target="https://statiz.sporki.com/add/?m=draft_school01&amp;ps_school=50301" TargetMode="External"/><Relationship Id="rId949" Type="http://schemas.openxmlformats.org/officeDocument/2006/relationships/hyperlink" Target="https://statiz.sporki.com/player/?m=playerinfo&amp;p_no=15141" TargetMode="External"/><Relationship Id="rId4052" Type="http://schemas.openxmlformats.org/officeDocument/2006/relationships/hyperlink" Target="https://statiz.sporki.com/add/?m=draft_school01&amp;ps_school=50114" TargetMode="External"/><Relationship Id="rId5103" Type="http://schemas.openxmlformats.org/officeDocument/2006/relationships/hyperlink" Target="https://statiz.sporki.com/add/?m=draft_school02&amp;ps_school=60107" TargetMode="External"/><Relationship Id="rId6501" Type="http://schemas.openxmlformats.org/officeDocument/2006/relationships/hyperlink" Target="https://statiz.sporki.com/add/?m=draft_school02&amp;ps_school=" TargetMode="External"/><Relationship Id="rId19665" Type="http://schemas.openxmlformats.org/officeDocument/2006/relationships/hyperlink" Target="https://statiz.sporki.com/add/?m=draft_school01&amp;ps_school=50501" TargetMode="External"/><Relationship Id="rId8673" Type="http://schemas.openxmlformats.org/officeDocument/2006/relationships/hyperlink" Target="https://statiz.sporki.com/add/?m=draft_school02&amp;ps_school=60103" TargetMode="External"/><Relationship Id="rId9724" Type="http://schemas.openxmlformats.org/officeDocument/2006/relationships/hyperlink" Target="https://statiz.sporki.com/player/?m=playerinfo&amp;p_no=2062" TargetMode="External"/><Relationship Id="rId11654" Type="http://schemas.openxmlformats.org/officeDocument/2006/relationships/hyperlink" Target="https://statiz.sporki.com/add/?m=draft_school01&amp;ps_school=50701" TargetMode="External"/><Relationship Id="rId12705" Type="http://schemas.openxmlformats.org/officeDocument/2006/relationships/hyperlink" Target="https://statiz.sporki.com/player/?m=playerinfo&amp;p_no=14648" TargetMode="External"/><Relationship Id="rId18267" Type="http://schemas.openxmlformats.org/officeDocument/2006/relationships/hyperlink" Target="https://statiz.sporki.com/add/?m=draft_school01&amp;ps_school=50208" TargetMode="External"/><Relationship Id="rId19318" Type="http://schemas.openxmlformats.org/officeDocument/2006/relationships/hyperlink" Target="https://statiz.sporki.com/add/?m=draft_school01&amp;ps_school=50116" TargetMode="External"/><Relationship Id="rId1713" Type="http://schemas.openxmlformats.org/officeDocument/2006/relationships/hyperlink" Target="https://statiz.sporki.com/add/?m=draft_school02&amp;ps_school=" TargetMode="External"/><Relationship Id="rId7275" Type="http://schemas.openxmlformats.org/officeDocument/2006/relationships/hyperlink" Target="https://statiz.sporki.com/add/?m=draft_school02&amp;ps_school=" TargetMode="External"/><Relationship Id="rId8326" Type="http://schemas.openxmlformats.org/officeDocument/2006/relationships/hyperlink" Target="https://statiz.sporki.com/player/?m=playerinfo&amp;p_no=2053" TargetMode="External"/><Relationship Id="rId10256" Type="http://schemas.openxmlformats.org/officeDocument/2006/relationships/hyperlink" Target="https://statiz.sporki.com/add/?m=draft_school01&amp;ps_school=50609" TargetMode="External"/><Relationship Id="rId11307" Type="http://schemas.openxmlformats.org/officeDocument/2006/relationships/hyperlink" Target="https://statiz.sporki.com/add/?m=draft_school02&amp;ps_school=60101" TargetMode="External"/><Relationship Id="rId14877" Type="http://schemas.openxmlformats.org/officeDocument/2006/relationships/hyperlink" Target="https://statiz.sporki.com/player/?m=playerinfo&amp;p_no=2069" TargetMode="External"/><Relationship Id="rId3885" Type="http://schemas.openxmlformats.org/officeDocument/2006/relationships/hyperlink" Target="https://statiz.sporki.com/add/?m=draft_school02&amp;ps_school=60103" TargetMode="External"/><Relationship Id="rId4936" Type="http://schemas.openxmlformats.org/officeDocument/2006/relationships/hyperlink" Target="https://statiz.sporki.com/player/?m=playerinfo&amp;p_no=10788" TargetMode="External"/><Relationship Id="rId13479" Type="http://schemas.openxmlformats.org/officeDocument/2006/relationships/hyperlink" Target="https://statiz.sporki.com/player/?m=playerinfo&amp;p_no=11263" TargetMode="External"/><Relationship Id="rId15928" Type="http://schemas.openxmlformats.org/officeDocument/2006/relationships/hyperlink" Target="https://statiz.sporki.com/player/?m=playerinfo&amp;p_no=1264" TargetMode="External"/><Relationship Id="rId17350" Type="http://schemas.openxmlformats.org/officeDocument/2006/relationships/hyperlink" Target="https://statiz.sporki.com/add/?m=draft_school01&amp;ps_school=50202" TargetMode="External"/><Relationship Id="rId18401" Type="http://schemas.openxmlformats.org/officeDocument/2006/relationships/hyperlink" Target="https://statiz.sporki.com/add/?m=draft_school01&amp;ps_school=50402" TargetMode="External"/><Relationship Id="rId2487" Type="http://schemas.openxmlformats.org/officeDocument/2006/relationships/hyperlink" Target="https://statiz.sporki.com/add/?m=draft_school02&amp;ps_school=" TargetMode="External"/><Relationship Id="rId3538" Type="http://schemas.openxmlformats.org/officeDocument/2006/relationships/hyperlink" Target="https://statiz.sporki.com/player/?m=playerinfo&amp;p_no=12511" TargetMode="External"/><Relationship Id="rId17003" Type="http://schemas.openxmlformats.org/officeDocument/2006/relationships/hyperlink" Target="https://statiz.sporki.com/add/?m=draft_school01&amp;ps_school=50807" TargetMode="External"/><Relationship Id="rId459" Type="http://schemas.openxmlformats.org/officeDocument/2006/relationships/hyperlink" Target="https://statiz.sporki.com/add/?m=draft_school02&amp;ps_school=60205" TargetMode="External"/><Relationship Id="rId1089" Type="http://schemas.openxmlformats.org/officeDocument/2006/relationships/hyperlink" Target="https://statiz.sporki.com/add/?m=draft_school02&amp;ps_school=60804" TargetMode="External"/><Relationship Id="rId6011" Type="http://schemas.openxmlformats.org/officeDocument/2006/relationships/hyperlink" Target="https://statiz.sporki.com/add/?m=draft_school01&amp;ps_school=50703" TargetMode="External"/><Relationship Id="rId9581" Type="http://schemas.openxmlformats.org/officeDocument/2006/relationships/hyperlink" Target="https://statiz.sporki.com/add/?m=draft_school01&amp;ps_school=50401" TargetMode="External"/><Relationship Id="rId13960" Type="http://schemas.openxmlformats.org/officeDocument/2006/relationships/hyperlink" Target="https://statiz.sporki.com/player/?m=playerinfo&amp;p_no=10834" TargetMode="External"/><Relationship Id="rId19175" Type="http://schemas.openxmlformats.org/officeDocument/2006/relationships/hyperlink" Target="https://statiz.sporki.com/add/?m=draft_school01&amp;ps_school=50702" TargetMode="External"/><Relationship Id="rId8183" Type="http://schemas.openxmlformats.org/officeDocument/2006/relationships/hyperlink" Target="https://statiz.sporki.com/add/?m=draft_school01&amp;ps_school=50303" TargetMode="External"/><Relationship Id="rId9234" Type="http://schemas.openxmlformats.org/officeDocument/2006/relationships/hyperlink" Target="https://statiz.sporki.com/add/?m=draft_school02&amp;ps_school=" TargetMode="External"/><Relationship Id="rId12562" Type="http://schemas.openxmlformats.org/officeDocument/2006/relationships/hyperlink" Target="https://statiz.sporki.com/player/?m=playerinfo&amp;p_no=14845" TargetMode="External"/><Relationship Id="rId13613" Type="http://schemas.openxmlformats.org/officeDocument/2006/relationships/hyperlink" Target="https://statiz.sporki.com/player/?m=playerinfo&amp;p_no=12649" TargetMode="External"/><Relationship Id="rId940" Type="http://schemas.openxmlformats.org/officeDocument/2006/relationships/hyperlink" Target="https://statiz.sporki.com/player/?m=playerinfo&amp;p_no=15137" TargetMode="External"/><Relationship Id="rId1570" Type="http://schemas.openxmlformats.org/officeDocument/2006/relationships/hyperlink" Target="https://statiz.sporki.com/player/?m=playerinfo&amp;p_no=14656" TargetMode="External"/><Relationship Id="rId2621" Type="http://schemas.openxmlformats.org/officeDocument/2006/relationships/hyperlink" Target="https://statiz.sporki.com/add/?m=draft_school01&amp;ps_school=" TargetMode="External"/><Relationship Id="rId11164" Type="http://schemas.openxmlformats.org/officeDocument/2006/relationships/hyperlink" Target="https://statiz.sporki.com/player/?m=playerinfo&amp;p_no=1313" TargetMode="External"/><Relationship Id="rId12215" Type="http://schemas.openxmlformats.org/officeDocument/2006/relationships/hyperlink" Target="https://statiz.sporki.com/player/?m=playerinfo&amp;p_no=15457" TargetMode="External"/><Relationship Id="rId15785" Type="http://schemas.openxmlformats.org/officeDocument/2006/relationships/hyperlink" Target="https://statiz.sporki.com/player/?m=playerinfo&amp;p_no=1382" TargetMode="External"/><Relationship Id="rId16836" Type="http://schemas.openxmlformats.org/officeDocument/2006/relationships/hyperlink" Target="https://statiz.sporki.com/add/?m=draft_school01&amp;ps_school=50807" TargetMode="External"/><Relationship Id="rId1223" Type="http://schemas.openxmlformats.org/officeDocument/2006/relationships/hyperlink" Target="https://statiz.sporki.com/add/?m=draft_school01&amp;ps_school=50401" TargetMode="External"/><Relationship Id="rId4793" Type="http://schemas.openxmlformats.org/officeDocument/2006/relationships/hyperlink" Target="https://statiz.sporki.com/add/?m=draft_school01&amp;ps_school=50803" TargetMode="External"/><Relationship Id="rId5844" Type="http://schemas.openxmlformats.org/officeDocument/2006/relationships/hyperlink" Target="https://statiz.sporki.com/add/?m=draft_school02&amp;ps_school=60104" TargetMode="External"/><Relationship Id="rId14387" Type="http://schemas.openxmlformats.org/officeDocument/2006/relationships/hyperlink" Target="https://statiz.sporki.com/player/?m=playerinfo&amp;p_no=10180" TargetMode="External"/><Relationship Id="rId15438" Type="http://schemas.openxmlformats.org/officeDocument/2006/relationships/hyperlink" Target="https://statiz.sporki.com/player/?m=playerinfo&amp;p_no=1661" TargetMode="External"/><Relationship Id="rId3395" Type="http://schemas.openxmlformats.org/officeDocument/2006/relationships/hyperlink" Target="https://statiz.sporki.com/add/?m=draft_school01&amp;ps_school=50114" TargetMode="External"/><Relationship Id="rId4446" Type="http://schemas.openxmlformats.org/officeDocument/2006/relationships/hyperlink" Target="https://statiz.sporki.com/add/?m=draft_school02&amp;ps_school=" TargetMode="External"/><Relationship Id="rId3048" Type="http://schemas.openxmlformats.org/officeDocument/2006/relationships/hyperlink" Target="https://statiz.sporki.com/add/?m=draft_school02&amp;ps_school=" TargetMode="External"/><Relationship Id="rId7669" Type="http://schemas.openxmlformats.org/officeDocument/2006/relationships/hyperlink" Target="https://statiz.sporki.com/player/?m=playerinfo&amp;p_no=10393" TargetMode="External"/><Relationship Id="rId10997" Type="http://schemas.openxmlformats.org/officeDocument/2006/relationships/hyperlink" Target="https://statiz.sporki.com/add/?m=draft_school01&amp;ps_school=50703" TargetMode="External"/><Relationship Id="rId9091" Type="http://schemas.openxmlformats.org/officeDocument/2006/relationships/hyperlink" Target="https://statiz.sporki.com/player/?m=playerinfo&amp;p_no=1867" TargetMode="External"/><Relationship Id="rId12072" Type="http://schemas.openxmlformats.org/officeDocument/2006/relationships/hyperlink" Target="https://statiz.sporki.com/add/?m=draft_school02&amp;ps_school=60103" TargetMode="External"/><Relationship Id="rId13123" Type="http://schemas.openxmlformats.org/officeDocument/2006/relationships/hyperlink" Target="https://statiz.sporki.com/player/?m=playerinfo&amp;p_no=12885" TargetMode="External"/><Relationship Id="rId13470" Type="http://schemas.openxmlformats.org/officeDocument/2006/relationships/hyperlink" Target="https://statiz.sporki.com/player/?m=playerinfo&amp;p_no=12687" TargetMode="External"/><Relationship Id="rId14521" Type="http://schemas.openxmlformats.org/officeDocument/2006/relationships/hyperlink" Target="https://statiz.sporki.com/player/?m=playerinfo&amp;p_no=10570" TargetMode="External"/><Relationship Id="rId450" Type="http://schemas.openxmlformats.org/officeDocument/2006/relationships/hyperlink" Target="https://statiz.sporki.com/add/?m=draft_school02&amp;ps_school=60114" TargetMode="External"/><Relationship Id="rId1080" Type="http://schemas.openxmlformats.org/officeDocument/2006/relationships/hyperlink" Target="https://statiz.sporki.com/add/?m=draft_school02&amp;ps_school=" TargetMode="External"/><Relationship Id="rId2131" Type="http://schemas.openxmlformats.org/officeDocument/2006/relationships/hyperlink" Target="https://statiz.sporki.com/player/?m=playerinfo&amp;p_no=14652" TargetMode="External"/><Relationship Id="rId16693" Type="http://schemas.openxmlformats.org/officeDocument/2006/relationships/hyperlink" Target="https://statiz.sporki.com/add/?m=draft_school01&amp;ps_school=50211" TargetMode="External"/><Relationship Id="rId17744" Type="http://schemas.openxmlformats.org/officeDocument/2006/relationships/hyperlink" Target="https://statiz.sporki.com/add/?m=draft_school01&amp;ps_school=50602" TargetMode="External"/><Relationship Id="rId103" Type="http://schemas.openxmlformats.org/officeDocument/2006/relationships/hyperlink" Target="https://statiz.sporki.com/player/?m=playerinfo&amp;p_no=15464" TargetMode="External"/><Relationship Id="rId6752" Type="http://schemas.openxmlformats.org/officeDocument/2006/relationships/hyperlink" Target="https://statiz.sporki.com/add/?m=draft_school01&amp;ps_school=50115" TargetMode="External"/><Relationship Id="rId7803" Type="http://schemas.openxmlformats.org/officeDocument/2006/relationships/hyperlink" Target="https://statiz.sporki.com/add/?m=draft_school02&amp;ps_school=" TargetMode="External"/><Relationship Id="rId15295" Type="http://schemas.openxmlformats.org/officeDocument/2006/relationships/hyperlink" Target="https://statiz.sporki.com/player/?m=playerinfo&amp;p_no=1828" TargetMode="External"/><Relationship Id="rId16346" Type="http://schemas.openxmlformats.org/officeDocument/2006/relationships/hyperlink" Target="https://statiz.sporki.com/add/?m=draft_school01&amp;ps_school=50103" TargetMode="External"/><Relationship Id="rId5354" Type="http://schemas.openxmlformats.org/officeDocument/2006/relationships/hyperlink" Target="https://statiz.sporki.com/add/?m=draft_school01&amp;ps_school=50402" TargetMode="External"/><Relationship Id="rId6405" Type="http://schemas.openxmlformats.org/officeDocument/2006/relationships/hyperlink" Target="https://statiz.sporki.com/add/?m=draft_school02&amp;ps_school=" TargetMode="External"/><Relationship Id="rId9975" Type="http://schemas.openxmlformats.org/officeDocument/2006/relationships/hyperlink" Target="https://statiz.sporki.com/add/?m=draft_school02&amp;ps_school=" TargetMode="External"/><Relationship Id="rId12956" Type="http://schemas.openxmlformats.org/officeDocument/2006/relationships/hyperlink" Target="https://statiz.sporki.com/player/?m=playerinfo&amp;p_no=13172" TargetMode="External"/><Relationship Id="rId19569" Type="http://schemas.openxmlformats.org/officeDocument/2006/relationships/hyperlink" Target="https://statiz.sporki.com/add/?m=draft_school01&amp;ps_school=50121" TargetMode="External"/><Relationship Id="rId1964" Type="http://schemas.openxmlformats.org/officeDocument/2006/relationships/hyperlink" Target="https://statiz.sporki.com/add/?m=draft_school01&amp;ps_school=50805" TargetMode="External"/><Relationship Id="rId5007" Type="http://schemas.openxmlformats.org/officeDocument/2006/relationships/hyperlink" Target="https://statiz.sporki.com/add/?m=draft_school02&amp;ps_school=60108" TargetMode="External"/><Relationship Id="rId8577" Type="http://schemas.openxmlformats.org/officeDocument/2006/relationships/hyperlink" Target="https://statiz.sporki.com/add/?m=draft_school02&amp;ps_school=60101" TargetMode="External"/><Relationship Id="rId9628" Type="http://schemas.openxmlformats.org/officeDocument/2006/relationships/hyperlink" Target="https://statiz.sporki.com/player/?m=playerinfo&amp;p_no=1748" TargetMode="External"/><Relationship Id="rId11558" Type="http://schemas.openxmlformats.org/officeDocument/2006/relationships/hyperlink" Target="https://statiz.sporki.com/add/?m=draft_school01&amp;ps_school=50109" TargetMode="External"/><Relationship Id="rId12609" Type="http://schemas.openxmlformats.org/officeDocument/2006/relationships/hyperlink" Target="https://statiz.sporki.com/player/?m=playerinfo&amp;p_no=14615" TargetMode="External"/><Relationship Id="rId1617" Type="http://schemas.openxmlformats.org/officeDocument/2006/relationships/hyperlink" Target="https://statiz.sporki.com/add/?m=draft_school02&amp;ps_school=" TargetMode="External"/><Relationship Id="rId7179" Type="http://schemas.openxmlformats.org/officeDocument/2006/relationships/hyperlink" Target="https://statiz.sporki.com/add/?m=draft_school02&amp;ps_school=" TargetMode="External"/><Relationship Id="rId14031" Type="http://schemas.openxmlformats.org/officeDocument/2006/relationships/hyperlink" Target="https://statiz.sporki.com/player/?m=playerinfo&amp;p_no=2434" TargetMode="External"/><Relationship Id="rId3789" Type="http://schemas.openxmlformats.org/officeDocument/2006/relationships/hyperlink" Target="https://statiz.sporki.com/add/?m=draft_school02&amp;ps_school=60703" TargetMode="External"/><Relationship Id="rId7660" Type="http://schemas.openxmlformats.org/officeDocument/2006/relationships/hyperlink" Target="https://statiz.sporki.com/player/?m=playerinfo&amp;p_no=10161" TargetMode="External"/><Relationship Id="rId17254" Type="http://schemas.openxmlformats.org/officeDocument/2006/relationships/hyperlink" Target="https://statiz.sporki.com/add/?m=draft_school01&amp;ps_school=50101" TargetMode="External"/><Relationship Id="rId18652" Type="http://schemas.openxmlformats.org/officeDocument/2006/relationships/hyperlink" Target="https://statiz.sporki.com/add/?m=draft_school01&amp;ps_school=50501" TargetMode="External"/><Relationship Id="rId6262" Type="http://schemas.openxmlformats.org/officeDocument/2006/relationships/hyperlink" Target="https://statiz.sporki.com/player/?m=playerinfo&amp;p_no=10250" TargetMode="External"/><Relationship Id="rId7313" Type="http://schemas.openxmlformats.org/officeDocument/2006/relationships/hyperlink" Target="https://statiz.sporki.com/add/?m=draft_school01&amp;ps_school=50208" TargetMode="External"/><Relationship Id="rId8711" Type="http://schemas.openxmlformats.org/officeDocument/2006/relationships/hyperlink" Target="https://statiz.sporki.com/add/?m=draft_school01&amp;ps_school=50112" TargetMode="External"/><Relationship Id="rId10641" Type="http://schemas.openxmlformats.org/officeDocument/2006/relationships/hyperlink" Target="https://statiz.sporki.com/add/?m=draft_school02&amp;ps_school=60501" TargetMode="External"/><Relationship Id="rId18305" Type="http://schemas.openxmlformats.org/officeDocument/2006/relationships/hyperlink" Target="https://statiz.sporki.com/add/?m=draft_school01&amp;ps_school=50502" TargetMode="External"/><Relationship Id="rId13864" Type="http://schemas.openxmlformats.org/officeDocument/2006/relationships/hyperlink" Target="https://statiz.sporki.com/player/?m=playerinfo&amp;p_no=10733" TargetMode="External"/><Relationship Id="rId14915" Type="http://schemas.openxmlformats.org/officeDocument/2006/relationships/hyperlink" Target="https://statiz.sporki.com/player/?m=playerinfo&amp;p_no=10117" TargetMode="External"/><Relationship Id="rId2872" Type="http://schemas.openxmlformats.org/officeDocument/2006/relationships/hyperlink" Target="https://statiz.sporki.com/player/?m=playerinfo&amp;p_no=13189" TargetMode="External"/><Relationship Id="rId3923" Type="http://schemas.openxmlformats.org/officeDocument/2006/relationships/hyperlink" Target="https://statiz.sporki.com/add/?m=draft_school01&amp;ps_school=" TargetMode="External"/><Relationship Id="rId8087" Type="http://schemas.openxmlformats.org/officeDocument/2006/relationships/hyperlink" Target="https://statiz.sporki.com/add/?m=draft_school01&amp;ps_school=50105" TargetMode="External"/><Relationship Id="rId9485" Type="http://schemas.openxmlformats.org/officeDocument/2006/relationships/hyperlink" Target="https://statiz.sporki.com/add/?m=draft_school01&amp;ps_school=50121" TargetMode="External"/><Relationship Id="rId12466" Type="http://schemas.openxmlformats.org/officeDocument/2006/relationships/hyperlink" Target="https://statiz.sporki.com/player/?m=playerinfo&amp;p_no=14796" TargetMode="External"/><Relationship Id="rId13517" Type="http://schemas.openxmlformats.org/officeDocument/2006/relationships/hyperlink" Target="https://statiz.sporki.com/player/?m=playerinfo&amp;p_no=11250" TargetMode="External"/><Relationship Id="rId19079" Type="http://schemas.openxmlformats.org/officeDocument/2006/relationships/hyperlink" Target="https://statiz.sporki.com/add/?m=draft_school01&amp;ps_school=50703" TargetMode="External"/><Relationship Id="rId844" Type="http://schemas.openxmlformats.org/officeDocument/2006/relationships/hyperlink" Target="https://statiz.sporki.com/player/?m=playerinfo&amp;p_no=15149" TargetMode="External"/><Relationship Id="rId1474" Type="http://schemas.openxmlformats.org/officeDocument/2006/relationships/hyperlink" Target="https://statiz.sporki.com/player/?m=playerinfo&amp;p_no=14601" TargetMode="External"/><Relationship Id="rId2525" Type="http://schemas.openxmlformats.org/officeDocument/2006/relationships/hyperlink" Target="https://statiz.sporki.com/add/?m=draft_school01&amp;ps_school=50103" TargetMode="External"/><Relationship Id="rId9138" Type="http://schemas.openxmlformats.org/officeDocument/2006/relationships/hyperlink" Target="https://statiz.sporki.com/add/?m=draft_school02&amp;ps_school=60803" TargetMode="External"/><Relationship Id="rId11068" Type="http://schemas.openxmlformats.org/officeDocument/2006/relationships/hyperlink" Target="https://statiz.sporki.com/player/?m=playerinfo&amp;p_no=1309" TargetMode="External"/><Relationship Id="rId12119" Type="http://schemas.openxmlformats.org/officeDocument/2006/relationships/hyperlink" Target="https://statiz.sporki.com/add/?m=draft_school01&amp;ps_school=50501" TargetMode="External"/><Relationship Id="rId15689" Type="http://schemas.openxmlformats.org/officeDocument/2006/relationships/hyperlink" Target="https://statiz.sporki.com/player/?m=playerinfo&amp;p_no=1422" TargetMode="External"/><Relationship Id="rId19560" Type="http://schemas.openxmlformats.org/officeDocument/2006/relationships/hyperlink" Target="https://statiz.sporki.com/add/?m=draft_school01&amp;ps_school=50106" TargetMode="External"/><Relationship Id="rId1127" Type="http://schemas.openxmlformats.org/officeDocument/2006/relationships/hyperlink" Target="https://statiz.sporki.com/add/?m=draft_school01&amp;ps_school=50902" TargetMode="External"/><Relationship Id="rId4697" Type="http://schemas.openxmlformats.org/officeDocument/2006/relationships/hyperlink" Target="https://statiz.sporki.com/add/?m=draft_school01&amp;ps_school=" TargetMode="External"/><Relationship Id="rId5748" Type="http://schemas.openxmlformats.org/officeDocument/2006/relationships/hyperlink" Target="https://statiz.sporki.com/add/?m=draft_school02&amp;ps_school=" TargetMode="External"/><Relationship Id="rId18162" Type="http://schemas.openxmlformats.org/officeDocument/2006/relationships/hyperlink" Target="https://statiz.sporki.com/add/?m=draft_school01&amp;ps_school=50206" TargetMode="External"/><Relationship Id="rId19213" Type="http://schemas.openxmlformats.org/officeDocument/2006/relationships/hyperlink" Target="https://statiz.sporki.com/add/?m=draft_school01&amp;ps_school=50807" TargetMode="External"/><Relationship Id="rId3299" Type="http://schemas.openxmlformats.org/officeDocument/2006/relationships/hyperlink" Target="https://statiz.sporki.com/add/?m=draft_school01&amp;ps_school=50111" TargetMode="External"/><Relationship Id="rId7170" Type="http://schemas.openxmlformats.org/officeDocument/2006/relationships/hyperlink" Target="https://statiz.sporki.com/add/?m=draft_school02&amp;ps_school=" TargetMode="External"/><Relationship Id="rId8221" Type="http://schemas.openxmlformats.org/officeDocument/2006/relationships/hyperlink" Target="https://statiz.sporki.com/player/?m=playerinfo&amp;p_no=2131" TargetMode="External"/><Relationship Id="rId10151" Type="http://schemas.openxmlformats.org/officeDocument/2006/relationships/hyperlink" Target="https://statiz.sporki.com/add/?m=draft_school01&amp;ps_school=" TargetMode="External"/><Relationship Id="rId11202" Type="http://schemas.openxmlformats.org/officeDocument/2006/relationships/hyperlink" Target="https://statiz.sporki.com/add/?m=draft_school02&amp;ps_school=60207" TargetMode="External"/><Relationship Id="rId12600" Type="http://schemas.openxmlformats.org/officeDocument/2006/relationships/hyperlink" Target="https://statiz.sporki.com/player/?m=playerinfo&amp;p_no=14879" TargetMode="External"/><Relationship Id="rId14772" Type="http://schemas.openxmlformats.org/officeDocument/2006/relationships/hyperlink" Target="https://statiz.sporki.com/player/?m=playerinfo&amp;p_no=10011" TargetMode="External"/><Relationship Id="rId15823" Type="http://schemas.openxmlformats.org/officeDocument/2006/relationships/hyperlink" Target="https://statiz.sporki.com/player/?m=playerinfo&amp;p_no=1345" TargetMode="External"/><Relationship Id="rId2382" Type="http://schemas.openxmlformats.org/officeDocument/2006/relationships/hyperlink" Target="https://statiz.sporki.com/add/?m=draft_school02&amp;ps_school=" TargetMode="External"/><Relationship Id="rId3780" Type="http://schemas.openxmlformats.org/officeDocument/2006/relationships/hyperlink" Target="https://statiz.sporki.com/add/?m=draft_school02&amp;ps_school=" TargetMode="External"/><Relationship Id="rId4831" Type="http://schemas.openxmlformats.org/officeDocument/2006/relationships/hyperlink" Target="https://statiz.sporki.com/player/?m=playerinfo&amp;p_no=10878" TargetMode="External"/><Relationship Id="rId13374" Type="http://schemas.openxmlformats.org/officeDocument/2006/relationships/hyperlink" Target="https://statiz.sporki.com/player/?m=playerinfo&amp;p_no=12970" TargetMode="External"/><Relationship Id="rId14425" Type="http://schemas.openxmlformats.org/officeDocument/2006/relationships/hyperlink" Target="https://statiz.sporki.com/player/?m=playerinfo&amp;p_no=2362" TargetMode="External"/><Relationship Id="rId17995" Type="http://schemas.openxmlformats.org/officeDocument/2006/relationships/hyperlink" Target="https://statiz.sporki.com/add/?m=draft_school01&amp;ps_school=50703" TargetMode="External"/><Relationship Id="rId354" Type="http://schemas.openxmlformats.org/officeDocument/2006/relationships/hyperlink" Target="https://statiz.sporki.com/add/?m=draft_school02&amp;ps_school=" TargetMode="External"/><Relationship Id="rId2035" Type="http://schemas.openxmlformats.org/officeDocument/2006/relationships/hyperlink" Target="https://statiz.sporki.com/player/?m=playerinfo&amp;p_no=14654" TargetMode="External"/><Relationship Id="rId3433" Type="http://schemas.openxmlformats.org/officeDocument/2006/relationships/hyperlink" Target="https://statiz.sporki.com/player/?m=playerinfo&amp;p_no=12635" TargetMode="External"/><Relationship Id="rId13027" Type="http://schemas.openxmlformats.org/officeDocument/2006/relationships/hyperlink" Target="https://statiz.sporki.com/player/?m=playerinfo&amp;p_no=13068" TargetMode="External"/><Relationship Id="rId16597" Type="http://schemas.openxmlformats.org/officeDocument/2006/relationships/hyperlink" Target="https://statiz.sporki.com/add/?m=draft_school01&amp;ps_school=50207" TargetMode="External"/><Relationship Id="rId17648" Type="http://schemas.openxmlformats.org/officeDocument/2006/relationships/hyperlink" Target="https://statiz.sporki.com/add/?m=draft_school01&amp;ps_school=50606" TargetMode="External"/><Relationship Id="rId6656" Type="http://schemas.openxmlformats.org/officeDocument/2006/relationships/hyperlink" Target="https://statiz.sporki.com/add/?m=draft_school01&amp;ps_school=" TargetMode="External"/><Relationship Id="rId7707" Type="http://schemas.openxmlformats.org/officeDocument/2006/relationships/hyperlink" Target="https://statiz.sporki.com/add/?m=draft_school02&amp;ps_school=" TargetMode="External"/><Relationship Id="rId15199" Type="http://schemas.openxmlformats.org/officeDocument/2006/relationships/hyperlink" Target="https://statiz.sporki.com/player/?m=playerinfo&amp;p_no=1919" TargetMode="External"/><Relationship Id="rId19070" Type="http://schemas.openxmlformats.org/officeDocument/2006/relationships/hyperlink" Target="https://statiz.sporki.com/add/?m=draft_school01&amp;ps_school=50127" TargetMode="External"/><Relationship Id="rId5258" Type="http://schemas.openxmlformats.org/officeDocument/2006/relationships/hyperlink" Target="https://statiz.sporki.com/add/?m=draft_school01&amp;ps_school=51001" TargetMode="External"/><Relationship Id="rId6309" Type="http://schemas.openxmlformats.org/officeDocument/2006/relationships/hyperlink" Target="https://statiz.sporki.com/add/?m=draft_school02&amp;ps_school=" TargetMode="External"/><Relationship Id="rId9879" Type="http://schemas.openxmlformats.org/officeDocument/2006/relationships/hyperlink" Target="https://statiz.sporki.com/add/?m=draft_school02&amp;ps_school=60101" TargetMode="External"/><Relationship Id="rId12110" Type="http://schemas.openxmlformats.org/officeDocument/2006/relationships/hyperlink" Target="https://statiz.sporki.com/add/?m=draft_school01&amp;ps_school=50110" TargetMode="External"/><Relationship Id="rId1868" Type="http://schemas.openxmlformats.org/officeDocument/2006/relationships/hyperlink" Target="https://statiz.sporki.com/add/?m=draft_school01&amp;ps_school=50802" TargetMode="External"/><Relationship Id="rId14282" Type="http://schemas.openxmlformats.org/officeDocument/2006/relationships/hyperlink" Target="https://statiz.sporki.com/player/?m=playerinfo&amp;p_no=14888" TargetMode="External"/><Relationship Id="rId15333" Type="http://schemas.openxmlformats.org/officeDocument/2006/relationships/hyperlink" Target="https://statiz.sporki.com/player/?m=playerinfo&amp;p_no=1773" TargetMode="External"/><Relationship Id="rId15680" Type="http://schemas.openxmlformats.org/officeDocument/2006/relationships/hyperlink" Target="https://statiz.sporki.com/player/?m=playerinfo&amp;p_no=1443" TargetMode="External"/><Relationship Id="rId16731" Type="http://schemas.openxmlformats.org/officeDocument/2006/relationships/hyperlink" Target="https://statiz.sporki.com/add/?m=draft_school01&amp;ps_school=50302" TargetMode="External"/><Relationship Id="rId2919" Type="http://schemas.openxmlformats.org/officeDocument/2006/relationships/hyperlink" Target="https://statiz.sporki.com/add/?m=draft_school02&amp;ps_school=" TargetMode="External"/><Relationship Id="rId3290" Type="http://schemas.openxmlformats.org/officeDocument/2006/relationships/hyperlink" Target="https://statiz.sporki.com/add/?m=draft_school01&amp;ps_school=50403" TargetMode="External"/><Relationship Id="rId4341" Type="http://schemas.openxmlformats.org/officeDocument/2006/relationships/hyperlink" Target="https://statiz.sporki.com/add/?m=draft_school02&amp;ps_school=" TargetMode="External"/><Relationship Id="rId8962" Type="http://schemas.openxmlformats.org/officeDocument/2006/relationships/hyperlink" Target="https://statiz.sporki.com/player/?m=playerinfo&amp;p_no=2128" TargetMode="External"/><Relationship Id="rId10892" Type="http://schemas.openxmlformats.org/officeDocument/2006/relationships/hyperlink" Target="https://statiz.sporki.com/add/?m=draft_school01&amp;ps_school=50608" TargetMode="External"/><Relationship Id="rId11943" Type="http://schemas.openxmlformats.org/officeDocument/2006/relationships/hyperlink" Target="https://statiz.sporki.com/add/?m=draft_school02&amp;ps_school=60108" TargetMode="External"/><Relationship Id="rId18556" Type="http://schemas.openxmlformats.org/officeDocument/2006/relationships/hyperlink" Target="https://statiz.sporki.com/add/?m=draft_school01&amp;ps_school=50805" TargetMode="External"/><Relationship Id="rId19607" Type="http://schemas.openxmlformats.org/officeDocument/2006/relationships/hyperlink" Target="https://statiz.sporki.com/add/?m=draft_school01&amp;ps_school=50812" TargetMode="External"/><Relationship Id="rId6166" Type="http://schemas.openxmlformats.org/officeDocument/2006/relationships/hyperlink" Target="https://statiz.sporki.com/player/?m=playerinfo&amp;p_no=2422" TargetMode="External"/><Relationship Id="rId7564" Type="http://schemas.openxmlformats.org/officeDocument/2006/relationships/hyperlink" Target="https://statiz.sporki.com/player/?m=playerinfo&amp;p_no=10083" TargetMode="External"/><Relationship Id="rId8615" Type="http://schemas.openxmlformats.org/officeDocument/2006/relationships/hyperlink" Target="https://statiz.sporki.com/add/?m=draft_school01&amp;ps_school=50501" TargetMode="External"/><Relationship Id="rId10545" Type="http://schemas.openxmlformats.org/officeDocument/2006/relationships/hyperlink" Target="https://statiz.sporki.com/add/?m=draft_school02&amp;ps_school=60113" TargetMode="External"/><Relationship Id="rId17158" Type="http://schemas.openxmlformats.org/officeDocument/2006/relationships/hyperlink" Target="https://statiz.sporki.com/add/?m=draft_school01&amp;ps_school=51001" TargetMode="External"/><Relationship Id="rId18209" Type="http://schemas.openxmlformats.org/officeDocument/2006/relationships/hyperlink" Target="https://statiz.sporki.com/add/?m=draft_school01&amp;ps_school=50901" TargetMode="External"/><Relationship Id="rId7217" Type="http://schemas.openxmlformats.org/officeDocument/2006/relationships/hyperlink" Target="https://statiz.sporki.com/add/?m=draft_school01&amp;ps_school=50207" TargetMode="External"/><Relationship Id="rId13768" Type="http://schemas.openxmlformats.org/officeDocument/2006/relationships/hyperlink" Target="https://statiz.sporki.com/player/?m=playerinfo&amp;p_no=10830" TargetMode="External"/><Relationship Id="rId14819" Type="http://schemas.openxmlformats.org/officeDocument/2006/relationships/hyperlink" Target="https://statiz.sporki.com/player/?m=playerinfo&amp;p_no=2111" TargetMode="External"/><Relationship Id="rId2776" Type="http://schemas.openxmlformats.org/officeDocument/2006/relationships/hyperlink" Target="https://statiz.sporki.com/player/?m=playerinfo&amp;p_no=12908" TargetMode="External"/><Relationship Id="rId3827" Type="http://schemas.openxmlformats.org/officeDocument/2006/relationships/hyperlink" Target="https://statiz.sporki.com/add/?m=draft_school01&amp;ps_school=50106" TargetMode="External"/><Relationship Id="rId9389" Type="http://schemas.openxmlformats.org/officeDocument/2006/relationships/hyperlink" Target="https://statiz.sporki.com/add/?m=draft_school01&amp;ps_school=50110" TargetMode="External"/><Relationship Id="rId15190" Type="http://schemas.openxmlformats.org/officeDocument/2006/relationships/hyperlink" Target="https://statiz.sporki.com/player/?m=playerinfo&amp;p_no=10321" TargetMode="External"/><Relationship Id="rId16241" Type="http://schemas.openxmlformats.org/officeDocument/2006/relationships/hyperlink" Target="https://statiz.sporki.com/add/?m=draft_school01&amp;ps_school=50114" TargetMode="External"/><Relationship Id="rId748" Type="http://schemas.openxmlformats.org/officeDocument/2006/relationships/hyperlink" Target="https://statiz.sporki.com/player/?m=playerinfo&amp;p_no=15097" TargetMode="External"/><Relationship Id="rId1378" Type="http://schemas.openxmlformats.org/officeDocument/2006/relationships/hyperlink" Target="https://statiz.sporki.com/player/?m=playerinfo&amp;p_no=14878" TargetMode="External"/><Relationship Id="rId2429" Type="http://schemas.openxmlformats.org/officeDocument/2006/relationships/hyperlink" Target="https://statiz.sporki.com/add/?m=draft_school01&amp;ps_school=50402" TargetMode="External"/><Relationship Id="rId5999" Type="http://schemas.openxmlformats.org/officeDocument/2006/relationships/hyperlink" Target="https://statiz.sporki.com/add/?m=draft_school01&amp;ps_school=50103" TargetMode="External"/><Relationship Id="rId6300" Type="http://schemas.openxmlformats.org/officeDocument/2006/relationships/hyperlink" Target="https://statiz.sporki.com/add/?m=draft_school02&amp;ps_school=60204" TargetMode="External"/><Relationship Id="rId9870" Type="http://schemas.openxmlformats.org/officeDocument/2006/relationships/hyperlink" Target="https://statiz.sporki.com/add/?m=draft_school02&amp;ps_school=60703" TargetMode="External"/><Relationship Id="rId19464" Type="http://schemas.openxmlformats.org/officeDocument/2006/relationships/hyperlink" Target="https://statiz.sporki.com/add/?m=draft_school01&amp;ps_school=50401" TargetMode="External"/><Relationship Id="rId84" Type="http://schemas.openxmlformats.org/officeDocument/2006/relationships/hyperlink" Target="https://statiz.sporki.com/add/?m=draft_school02&amp;ps_school=" TargetMode="External"/><Relationship Id="rId8472" Type="http://schemas.openxmlformats.org/officeDocument/2006/relationships/hyperlink" Target="https://statiz.sporki.com/add/?m=draft_school02&amp;ps_school=" TargetMode="External"/><Relationship Id="rId9523" Type="http://schemas.openxmlformats.org/officeDocument/2006/relationships/hyperlink" Target="https://statiz.sporki.com/player/?m=playerinfo&amp;p_no=1785" TargetMode="External"/><Relationship Id="rId12851" Type="http://schemas.openxmlformats.org/officeDocument/2006/relationships/hyperlink" Target="https://statiz.sporki.com/player/?m=playerinfo&amp;p_no=14216" TargetMode="External"/><Relationship Id="rId13902" Type="http://schemas.openxmlformats.org/officeDocument/2006/relationships/hyperlink" Target="https://statiz.sporki.com/player/?m=playerinfo&amp;p_no=10727" TargetMode="External"/><Relationship Id="rId18066" Type="http://schemas.openxmlformats.org/officeDocument/2006/relationships/hyperlink" Target="https://statiz.sporki.com/add/?m=draft_school01&amp;ps_school=50303" TargetMode="External"/><Relationship Id="rId19117" Type="http://schemas.openxmlformats.org/officeDocument/2006/relationships/hyperlink" Target="https://statiz.sporki.com/add/?m=draft_school01&amp;ps_school=50107" TargetMode="External"/><Relationship Id="rId2910" Type="http://schemas.openxmlformats.org/officeDocument/2006/relationships/hyperlink" Target="https://statiz.sporki.com/add/?m=draft_school02&amp;ps_school=" TargetMode="External"/><Relationship Id="rId7074" Type="http://schemas.openxmlformats.org/officeDocument/2006/relationships/hyperlink" Target="https://statiz.sporki.com/add/?m=draft_school02&amp;ps_school=" TargetMode="External"/><Relationship Id="rId8125" Type="http://schemas.openxmlformats.org/officeDocument/2006/relationships/hyperlink" Target="https://statiz.sporki.com/player/?m=playerinfo&amp;p_no=10225" TargetMode="External"/><Relationship Id="rId11453" Type="http://schemas.openxmlformats.org/officeDocument/2006/relationships/hyperlink" Target="https://statiz.sporki.com/add/?m=draft_school01&amp;ps_school=" TargetMode="External"/><Relationship Id="rId12504" Type="http://schemas.openxmlformats.org/officeDocument/2006/relationships/hyperlink" Target="https://statiz.sporki.com/player/?m=playerinfo&amp;p_no=14804" TargetMode="External"/><Relationship Id="rId1512" Type="http://schemas.openxmlformats.org/officeDocument/2006/relationships/hyperlink" Target="https://statiz.sporki.com/add/?m=draft_school02&amp;ps_school=" TargetMode="External"/><Relationship Id="rId10055" Type="http://schemas.openxmlformats.org/officeDocument/2006/relationships/hyperlink" Target="https://statiz.sporki.com/add/?m=draft_school01&amp;ps_school=50202" TargetMode="External"/><Relationship Id="rId11106" Type="http://schemas.openxmlformats.org/officeDocument/2006/relationships/hyperlink" Target="https://statiz.sporki.com/add/?m=draft_school02&amp;ps_school=60109" TargetMode="External"/><Relationship Id="rId14676" Type="http://schemas.openxmlformats.org/officeDocument/2006/relationships/hyperlink" Target="https://statiz.sporki.com/player/?m=playerinfo&amp;p_no=2389" TargetMode="External"/><Relationship Id="rId15727" Type="http://schemas.openxmlformats.org/officeDocument/2006/relationships/hyperlink" Target="https://statiz.sporki.com/player/?m=playerinfo&amp;p_no=1502" TargetMode="External"/><Relationship Id="rId3684" Type="http://schemas.openxmlformats.org/officeDocument/2006/relationships/hyperlink" Target="https://statiz.sporki.com/add/?m=draft_school02&amp;ps_school=" TargetMode="External"/><Relationship Id="rId4735" Type="http://schemas.openxmlformats.org/officeDocument/2006/relationships/hyperlink" Target="https://statiz.sporki.com/player/?m=playerinfo&amp;p_no=11358" TargetMode="External"/><Relationship Id="rId13278" Type="http://schemas.openxmlformats.org/officeDocument/2006/relationships/hyperlink" Target="https://statiz.sporki.com/player/?m=playerinfo&amp;p_no=12597" TargetMode="External"/><Relationship Id="rId14329" Type="http://schemas.openxmlformats.org/officeDocument/2006/relationships/hyperlink" Target="https://statiz.sporki.com/player/?m=playerinfo&amp;p_no=2390" TargetMode="External"/><Relationship Id="rId17899" Type="http://schemas.openxmlformats.org/officeDocument/2006/relationships/hyperlink" Target="https://statiz.sporki.com/add/?m=draft_school01&amp;ps_school=50601" TargetMode="External"/><Relationship Id="rId18200" Type="http://schemas.openxmlformats.org/officeDocument/2006/relationships/hyperlink" Target="https://statiz.sporki.com/add/?m=draft_school01&amp;ps_school=50807" TargetMode="External"/><Relationship Id="rId2286" Type="http://schemas.openxmlformats.org/officeDocument/2006/relationships/hyperlink" Target="https://statiz.sporki.com/add/?m=draft_school02&amp;ps_school=60101" TargetMode="External"/><Relationship Id="rId3337" Type="http://schemas.openxmlformats.org/officeDocument/2006/relationships/hyperlink" Target="https://statiz.sporki.com/player/?m=playerinfo&amp;p_no=12622" TargetMode="External"/><Relationship Id="rId7958" Type="http://schemas.openxmlformats.org/officeDocument/2006/relationships/hyperlink" Target="https://statiz.sporki.com/add/?m=draft_school01&amp;ps_school=" TargetMode="External"/><Relationship Id="rId258" Type="http://schemas.openxmlformats.org/officeDocument/2006/relationships/hyperlink" Target="https://statiz.sporki.com/add/?m=draft_school02&amp;ps_school=" TargetMode="External"/><Relationship Id="rId9380" Type="http://schemas.openxmlformats.org/officeDocument/2006/relationships/hyperlink" Target="https://statiz.sporki.com/add/?m=draft_school01&amp;ps_school=50803" TargetMode="External"/><Relationship Id="rId10939" Type="http://schemas.openxmlformats.org/officeDocument/2006/relationships/hyperlink" Target="https://statiz.sporki.com/player/?m=playerinfo&amp;p_no=1536" TargetMode="External"/><Relationship Id="rId12361" Type="http://schemas.openxmlformats.org/officeDocument/2006/relationships/hyperlink" Target="https://statiz.sporki.com/player/?m=playerinfo&amp;p_no=15094" TargetMode="External"/><Relationship Id="rId13412" Type="http://schemas.openxmlformats.org/officeDocument/2006/relationships/hyperlink" Target="https://statiz.sporki.com/player/?m=playerinfo&amp;p_no=11383" TargetMode="External"/><Relationship Id="rId14810" Type="http://schemas.openxmlformats.org/officeDocument/2006/relationships/hyperlink" Target="https://statiz.sporki.com/player/?m=playerinfo&amp;p_no=2137" TargetMode="External"/><Relationship Id="rId2420" Type="http://schemas.openxmlformats.org/officeDocument/2006/relationships/hyperlink" Target="https://statiz.sporki.com/add/?m=draft_school01&amp;ps_school=50114" TargetMode="External"/><Relationship Id="rId9033" Type="http://schemas.openxmlformats.org/officeDocument/2006/relationships/hyperlink" Target="https://statiz.sporki.com/add/?m=draft_school02&amp;ps_school=60111" TargetMode="External"/><Relationship Id="rId12014" Type="http://schemas.openxmlformats.org/officeDocument/2006/relationships/hyperlink" Target="https://statiz.sporki.com/add/?m=draft_school01&amp;ps_school=50712" TargetMode="External"/><Relationship Id="rId16982" Type="http://schemas.openxmlformats.org/officeDocument/2006/relationships/hyperlink" Target="https://statiz.sporki.com/add/?m=draft_school01&amp;ps_school=50114" TargetMode="External"/><Relationship Id="rId1022" Type="http://schemas.openxmlformats.org/officeDocument/2006/relationships/hyperlink" Target="https://statiz.sporki.com/add/?m=draft_school01&amp;ps_school=50501" TargetMode="External"/><Relationship Id="rId4592" Type="http://schemas.openxmlformats.org/officeDocument/2006/relationships/hyperlink" Target="https://statiz.sporki.com/add/?m=draft_school01&amp;ps_school=50110" TargetMode="External"/><Relationship Id="rId5990" Type="http://schemas.openxmlformats.org/officeDocument/2006/relationships/hyperlink" Target="https://statiz.sporki.com/add/?m=draft_school01&amp;ps_school=50101" TargetMode="External"/><Relationship Id="rId14186" Type="http://schemas.openxmlformats.org/officeDocument/2006/relationships/hyperlink" Target="https://statiz.sporki.com/player/?m=playerinfo&amp;p_no=10003" TargetMode="External"/><Relationship Id="rId15584" Type="http://schemas.openxmlformats.org/officeDocument/2006/relationships/hyperlink" Target="https://statiz.sporki.com/player/?m=playerinfo&amp;p_no=1518" TargetMode="External"/><Relationship Id="rId16635" Type="http://schemas.openxmlformats.org/officeDocument/2006/relationships/hyperlink" Target="https://statiz.sporki.com/add/?m=draft_school01&amp;ps_school=50107" TargetMode="External"/><Relationship Id="rId3194" Type="http://schemas.openxmlformats.org/officeDocument/2006/relationships/hyperlink" Target="https://statiz.sporki.com/add/?m=draft_school01&amp;ps_school=50108" TargetMode="External"/><Relationship Id="rId4245" Type="http://schemas.openxmlformats.org/officeDocument/2006/relationships/hyperlink" Target="https://statiz.sporki.com/add/?m=draft_school02&amp;ps_school=60804" TargetMode="External"/><Relationship Id="rId5643" Type="http://schemas.openxmlformats.org/officeDocument/2006/relationships/hyperlink" Target="https://statiz.sporki.com/add/?m=draft_school02&amp;ps_school=60702" TargetMode="External"/><Relationship Id="rId15237" Type="http://schemas.openxmlformats.org/officeDocument/2006/relationships/hyperlink" Target="https://statiz.sporki.com/player/?m=playerinfo&amp;p_no=1873" TargetMode="External"/><Relationship Id="rId8866" Type="http://schemas.openxmlformats.org/officeDocument/2006/relationships/hyperlink" Target="https://statiz.sporki.com/player/?m=playerinfo&amp;p_no=10574" TargetMode="External"/><Relationship Id="rId9917" Type="http://schemas.openxmlformats.org/officeDocument/2006/relationships/hyperlink" Target="https://statiz.sporki.com/add/?m=draft_school01&amp;ps_school=" TargetMode="External"/><Relationship Id="rId10796" Type="http://schemas.openxmlformats.org/officeDocument/2006/relationships/hyperlink" Target="https://statiz.sporki.com/add/?m=draft_school01&amp;ps_school=50703" TargetMode="External"/><Relationship Id="rId11847" Type="http://schemas.openxmlformats.org/officeDocument/2006/relationships/hyperlink" Target="https://statiz.sporki.com/add/?m=draft_school02&amp;ps_school=" TargetMode="External"/><Relationship Id="rId1906" Type="http://schemas.openxmlformats.org/officeDocument/2006/relationships/hyperlink" Target="https://statiz.sporki.com/player/?m=playerinfo&amp;p_no=14178" TargetMode="External"/><Relationship Id="rId7468" Type="http://schemas.openxmlformats.org/officeDocument/2006/relationships/hyperlink" Target="https://statiz.sporki.com/player/?m=playerinfo&amp;p_no=10697" TargetMode="External"/><Relationship Id="rId8519" Type="http://schemas.openxmlformats.org/officeDocument/2006/relationships/hyperlink" Target="https://statiz.sporki.com/add/?m=draft_school01&amp;ps_school=" TargetMode="External"/><Relationship Id="rId10449" Type="http://schemas.openxmlformats.org/officeDocument/2006/relationships/hyperlink" Target="https://statiz.sporki.com/add/?m=draft_school02&amp;ps_school=60705" TargetMode="External"/><Relationship Id="rId14320" Type="http://schemas.openxmlformats.org/officeDocument/2006/relationships/hyperlink" Target="https://statiz.sporki.com/player/?m=playerinfo&amp;p_no=10601" TargetMode="External"/><Relationship Id="rId16492" Type="http://schemas.openxmlformats.org/officeDocument/2006/relationships/hyperlink" Target="https://statiz.sporki.com/add/?m=draft_school01&amp;ps_school=50108" TargetMode="External"/><Relationship Id="rId17543" Type="http://schemas.openxmlformats.org/officeDocument/2006/relationships/hyperlink" Target="https://statiz.sporki.com/add/?m=draft_school01&amp;ps_school=50107" TargetMode="External"/><Relationship Id="rId17890" Type="http://schemas.openxmlformats.org/officeDocument/2006/relationships/hyperlink" Target="https://statiz.sporki.com/add/?m=draft_school01&amp;ps_school=50111" TargetMode="External"/><Relationship Id="rId18941" Type="http://schemas.openxmlformats.org/officeDocument/2006/relationships/hyperlink" Target="https://statiz.sporki.com/add/?m=draft_school01&amp;ps_school=50107" TargetMode="External"/><Relationship Id="rId999" Type="http://schemas.openxmlformats.org/officeDocument/2006/relationships/hyperlink" Target="https://statiz.sporki.com/add/?m=draft_school02&amp;ps_school=" TargetMode="External"/><Relationship Id="rId6551" Type="http://schemas.openxmlformats.org/officeDocument/2006/relationships/hyperlink" Target="https://statiz.sporki.com/add/?m=draft_school01&amp;ps_school=50110" TargetMode="External"/><Relationship Id="rId7602" Type="http://schemas.openxmlformats.org/officeDocument/2006/relationships/hyperlink" Target="https://statiz.sporki.com/add/?m=draft_school02&amp;ps_school=" TargetMode="External"/><Relationship Id="rId10930" Type="http://schemas.openxmlformats.org/officeDocument/2006/relationships/hyperlink" Target="https://statiz.sporki.com/player/?m=playerinfo&amp;p_no=1382" TargetMode="External"/><Relationship Id="rId15094" Type="http://schemas.openxmlformats.org/officeDocument/2006/relationships/hyperlink" Target="https://statiz.sporki.com/player/?m=playerinfo&amp;p_no=1941" TargetMode="External"/><Relationship Id="rId16145" Type="http://schemas.openxmlformats.org/officeDocument/2006/relationships/hyperlink" Target="https://statiz.sporki.com/player/?m=playerinfo&amp;p_no=1084" TargetMode="External"/><Relationship Id="rId5153" Type="http://schemas.openxmlformats.org/officeDocument/2006/relationships/hyperlink" Target="https://statiz.sporki.com/add/?m=draft_school01&amp;ps_school=50602" TargetMode="External"/><Relationship Id="rId6204" Type="http://schemas.openxmlformats.org/officeDocument/2006/relationships/hyperlink" Target="https://statiz.sporki.com/add/?m=draft_school02&amp;ps_school=" TargetMode="External"/><Relationship Id="rId8376" Type="http://schemas.openxmlformats.org/officeDocument/2006/relationships/hyperlink" Target="https://statiz.sporki.com/add/?m=draft_school02&amp;ps_school=60114" TargetMode="External"/><Relationship Id="rId9774" Type="http://schemas.openxmlformats.org/officeDocument/2006/relationships/hyperlink" Target="https://statiz.sporki.com/add/?m=draft_school02&amp;ps_school=60803" TargetMode="External"/><Relationship Id="rId12755" Type="http://schemas.openxmlformats.org/officeDocument/2006/relationships/hyperlink" Target="https://statiz.sporki.com/player/?m=playerinfo&amp;p_no=14705" TargetMode="External"/><Relationship Id="rId13806" Type="http://schemas.openxmlformats.org/officeDocument/2006/relationships/hyperlink" Target="https://statiz.sporki.com/player/?m=playerinfo&amp;p_no=11363" TargetMode="External"/><Relationship Id="rId19368" Type="http://schemas.openxmlformats.org/officeDocument/2006/relationships/hyperlink" Target="https://statiz.sporki.com/add/?m=draft_school01&amp;ps_school=50107" TargetMode="External"/><Relationship Id="rId1763" Type="http://schemas.openxmlformats.org/officeDocument/2006/relationships/hyperlink" Target="https://statiz.sporki.com/add/?m=draft_school01&amp;ps_school=" TargetMode="External"/><Relationship Id="rId2814" Type="http://schemas.openxmlformats.org/officeDocument/2006/relationships/hyperlink" Target="https://statiz.sporki.com/add/?m=draft_school02&amp;ps_school=" TargetMode="External"/><Relationship Id="rId8029" Type="http://schemas.openxmlformats.org/officeDocument/2006/relationships/hyperlink" Target="https://statiz.sporki.com/player/?m=playerinfo&amp;p_no=2095" TargetMode="External"/><Relationship Id="rId9427" Type="http://schemas.openxmlformats.org/officeDocument/2006/relationships/hyperlink" Target="https://statiz.sporki.com/player/?m=playerinfo&amp;p_no=1849" TargetMode="External"/><Relationship Id="rId11357" Type="http://schemas.openxmlformats.org/officeDocument/2006/relationships/hyperlink" Target="https://statiz.sporki.com/add/?m=draft_school01&amp;ps_school=50608" TargetMode="External"/><Relationship Id="rId12408" Type="http://schemas.openxmlformats.org/officeDocument/2006/relationships/hyperlink" Target="https://statiz.sporki.com/player/?m=playerinfo&amp;p_no=15077" TargetMode="External"/><Relationship Id="rId15978" Type="http://schemas.openxmlformats.org/officeDocument/2006/relationships/hyperlink" Target="https://statiz.sporki.com/player/?m=playerinfo&amp;p_no=1210" TargetMode="External"/><Relationship Id="rId1416" Type="http://schemas.openxmlformats.org/officeDocument/2006/relationships/hyperlink" Target="https://statiz.sporki.com/add/?m=draft_school02&amp;ps_school=" TargetMode="External"/><Relationship Id="rId4986" Type="http://schemas.openxmlformats.org/officeDocument/2006/relationships/hyperlink" Target="https://statiz.sporki.com/add/?m=draft_school02&amp;ps_school=60802" TargetMode="External"/><Relationship Id="rId18451" Type="http://schemas.openxmlformats.org/officeDocument/2006/relationships/hyperlink" Target="https://statiz.sporki.com/add/?m=draft_school01&amp;ps_school=50113" TargetMode="External"/><Relationship Id="rId19502" Type="http://schemas.openxmlformats.org/officeDocument/2006/relationships/hyperlink" Target="https://statiz.sporki.com/add/?m=draft_school01&amp;ps_school=50402" TargetMode="External"/><Relationship Id="rId3588" Type="http://schemas.openxmlformats.org/officeDocument/2006/relationships/hyperlink" Target="https://statiz.sporki.com/add/?m=draft_school02&amp;ps_school=" TargetMode="External"/><Relationship Id="rId4639" Type="http://schemas.openxmlformats.org/officeDocument/2006/relationships/hyperlink" Target="https://statiz.sporki.com/player/?m=playerinfo&amp;p_no=11176" TargetMode="External"/><Relationship Id="rId8510" Type="http://schemas.openxmlformats.org/officeDocument/2006/relationships/hyperlink" Target="https://statiz.sporki.com/add/?m=draft_school01&amp;ps_school=50116" TargetMode="External"/><Relationship Id="rId10440" Type="http://schemas.openxmlformats.org/officeDocument/2006/relationships/hyperlink" Target="https://statiz.sporki.com/add/?m=draft_school02&amp;ps_school=" TargetMode="External"/><Relationship Id="rId17053" Type="http://schemas.openxmlformats.org/officeDocument/2006/relationships/hyperlink" Target="https://statiz.sporki.com/add/?m=draft_school01&amp;ps_school=50403" TargetMode="External"/><Relationship Id="rId18104" Type="http://schemas.openxmlformats.org/officeDocument/2006/relationships/hyperlink" Target="https://statiz.sporki.com/add/?m=draft_school01&amp;ps_school=50807" TargetMode="External"/><Relationship Id="rId6061" Type="http://schemas.openxmlformats.org/officeDocument/2006/relationships/hyperlink" Target="https://statiz.sporki.com/player/?m=playerinfo&amp;p_no=10725" TargetMode="External"/><Relationship Id="rId7112" Type="http://schemas.openxmlformats.org/officeDocument/2006/relationships/hyperlink" Target="https://statiz.sporki.com/add/?m=draft_school01&amp;ps_school=50802" TargetMode="External"/><Relationship Id="rId990" Type="http://schemas.openxmlformats.org/officeDocument/2006/relationships/hyperlink" Target="https://statiz.sporki.com/add/?m=draft_school02&amp;ps_school=60501" TargetMode="External"/><Relationship Id="rId2671" Type="http://schemas.openxmlformats.org/officeDocument/2006/relationships/hyperlink" Target="https://statiz.sporki.com/player/?m=playerinfo&amp;p_no=13232" TargetMode="External"/><Relationship Id="rId9284" Type="http://schemas.openxmlformats.org/officeDocument/2006/relationships/hyperlink" Target="https://statiz.sporki.com/add/?m=draft_school01&amp;ps_school=50402" TargetMode="External"/><Relationship Id="rId13663" Type="http://schemas.openxmlformats.org/officeDocument/2006/relationships/hyperlink" Target="https://statiz.sporki.com/player/?m=playerinfo&amp;p_no=13249" TargetMode="External"/><Relationship Id="rId14714" Type="http://schemas.openxmlformats.org/officeDocument/2006/relationships/hyperlink" Target="https://statiz.sporki.com/player/?m=playerinfo&amp;p_no=2220" TargetMode="External"/><Relationship Id="rId643" Type="http://schemas.openxmlformats.org/officeDocument/2006/relationships/hyperlink" Target="https://statiz.sporki.com/player/?m=playerinfo&amp;p_no=15050" TargetMode="External"/><Relationship Id="rId1273" Type="http://schemas.openxmlformats.org/officeDocument/2006/relationships/hyperlink" Target="https://statiz.sporki.com/player/?m=playerinfo&amp;p_no=14814" TargetMode="External"/><Relationship Id="rId2324" Type="http://schemas.openxmlformats.org/officeDocument/2006/relationships/hyperlink" Target="https://statiz.sporki.com/add/?m=draft_school01&amp;ps_school=50107" TargetMode="External"/><Relationship Id="rId3722" Type="http://schemas.openxmlformats.org/officeDocument/2006/relationships/hyperlink" Target="https://statiz.sporki.com/add/?m=draft_school01&amp;ps_school=50808" TargetMode="External"/><Relationship Id="rId12265" Type="http://schemas.openxmlformats.org/officeDocument/2006/relationships/hyperlink" Target="https://statiz.sporki.com/player/?m=playerinfo&amp;p_no=12295" TargetMode="External"/><Relationship Id="rId13316" Type="http://schemas.openxmlformats.org/officeDocument/2006/relationships/hyperlink" Target="https://statiz.sporki.com/player/?m=playerinfo&amp;p_no=12506" TargetMode="External"/><Relationship Id="rId16886" Type="http://schemas.openxmlformats.org/officeDocument/2006/relationships/hyperlink" Target="https://statiz.sporki.com/add/?m=draft_school01&amp;ps_school=50701" TargetMode="External"/><Relationship Id="rId17937" Type="http://schemas.openxmlformats.org/officeDocument/2006/relationships/hyperlink" Target="https://statiz.sporki.com/add/?m=draft_school01&amp;ps_school=50601" TargetMode="External"/><Relationship Id="rId5894" Type="http://schemas.openxmlformats.org/officeDocument/2006/relationships/hyperlink" Target="https://statiz.sporki.com/add/?m=draft_school01&amp;ps_school=50805" TargetMode="External"/><Relationship Id="rId6945" Type="http://schemas.openxmlformats.org/officeDocument/2006/relationships/hyperlink" Target="https://statiz.sporki.com/add/?m=draft_school02&amp;ps_school=" TargetMode="External"/><Relationship Id="rId15488" Type="http://schemas.openxmlformats.org/officeDocument/2006/relationships/hyperlink" Target="https://statiz.sporki.com/player/?m=playerinfo&amp;p_no=1596" TargetMode="External"/><Relationship Id="rId16539" Type="http://schemas.openxmlformats.org/officeDocument/2006/relationships/hyperlink" Target="https://statiz.sporki.com/add/?m=draft_school01&amp;ps_school=50213" TargetMode="External"/><Relationship Id="rId3098" Type="http://schemas.openxmlformats.org/officeDocument/2006/relationships/hyperlink" Target="https://statiz.sporki.com/add/?m=draft_school01&amp;ps_school=" TargetMode="External"/><Relationship Id="rId4496" Type="http://schemas.openxmlformats.org/officeDocument/2006/relationships/hyperlink" Target="https://statiz.sporki.com/add/?m=draft_school01&amp;ps_school=50403" TargetMode="External"/><Relationship Id="rId5547" Type="http://schemas.openxmlformats.org/officeDocument/2006/relationships/hyperlink" Target="https://statiz.sporki.com/add/?m=draft_school02&amp;ps_school=" TargetMode="External"/><Relationship Id="rId19012" Type="http://schemas.openxmlformats.org/officeDocument/2006/relationships/hyperlink" Target="https://statiz.sporki.com/add/?m=draft_school01&amp;ps_school=50805" TargetMode="External"/><Relationship Id="rId4149" Type="http://schemas.openxmlformats.org/officeDocument/2006/relationships/hyperlink" Target="https://statiz.sporki.com/add/?m=draft_school02&amp;ps_school=60114" TargetMode="External"/><Relationship Id="rId8020" Type="http://schemas.openxmlformats.org/officeDocument/2006/relationships/hyperlink" Target="https://statiz.sporki.com/player/?m=playerinfo&amp;p_no=2184" TargetMode="External"/><Relationship Id="rId11001" Type="http://schemas.openxmlformats.org/officeDocument/2006/relationships/hyperlink" Target="https://statiz.sporki.com/add/?m=draft_school02&amp;ps_school=60102" TargetMode="External"/><Relationship Id="rId14571" Type="http://schemas.openxmlformats.org/officeDocument/2006/relationships/hyperlink" Target="https://statiz.sporki.com/player/?m=playerinfo&amp;p_no=10215" TargetMode="External"/><Relationship Id="rId15622" Type="http://schemas.openxmlformats.org/officeDocument/2006/relationships/hyperlink" Target="https://statiz.sporki.com/player/?m=playerinfo&amp;p_no=1564" TargetMode="External"/><Relationship Id="rId4630" Type="http://schemas.openxmlformats.org/officeDocument/2006/relationships/hyperlink" Target="https://statiz.sporki.com/player/?m=playerinfo&amp;p_no=11083" TargetMode="External"/><Relationship Id="rId13173" Type="http://schemas.openxmlformats.org/officeDocument/2006/relationships/hyperlink" Target="https://statiz.sporki.com/player/?m=playerinfo&amp;p_no=12990" TargetMode="External"/><Relationship Id="rId14224" Type="http://schemas.openxmlformats.org/officeDocument/2006/relationships/hyperlink" Target="https://statiz.sporki.com/player/?m=playerinfo&amp;p_no=10087" TargetMode="External"/><Relationship Id="rId2181" Type="http://schemas.openxmlformats.org/officeDocument/2006/relationships/hyperlink" Target="https://statiz.sporki.com/add/?m=draft_school02&amp;ps_school=" TargetMode="External"/><Relationship Id="rId3232" Type="http://schemas.openxmlformats.org/officeDocument/2006/relationships/hyperlink" Target="https://statiz.sporki.com/player/?m=playerinfo&amp;p_no=12550" TargetMode="External"/><Relationship Id="rId16396" Type="http://schemas.openxmlformats.org/officeDocument/2006/relationships/hyperlink" Target="https://statiz.sporki.com/add/?m=draft_school01&amp;ps_school=50105" TargetMode="External"/><Relationship Id="rId17794" Type="http://schemas.openxmlformats.org/officeDocument/2006/relationships/hyperlink" Target="https://statiz.sporki.com/add/?m=draft_school01&amp;ps_school=50701" TargetMode="External"/><Relationship Id="rId18845" Type="http://schemas.openxmlformats.org/officeDocument/2006/relationships/hyperlink" Target="https://statiz.sporki.com/add/?m=draft_school01&amp;ps_school=50802" TargetMode="External"/><Relationship Id="rId153" Type="http://schemas.openxmlformats.org/officeDocument/2006/relationships/hyperlink" Target="https://statiz.sporki.com/add/?m=draft_school02&amp;ps_school=" TargetMode="External"/><Relationship Id="rId6455" Type="http://schemas.openxmlformats.org/officeDocument/2006/relationships/hyperlink" Target="https://statiz.sporki.com/add/?m=draft_school01&amp;ps_school=" TargetMode="External"/><Relationship Id="rId7853" Type="http://schemas.openxmlformats.org/officeDocument/2006/relationships/hyperlink" Target="https://statiz.sporki.com/add/?m=draft_school01&amp;ps_school=50403" TargetMode="External"/><Relationship Id="rId8904" Type="http://schemas.openxmlformats.org/officeDocument/2006/relationships/hyperlink" Target="https://statiz.sporki.com/add/?m=draft_school02&amp;ps_school=60703" TargetMode="External"/><Relationship Id="rId10834" Type="http://schemas.openxmlformats.org/officeDocument/2006/relationships/hyperlink" Target="https://statiz.sporki.com/player/?m=playerinfo&amp;p_no=1385" TargetMode="External"/><Relationship Id="rId16049" Type="http://schemas.openxmlformats.org/officeDocument/2006/relationships/hyperlink" Target="https://statiz.sporki.com/player/?m=playerinfo&amp;p_no=1094" TargetMode="External"/><Relationship Id="rId17447" Type="http://schemas.openxmlformats.org/officeDocument/2006/relationships/hyperlink" Target="https://statiz.sporki.com/add/?m=draft_school01&amp;ps_school=50109" TargetMode="External"/><Relationship Id="rId5057" Type="http://schemas.openxmlformats.org/officeDocument/2006/relationships/hyperlink" Target="https://statiz.sporki.com/add/?m=draft_school01&amp;ps_school=" TargetMode="External"/><Relationship Id="rId6108" Type="http://schemas.openxmlformats.org/officeDocument/2006/relationships/hyperlink" Target="https://statiz.sporki.com/add/?m=draft_school02&amp;ps_school=" TargetMode="External"/><Relationship Id="rId7506" Type="http://schemas.openxmlformats.org/officeDocument/2006/relationships/hyperlink" Target="https://statiz.sporki.com/add/?m=draft_school02&amp;ps_school=" TargetMode="External"/><Relationship Id="rId9678" Type="http://schemas.openxmlformats.org/officeDocument/2006/relationships/hyperlink" Target="https://statiz.sporki.com/add/?m=draft_school02&amp;ps_school=60203" TargetMode="External"/><Relationship Id="rId12659" Type="http://schemas.openxmlformats.org/officeDocument/2006/relationships/hyperlink" Target="https://statiz.sporki.com/player/?m=playerinfo&amp;p_no=14668" TargetMode="External"/><Relationship Id="rId16530" Type="http://schemas.openxmlformats.org/officeDocument/2006/relationships/hyperlink" Target="https://statiz.sporki.com/add/?m=draft_school01&amp;ps_school=50107" TargetMode="External"/><Relationship Id="rId1667" Type="http://schemas.openxmlformats.org/officeDocument/2006/relationships/hyperlink" Target="https://statiz.sporki.com/add/?m=draft_school01&amp;ps_school=50805" TargetMode="External"/><Relationship Id="rId2718" Type="http://schemas.openxmlformats.org/officeDocument/2006/relationships/hyperlink" Target="https://statiz.sporki.com/add/?m=draft_school02&amp;ps_school=" TargetMode="External"/><Relationship Id="rId14081" Type="http://schemas.openxmlformats.org/officeDocument/2006/relationships/hyperlink" Target="https://statiz.sporki.com/player/?m=playerinfo&amp;p_no=10376" TargetMode="External"/><Relationship Id="rId15132" Type="http://schemas.openxmlformats.org/officeDocument/2006/relationships/hyperlink" Target="https://statiz.sporki.com/player/?m=playerinfo&amp;p_no=10408" TargetMode="External"/><Relationship Id="rId4140" Type="http://schemas.openxmlformats.org/officeDocument/2006/relationships/hyperlink" Target="https://statiz.sporki.com/add/?m=draft_school02&amp;ps_school=60102" TargetMode="External"/><Relationship Id="rId8761" Type="http://schemas.openxmlformats.org/officeDocument/2006/relationships/hyperlink" Target="https://statiz.sporki.com/player/?m=playerinfo&amp;p_no=2215" TargetMode="External"/><Relationship Id="rId9812" Type="http://schemas.openxmlformats.org/officeDocument/2006/relationships/hyperlink" Target="https://statiz.sporki.com/add/?m=draft_school01&amp;ps_school=50901" TargetMode="External"/><Relationship Id="rId18355" Type="http://schemas.openxmlformats.org/officeDocument/2006/relationships/hyperlink" Target="https://statiz.sporki.com/add/?m=draft_school01&amp;ps_school=50701" TargetMode="External"/><Relationship Id="rId19406" Type="http://schemas.openxmlformats.org/officeDocument/2006/relationships/hyperlink" Target="https://statiz.sporki.com/add/?m=draft_school01&amp;ps_school=50125" TargetMode="External"/><Relationship Id="rId26" Type="http://schemas.openxmlformats.org/officeDocument/2006/relationships/hyperlink" Target="https://statiz.sporki.com/add/?m=draft_school01&amp;ps_school=50403" TargetMode="External"/><Relationship Id="rId7363" Type="http://schemas.openxmlformats.org/officeDocument/2006/relationships/hyperlink" Target="https://statiz.sporki.com/player/?m=playerinfo&amp;p_no=10290" TargetMode="External"/><Relationship Id="rId8414" Type="http://schemas.openxmlformats.org/officeDocument/2006/relationships/hyperlink" Target="https://statiz.sporki.com/add/?m=draft_school01&amp;ps_school=50114" TargetMode="External"/><Relationship Id="rId10691" Type="http://schemas.openxmlformats.org/officeDocument/2006/relationships/hyperlink" Target="https://statiz.sporki.com/add/?m=draft_school01&amp;ps_school=50301" TargetMode="External"/><Relationship Id="rId11742" Type="http://schemas.openxmlformats.org/officeDocument/2006/relationships/hyperlink" Target="https://statiz.sporki.com/add/?m=draft_school02&amp;ps_school=" TargetMode="External"/><Relationship Id="rId18008" Type="http://schemas.openxmlformats.org/officeDocument/2006/relationships/hyperlink" Target="https://statiz.sporki.com/add/?m=draft_school01&amp;ps_school=50708" TargetMode="External"/><Relationship Id="rId1801" Type="http://schemas.openxmlformats.org/officeDocument/2006/relationships/hyperlink" Target="https://statiz.sporki.com/player/?m=playerinfo&amp;p_no=13677" TargetMode="External"/><Relationship Id="rId7016" Type="http://schemas.openxmlformats.org/officeDocument/2006/relationships/hyperlink" Target="https://statiz.sporki.com/add/?m=draft_school01&amp;ps_school=50110" TargetMode="External"/><Relationship Id="rId10344" Type="http://schemas.openxmlformats.org/officeDocument/2006/relationships/hyperlink" Target="https://statiz.sporki.com/add/?m=draft_school02&amp;ps_school=60104" TargetMode="External"/><Relationship Id="rId14965" Type="http://schemas.openxmlformats.org/officeDocument/2006/relationships/hyperlink" Target="https://statiz.sporki.com/player/?m=playerinfo&amp;p_no=2077" TargetMode="External"/><Relationship Id="rId3973" Type="http://schemas.openxmlformats.org/officeDocument/2006/relationships/hyperlink" Target="https://statiz.sporki.com/player/?m=playerinfo&amp;p_no=11498" TargetMode="External"/><Relationship Id="rId9188" Type="http://schemas.openxmlformats.org/officeDocument/2006/relationships/hyperlink" Target="https://statiz.sporki.com/add/?m=draft_school01&amp;ps_school=50802" TargetMode="External"/><Relationship Id="rId13567" Type="http://schemas.openxmlformats.org/officeDocument/2006/relationships/hyperlink" Target="https://statiz.sporki.com/player/?m=playerinfo&amp;p_no=13255" TargetMode="External"/><Relationship Id="rId14618" Type="http://schemas.openxmlformats.org/officeDocument/2006/relationships/hyperlink" Target="https://statiz.sporki.com/player/?m=playerinfo&amp;p_no=10344" TargetMode="External"/><Relationship Id="rId894" Type="http://schemas.openxmlformats.org/officeDocument/2006/relationships/hyperlink" Target="https://statiz.sporki.com/add/?m=draft_school02&amp;ps_school=60108" TargetMode="External"/><Relationship Id="rId1177" Type="http://schemas.openxmlformats.org/officeDocument/2006/relationships/hyperlink" Target="https://statiz.sporki.com/player/?m=playerinfo&amp;p_no=14858" TargetMode="External"/><Relationship Id="rId2575" Type="http://schemas.openxmlformats.org/officeDocument/2006/relationships/hyperlink" Target="https://statiz.sporki.com/player/?m=playerinfo&amp;p_no=13100" TargetMode="External"/><Relationship Id="rId3626" Type="http://schemas.openxmlformats.org/officeDocument/2006/relationships/hyperlink" Target="https://statiz.sporki.com/add/?m=draft_school01&amp;ps_school=50107" TargetMode="External"/><Relationship Id="rId12169" Type="http://schemas.openxmlformats.org/officeDocument/2006/relationships/hyperlink" Target="https://statiz.sporki.com/player/?m=playerinfo&amp;p_no=15499" TargetMode="External"/><Relationship Id="rId16040" Type="http://schemas.openxmlformats.org/officeDocument/2006/relationships/hyperlink" Target="https://statiz.sporki.com/player/?m=playerinfo&amp;p_no=1192" TargetMode="External"/><Relationship Id="rId547" Type="http://schemas.openxmlformats.org/officeDocument/2006/relationships/hyperlink" Target="https://statiz.sporki.com/player/?m=playerinfo&amp;p_no=15025" TargetMode="External"/><Relationship Id="rId2228" Type="http://schemas.openxmlformats.org/officeDocument/2006/relationships/hyperlink" Target="https://statiz.sporki.com/add/?m=draft_school01&amp;ps_school=" TargetMode="External"/><Relationship Id="rId5798" Type="http://schemas.openxmlformats.org/officeDocument/2006/relationships/hyperlink" Target="https://statiz.sporki.com/add/?m=draft_school01&amp;ps_school=50102" TargetMode="External"/><Relationship Id="rId6849" Type="http://schemas.openxmlformats.org/officeDocument/2006/relationships/hyperlink" Target="https://statiz.sporki.com/add/?m=draft_school02&amp;ps_school=" TargetMode="External"/><Relationship Id="rId12650" Type="http://schemas.openxmlformats.org/officeDocument/2006/relationships/hyperlink" Target="https://statiz.sporki.com/player/?m=playerinfo&amp;p_no=14577" TargetMode="External"/><Relationship Id="rId13701" Type="http://schemas.openxmlformats.org/officeDocument/2006/relationships/hyperlink" Target="https://statiz.sporki.com/player/?m=playerinfo&amp;p_no=11081" TargetMode="External"/><Relationship Id="rId19263" Type="http://schemas.openxmlformats.org/officeDocument/2006/relationships/hyperlink" Target="https://statiz.sporki.com/add/?m=draft_school01&amp;ps_school=50703" TargetMode="External"/><Relationship Id="rId8271" Type="http://schemas.openxmlformats.org/officeDocument/2006/relationships/hyperlink" Target="https://statiz.sporki.com/add/?m=draft_school02&amp;ps_school=" TargetMode="External"/><Relationship Id="rId9322" Type="http://schemas.openxmlformats.org/officeDocument/2006/relationships/hyperlink" Target="https://statiz.sporki.com/player/?m=playerinfo&amp;p_no=1861" TargetMode="External"/><Relationship Id="rId11252" Type="http://schemas.openxmlformats.org/officeDocument/2006/relationships/hyperlink" Target="https://statiz.sporki.com/add/?m=draft_school01&amp;ps_school=50301" TargetMode="External"/><Relationship Id="rId12303" Type="http://schemas.openxmlformats.org/officeDocument/2006/relationships/hyperlink" Target="https://statiz.sporki.com/player/?m=playerinfo&amp;p_no=15110" TargetMode="External"/><Relationship Id="rId1311" Type="http://schemas.openxmlformats.org/officeDocument/2006/relationships/hyperlink" Target="https://statiz.sporki.com/add/?m=draft_school02&amp;ps_school=" TargetMode="External"/><Relationship Id="rId4881" Type="http://schemas.openxmlformats.org/officeDocument/2006/relationships/hyperlink" Target="https://statiz.sporki.com/add/?m=draft_school02&amp;ps_school=60501" TargetMode="External"/><Relationship Id="rId14475" Type="http://schemas.openxmlformats.org/officeDocument/2006/relationships/hyperlink" Target="https://statiz.sporki.com/player/?m=playerinfo&amp;p_no=2364" TargetMode="External"/><Relationship Id="rId15873" Type="http://schemas.openxmlformats.org/officeDocument/2006/relationships/hyperlink" Target="https://statiz.sporki.com/player/?m=playerinfo&amp;p_no=1288" TargetMode="External"/><Relationship Id="rId16924" Type="http://schemas.openxmlformats.org/officeDocument/2006/relationships/hyperlink" Target="https://statiz.sporki.com/add/?m=draft_school01&amp;ps_school=50111" TargetMode="External"/><Relationship Id="rId3483" Type="http://schemas.openxmlformats.org/officeDocument/2006/relationships/hyperlink" Target="https://statiz.sporki.com/add/?m=draft_school02&amp;ps_school=" TargetMode="External"/><Relationship Id="rId4534" Type="http://schemas.openxmlformats.org/officeDocument/2006/relationships/hyperlink" Target="https://statiz.sporki.com/player/?m=playerinfo&amp;p_no=11072" TargetMode="External"/><Relationship Id="rId5932" Type="http://schemas.openxmlformats.org/officeDocument/2006/relationships/hyperlink" Target="https://statiz.sporki.com/player/?m=playerinfo&amp;p_no=10508" TargetMode="External"/><Relationship Id="rId13077" Type="http://schemas.openxmlformats.org/officeDocument/2006/relationships/hyperlink" Target="https://statiz.sporki.com/player/?m=playerinfo&amp;p_no=12910" TargetMode="External"/><Relationship Id="rId14128" Type="http://schemas.openxmlformats.org/officeDocument/2006/relationships/hyperlink" Target="https://statiz.sporki.com/player/?m=playerinfo&amp;p_no=10384" TargetMode="External"/><Relationship Id="rId15526" Type="http://schemas.openxmlformats.org/officeDocument/2006/relationships/hyperlink" Target="https://statiz.sporki.com/player/?m=playerinfo&amp;p_no=1575" TargetMode="External"/><Relationship Id="rId2085" Type="http://schemas.openxmlformats.org/officeDocument/2006/relationships/hyperlink" Target="https://statiz.sporki.com/add/?m=draft_school02&amp;ps_school=60109" TargetMode="External"/><Relationship Id="rId3136" Type="http://schemas.openxmlformats.org/officeDocument/2006/relationships/hyperlink" Target="https://statiz.sporki.com/player/?m=playerinfo&amp;p_no=13270" TargetMode="External"/><Relationship Id="rId17698" Type="http://schemas.openxmlformats.org/officeDocument/2006/relationships/hyperlink" Target="https://statiz.sporki.com/add/?m=draft_school01&amp;ps_school=51001" TargetMode="External"/><Relationship Id="rId18749" Type="http://schemas.openxmlformats.org/officeDocument/2006/relationships/hyperlink" Target="https://statiz.sporki.com/add/?m=draft_school01&amp;ps_school=50604" TargetMode="External"/><Relationship Id="rId7757" Type="http://schemas.openxmlformats.org/officeDocument/2006/relationships/hyperlink" Target="https://statiz.sporki.com/add/?m=draft_school01&amp;ps_school=" TargetMode="External"/><Relationship Id="rId8808" Type="http://schemas.openxmlformats.org/officeDocument/2006/relationships/hyperlink" Target="https://statiz.sporki.com/add/?m=draft_school02&amp;ps_school=" TargetMode="External"/><Relationship Id="rId10738" Type="http://schemas.openxmlformats.org/officeDocument/2006/relationships/hyperlink" Target="https://statiz.sporki.com/player/?m=playerinfo&amp;p_no=1458" TargetMode="External"/><Relationship Id="rId6359" Type="http://schemas.openxmlformats.org/officeDocument/2006/relationships/hyperlink" Target="https://statiz.sporki.com/add/?m=draft_school01&amp;ps_school=50209" TargetMode="External"/><Relationship Id="rId12160" Type="http://schemas.openxmlformats.org/officeDocument/2006/relationships/hyperlink" Target="https://statiz.sporki.com/player/?m=playerinfo&amp;p_no=15509" TargetMode="External"/><Relationship Id="rId13211" Type="http://schemas.openxmlformats.org/officeDocument/2006/relationships/hyperlink" Target="https://statiz.sporki.com/player/?m=playerinfo&amp;p_no=12535" TargetMode="External"/><Relationship Id="rId16781" Type="http://schemas.openxmlformats.org/officeDocument/2006/relationships/hyperlink" Target="https://statiz.sporki.com/add/?m=draft_school01&amp;ps_school=50805" TargetMode="External"/><Relationship Id="rId17832" Type="http://schemas.openxmlformats.org/officeDocument/2006/relationships/hyperlink" Target="https://statiz.sporki.com/add/?m=draft_school01&amp;ps_school=50403" TargetMode="External"/><Relationship Id="rId2969" Type="http://schemas.openxmlformats.org/officeDocument/2006/relationships/hyperlink" Target="https://statiz.sporki.com/add/?m=draft_school01&amp;ps_school=50211" TargetMode="External"/><Relationship Id="rId6840" Type="http://schemas.openxmlformats.org/officeDocument/2006/relationships/hyperlink" Target="https://statiz.sporki.com/add/?m=draft_school02&amp;ps_school=" TargetMode="External"/><Relationship Id="rId15383" Type="http://schemas.openxmlformats.org/officeDocument/2006/relationships/hyperlink" Target="https://statiz.sporki.com/player/?m=playerinfo&amp;p_no=2062" TargetMode="External"/><Relationship Id="rId16434" Type="http://schemas.openxmlformats.org/officeDocument/2006/relationships/hyperlink" Target="https://statiz.sporki.com/add/?m=draft_school01&amp;ps_school=51122" TargetMode="External"/><Relationship Id="rId4391" Type="http://schemas.openxmlformats.org/officeDocument/2006/relationships/hyperlink" Target="https://statiz.sporki.com/add/?m=draft_school01&amp;ps_school=50109" TargetMode="External"/><Relationship Id="rId5442" Type="http://schemas.openxmlformats.org/officeDocument/2006/relationships/hyperlink" Target="https://statiz.sporki.com/add/?m=draft_school02&amp;ps_school=60802" TargetMode="External"/><Relationship Id="rId15036" Type="http://schemas.openxmlformats.org/officeDocument/2006/relationships/hyperlink" Target="https://statiz.sporki.com/player/?m=playerinfo&amp;p_no=2033" TargetMode="External"/><Relationship Id="rId4044" Type="http://schemas.openxmlformats.org/officeDocument/2006/relationships/hyperlink" Target="https://statiz.sporki.com/add/?m=draft_school02&amp;ps_school=60501" TargetMode="External"/><Relationship Id="rId8665" Type="http://schemas.openxmlformats.org/officeDocument/2006/relationships/hyperlink" Target="https://statiz.sporki.com/player/?m=playerinfo&amp;p_no=10336" TargetMode="External"/><Relationship Id="rId11993" Type="http://schemas.openxmlformats.org/officeDocument/2006/relationships/hyperlink" Target="https://statiz.sporki.com/add/?m=draft_school01&amp;ps_school=50209" TargetMode="External"/><Relationship Id="rId18259" Type="http://schemas.openxmlformats.org/officeDocument/2006/relationships/hyperlink" Target="https://statiz.sporki.com/add/?m=draft_school01&amp;ps_school=50606" TargetMode="External"/><Relationship Id="rId19657" Type="http://schemas.openxmlformats.org/officeDocument/2006/relationships/hyperlink" Target="https://statiz.sporki.com/add/?m=draft_school01&amp;ps_school=50602" TargetMode="External"/><Relationship Id="rId7267" Type="http://schemas.openxmlformats.org/officeDocument/2006/relationships/hyperlink" Target="https://statiz.sporki.com/player/?m=playerinfo&amp;p_no=2277" TargetMode="External"/><Relationship Id="rId8318" Type="http://schemas.openxmlformats.org/officeDocument/2006/relationships/hyperlink" Target="https://statiz.sporki.com/add/?m=draft_school01&amp;ps_school=50701" TargetMode="External"/><Relationship Id="rId9716" Type="http://schemas.openxmlformats.org/officeDocument/2006/relationships/hyperlink" Target="https://statiz.sporki.com/add/?m=draft_school01&amp;ps_school=50401" TargetMode="External"/><Relationship Id="rId10595" Type="http://schemas.openxmlformats.org/officeDocument/2006/relationships/hyperlink" Target="https://statiz.sporki.com/add/?m=draft_school01&amp;ps_school=" TargetMode="External"/><Relationship Id="rId11646" Type="http://schemas.openxmlformats.org/officeDocument/2006/relationships/hyperlink" Target="https://statiz.sporki.com/add/?m=draft_school02&amp;ps_school=60101" TargetMode="External"/><Relationship Id="rId1705" Type="http://schemas.openxmlformats.org/officeDocument/2006/relationships/hyperlink" Target="https://statiz.sporki.com/player/?m=playerinfo&amp;p_no=14681" TargetMode="External"/><Relationship Id="rId10248" Type="http://schemas.openxmlformats.org/officeDocument/2006/relationships/hyperlink" Target="https://statiz.sporki.com/add/?m=draft_school02&amp;ps_school=" TargetMode="External"/><Relationship Id="rId14869" Type="http://schemas.openxmlformats.org/officeDocument/2006/relationships/hyperlink" Target="https://statiz.sporki.com/player/?m=playerinfo&amp;p_no=2288" TargetMode="External"/><Relationship Id="rId18740" Type="http://schemas.openxmlformats.org/officeDocument/2006/relationships/hyperlink" Target="https://statiz.sporki.com/add/?m=draft_school01&amp;ps_school=50114" TargetMode="External"/><Relationship Id="rId3877" Type="http://schemas.openxmlformats.org/officeDocument/2006/relationships/hyperlink" Target="https://statiz.sporki.com/player/?m=playerinfo&amp;p_no=11298" TargetMode="External"/><Relationship Id="rId4928" Type="http://schemas.openxmlformats.org/officeDocument/2006/relationships/hyperlink" Target="https://statiz.sporki.com/add/?m=draft_school01&amp;ps_school=50111" TargetMode="External"/><Relationship Id="rId16291" Type="http://schemas.openxmlformats.org/officeDocument/2006/relationships/hyperlink" Target="https://statiz.sporki.com/add/?m=draft_school01&amp;ps_school=50301" TargetMode="External"/><Relationship Id="rId17342" Type="http://schemas.openxmlformats.org/officeDocument/2006/relationships/hyperlink" Target="https://statiz.sporki.com/add/?m=draft_school01&amp;ps_school=50107" TargetMode="External"/><Relationship Id="rId798" Type="http://schemas.openxmlformats.org/officeDocument/2006/relationships/hyperlink" Target="https://statiz.sporki.com/add/?m=draft_school02&amp;ps_school=" TargetMode="External"/><Relationship Id="rId2479" Type="http://schemas.openxmlformats.org/officeDocument/2006/relationships/hyperlink" Target="https://statiz.sporki.com/player/?m=playerinfo&amp;p_no=13086" TargetMode="External"/><Relationship Id="rId6350" Type="http://schemas.openxmlformats.org/officeDocument/2006/relationships/hyperlink" Target="https://statiz.sporki.com/add/?m=draft_school01&amp;ps_school=50502" TargetMode="External"/><Relationship Id="rId7401" Type="http://schemas.openxmlformats.org/officeDocument/2006/relationships/hyperlink" Target="https://statiz.sporki.com/add/?m=draft_school02&amp;ps_school=" TargetMode="External"/><Relationship Id="rId2960" Type="http://schemas.openxmlformats.org/officeDocument/2006/relationships/hyperlink" Target="https://statiz.sporki.com/add/?m=draft_school01&amp;ps_school=50805" TargetMode="External"/><Relationship Id="rId6003" Type="http://schemas.openxmlformats.org/officeDocument/2006/relationships/hyperlink" Target="https://statiz.sporki.com/add/?m=draft_school02&amp;ps_school=60103" TargetMode="External"/><Relationship Id="rId9573" Type="http://schemas.openxmlformats.org/officeDocument/2006/relationships/hyperlink" Target="https://statiz.sporki.com/add/?m=draft_school02&amp;ps_school=60703" TargetMode="External"/><Relationship Id="rId13952" Type="http://schemas.openxmlformats.org/officeDocument/2006/relationships/hyperlink" Target="https://statiz.sporki.com/player/?m=playerinfo&amp;p_no=10934" TargetMode="External"/><Relationship Id="rId19167" Type="http://schemas.openxmlformats.org/officeDocument/2006/relationships/hyperlink" Target="https://statiz.sporki.com/add/?m=draft_school01&amp;ps_school=50102" TargetMode="External"/><Relationship Id="rId932" Type="http://schemas.openxmlformats.org/officeDocument/2006/relationships/hyperlink" Target="https://statiz.sporki.com/add/?m=draft_school01&amp;ps_school=50114" TargetMode="External"/><Relationship Id="rId1562" Type="http://schemas.openxmlformats.org/officeDocument/2006/relationships/hyperlink" Target="https://statiz.sporki.com/add/?m=draft_school01&amp;ps_school=50802" TargetMode="External"/><Relationship Id="rId2613" Type="http://schemas.openxmlformats.org/officeDocument/2006/relationships/hyperlink" Target="https://statiz.sporki.com/add/?m=draft_school02&amp;ps_school=" TargetMode="External"/><Relationship Id="rId8175" Type="http://schemas.openxmlformats.org/officeDocument/2006/relationships/hyperlink" Target="https://statiz.sporki.com/add/?m=draft_school02&amp;ps_school=60501" TargetMode="External"/><Relationship Id="rId9226" Type="http://schemas.openxmlformats.org/officeDocument/2006/relationships/hyperlink" Target="https://statiz.sporki.com/player/?m=playerinfo&amp;p_no=1866" TargetMode="External"/><Relationship Id="rId11156" Type="http://schemas.openxmlformats.org/officeDocument/2006/relationships/hyperlink" Target="https://statiz.sporki.com/add/?m=draft_school01&amp;ps_school=50602" TargetMode="External"/><Relationship Id="rId12207" Type="http://schemas.openxmlformats.org/officeDocument/2006/relationships/hyperlink" Target="https://statiz.sporki.com/player/?m=playerinfo&amp;p_no=15479" TargetMode="External"/><Relationship Id="rId12554" Type="http://schemas.openxmlformats.org/officeDocument/2006/relationships/hyperlink" Target="https://statiz.sporki.com/player/?m=playerinfo&amp;p_no=14859" TargetMode="External"/><Relationship Id="rId13605" Type="http://schemas.openxmlformats.org/officeDocument/2006/relationships/hyperlink" Target="https://statiz.sporki.com/player/?m=playerinfo&amp;p_no=13234" TargetMode="External"/><Relationship Id="rId1215" Type="http://schemas.openxmlformats.org/officeDocument/2006/relationships/hyperlink" Target="https://statiz.sporki.com/add/?m=draft_school02&amp;ps_school=" TargetMode="External"/><Relationship Id="rId15777" Type="http://schemas.openxmlformats.org/officeDocument/2006/relationships/hyperlink" Target="https://statiz.sporki.com/player/?m=playerinfo&amp;p_no=1401" TargetMode="External"/><Relationship Id="rId16828" Type="http://schemas.openxmlformats.org/officeDocument/2006/relationships/hyperlink" Target="https://statiz.sporki.com/add/?m=draft_school01&amp;ps_school=50212" TargetMode="External"/><Relationship Id="rId3387" Type="http://schemas.openxmlformats.org/officeDocument/2006/relationships/hyperlink" Target="https://statiz.sporki.com/add/?m=draft_school02&amp;ps_school=60109" TargetMode="External"/><Relationship Id="rId4785" Type="http://schemas.openxmlformats.org/officeDocument/2006/relationships/hyperlink" Target="https://statiz.sporki.com/add/?m=draft_school02&amp;ps_school=60103" TargetMode="External"/><Relationship Id="rId5836" Type="http://schemas.openxmlformats.org/officeDocument/2006/relationships/hyperlink" Target="https://statiz.sporki.com/player/?m=playerinfo&amp;p_no=10410" TargetMode="External"/><Relationship Id="rId14379" Type="http://schemas.openxmlformats.org/officeDocument/2006/relationships/hyperlink" Target="https://statiz.sporki.com/player/?m=playerinfo&amp;p_no=10300" TargetMode="External"/><Relationship Id="rId18250" Type="http://schemas.openxmlformats.org/officeDocument/2006/relationships/hyperlink" Target="https://statiz.sporki.com/add/?m=draft_school01&amp;ps_school=50802" TargetMode="External"/><Relationship Id="rId19301" Type="http://schemas.openxmlformats.org/officeDocument/2006/relationships/hyperlink" Target="https://statiz.sporki.com/add/?m=draft_school01&amp;ps_school=50601" TargetMode="External"/><Relationship Id="rId4438" Type="http://schemas.openxmlformats.org/officeDocument/2006/relationships/hyperlink" Target="https://statiz.sporki.com/player/?m=playerinfo&amp;p_no=11126" TargetMode="External"/><Relationship Id="rId10989" Type="http://schemas.openxmlformats.org/officeDocument/2006/relationships/hyperlink" Target="https://statiz.sporki.com/add/?m=draft_school02&amp;ps_school=60113" TargetMode="External"/><Relationship Id="rId14860" Type="http://schemas.openxmlformats.org/officeDocument/2006/relationships/hyperlink" Target="https://statiz.sporki.com/player/?m=playerinfo&amp;p_no=2063" TargetMode="External"/><Relationship Id="rId15911" Type="http://schemas.openxmlformats.org/officeDocument/2006/relationships/hyperlink" Target="https://statiz.sporki.com/player/?m=playerinfo&amp;p_no=1269" TargetMode="External"/><Relationship Id="rId13462" Type="http://schemas.openxmlformats.org/officeDocument/2006/relationships/hyperlink" Target="https://statiz.sporki.com/player/?m=playerinfo&amp;p_no=11490" TargetMode="External"/><Relationship Id="rId14513" Type="http://schemas.openxmlformats.org/officeDocument/2006/relationships/hyperlink" Target="https://statiz.sporki.com/player/?m=playerinfo&amp;p_no=10137" TargetMode="External"/><Relationship Id="rId2470" Type="http://schemas.openxmlformats.org/officeDocument/2006/relationships/hyperlink" Target="https://statiz.sporki.com/player/?m=playerinfo&amp;p_no=13119" TargetMode="External"/><Relationship Id="rId3521" Type="http://schemas.openxmlformats.org/officeDocument/2006/relationships/hyperlink" Target="https://statiz.sporki.com/add/?m=draft_school01&amp;ps_school=" TargetMode="External"/><Relationship Id="rId9083" Type="http://schemas.openxmlformats.org/officeDocument/2006/relationships/hyperlink" Target="https://statiz.sporki.com/add/?m=draft_school01&amp;ps_school=50602" TargetMode="External"/><Relationship Id="rId12064" Type="http://schemas.openxmlformats.org/officeDocument/2006/relationships/hyperlink" Target="https://statiz.sporki.com/player/?m=playerinfo&amp;p_no=1116" TargetMode="External"/><Relationship Id="rId13115" Type="http://schemas.openxmlformats.org/officeDocument/2006/relationships/hyperlink" Target="https://statiz.sporki.com/player/?m=playerinfo&amp;p_no=12868" TargetMode="External"/><Relationship Id="rId16685" Type="http://schemas.openxmlformats.org/officeDocument/2006/relationships/hyperlink" Target="https://statiz.sporki.com/add/?m=draft_school01&amp;ps_school=50802" TargetMode="External"/><Relationship Id="rId442" Type="http://schemas.openxmlformats.org/officeDocument/2006/relationships/hyperlink" Target="https://statiz.sporki.com/player/?m=playerinfo&amp;p_no=15625" TargetMode="External"/><Relationship Id="rId1072" Type="http://schemas.openxmlformats.org/officeDocument/2006/relationships/hyperlink" Target="https://statiz.sporki.com/player/?m=playerinfo&amp;p_no=14810" TargetMode="External"/><Relationship Id="rId2123" Type="http://schemas.openxmlformats.org/officeDocument/2006/relationships/hyperlink" Target="https://statiz.sporki.com/add/?m=draft_school01&amp;ps_school=50606" TargetMode="External"/><Relationship Id="rId5693" Type="http://schemas.openxmlformats.org/officeDocument/2006/relationships/hyperlink" Target="https://statiz.sporki.com/add/?m=draft_school01&amp;ps_school=50103" TargetMode="External"/><Relationship Id="rId6744" Type="http://schemas.openxmlformats.org/officeDocument/2006/relationships/hyperlink" Target="https://statiz.sporki.com/add/?m=draft_school02&amp;ps_school=60501" TargetMode="External"/><Relationship Id="rId15287" Type="http://schemas.openxmlformats.org/officeDocument/2006/relationships/hyperlink" Target="https://statiz.sporki.com/player/?m=playerinfo&amp;p_no=10511" TargetMode="External"/><Relationship Id="rId16338" Type="http://schemas.openxmlformats.org/officeDocument/2006/relationships/hyperlink" Target="https://statiz.sporki.com/add/?m=draft_school01&amp;ps_school=50501" TargetMode="External"/><Relationship Id="rId17736" Type="http://schemas.openxmlformats.org/officeDocument/2006/relationships/hyperlink" Target="https://statiz.sporki.com/add/?m=draft_school01&amp;ps_school=50701" TargetMode="External"/><Relationship Id="rId4295" Type="http://schemas.openxmlformats.org/officeDocument/2006/relationships/hyperlink" Target="https://statiz.sporki.com/add/?m=draft_school01&amp;ps_school=50403" TargetMode="External"/><Relationship Id="rId5346" Type="http://schemas.openxmlformats.org/officeDocument/2006/relationships/hyperlink" Target="https://statiz.sporki.com/add/?m=draft_school02&amp;ps_school=" TargetMode="External"/><Relationship Id="rId9967" Type="http://schemas.openxmlformats.org/officeDocument/2006/relationships/hyperlink" Target="https://statiz.sporki.com/player/?m=playerinfo&amp;p_no=1844" TargetMode="External"/><Relationship Id="rId11897" Type="http://schemas.openxmlformats.org/officeDocument/2006/relationships/hyperlink" Target="https://statiz.sporki.com/add/?m=draft_school01&amp;ps_school=50802" TargetMode="External"/><Relationship Id="rId12948" Type="http://schemas.openxmlformats.org/officeDocument/2006/relationships/hyperlink" Target="https://statiz.sporki.com/player/?m=playerinfo&amp;p_no=13084" TargetMode="External"/><Relationship Id="rId1956" Type="http://schemas.openxmlformats.org/officeDocument/2006/relationships/hyperlink" Target="https://statiz.sporki.com/add/?m=draft_school02&amp;ps_school=" TargetMode="External"/><Relationship Id="rId8569" Type="http://schemas.openxmlformats.org/officeDocument/2006/relationships/hyperlink" Target="https://statiz.sporki.com/player/?m=playerinfo&amp;p_no=10284" TargetMode="External"/><Relationship Id="rId10499" Type="http://schemas.openxmlformats.org/officeDocument/2006/relationships/hyperlink" Target="https://statiz.sporki.com/add/?m=draft_school01&amp;ps_school=50210" TargetMode="External"/><Relationship Id="rId14370" Type="http://schemas.openxmlformats.org/officeDocument/2006/relationships/hyperlink" Target="https://statiz.sporki.com/player/?m=playerinfo&amp;p_no=10560" TargetMode="External"/><Relationship Id="rId15421" Type="http://schemas.openxmlformats.org/officeDocument/2006/relationships/hyperlink" Target="https://statiz.sporki.com/player/?m=playerinfo&amp;p_no=1657" TargetMode="External"/><Relationship Id="rId18991" Type="http://schemas.openxmlformats.org/officeDocument/2006/relationships/hyperlink" Target="https://statiz.sporki.com/add/?m=draft_school01&amp;ps_school=50209" TargetMode="External"/><Relationship Id="rId1609" Type="http://schemas.openxmlformats.org/officeDocument/2006/relationships/hyperlink" Target="https://statiz.sporki.com/player/?m=playerinfo&amp;p_no=14631" TargetMode="External"/><Relationship Id="rId14023" Type="http://schemas.openxmlformats.org/officeDocument/2006/relationships/hyperlink" Target="https://statiz.sporki.com/player/?m=playerinfo&amp;p_no=10747" TargetMode="External"/><Relationship Id="rId17593" Type="http://schemas.openxmlformats.org/officeDocument/2006/relationships/hyperlink" Target="https://statiz.sporki.com/add/?m=draft_school01&amp;ps_school=50114" TargetMode="External"/><Relationship Id="rId18644" Type="http://schemas.openxmlformats.org/officeDocument/2006/relationships/hyperlink" Target="https://statiz.sporki.com/add/?m=draft_school01&amp;ps_school=50109" TargetMode="External"/><Relationship Id="rId3031" Type="http://schemas.openxmlformats.org/officeDocument/2006/relationships/hyperlink" Target="https://statiz.sporki.com/player/?m=playerinfo&amp;p_no=12916" TargetMode="External"/><Relationship Id="rId7652" Type="http://schemas.openxmlformats.org/officeDocument/2006/relationships/hyperlink" Target="https://statiz.sporki.com/add/?m=draft_school01&amp;ps_school=50112" TargetMode="External"/><Relationship Id="rId8703" Type="http://schemas.openxmlformats.org/officeDocument/2006/relationships/hyperlink" Target="https://statiz.sporki.com/add/?m=draft_school02&amp;ps_school=60109" TargetMode="External"/><Relationship Id="rId10980" Type="http://schemas.openxmlformats.org/officeDocument/2006/relationships/hyperlink" Target="https://statiz.sporki.com/add/?m=draft_school02&amp;ps_school=60113" TargetMode="External"/><Relationship Id="rId16195" Type="http://schemas.openxmlformats.org/officeDocument/2006/relationships/hyperlink" Target="https://statiz.sporki.com/add/?m=draft_school01&amp;ps_school=50802" TargetMode="External"/><Relationship Id="rId17246" Type="http://schemas.openxmlformats.org/officeDocument/2006/relationships/hyperlink" Target="https://statiz.sporki.com/add/?m=draft_school01&amp;ps_school=50101" TargetMode="External"/><Relationship Id="rId6254" Type="http://schemas.openxmlformats.org/officeDocument/2006/relationships/hyperlink" Target="https://statiz.sporki.com/add/?m=draft_school01&amp;ps_school=50209" TargetMode="External"/><Relationship Id="rId7305" Type="http://schemas.openxmlformats.org/officeDocument/2006/relationships/hyperlink" Target="https://statiz.sporki.com/add/?m=draft_school02&amp;ps_school=60703" TargetMode="External"/><Relationship Id="rId10633" Type="http://schemas.openxmlformats.org/officeDocument/2006/relationships/hyperlink" Target="https://statiz.sporki.com/player/?m=playerinfo&amp;p_no=1423" TargetMode="External"/><Relationship Id="rId9477" Type="http://schemas.openxmlformats.org/officeDocument/2006/relationships/hyperlink" Target="https://statiz.sporki.com/add/?m=draft_school02&amp;ps_school=" TargetMode="External"/><Relationship Id="rId13856" Type="http://schemas.openxmlformats.org/officeDocument/2006/relationships/hyperlink" Target="https://statiz.sporki.com/player/?m=playerinfo&amp;p_no=10943" TargetMode="External"/><Relationship Id="rId14907" Type="http://schemas.openxmlformats.org/officeDocument/2006/relationships/hyperlink" Target="https://statiz.sporki.com/player/?m=playerinfo&amp;p_no=10463" TargetMode="External"/><Relationship Id="rId1466" Type="http://schemas.openxmlformats.org/officeDocument/2006/relationships/hyperlink" Target="https://statiz.sporki.com/add/?m=draft_school01&amp;ps_school=50703" TargetMode="External"/><Relationship Id="rId2864" Type="http://schemas.openxmlformats.org/officeDocument/2006/relationships/hyperlink" Target="https://statiz.sporki.com/add/?m=draft_school01&amp;ps_school=50805" TargetMode="External"/><Relationship Id="rId3915" Type="http://schemas.openxmlformats.org/officeDocument/2006/relationships/hyperlink" Target="https://statiz.sporki.com/add/?m=draft_school02&amp;ps_school=" TargetMode="External"/><Relationship Id="rId8079" Type="http://schemas.openxmlformats.org/officeDocument/2006/relationships/hyperlink" Target="https://statiz.sporki.com/add/?m=draft_school02&amp;ps_school=60108" TargetMode="External"/><Relationship Id="rId12458" Type="http://schemas.openxmlformats.org/officeDocument/2006/relationships/hyperlink" Target="https://statiz.sporki.com/player/?m=playerinfo&amp;p_no=15141" TargetMode="External"/><Relationship Id="rId13509" Type="http://schemas.openxmlformats.org/officeDocument/2006/relationships/hyperlink" Target="https://statiz.sporki.com/player/?m=playerinfo&amp;p_no=11225" TargetMode="External"/><Relationship Id="rId836" Type="http://schemas.openxmlformats.org/officeDocument/2006/relationships/hyperlink" Target="https://statiz.sporki.com/add/?m=draft_school01&amp;ps_school=" TargetMode="External"/><Relationship Id="rId1119" Type="http://schemas.openxmlformats.org/officeDocument/2006/relationships/hyperlink" Target="https://statiz.sporki.com/add/?m=draft_school02&amp;ps_school=" TargetMode="External"/><Relationship Id="rId2517" Type="http://schemas.openxmlformats.org/officeDocument/2006/relationships/hyperlink" Target="https://statiz.sporki.com/add/?m=draft_school02&amp;ps_school=" TargetMode="External"/><Relationship Id="rId19552" Type="http://schemas.openxmlformats.org/officeDocument/2006/relationships/hyperlink" Target="https://statiz.sporki.com/add/?m=draft_school01&amp;ps_school=50116" TargetMode="External"/><Relationship Id="rId4689" Type="http://schemas.openxmlformats.org/officeDocument/2006/relationships/hyperlink" Target="https://statiz.sporki.com/add/?m=draft_school02&amp;ps_school=" TargetMode="External"/><Relationship Id="rId8560" Type="http://schemas.openxmlformats.org/officeDocument/2006/relationships/hyperlink" Target="https://statiz.sporki.com/player/?m=playerinfo&amp;p_no=10519" TargetMode="External"/><Relationship Id="rId9611" Type="http://schemas.openxmlformats.org/officeDocument/2006/relationships/hyperlink" Target="https://statiz.sporki.com/add/?m=draft_school01&amp;ps_school=" TargetMode="External"/><Relationship Id="rId10490" Type="http://schemas.openxmlformats.org/officeDocument/2006/relationships/hyperlink" Target="https://statiz.sporki.com/add/?m=draft_school01&amp;ps_school=50501" TargetMode="External"/><Relationship Id="rId11541" Type="http://schemas.openxmlformats.org/officeDocument/2006/relationships/hyperlink" Target="https://statiz.sporki.com/add/?m=draft_school02&amp;ps_school=60109" TargetMode="External"/><Relationship Id="rId18154" Type="http://schemas.openxmlformats.org/officeDocument/2006/relationships/hyperlink" Target="https://statiz.sporki.com/add/?m=draft_school01&amp;ps_school=50110" TargetMode="External"/><Relationship Id="rId19205" Type="http://schemas.openxmlformats.org/officeDocument/2006/relationships/hyperlink" Target="https://statiz.sporki.com/add/?m=draft_school01&amp;ps_school=50402" TargetMode="External"/><Relationship Id="rId1600" Type="http://schemas.openxmlformats.org/officeDocument/2006/relationships/hyperlink" Target="https://statiz.sporki.com/player/?m=playerinfo&amp;p_no=14716" TargetMode="External"/><Relationship Id="rId7162" Type="http://schemas.openxmlformats.org/officeDocument/2006/relationships/hyperlink" Target="https://statiz.sporki.com/player/?m=playerinfo&amp;p_no=10288" TargetMode="External"/><Relationship Id="rId8213" Type="http://schemas.openxmlformats.org/officeDocument/2006/relationships/hyperlink" Target="https://statiz.sporki.com/add/?m=draft_school01&amp;ps_school=50209" TargetMode="External"/><Relationship Id="rId10143" Type="http://schemas.openxmlformats.org/officeDocument/2006/relationships/hyperlink" Target="https://statiz.sporki.com/add/?m=draft_school02&amp;ps_school=" TargetMode="External"/><Relationship Id="rId3772" Type="http://schemas.openxmlformats.org/officeDocument/2006/relationships/hyperlink" Target="https://statiz.sporki.com/player/?m=playerinfo&amp;p_no=13008" TargetMode="External"/><Relationship Id="rId4823" Type="http://schemas.openxmlformats.org/officeDocument/2006/relationships/hyperlink" Target="https://statiz.sporki.com/add/?m=draft_school01&amp;ps_school=50207" TargetMode="External"/><Relationship Id="rId13366" Type="http://schemas.openxmlformats.org/officeDocument/2006/relationships/hyperlink" Target="https://statiz.sporki.com/player/?m=playerinfo&amp;p_no=11404" TargetMode="External"/><Relationship Id="rId14417" Type="http://schemas.openxmlformats.org/officeDocument/2006/relationships/hyperlink" Target="https://statiz.sporki.com/player/?m=playerinfo&amp;p_no=2357" TargetMode="External"/><Relationship Id="rId14764" Type="http://schemas.openxmlformats.org/officeDocument/2006/relationships/hyperlink" Target="https://statiz.sporki.com/player/?m=playerinfo&amp;p_no=10627" TargetMode="External"/><Relationship Id="rId15815" Type="http://schemas.openxmlformats.org/officeDocument/2006/relationships/hyperlink" Target="https://statiz.sporki.com/player/?m=playerinfo&amp;p_no=1352" TargetMode="External"/><Relationship Id="rId693" Type="http://schemas.openxmlformats.org/officeDocument/2006/relationships/hyperlink" Target="https://statiz.sporki.com/add/?m=draft_school02&amp;ps_school=" TargetMode="External"/><Relationship Id="rId2374" Type="http://schemas.openxmlformats.org/officeDocument/2006/relationships/hyperlink" Target="https://statiz.sporki.com/player/?m=playerinfo&amp;p_no=13158" TargetMode="External"/><Relationship Id="rId3425" Type="http://schemas.openxmlformats.org/officeDocument/2006/relationships/hyperlink" Target="https://statiz.sporki.com/add/?m=draft_school01&amp;ps_school=50501" TargetMode="External"/><Relationship Id="rId13019" Type="http://schemas.openxmlformats.org/officeDocument/2006/relationships/hyperlink" Target="https://statiz.sporki.com/player/?m=playerinfo&amp;p_no=13288" TargetMode="External"/><Relationship Id="rId17987" Type="http://schemas.openxmlformats.org/officeDocument/2006/relationships/hyperlink" Target="https://statiz.sporki.com/add/?m=draft_school01&amp;ps_school=50102" TargetMode="External"/><Relationship Id="rId346" Type="http://schemas.openxmlformats.org/officeDocument/2006/relationships/hyperlink" Target="https://statiz.sporki.com/player/?m=playerinfo&amp;p_no=15535" TargetMode="External"/><Relationship Id="rId2027" Type="http://schemas.openxmlformats.org/officeDocument/2006/relationships/hyperlink" Target="https://statiz.sporki.com/add/?m=draft_school01&amp;ps_school=50709" TargetMode="External"/><Relationship Id="rId5597" Type="http://schemas.openxmlformats.org/officeDocument/2006/relationships/hyperlink" Target="https://statiz.sporki.com/add/?m=draft_school01&amp;ps_school=50107" TargetMode="External"/><Relationship Id="rId6995" Type="http://schemas.openxmlformats.org/officeDocument/2006/relationships/hyperlink" Target="https://statiz.sporki.com/add/?m=draft_school01&amp;ps_school=50303" TargetMode="External"/><Relationship Id="rId16589" Type="http://schemas.openxmlformats.org/officeDocument/2006/relationships/hyperlink" Target="https://statiz.sporki.com/add/?m=draft_school01&amp;ps_school=50810" TargetMode="External"/><Relationship Id="rId4199" Type="http://schemas.openxmlformats.org/officeDocument/2006/relationships/hyperlink" Target="https://statiz.sporki.com/add/?m=draft_school01&amp;ps_school=51001" TargetMode="External"/><Relationship Id="rId6648" Type="http://schemas.openxmlformats.org/officeDocument/2006/relationships/hyperlink" Target="https://statiz.sporki.com/add/?m=draft_school02&amp;ps_school=" TargetMode="External"/><Relationship Id="rId8070" Type="http://schemas.openxmlformats.org/officeDocument/2006/relationships/hyperlink" Target="https://statiz.sporki.com/add/?m=draft_school02&amp;ps_school=" TargetMode="External"/><Relationship Id="rId9121" Type="http://schemas.openxmlformats.org/officeDocument/2006/relationships/hyperlink" Target="https://statiz.sporki.com/player/?m=playerinfo&amp;p_no=10246" TargetMode="External"/><Relationship Id="rId13500" Type="http://schemas.openxmlformats.org/officeDocument/2006/relationships/hyperlink" Target="https://statiz.sporki.com/player/?m=playerinfo&amp;p_no=11204" TargetMode="External"/><Relationship Id="rId19062" Type="http://schemas.openxmlformats.org/officeDocument/2006/relationships/hyperlink" Target="https://statiz.sporki.com/add/?m=draft_school01&amp;ps_school=50703" TargetMode="External"/><Relationship Id="rId11051" Type="http://schemas.openxmlformats.org/officeDocument/2006/relationships/hyperlink" Target="https://statiz.sporki.com/add/?m=draft_school01&amp;ps_school=50711" TargetMode="External"/><Relationship Id="rId12102" Type="http://schemas.openxmlformats.org/officeDocument/2006/relationships/hyperlink" Target="https://statiz.sporki.com/add/?m=draft_school02&amp;ps_school=60101" TargetMode="External"/><Relationship Id="rId15672" Type="http://schemas.openxmlformats.org/officeDocument/2006/relationships/hyperlink" Target="https://statiz.sporki.com/player/?m=playerinfo&amp;p_no=1433" TargetMode="External"/><Relationship Id="rId16723" Type="http://schemas.openxmlformats.org/officeDocument/2006/relationships/hyperlink" Target="https://statiz.sporki.com/add/?m=draft_school01&amp;ps_school=50705" TargetMode="External"/><Relationship Id="rId1110" Type="http://schemas.openxmlformats.org/officeDocument/2006/relationships/hyperlink" Target="https://statiz.sporki.com/add/?m=draft_school02&amp;ps_school=" TargetMode="External"/><Relationship Id="rId4680" Type="http://schemas.openxmlformats.org/officeDocument/2006/relationships/hyperlink" Target="https://statiz.sporki.com/add/?m=draft_school02&amp;ps_school=" TargetMode="External"/><Relationship Id="rId5731" Type="http://schemas.openxmlformats.org/officeDocument/2006/relationships/hyperlink" Target="https://statiz.sporki.com/player/?m=playerinfo&amp;p_no=11105" TargetMode="External"/><Relationship Id="rId14274" Type="http://schemas.openxmlformats.org/officeDocument/2006/relationships/hyperlink" Target="https://statiz.sporki.com/player/?m=playerinfo&amp;p_no=10181" TargetMode="External"/><Relationship Id="rId15325" Type="http://schemas.openxmlformats.org/officeDocument/2006/relationships/hyperlink" Target="https://statiz.sporki.com/player/?m=playerinfo&amp;p_no=10339" TargetMode="External"/><Relationship Id="rId18895" Type="http://schemas.openxmlformats.org/officeDocument/2006/relationships/hyperlink" Target="https://statiz.sporki.com/add/?m=draft_school01&amp;ps_school=50107" TargetMode="External"/><Relationship Id="rId3282" Type="http://schemas.openxmlformats.org/officeDocument/2006/relationships/hyperlink" Target="https://statiz.sporki.com/add/?m=draft_school02&amp;ps_school=" TargetMode="External"/><Relationship Id="rId4333" Type="http://schemas.openxmlformats.org/officeDocument/2006/relationships/hyperlink" Target="https://statiz.sporki.com/player/?m=playerinfo&amp;p_no=11282" TargetMode="External"/><Relationship Id="rId8954" Type="http://schemas.openxmlformats.org/officeDocument/2006/relationships/hyperlink" Target="https://statiz.sporki.com/add/?m=draft_school01&amp;ps_school=50803" TargetMode="External"/><Relationship Id="rId17497" Type="http://schemas.openxmlformats.org/officeDocument/2006/relationships/hyperlink" Target="https://statiz.sporki.com/add/?m=draft_school01&amp;ps_school=50103" TargetMode="External"/><Relationship Id="rId18548" Type="http://schemas.openxmlformats.org/officeDocument/2006/relationships/hyperlink" Target="https://statiz.sporki.com/add/?m=draft_school01&amp;ps_school=50110" TargetMode="External"/><Relationship Id="rId7556" Type="http://schemas.openxmlformats.org/officeDocument/2006/relationships/hyperlink" Target="https://statiz.sporki.com/add/?m=draft_school01&amp;ps_school=50602" TargetMode="External"/><Relationship Id="rId8607" Type="http://schemas.openxmlformats.org/officeDocument/2006/relationships/hyperlink" Target="https://statiz.sporki.com/add/?m=draft_school02&amp;ps_school=60102" TargetMode="External"/><Relationship Id="rId10884" Type="http://schemas.openxmlformats.org/officeDocument/2006/relationships/hyperlink" Target="https://statiz.sporki.com/add/?m=draft_school02&amp;ps_school=60801" TargetMode="External"/><Relationship Id="rId11935" Type="http://schemas.openxmlformats.org/officeDocument/2006/relationships/hyperlink" Target="https://statiz.sporki.com/player/?m=playerinfo&amp;p_no=1009" TargetMode="External"/><Relationship Id="rId16099" Type="http://schemas.openxmlformats.org/officeDocument/2006/relationships/hyperlink" Target="https://statiz.sporki.com/player/?m=playerinfo&amp;p_no=1046" TargetMode="External"/><Relationship Id="rId6158" Type="http://schemas.openxmlformats.org/officeDocument/2006/relationships/hyperlink" Target="https://statiz.sporki.com/add/?m=draft_school01&amp;ps_school=50210" TargetMode="External"/><Relationship Id="rId7209" Type="http://schemas.openxmlformats.org/officeDocument/2006/relationships/hyperlink" Target="https://statiz.sporki.com/add/?m=draft_school02&amp;ps_school=60108" TargetMode="External"/><Relationship Id="rId10537" Type="http://schemas.openxmlformats.org/officeDocument/2006/relationships/hyperlink" Target="https://statiz.sporki.com/player/?m=playerinfo&amp;p_no=1469" TargetMode="External"/><Relationship Id="rId13010" Type="http://schemas.openxmlformats.org/officeDocument/2006/relationships/hyperlink" Target="https://statiz.sporki.com/player/?m=playerinfo&amp;p_no=13079" TargetMode="External"/><Relationship Id="rId16580" Type="http://schemas.openxmlformats.org/officeDocument/2006/relationships/hyperlink" Target="https://statiz.sporki.com/add/?m=draft_school01&amp;ps_school=50108" TargetMode="External"/><Relationship Id="rId17631" Type="http://schemas.openxmlformats.org/officeDocument/2006/relationships/hyperlink" Target="https://statiz.sporki.com/add/?m=draft_school01&amp;ps_school=50802" TargetMode="External"/><Relationship Id="rId2768" Type="http://schemas.openxmlformats.org/officeDocument/2006/relationships/hyperlink" Target="https://statiz.sporki.com/add/?m=draft_school01&amp;ps_school=50403" TargetMode="External"/><Relationship Id="rId3819" Type="http://schemas.openxmlformats.org/officeDocument/2006/relationships/hyperlink" Target="https://statiz.sporki.com/add/?m=draft_school02&amp;ps_school=60113" TargetMode="External"/><Relationship Id="rId15182" Type="http://schemas.openxmlformats.org/officeDocument/2006/relationships/hyperlink" Target="https://statiz.sporki.com/player/?m=playerinfo&amp;p_no=10246" TargetMode="External"/><Relationship Id="rId16233" Type="http://schemas.openxmlformats.org/officeDocument/2006/relationships/hyperlink" Target="https://statiz.sporki.com/add/?m=draft_school01&amp;ps_school=50605" TargetMode="External"/><Relationship Id="rId4190" Type="http://schemas.openxmlformats.org/officeDocument/2006/relationships/hyperlink" Target="https://statiz.sporki.com/add/?m=draft_school01&amp;ps_school=50602" TargetMode="External"/><Relationship Id="rId5241" Type="http://schemas.openxmlformats.org/officeDocument/2006/relationships/hyperlink" Target="https://statiz.sporki.com/add/?m=draft_school02&amp;ps_school=60108" TargetMode="External"/><Relationship Id="rId9862" Type="http://schemas.openxmlformats.org/officeDocument/2006/relationships/hyperlink" Target="https://statiz.sporki.com/player/?m=playerinfo&amp;p_no=1687" TargetMode="External"/><Relationship Id="rId11792" Type="http://schemas.openxmlformats.org/officeDocument/2006/relationships/hyperlink" Target="https://statiz.sporki.com/add/?m=draft_school01&amp;ps_school=50106" TargetMode="External"/><Relationship Id="rId19456" Type="http://schemas.openxmlformats.org/officeDocument/2006/relationships/hyperlink" Target="https://statiz.sporki.com/add/?m=draft_school01&amp;ps_school=50121" TargetMode="External"/><Relationship Id="rId76" Type="http://schemas.openxmlformats.org/officeDocument/2006/relationships/hyperlink" Target="https://statiz.sporki.com/player/?m=playerinfo&amp;p_no=15475" TargetMode="External"/><Relationship Id="rId1851" Type="http://schemas.openxmlformats.org/officeDocument/2006/relationships/hyperlink" Target="https://statiz.sporki.com/add/?m=draft_school02&amp;ps_school=" TargetMode="External"/><Relationship Id="rId2902" Type="http://schemas.openxmlformats.org/officeDocument/2006/relationships/hyperlink" Target="https://statiz.sporki.com/player/?m=playerinfo&amp;p_no=12902" TargetMode="External"/><Relationship Id="rId8464" Type="http://schemas.openxmlformats.org/officeDocument/2006/relationships/hyperlink" Target="https://statiz.sporki.com/player/?m=playerinfo&amp;p_no=2037" TargetMode="External"/><Relationship Id="rId9515" Type="http://schemas.openxmlformats.org/officeDocument/2006/relationships/hyperlink" Target="https://statiz.sporki.com/add/?m=draft_school01&amp;ps_school=50209" TargetMode="External"/><Relationship Id="rId10394" Type="http://schemas.openxmlformats.org/officeDocument/2006/relationships/hyperlink" Target="https://statiz.sporki.com/add/?m=draft_school01&amp;ps_school=50106" TargetMode="External"/><Relationship Id="rId11445" Type="http://schemas.openxmlformats.org/officeDocument/2006/relationships/hyperlink" Target="https://statiz.sporki.com/add/?m=draft_school02&amp;ps_school=" TargetMode="External"/><Relationship Id="rId12843" Type="http://schemas.openxmlformats.org/officeDocument/2006/relationships/hyperlink" Target="https://statiz.sporki.com/player/?m=playerinfo&amp;p_no=14167" TargetMode="External"/><Relationship Id="rId18058" Type="http://schemas.openxmlformats.org/officeDocument/2006/relationships/hyperlink" Target="https://statiz.sporki.com/add/?m=draft_school01&amp;ps_school=50209" TargetMode="External"/><Relationship Id="rId19109" Type="http://schemas.openxmlformats.org/officeDocument/2006/relationships/hyperlink" Target="https://statiz.sporki.com/add/?m=draft_school01&amp;ps_school=50203" TargetMode="External"/><Relationship Id="rId1504" Type="http://schemas.openxmlformats.org/officeDocument/2006/relationships/hyperlink" Target="https://statiz.sporki.com/player/?m=playerinfo&amp;p_no=14605" TargetMode="External"/><Relationship Id="rId7066" Type="http://schemas.openxmlformats.org/officeDocument/2006/relationships/hyperlink" Target="https://statiz.sporki.com/player/?m=playerinfo&amp;p_no=2309" TargetMode="External"/><Relationship Id="rId8117" Type="http://schemas.openxmlformats.org/officeDocument/2006/relationships/hyperlink" Target="https://statiz.sporki.com/add/?m=draft_school01&amp;ps_school=50805" TargetMode="External"/><Relationship Id="rId10047" Type="http://schemas.openxmlformats.org/officeDocument/2006/relationships/hyperlink" Target="https://statiz.sporki.com/add/?m=draft_school02&amp;ps_school=60203" TargetMode="External"/><Relationship Id="rId3676" Type="http://schemas.openxmlformats.org/officeDocument/2006/relationships/hyperlink" Target="https://statiz.sporki.com/player/?m=playerinfo&amp;p_no=11410" TargetMode="External"/><Relationship Id="rId14668" Type="http://schemas.openxmlformats.org/officeDocument/2006/relationships/hyperlink" Target="https://statiz.sporki.com/player/?m=playerinfo&amp;p_no=2203" TargetMode="External"/><Relationship Id="rId15719" Type="http://schemas.openxmlformats.org/officeDocument/2006/relationships/hyperlink" Target="https://statiz.sporki.com/player/?m=playerinfo&amp;p_no=1446" TargetMode="External"/><Relationship Id="rId16090" Type="http://schemas.openxmlformats.org/officeDocument/2006/relationships/hyperlink" Target="https://statiz.sporki.com/player/?m=playerinfo&amp;p_no=1054" TargetMode="External"/><Relationship Id="rId597" Type="http://schemas.openxmlformats.org/officeDocument/2006/relationships/hyperlink" Target="https://statiz.sporki.com/add/?m=draft_school02&amp;ps_school=" TargetMode="External"/><Relationship Id="rId2278" Type="http://schemas.openxmlformats.org/officeDocument/2006/relationships/hyperlink" Target="https://statiz.sporki.com/player/?m=playerinfo&amp;p_no=14201" TargetMode="External"/><Relationship Id="rId3329" Type="http://schemas.openxmlformats.org/officeDocument/2006/relationships/hyperlink" Target="https://statiz.sporki.com/add/?m=draft_school01&amp;ps_school=50109" TargetMode="External"/><Relationship Id="rId4727" Type="http://schemas.openxmlformats.org/officeDocument/2006/relationships/hyperlink" Target="https://statiz.sporki.com/add/?m=draft_school01&amp;ps_school=50101" TargetMode="External"/><Relationship Id="rId7200" Type="http://schemas.openxmlformats.org/officeDocument/2006/relationships/hyperlink" Target="https://statiz.sporki.com/add/?m=draft_school02&amp;ps_school=61000" TargetMode="External"/><Relationship Id="rId17141" Type="http://schemas.openxmlformats.org/officeDocument/2006/relationships/hyperlink" Target="https://statiz.sporki.com/add/?m=draft_school01&amp;ps_school=50202" TargetMode="External"/><Relationship Id="rId6899" Type="http://schemas.openxmlformats.org/officeDocument/2006/relationships/hyperlink" Target="https://statiz.sporki.com/add/?m=draft_school01&amp;ps_school=50204" TargetMode="External"/><Relationship Id="rId13751" Type="http://schemas.openxmlformats.org/officeDocument/2006/relationships/hyperlink" Target="https://statiz.sporki.com/player/?m=playerinfo&amp;p_no=10824" TargetMode="External"/><Relationship Id="rId14802" Type="http://schemas.openxmlformats.org/officeDocument/2006/relationships/hyperlink" Target="https://statiz.sporki.com/player/?m=playerinfo&amp;p_no=2144" TargetMode="External"/><Relationship Id="rId3810" Type="http://schemas.openxmlformats.org/officeDocument/2006/relationships/hyperlink" Target="https://statiz.sporki.com/add/?m=draft_school02&amp;ps_school=" TargetMode="External"/><Relationship Id="rId9372" Type="http://schemas.openxmlformats.org/officeDocument/2006/relationships/hyperlink" Target="https://statiz.sporki.com/add/?m=draft_school02&amp;ps_school=60801" TargetMode="External"/><Relationship Id="rId12353" Type="http://schemas.openxmlformats.org/officeDocument/2006/relationships/hyperlink" Target="https://statiz.sporki.com/player/?m=playerinfo&amp;p_no=15115" TargetMode="External"/><Relationship Id="rId13404" Type="http://schemas.openxmlformats.org/officeDocument/2006/relationships/hyperlink" Target="https://statiz.sporki.com/player/?m=playerinfo&amp;p_no=11405" TargetMode="External"/><Relationship Id="rId16974" Type="http://schemas.openxmlformats.org/officeDocument/2006/relationships/hyperlink" Target="https://statiz.sporki.com/add/?m=draft_school01&amp;ps_school=50804" TargetMode="External"/><Relationship Id="rId731" Type="http://schemas.openxmlformats.org/officeDocument/2006/relationships/hyperlink" Target="https://statiz.sporki.com/add/?m=draft_school01&amp;ps_school=50207" TargetMode="External"/><Relationship Id="rId1361" Type="http://schemas.openxmlformats.org/officeDocument/2006/relationships/hyperlink" Target="https://statiz.sporki.com/add/?m=draft_school01&amp;ps_school=50809" TargetMode="External"/><Relationship Id="rId2412" Type="http://schemas.openxmlformats.org/officeDocument/2006/relationships/hyperlink" Target="https://statiz.sporki.com/add/?m=draft_school02&amp;ps_school=" TargetMode="External"/><Relationship Id="rId5982" Type="http://schemas.openxmlformats.org/officeDocument/2006/relationships/hyperlink" Target="https://statiz.sporki.com/add/?m=draft_school02&amp;ps_school=60204" TargetMode="External"/><Relationship Id="rId9025" Type="http://schemas.openxmlformats.org/officeDocument/2006/relationships/hyperlink" Target="https://statiz.sporki.com/player/?m=playerinfo&amp;p_no=1986" TargetMode="External"/><Relationship Id="rId12006" Type="http://schemas.openxmlformats.org/officeDocument/2006/relationships/hyperlink" Target="https://statiz.sporki.com/add/?m=draft_school02&amp;ps_school=" TargetMode="External"/><Relationship Id="rId15576" Type="http://schemas.openxmlformats.org/officeDocument/2006/relationships/hyperlink" Target="https://statiz.sporki.com/player/?m=playerinfo&amp;p_no=1535" TargetMode="External"/><Relationship Id="rId16627" Type="http://schemas.openxmlformats.org/officeDocument/2006/relationships/hyperlink" Target="https://statiz.sporki.com/add/?m=draft_school01&amp;ps_school=50602" TargetMode="External"/><Relationship Id="rId1014" Type="http://schemas.openxmlformats.org/officeDocument/2006/relationships/hyperlink" Target="https://statiz.sporki.com/add/?m=draft_school02&amp;ps_school=" TargetMode="External"/><Relationship Id="rId4584" Type="http://schemas.openxmlformats.org/officeDocument/2006/relationships/hyperlink" Target="https://statiz.sporki.com/add/?m=draft_school02&amp;ps_school=60109" TargetMode="External"/><Relationship Id="rId5635" Type="http://schemas.openxmlformats.org/officeDocument/2006/relationships/hyperlink" Target="https://statiz.sporki.com/player/?m=playerinfo&amp;p_no=10415" TargetMode="External"/><Relationship Id="rId14178" Type="http://schemas.openxmlformats.org/officeDocument/2006/relationships/hyperlink" Target="https://statiz.sporki.com/player/?m=playerinfo&amp;p_no=10345" TargetMode="External"/><Relationship Id="rId15229" Type="http://schemas.openxmlformats.org/officeDocument/2006/relationships/hyperlink" Target="https://statiz.sporki.com/player/?m=playerinfo&amp;p_no=1870" TargetMode="External"/><Relationship Id="rId19100" Type="http://schemas.openxmlformats.org/officeDocument/2006/relationships/hyperlink" Target="https://statiz.sporki.com/add/?m=draft_school01&amp;ps_school=50805" TargetMode="External"/><Relationship Id="rId3186" Type="http://schemas.openxmlformats.org/officeDocument/2006/relationships/hyperlink" Target="https://statiz.sporki.com/add/?m=draft_school02&amp;ps_school=" TargetMode="External"/><Relationship Id="rId4237" Type="http://schemas.openxmlformats.org/officeDocument/2006/relationships/hyperlink" Target="https://statiz.sporki.com/player/?m=playerinfo&amp;p_no=12678" TargetMode="External"/><Relationship Id="rId18799" Type="http://schemas.openxmlformats.org/officeDocument/2006/relationships/hyperlink" Target="https://statiz.sporki.com/add/?m=draft_school01&amp;ps_school=50121" TargetMode="External"/><Relationship Id="rId8858" Type="http://schemas.openxmlformats.org/officeDocument/2006/relationships/hyperlink" Target="https://statiz.sporki.com/add/?m=draft_school01&amp;ps_school=50403" TargetMode="External"/><Relationship Id="rId9909" Type="http://schemas.openxmlformats.org/officeDocument/2006/relationships/hyperlink" Target="https://statiz.sporki.com/add/?m=draft_school02&amp;ps_school=" TargetMode="External"/><Relationship Id="rId10788" Type="http://schemas.openxmlformats.org/officeDocument/2006/relationships/hyperlink" Target="https://statiz.sporki.com/add/?m=draft_school02&amp;ps_school=60204" TargetMode="External"/><Relationship Id="rId11839" Type="http://schemas.openxmlformats.org/officeDocument/2006/relationships/hyperlink" Target="https://statiz.sporki.com/player/?m=playerinfo&amp;p_no=1071" TargetMode="External"/><Relationship Id="rId15710" Type="http://schemas.openxmlformats.org/officeDocument/2006/relationships/hyperlink" Target="https://statiz.sporki.com/player/?m=playerinfo&amp;p_no=1453" TargetMode="External"/><Relationship Id="rId13261" Type="http://schemas.openxmlformats.org/officeDocument/2006/relationships/hyperlink" Target="https://statiz.sporki.com/player/?m=playerinfo&amp;p_no=12540" TargetMode="External"/><Relationship Id="rId14312" Type="http://schemas.openxmlformats.org/officeDocument/2006/relationships/hyperlink" Target="https://statiz.sporki.com/player/?m=playerinfo&amp;p_no=10279" TargetMode="External"/><Relationship Id="rId17882" Type="http://schemas.openxmlformats.org/officeDocument/2006/relationships/hyperlink" Target="https://statiz.sporki.com/add/?m=draft_school01&amp;ps_school=50708" TargetMode="External"/><Relationship Id="rId18933" Type="http://schemas.openxmlformats.org/officeDocument/2006/relationships/hyperlink" Target="https://statiz.sporki.com/add/?m=draft_school01&amp;ps_school=50701" TargetMode="External"/><Relationship Id="rId241" Type="http://schemas.openxmlformats.org/officeDocument/2006/relationships/hyperlink" Target="https://statiz.sporki.com/player/?m=playerinfo&amp;p_no=15429" TargetMode="External"/><Relationship Id="rId3320" Type="http://schemas.openxmlformats.org/officeDocument/2006/relationships/hyperlink" Target="https://statiz.sporki.com/add/?m=draft_school01&amp;ps_school=50206" TargetMode="External"/><Relationship Id="rId6890" Type="http://schemas.openxmlformats.org/officeDocument/2006/relationships/hyperlink" Target="https://statiz.sporki.com/add/?m=draft_school01&amp;ps_school=50110" TargetMode="External"/><Relationship Id="rId7941" Type="http://schemas.openxmlformats.org/officeDocument/2006/relationships/hyperlink" Target="https://statiz.sporki.com/add/?m=draft_school02&amp;ps_school=60501" TargetMode="External"/><Relationship Id="rId16484" Type="http://schemas.openxmlformats.org/officeDocument/2006/relationships/hyperlink" Target="https://statiz.sporki.com/add/?m=draft_school01&amp;ps_school=50807" TargetMode="External"/><Relationship Id="rId17535" Type="http://schemas.openxmlformats.org/officeDocument/2006/relationships/hyperlink" Target="https://statiz.sporki.com/add/?m=draft_school01&amp;ps_school=50403" TargetMode="External"/><Relationship Id="rId5492" Type="http://schemas.openxmlformats.org/officeDocument/2006/relationships/hyperlink" Target="https://statiz.sporki.com/add/?m=draft_school01&amp;ps_school=50501" TargetMode="External"/><Relationship Id="rId6543" Type="http://schemas.openxmlformats.org/officeDocument/2006/relationships/hyperlink" Target="https://statiz.sporki.com/add/?m=draft_school02&amp;ps_school=60102" TargetMode="External"/><Relationship Id="rId10922" Type="http://schemas.openxmlformats.org/officeDocument/2006/relationships/hyperlink" Target="https://statiz.sporki.com/add/?m=draft_school01&amp;ps_school=50604" TargetMode="External"/><Relationship Id="rId15086" Type="http://schemas.openxmlformats.org/officeDocument/2006/relationships/hyperlink" Target="https://statiz.sporki.com/player/?m=playerinfo&amp;p_no=1954" TargetMode="External"/><Relationship Id="rId16137" Type="http://schemas.openxmlformats.org/officeDocument/2006/relationships/hyperlink" Target="https://statiz.sporki.com/player/?m=playerinfo&amp;p_no=1057" TargetMode="External"/><Relationship Id="rId4094" Type="http://schemas.openxmlformats.org/officeDocument/2006/relationships/hyperlink" Target="https://statiz.sporki.com/add/?m=draft_school01&amp;ps_school=50802" TargetMode="External"/><Relationship Id="rId5145" Type="http://schemas.openxmlformats.org/officeDocument/2006/relationships/hyperlink" Target="https://statiz.sporki.com/add/?m=draft_school02&amp;ps_school=60113" TargetMode="External"/><Relationship Id="rId9766" Type="http://schemas.openxmlformats.org/officeDocument/2006/relationships/hyperlink" Target="https://statiz.sporki.com/player/?m=playerinfo&amp;p_no=2013" TargetMode="External"/><Relationship Id="rId1755" Type="http://schemas.openxmlformats.org/officeDocument/2006/relationships/hyperlink" Target="https://statiz.sporki.com/add/?m=draft_school02&amp;ps_school=61117" TargetMode="External"/><Relationship Id="rId8368" Type="http://schemas.openxmlformats.org/officeDocument/2006/relationships/hyperlink" Target="https://statiz.sporki.com/player/?m=playerinfo&amp;p_no=2330" TargetMode="External"/><Relationship Id="rId9419" Type="http://schemas.openxmlformats.org/officeDocument/2006/relationships/hyperlink" Target="https://statiz.sporki.com/add/?m=draft_school01&amp;ps_school=50110" TargetMode="External"/><Relationship Id="rId10298" Type="http://schemas.openxmlformats.org/officeDocument/2006/relationships/hyperlink" Target="https://statiz.sporki.com/add/?m=draft_school01&amp;ps_school=" TargetMode="External"/><Relationship Id="rId11349" Type="http://schemas.openxmlformats.org/officeDocument/2006/relationships/hyperlink" Target="https://statiz.sporki.com/add/?m=draft_school02&amp;ps_school=60501" TargetMode="External"/><Relationship Id="rId11696" Type="http://schemas.openxmlformats.org/officeDocument/2006/relationships/hyperlink" Target="https://statiz.sporki.com/add/?m=draft_school01&amp;ps_school=" TargetMode="External"/><Relationship Id="rId12747" Type="http://schemas.openxmlformats.org/officeDocument/2006/relationships/hyperlink" Target="https://statiz.sporki.com/player/?m=playerinfo&amp;p_no=14735" TargetMode="External"/><Relationship Id="rId1408" Type="http://schemas.openxmlformats.org/officeDocument/2006/relationships/hyperlink" Target="https://statiz.sporki.com/player/?m=playerinfo&amp;p_no=14620" TargetMode="External"/><Relationship Id="rId2806" Type="http://schemas.openxmlformats.org/officeDocument/2006/relationships/hyperlink" Target="https://statiz.sporki.com/player/?m=playerinfo&amp;p_no=12910" TargetMode="External"/><Relationship Id="rId15220" Type="http://schemas.openxmlformats.org/officeDocument/2006/relationships/hyperlink" Target="https://statiz.sporki.com/player/?m=playerinfo&amp;p_no=1927" TargetMode="External"/><Relationship Id="rId18790" Type="http://schemas.openxmlformats.org/officeDocument/2006/relationships/hyperlink" Target="https://statiz.sporki.com/add/?m=draft_school01&amp;ps_school=50802" TargetMode="External"/><Relationship Id="rId4978" Type="http://schemas.openxmlformats.org/officeDocument/2006/relationships/hyperlink" Target="https://statiz.sporki.com/player/?m=playerinfo&amp;p_no=10799" TargetMode="External"/><Relationship Id="rId9900" Type="http://schemas.openxmlformats.org/officeDocument/2006/relationships/hyperlink" Target="https://statiz.sporki.com/add/?m=draft_school02&amp;ps_school=60109" TargetMode="External"/><Relationship Id="rId11830" Type="http://schemas.openxmlformats.org/officeDocument/2006/relationships/hyperlink" Target="https://statiz.sporki.com/player/?m=playerinfo&amp;p_no=1114" TargetMode="External"/><Relationship Id="rId17392" Type="http://schemas.openxmlformats.org/officeDocument/2006/relationships/hyperlink" Target="https://statiz.sporki.com/add/?m=draft_school01&amp;ps_school=50301" TargetMode="External"/><Relationship Id="rId18443" Type="http://schemas.openxmlformats.org/officeDocument/2006/relationships/hyperlink" Target="https://statiz.sporki.com/add/?m=draft_school01&amp;ps_school=50501" TargetMode="External"/><Relationship Id="rId6053" Type="http://schemas.openxmlformats.org/officeDocument/2006/relationships/hyperlink" Target="https://statiz.sporki.com/add/?m=draft_school01&amp;ps_school=51001" TargetMode="External"/><Relationship Id="rId7451" Type="http://schemas.openxmlformats.org/officeDocument/2006/relationships/hyperlink" Target="https://statiz.sporki.com/add/?m=draft_school01&amp;ps_school=50701" TargetMode="External"/><Relationship Id="rId8502" Type="http://schemas.openxmlformats.org/officeDocument/2006/relationships/hyperlink" Target="https://statiz.sporki.com/add/?m=draft_school02&amp;ps_school=" TargetMode="External"/><Relationship Id="rId10432" Type="http://schemas.openxmlformats.org/officeDocument/2006/relationships/hyperlink" Target="https://statiz.sporki.com/player/?m=playerinfo&amp;p_no=1577" TargetMode="External"/><Relationship Id="rId17045" Type="http://schemas.openxmlformats.org/officeDocument/2006/relationships/hyperlink" Target="https://statiz.sporki.com/add/?m=draft_school01&amp;ps_school=50702" TargetMode="External"/><Relationship Id="rId7104" Type="http://schemas.openxmlformats.org/officeDocument/2006/relationships/hyperlink" Target="https://statiz.sporki.com/add/?m=draft_school02&amp;ps_school=" TargetMode="External"/><Relationship Id="rId13655" Type="http://schemas.openxmlformats.org/officeDocument/2006/relationships/hyperlink" Target="https://statiz.sporki.com/player/?m=playerinfo&amp;p_no=11134" TargetMode="External"/><Relationship Id="rId14706" Type="http://schemas.openxmlformats.org/officeDocument/2006/relationships/hyperlink" Target="https://statiz.sporki.com/player/?m=playerinfo&amp;p_no=10076" TargetMode="External"/><Relationship Id="rId982" Type="http://schemas.openxmlformats.org/officeDocument/2006/relationships/hyperlink" Target="https://statiz.sporki.com/player/?m=playerinfo&amp;p_no=14813" TargetMode="External"/><Relationship Id="rId2663" Type="http://schemas.openxmlformats.org/officeDocument/2006/relationships/hyperlink" Target="https://statiz.sporki.com/add/?m=draft_school01&amp;ps_school=" TargetMode="External"/><Relationship Id="rId3714" Type="http://schemas.openxmlformats.org/officeDocument/2006/relationships/hyperlink" Target="https://statiz.sporki.com/add/?m=draft_school02&amp;ps_school=" TargetMode="External"/><Relationship Id="rId9276" Type="http://schemas.openxmlformats.org/officeDocument/2006/relationships/hyperlink" Target="https://statiz.sporki.com/add/?m=draft_school02&amp;ps_school=" TargetMode="External"/><Relationship Id="rId12257" Type="http://schemas.openxmlformats.org/officeDocument/2006/relationships/hyperlink" Target="https://statiz.sporki.com/player/?m=playerinfo&amp;p_no=15535" TargetMode="External"/><Relationship Id="rId13308" Type="http://schemas.openxmlformats.org/officeDocument/2006/relationships/hyperlink" Target="https://statiz.sporki.com/player/?m=playerinfo&amp;p_no=12672" TargetMode="External"/><Relationship Id="rId635" Type="http://schemas.openxmlformats.org/officeDocument/2006/relationships/hyperlink" Target="https://statiz.sporki.com/add/?m=draft_school01&amp;ps_school=50905" TargetMode="External"/><Relationship Id="rId1265" Type="http://schemas.openxmlformats.org/officeDocument/2006/relationships/hyperlink" Target="https://statiz.sporki.com/add/?m=draft_school01&amp;ps_school=50501" TargetMode="External"/><Relationship Id="rId2316" Type="http://schemas.openxmlformats.org/officeDocument/2006/relationships/hyperlink" Target="https://statiz.sporki.com/add/?m=draft_school02&amp;ps_school=60113" TargetMode="External"/><Relationship Id="rId5886" Type="http://schemas.openxmlformats.org/officeDocument/2006/relationships/hyperlink" Target="https://statiz.sporki.com/add/?m=draft_school02&amp;ps_school=" TargetMode="External"/><Relationship Id="rId16878" Type="http://schemas.openxmlformats.org/officeDocument/2006/relationships/hyperlink" Target="https://statiz.sporki.com/add/?m=draft_school01&amp;ps_school=50108" TargetMode="External"/><Relationship Id="rId17929" Type="http://schemas.openxmlformats.org/officeDocument/2006/relationships/hyperlink" Target="https://statiz.sporki.com/add/?m=draft_school01&amp;ps_school=50602" TargetMode="External"/><Relationship Id="rId4488" Type="http://schemas.openxmlformats.org/officeDocument/2006/relationships/hyperlink" Target="https://statiz.sporki.com/add/?m=draft_school02&amp;ps_school=60108" TargetMode="External"/><Relationship Id="rId5539" Type="http://schemas.openxmlformats.org/officeDocument/2006/relationships/hyperlink" Target="https://statiz.sporki.com/player/?m=playerinfo&amp;p_no=10712" TargetMode="External"/><Relationship Id="rId6937" Type="http://schemas.openxmlformats.org/officeDocument/2006/relationships/hyperlink" Target="https://statiz.sporki.com/player/?m=playerinfo&amp;p_no=10145" TargetMode="External"/><Relationship Id="rId9410" Type="http://schemas.openxmlformats.org/officeDocument/2006/relationships/hyperlink" Target="https://statiz.sporki.com/add/?m=draft_school01&amp;ps_school=50802" TargetMode="External"/><Relationship Id="rId19004" Type="http://schemas.openxmlformats.org/officeDocument/2006/relationships/hyperlink" Target="https://statiz.sporki.com/add/?m=draft_school01&amp;ps_school=50105" TargetMode="External"/><Relationship Id="rId19351" Type="http://schemas.openxmlformats.org/officeDocument/2006/relationships/hyperlink" Target="https://statiz.sporki.com/add/?m=draft_school01&amp;ps_school=50804" TargetMode="External"/><Relationship Id="rId8012" Type="http://schemas.openxmlformats.org/officeDocument/2006/relationships/hyperlink" Target="https://statiz.sporki.com/add/?m=draft_school01&amp;ps_school=" TargetMode="External"/><Relationship Id="rId11340" Type="http://schemas.openxmlformats.org/officeDocument/2006/relationships/hyperlink" Target="https://statiz.sporki.com/add/?m=draft_school02&amp;ps_school=60703" TargetMode="External"/><Relationship Id="rId15961" Type="http://schemas.openxmlformats.org/officeDocument/2006/relationships/hyperlink" Target="https://statiz.sporki.com/player/?m=playerinfo&amp;p_no=1198" TargetMode="External"/><Relationship Id="rId14563" Type="http://schemas.openxmlformats.org/officeDocument/2006/relationships/hyperlink" Target="https://statiz.sporki.com/player/?m=playerinfo&amp;p_no=2300" TargetMode="External"/><Relationship Id="rId15614" Type="http://schemas.openxmlformats.org/officeDocument/2006/relationships/hyperlink" Target="https://statiz.sporki.com/player/?m=playerinfo&amp;p_no=1605" TargetMode="External"/><Relationship Id="rId3571" Type="http://schemas.openxmlformats.org/officeDocument/2006/relationships/hyperlink" Target="https://statiz.sporki.com/player/?m=playerinfo&amp;p_no=13000" TargetMode="External"/><Relationship Id="rId4622" Type="http://schemas.openxmlformats.org/officeDocument/2006/relationships/hyperlink" Target="https://statiz.sporki.com/add/?m=draft_school01&amp;ps_school=50108" TargetMode="External"/><Relationship Id="rId13165" Type="http://schemas.openxmlformats.org/officeDocument/2006/relationships/hyperlink" Target="https://statiz.sporki.com/player/?m=playerinfo&amp;p_no=12946" TargetMode="External"/><Relationship Id="rId14216" Type="http://schemas.openxmlformats.org/officeDocument/2006/relationships/hyperlink" Target="https://statiz.sporki.com/player/?m=playerinfo&amp;p_no=10494" TargetMode="External"/><Relationship Id="rId17786" Type="http://schemas.openxmlformats.org/officeDocument/2006/relationships/hyperlink" Target="https://statiz.sporki.com/add/?m=draft_school01&amp;ps_school=50801" TargetMode="External"/><Relationship Id="rId18837" Type="http://schemas.openxmlformats.org/officeDocument/2006/relationships/hyperlink" Target="https://statiz.sporki.com/add/?m=draft_school01&amp;ps_school=50802" TargetMode="External"/><Relationship Id="rId492" Type="http://schemas.openxmlformats.org/officeDocument/2006/relationships/hyperlink" Target="https://statiz.sporki.com/add/?m=draft_school02&amp;ps_school=" TargetMode="External"/><Relationship Id="rId2173" Type="http://schemas.openxmlformats.org/officeDocument/2006/relationships/hyperlink" Target="https://statiz.sporki.com/player/?m=playerinfo&amp;p_no=13924" TargetMode="External"/><Relationship Id="rId3224" Type="http://schemas.openxmlformats.org/officeDocument/2006/relationships/hyperlink" Target="https://statiz.sporki.com/add/?m=draft_school01&amp;ps_school=50202" TargetMode="External"/><Relationship Id="rId6794" Type="http://schemas.openxmlformats.org/officeDocument/2006/relationships/hyperlink" Target="https://statiz.sporki.com/add/?m=draft_school01&amp;ps_school=50812" TargetMode="External"/><Relationship Id="rId7845" Type="http://schemas.openxmlformats.org/officeDocument/2006/relationships/hyperlink" Target="https://statiz.sporki.com/add/?m=draft_school02&amp;ps_school=" TargetMode="External"/><Relationship Id="rId16388" Type="http://schemas.openxmlformats.org/officeDocument/2006/relationships/hyperlink" Target="https://statiz.sporki.com/add/?m=draft_school01&amp;ps_school=50807" TargetMode="External"/><Relationship Id="rId17439" Type="http://schemas.openxmlformats.org/officeDocument/2006/relationships/hyperlink" Target="https://statiz.sporki.com/add/?m=draft_school01&amp;ps_school=50705" TargetMode="External"/><Relationship Id="rId145" Type="http://schemas.openxmlformats.org/officeDocument/2006/relationships/hyperlink" Target="https://statiz.sporki.com/player/?m=playerinfo&amp;p_no=15512" TargetMode="External"/><Relationship Id="rId5396" Type="http://schemas.openxmlformats.org/officeDocument/2006/relationships/hyperlink" Target="https://statiz.sporki.com/add/?m=draft_school01&amp;ps_school=" TargetMode="External"/><Relationship Id="rId6447" Type="http://schemas.openxmlformats.org/officeDocument/2006/relationships/hyperlink" Target="https://statiz.sporki.com/add/?m=draft_school02&amp;ps_school=" TargetMode="External"/><Relationship Id="rId10826" Type="http://schemas.openxmlformats.org/officeDocument/2006/relationships/hyperlink" Target="https://statiz.sporki.com/add/?m=draft_school01&amp;ps_school=50701" TargetMode="External"/><Relationship Id="rId5049" Type="http://schemas.openxmlformats.org/officeDocument/2006/relationships/hyperlink" Target="https://statiz.sporki.com/add/?m=draft_school02&amp;ps_school=61100" TargetMode="External"/><Relationship Id="rId12998" Type="http://schemas.openxmlformats.org/officeDocument/2006/relationships/hyperlink" Target="https://statiz.sporki.com/player/?m=playerinfo&amp;p_no=13089" TargetMode="External"/><Relationship Id="rId17920" Type="http://schemas.openxmlformats.org/officeDocument/2006/relationships/hyperlink" Target="https://statiz.sporki.com/add/?m=draft_school01&amp;ps_school=50501" TargetMode="External"/><Relationship Id="rId15471" Type="http://schemas.openxmlformats.org/officeDocument/2006/relationships/hyperlink" Target="https://statiz.sporki.com/player/?m=playerinfo&amp;p_no=1838" TargetMode="External"/><Relationship Id="rId16522" Type="http://schemas.openxmlformats.org/officeDocument/2006/relationships/hyperlink" Target="https://statiz.sporki.com/add/?m=draft_school01&amp;ps_school=50601" TargetMode="External"/><Relationship Id="rId1659" Type="http://schemas.openxmlformats.org/officeDocument/2006/relationships/hyperlink" Target="https://statiz.sporki.com/add/?m=draft_school02&amp;ps_school=" TargetMode="External"/><Relationship Id="rId3081" Type="http://schemas.openxmlformats.org/officeDocument/2006/relationships/hyperlink" Target="https://statiz.sporki.com/add/?m=draft_school02&amp;ps_school=" TargetMode="External"/><Relationship Id="rId4132" Type="http://schemas.openxmlformats.org/officeDocument/2006/relationships/hyperlink" Target="https://statiz.sporki.com/player/?m=playerinfo&amp;p_no=11224" TargetMode="External"/><Relationship Id="rId5530" Type="http://schemas.openxmlformats.org/officeDocument/2006/relationships/hyperlink" Target="https://statiz.sporki.com/player/?m=playerinfo&amp;p_no=10249" TargetMode="External"/><Relationship Id="rId14073" Type="http://schemas.openxmlformats.org/officeDocument/2006/relationships/hyperlink" Target="https://statiz.sporki.com/player/?m=playerinfo&amp;p_no=10343" TargetMode="External"/><Relationship Id="rId15124" Type="http://schemas.openxmlformats.org/officeDocument/2006/relationships/hyperlink" Target="https://statiz.sporki.com/player/?m=playerinfo&amp;p_no=1991" TargetMode="External"/><Relationship Id="rId18694" Type="http://schemas.openxmlformats.org/officeDocument/2006/relationships/hyperlink" Target="https://statiz.sporki.com/add/?m=draft_school01&amp;ps_school=50805" TargetMode="External"/><Relationship Id="rId8753" Type="http://schemas.openxmlformats.org/officeDocument/2006/relationships/hyperlink" Target="https://statiz.sporki.com/add/?m=draft_school01&amp;ps_school=50402" TargetMode="External"/><Relationship Id="rId9804" Type="http://schemas.openxmlformats.org/officeDocument/2006/relationships/hyperlink" Target="https://statiz.sporki.com/add/?m=draft_school02&amp;ps_school=60801" TargetMode="External"/><Relationship Id="rId10683" Type="http://schemas.openxmlformats.org/officeDocument/2006/relationships/hyperlink" Target="https://statiz.sporki.com/add/?m=draft_school02&amp;ps_school=60111" TargetMode="External"/><Relationship Id="rId11734" Type="http://schemas.openxmlformats.org/officeDocument/2006/relationships/hyperlink" Target="https://statiz.sporki.com/player/?m=playerinfo&amp;p_no=1100" TargetMode="External"/><Relationship Id="rId17296" Type="http://schemas.openxmlformats.org/officeDocument/2006/relationships/hyperlink" Target="https://statiz.sporki.com/add/?m=draft_school01&amp;ps_school=50701" TargetMode="External"/><Relationship Id="rId18347" Type="http://schemas.openxmlformats.org/officeDocument/2006/relationships/hyperlink" Target="https://statiz.sporki.com/add/?m=draft_school01&amp;ps_school=50602" TargetMode="External"/><Relationship Id="rId18" Type="http://schemas.openxmlformats.org/officeDocument/2006/relationships/hyperlink" Target="https://statiz.sporki.com/add/?m=draft_school02&amp;ps_school=" TargetMode="External"/><Relationship Id="rId7355" Type="http://schemas.openxmlformats.org/officeDocument/2006/relationships/hyperlink" Target="https://statiz.sporki.com/add/?m=draft_school01&amp;ps_school=50109" TargetMode="External"/><Relationship Id="rId8406" Type="http://schemas.openxmlformats.org/officeDocument/2006/relationships/hyperlink" Target="https://statiz.sporki.com/add/?m=draft_school02&amp;ps_school=60204" TargetMode="External"/><Relationship Id="rId10336" Type="http://schemas.openxmlformats.org/officeDocument/2006/relationships/hyperlink" Target="https://statiz.sporki.com/player/?m=playerinfo&amp;p_no=1641" TargetMode="External"/><Relationship Id="rId3965" Type="http://schemas.openxmlformats.org/officeDocument/2006/relationships/hyperlink" Target="https://statiz.sporki.com/add/?m=draft_school01&amp;ps_school=50807" TargetMode="External"/><Relationship Id="rId7008" Type="http://schemas.openxmlformats.org/officeDocument/2006/relationships/hyperlink" Target="https://statiz.sporki.com/add/?m=draft_school02&amp;ps_school=60802" TargetMode="External"/><Relationship Id="rId13559" Type="http://schemas.openxmlformats.org/officeDocument/2006/relationships/hyperlink" Target="https://statiz.sporki.com/player/?m=playerinfo&amp;p_no=11335" TargetMode="External"/><Relationship Id="rId14957" Type="http://schemas.openxmlformats.org/officeDocument/2006/relationships/hyperlink" Target="https://statiz.sporki.com/player/?m=playerinfo&amp;p_no=10579" TargetMode="External"/><Relationship Id="rId886" Type="http://schemas.openxmlformats.org/officeDocument/2006/relationships/hyperlink" Target="https://statiz.sporki.com/player/?m=playerinfo&amp;p_no=15145" TargetMode="External"/><Relationship Id="rId2567" Type="http://schemas.openxmlformats.org/officeDocument/2006/relationships/hyperlink" Target="https://statiz.sporki.com/add/?m=draft_school01&amp;ps_school=50107" TargetMode="External"/><Relationship Id="rId3618" Type="http://schemas.openxmlformats.org/officeDocument/2006/relationships/hyperlink" Target="https://statiz.sporki.com/add/?m=draft_school02&amp;ps_school=" TargetMode="External"/><Relationship Id="rId16032" Type="http://schemas.openxmlformats.org/officeDocument/2006/relationships/hyperlink" Target="https://statiz.sporki.com/player/?m=playerinfo&amp;p_no=1181" TargetMode="External"/><Relationship Id="rId17430" Type="http://schemas.openxmlformats.org/officeDocument/2006/relationships/hyperlink" Target="https://statiz.sporki.com/add/?m=draft_school01&amp;ps_school=50210" TargetMode="External"/><Relationship Id="rId2" Type="http://schemas.openxmlformats.org/officeDocument/2006/relationships/hyperlink" Target="https://statiz.sporki.com/add/?m=draft_school01&amp;ps_school=50107" TargetMode="External"/><Relationship Id="rId539" Type="http://schemas.openxmlformats.org/officeDocument/2006/relationships/hyperlink" Target="https://statiz.sporki.com/add/?m=draft_school01&amp;ps_school=50209" TargetMode="External"/><Relationship Id="rId1169" Type="http://schemas.openxmlformats.org/officeDocument/2006/relationships/hyperlink" Target="https://statiz.sporki.com/add/?m=draft_school01&amp;ps_school=50207" TargetMode="External"/><Relationship Id="rId5040" Type="http://schemas.openxmlformats.org/officeDocument/2006/relationships/hyperlink" Target="https://statiz.sporki.com/add/?m=draft_school02&amp;ps_school=60203" TargetMode="External"/><Relationship Id="rId8263" Type="http://schemas.openxmlformats.org/officeDocument/2006/relationships/hyperlink" Target="https://statiz.sporki.com/player/?m=playerinfo&amp;p_no=2068" TargetMode="External"/><Relationship Id="rId9661" Type="http://schemas.openxmlformats.org/officeDocument/2006/relationships/hyperlink" Target="https://statiz.sporki.com/player/?m=playerinfo&amp;p_no=1845" TargetMode="External"/><Relationship Id="rId11591" Type="http://schemas.openxmlformats.org/officeDocument/2006/relationships/hyperlink" Target="https://statiz.sporki.com/add/?m=draft_school01&amp;ps_school=50802" TargetMode="External"/><Relationship Id="rId12642" Type="http://schemas.openxmlformats.org/officeDocument/2006/relationships/hyperlink" Target="https://statiz.sporki.com/player/?m=playerinfo&amp;p_no=14607" TargetMode="External"/><Relationship Id="rId19255" Type="http://schemas.openxmlformats.org/officeDocument/2006/relationships/hyperlink" Target="https://statiz.sporki.com/add/?m=draft_school01&amp;ps_school=50127" TargetMode="External"/><Relationship Id="rId1650" Type="http://schemas.openxmlformats.org/officeDocument/2006/relationships/hyperlink" Target="https://statiz.sporki.com/add/?m=draft_school02&amp;ps_school=" TargetMode="External"/><Relationship Id="rId2701" Type="http://schemas.openxmlformats.org/officeDocument/2006/relationships/hyperlink" Target="https://statiz.sporki.com/player/?m=playerinfo&amp;p_no=13223" TargetMode="External"/><Relationship Id="rId9314" Type="http://schemas.openxmlformats.org/officeDocument/2006/relationships/hyperlink" Target="https://statiz.sporki.com/add/?m=draft_school01&amp;ps_school=50501" TargetMode="External"/><Relationship Id="rId10193" Type="http://schemas.openxmlformats.org/officeDocument/2006/relationships/hyperlink" Target="https://statiz.sporki.com/add/?m=draft_school01&amp;ps_school=50101" TargetMode="External"/><Relationship Id="rId11244" Type="http://schemas.openxmlformats.org/officeDocument/2006/relationships/hyperlink" Target="https://statiz.sporki.com/add/?m=draft_school02&amp;ps_school=" TargetMode="External"/><Relationship Id="rId15865" Type="http://schemas.openxmlformats.org/officeDocument/2006/relationships/hyperlink" Target="https://statiz.sporki.com/player/?m=playerinfo&amp;p_no=1270" TargetMode="External"/><Relationship Id="rId16916" Type="http://schemas.openxmlformats.org/officeDocument/2006/relationships/hyperlink" Target="https://statiz.sporki.com/add/?m=draft_school01&amp;ps_school=50203" TargetMode="External"/><Relationship Id="rId1303" Type="http://schemas.openxmlformats.org/officeDocument/2006/relationships/hyperlink" Target="https://statiz.sporki.com/player/?m=playerinfo&amp;p_no=14758" TargetMode="External"/><Relationship Id="rId4873" Type="http://schemas.openxmlformats.org/officeDocument/2006/relationships/hyperlink" Target="https://statiz.sporki.com/player/?m=playerinfo&amp;p_no=10848" TargetMode="External"/><Relationship Id="rId5924" Type="http://schemas.openxmlformats.org/officeDocument/2006/relationships/hyperlink" Target="https://statiz.sporki.com/add/?m=draft_school01&amp;ps_school=50705" TargetMode="External"/><Relationship Id="rId14467" Type="http://schemas.openxmlformats.org/officeDocument/2006/relationships/hyperlink" Target="https://statiz.sporki.com/player/?m=playerinfo&amp;p_no=10232" TargetMode="External"/><Relationship Id="rId15518" Type="http://schemas.openxmlformats.org/officeDocument/2006/relationships/hyperlink" Target="https://statiz.sporki.com/player/?m=playerinfo&amp;p_no=1629" TargetMode="External"/><Relationship Id="rId3475" Type="http://schemas.openxmlformats.org/officeDocument/2006/relationships/hyperlink" Target="https://statiz.sporki.com/player/?m=playerinfo&amp;p_no=12564" TargetMode="External"/><Relationship Id="rId4526" Type="http://schemas.openxmlformats.org/officeDocument/2006/relationships/hyperlink" Target="https://statiz.sporki.com/add/?m=draft_school01&amp;ps_school=50114" TargetMode="External"/><Relationship Id="rId13069" Type="http://schemas.openxmlformats.org/officeDocument/2006/relationships/hyperlink" Target="https://statiz.sporki.com/player/?m=playerinfo&amp;p_no=12918" TargetMode="External"/><Relationship Id="rId396" Type="http://schemas.openxmlformats.org/officeDocument/2006/relationships/hyperlink" Target="https://statiz.sporki.com/add/?m=draft_school02&amp;ps_school=" TargetMode="External"/><Relationship Id="rId2077" Type="http://schemas.openxmlformats.org/officeDocument/2006/relationships/hyperlink" Target="https://statiz.sporki.com/player/?m=playerinfo&amp;p_no=14120" TargetMode="External"/><Relationship Id="rId3128" Type="http://schemas.openxmlformats.org/officeDocument/2006/relationships/hyperlink" Target="https://statiz.sporki.com/add/?m=draft_school01&amp;ps_school=50605" TargetMode="External"/><Relationship Id="rId6698" Type="http://schemas.openxmlformats.org/officeDocument/2006/relationships/hyperlink" Target="https://statiz.sporki.com/add/?m=draft_school01&amp;ps_school=50208" TargetMode="External"/><Relationship Id="rId7749" Type="http://schemas.openxmlformats.org/officeDocument/2006/relationships/hyperlink" Target="https://statiz.sporki.com/add/?m=draft_school02&amp;ps_school=" TargetMode="External"/><Relationship Id="rId9171" Type="http://schemas.openxmlformats.org/officeDocument/2006/relationships/hyperlink" Target="https://statiz.sporki.com/add/?m=draft_school02&amp;ps_school=60113" TargetMode="External"/><Relationship Id="rId13550" Type="http://schemas.openxmlformats.org/officeDocument/2006/relationships/hyperlink" Target="https://statiz.sporki.com/player/?m=playerinfo&amp;p_no=11274" TargetMode="External"/><Relationship Id="rId14601" Type="http://schemas.openxmlformats.org/officeDocument/2006/relationships/hyperlink" Target="https://statiz.sporki.com/player/?m=playerinfo&amp;p_no=10325" TargetMode="External"/><Relationship Id="rId530" Type="http://schemas.openxmlformats.org/officeDocument/2006/relationships/hyperlink" Target="https://statiz.sporki.com/add/?m=draft_school01&amp;ps_school=50403" TargetMode="External"/><Relationship Id="rId1160" Type="http://schemas.openxmlformats.org/officeDocument/2006/relationships/hyperlink" Target="https://statiz.sporki.com/add/?m=draft_school01&amp;ps_school=50801" TargetMode="External"/><Relationship Id="rId2211" Type="http://schemas.openxmlformats.org/officeDocument/2006/relationships/hyperlink" Target="https://statiz.sporki.com/add/?m=draft_school02&amp;ps_school=" TargetMode="External"/><Relationship Id="rId12152" Type="http://schemas.openxmlformats.org/officeDocument/2006/relationships/hyperlink" Target="https://statiz.sporki.com/player/?m=playerinfo&amp;p_no=15422" TargetMode="External"/><Relationship Id="rId13203" Type="http://schemas.openxmlformats.org/officeDocument/2006/relationships/hyperlink" Target="https://statiz.sporki.com/player/?m=playerinfo&amp;p_no=12544" TargetMode="External"/><Relationship Id="rId16773" Type="http://schemas.openxmlformats.org/officeDocument/2006/relationships/hyperlink" Target="https://statiz.sporki.com/add/?m=draft_school01&amp;ps_school=50805" TargetMode="External"/><Relationship Id="rId17824" Type="http://schemas.openxmlformats.org/officeDocument/2006/relationships/hyperlink" Target="https://statiz.sporki.com/add/?m=draft_school01&amp;ps_school=50803" TargetMode="External"/><Relationship Id="rId5781" Type="http://schemas.openxmlformats.org/officeDocument/2006/relationships/hyperlink" Target="https://statiz.sporki.com/add/?m=draft_school02&amp;ps_school=60102" TargetMode="External"/><Relationship Id="rId6832" Type="http://schemas.openxmlformats.org/officeDocument/2006/relationships/hyperlink" Target="https://statiz.sporki.com/player/?m=playerinfo&amp;p_no=10211" TargetMode="External"/><Relationship Id="rId15375" Type="http://schemas.openxmlformats.org/officeDocument/2006/relationships/hyperlink" Target="https://statiz.sporki.com/player/?m=playerinfo&amp;p_no=1813" TargetMode="External"/><Relationship Id="rId16426" Type="http://schemas.openxmlformats.org/officeDocument/2006/relationships/hyperlink" Target="https://statiz.sporki.com/add/?m=draft_school01&amp;ps_school=50111" TargetMode="External"/><Relationship Id="rId4383" Type="http://schemas.openxmlformats.org/officeDocument/2006/relationships/hyperlink" Target="https://statiz.sporki.com/add/?m=draft_school02&amp;ps_school=" TargetMode="External"/><Relationship Id="rId5434" Type="http://schemas.openxmlformats.org/officeDocument/2006/relationships/hyperlink" Target="https://statiz.sporki.com/player/?m=playerinfo&amp;p_no=10781" TargetMode="External"/><Relationship Id="rId15028" Type="http://schemas.openxmlformats.org/officeDocument/2006/relationships/hyperlink" Target="https://statiz.sporki.com/player/?m=playerinfo&amp;p_no=1997" TargetMode="External"/><Relationship Id="rId18598" Type="http://schemas.openxmlformats.org/officeDocument/2006/relationships/hyperlink" Target="https://statiz.sporki.com/add/?m=draft_school01&amp;ps_school=50403" TargetMode="External"/><Relationship Id="rId19649" Type="http://schemas.openxmlformats.org/officeDocument/2006/relationships/hyperlink" Target="https://statiz.sporki.com/add/?m=draft_school01&amp;ps_school=50701" TargetMode="External"/><Relationship Id="rId4036" Type="http://schemas.openxmlformats.org/officeDocument/2006/relationships/hyperlink" Target="https://statiz.sporki.com/player/?m=playerinfo&amp;p_no=11196" TargetMode="External"/><Relationship Id="rId8657" Type="http://schemas.openxmlformats.org/officeDocument/2006/relationships/hyperlink" Target="https://statiz.sporki.com/add/?m=draft_school01&amp;ps_school=50109" TargetMode="External"/><Relationship Id="rId9708" Type="http://schemas.openxmlformats.org/officeDocument/2006/relationships/hyperlink" Target="https://statiz.sporki.com/add/?m=draft_school02&amp;ps_school=" TargetMode="External"/><Relationship Id="rId10587" Type="http://schemas.openxmlformats.org/officeDocument/2006/relationships/hyperlink" Target="https://statiz.sporki.com/add/?m=draft_school02&amp;ps_school=60803" TargetMode="External"/><Relationship Id="rId11638" Type="http://schemas.openxmlformats.org/officeDocument/2006/relationships/hyperlink" Target="https://statiz.sporki.com/player/?m=playerinfo&amp;p_no=1171" TargetMode="External"/><Relationship Id="rId11985" Type="http://schemas.openxmlformats.org/officeDocument/2006/relationships/hyperlink" Target="https://statiz.sporki.com/add/?m=draft_school02&amp;ps_school=" TargetMode="External"/><Relationship Id="rId7259" Type="http://schemas.openxmlformats.org/officeDocument/2006/relationships/hyperlink" Target="https://statiz.sporki.com/add/?m=draft_school01&amp;ps_school=" TargetMode="External"/><Relationship Id="rId13060" Type="http://schemas.openxmlformats.org/officeDocument/2006/relationships/hyperlink" Target="https://statiz.sporki.com/player/?m=playerinfo&amp;p_no=12906" TargetMode="External"/><Relationship Id="rId14111" Type="http://schemas.openxmlformats.org/officeDocument/2006/relationships/hyperlink" Target="https://statiz.sporki.com/player/?m=playerinfo&amp;p_no=10340" TargetMode="External"/><Relationship Id="rId17681" Type="http://schemas.openxmlformats.org/officeDocument/2006/relationships/hyperlink" Target="https://statiz.sporki.com/add/?m=draft_school01&amp;ps_school=50111" TargetMode="External"/><Relationship Id="rId18732" Type="http://schemas.openxmlformats.org/officeDocument/2006/relationships/hyperlink" Target="https://statiz.sporki.com/add/?m=draft_school01&amp;ps_school=50110" TargetMode="External"/><Relationship Id="rId3869" Type="http://schemas.openxmlformats.org/officeDocument/2006/relationships/hyperlink" Target="https://statiz.sporki.com/add/?m=draft_school01&amp;ps_school=50403" TargetMode="External"/><Relationship Id="rId5291" Type="http://schemas.openxmlformats.org/officeDocument/2006/relationships/hyperlink" Target="https://statiz.sporki.com/add/?m=draft_school01&amp;ps_school=50202" TargetMode="External"/><Relationship Id="rId6342" Type="http://schemas.openxmlformats.org/officeDocument/2006/relationships/hyperlink" Target="https://statiz.sporki.com/add/?m=draft_school02&amp;ps_school=" TargetMode="External"/><Relationship Id="rId7740" Type="http://schemas.openxmlformats.org/officeDocument/2006/relationships/hyperlink" Target="https://statiz.sporki.com/add/?m=draft_school02&amp;ps_school=" TargetMode="External"/><Relationship Id="rId10721" Type="http://schemas.openxmlformats.org/officeDocument/2006/relationships/hyperlink" Target="https://statiz.sporki.com/add/?m=draft_school01&amp;ps_school=50105" TargetMode="External"/><Relationship Id="rId16283" Type="http://schemas.openxmlformats.org/officeDocument/2006/relationships/hyperlink" Target="https://statiz.sporki.com/add/?m=draft_school01&amp;ps_school=50109" TargetMode="External"/><Relationship Id="rId17334" Type="http://schemas.openxmlformats.org/officeDocument/2006/relationships/hyperlink" Target="https://statiz.sporki.com/add/?m=draft_school01&amp;ps_school=50116" TargetMode="External"/><Relationship Id="rId12893" Type="http://schemas.openxmlformats.org/officeDocument/2006/relationships/hyperlink" Target="https://statiz.sporki.com/player/?m=playerinfo&amp;p_no=14219" TargetMode="External"/><Relationship Id="rId13944" Type="http://schemas.openxmlformats.org/officeDocument/2006/relationships/hyperlink" Target="https://statiz.sporki.com/player/?m=playerinfo&amp;p_no=10661" TargetMode="External"/><Relationship Id="rId2952" Type="http://schemas.openxmlformats.org/officeDocument/2006/relationships/hyperlink" Target="https://statiz.sporki.com/add/?m=draft_school02&amp;ps_school=" TargetMode="External"/><Relationship Id="rId9565" Type="http://schemas.openxmlformats.org/officeDocument/2006/relationships/hyperlink" Target="https://statiz.sporki.com/player/?m=playerinfo&amp;p_no=1724" TargetMode="External"/><Relationship Id="rId11495" Type="http://schemas.openxmlformats.org/officeDocument/2006/relationships/hyperlink" Target="https://statiz.sporki.com/add/?m=draft_school01&amp;ps_school=50602" TargetMode="External"/><Relationship Id="rId12546" Type="http://schemas.openxmlformats.org/officeDocument/2006/relationships/hyperlink" Target="https://statiz.sporki.com/player/?m=playerinfo&amp;p_no=14818" TargetMode="External"/><Relationship Id="rId19159" Type="http://schemas.openxmlformats.org/officeDocument/2006/relationships/hyperlink" Target="https://statiz.sporki.com/add/?m=draft_school01&amp;ps_school=50814" TargetMode="External"/><Relationship Id="rId924" Type="http://schemas.openxmlformats.org/officeDocument/2006/relationships/hyperlink" Target="https://statiz.sporki.com/add/?m=draft_school02&amp;ps_school=60109" TargetMode="External"/><Relationship Id="rId1554" Type="http://schemas.openxmlformats.org/officeDocument/2006/relationships/hyperlink" Target="https://statiz.sporki.com/add/?m=draft_school02&amp;ps_school=" TargetMode="External"/><Relationship Id="rId2605" Type="http://schemas.openxmlformats.org/officeDocument/2006/relationships/hyperlink" Target="https://statiz.sporki.com/player/?m=playerinfo&amp;p_no=13079" TargetMode="External"/><Relationship Id="rId8167" Type="http://schemas.openxmlformats.org/officeDocument/2006/relationships/hyperlink" Target="https://statiz.sporki.com/player/?m=playerinfo&amp;p_no=10634" TargetMode="External"/><Relationship Id="rId9218" Type="http://schemas.openxmlformats.org/officeDocument/2006/relationships/hyperlink" Target="https://statiz.sporki.com/add/?m=draft_school01&amp;ps_school=50109" TargetMode="External"/><Relationship Id="rId10097" Type="http://schemas.openxmlformats.org/officeDocument/2006/relationships/hyperlink" Target="https://statiz.sporki.com/add/?m=draft_school01&amp;ps_school=50222" TargetMode="External"/><Relationship Id="rId11148" Type="http://schemas.openxmlformats.org/officeDocument/2006/relationships/hyperlink" Target="https://statiz.sporki.com/add/?m=draft_school02&amp;ps_school=60204" TargetMode="External"/><Relationship Id="rId15769" Type="http://schemas.openxmlformats.org/officeDocument/2006/relationships/hyperlink" Target="https://statiz.sporki.com/player/?m=playerinfo&amp;p_no=1676" TargetMode="External"/><Relationship Id="rId1207" Type="http://schemas.openxmlformats.org/officeDocument/2006/relationships/hyperlink" Target="https://statiz.sporki.com/player/?m=playerinfo&amp;p_no=14857" TargetMode="External"/><Relationship Id="rId4777" Type="http://schemas.openxmlformats.org/officeDocument/2006/relationships/hyperlink" Target="https://statiz.sporki.com/player/?m=playerinfo&amp;p_no=10885" TargetMode="External"/><Relationship Id="rId5828" Type="http://schemas.openxmlformats.org/officeDocument/2006/relationships/hyperlink" Target="https://statiz.sporki.com/add/?m=draft_school01&amp;ps_school=50207" TargetMode="External"/><Relationship Id="rId17191" Type="http://schemas.openxmlformats.org/officeDocument/2006/relationships/hyperlink" Target="https://statiz.sporki.com/add/?m=draft_school01&amp;ps_school=50111" TargetMode="External"/><Relationship Id="rId18242" Type="http://schemas.openxmlformats.org/officeDocument/2006/relationships/hyperlink" Target="https://statiz.sporki.com/add/?m=draft_school01&amp;ps_school=50803" TargetMode="External"/><Relationship Id="rId19640" Type="http://schemas.openxmlformats.org/officeDocument/2006/relationships/hyperlink" Target="https://statiz.sporki.com/add/?m=draft_school01&amp;ps_school=50711" TargetMode="External"/><Relationship Id="rId3379" Type="http://schemas.openxmlformats.org/officeDocument/2006/relationships/hyperlink" Target="https://statiz.sporki.com/player/?m=playerinfo&amp;p_no=12596" TargetMode="External"/><Relationship Id="rId7250" Type="http://schemas.openxmlformats.org/officeDocument/2006/relationships/hyperlink" Target="https://statiz.sporki.com/add/?m=draft_school01&amp;ps_school=" TargetMode="External"/><Relationship Id="rId8301" Type="http://schemas.openxmlformats.org/officeDocument/2006/relationships/hyperlink" Target="https://statiz.sporki.com/add/?m=draft_school02&amp;ps_school=60204" TargetMode="External"/><Relationship Id="rId10231" Type="http://schemas.openxmlformats.org/officeDocument/2006/relationships/hyperlink" Target="https://statiz.sporki.com/player/?m=playerinfo&amp;p_no=10194" TargetMode="External"/><Relationship Id="rId14852" Type="http://schemas.openxmlformats.org/officeDocument/2006/relationships/hyperlink" Target="https://statiz.sporki.com/player/?m=playerinfo&amp;p_no=10005" TargetMode="External"/><Relationship Id="rId15903" Type="http://schemas.openxmlformats.org/officeDocument/2006/relationships/hyperlink" Target="https://statiz.sporki.com/player/?m=playerinfo&amp;p_no=1236" TargetMode="External"/><Relationship Id="rId3860" Type="http://schemas.openxmlformats.org/officeDocument/2006/relationships/hyperlink" Target="https://statiz.sporki.com/add/?m=draft_school01&amp;ps_school=50116" TargetMode="External"/><Relationship Id="rId4911" Type="http://schemas.openxmlformats.org/officeDocument/2006/relationships/hyperlink" Target="https://statiz.sporki.com/add/?m=draft_school02&amp;ps_school=" TargetMode="External"/><Relationship Id="rId9075" Type="http://schemas.openxmlformats.org/officeDocument/2006/relationships/hyperlink" Target="https://statiz.sporki.com/add/?m=draft_school02&amp;ps_school=" TargetMode="External"/><Relationship Id="rId13454" Type="http://schemas.openxmlformats.org/officeDocument/2006/relationships/hyperlink" Target="https://statiz.sporki.com/player/?m=playerinfo&amp;p_no=11494" TargetMode="External"/><Relationship Id="rId14505" Type="http://schemas.openxmlformats.org/officeDocument/2006/relationships/hyperlink" Target="https://statiz.sporki.com/player/?m=playerinfo&amp;p_no=2341" TargetMode="External"/><Relationship Id="rId781" Type="http://schemas.openxmlformats.org/officeDocument/2006/relationships/hyperlink" Target="https://statiz.sporki.com/player/?m=playerinfo&amp;p_no=15088" TargetMode="External"/><Relationship Id="rId2462" Type="http://schemas.openxmlformats.org/officeDocument/2006/relationships/hyperlink" Target="https://statiz.sporki.com/add/?m=draft_school01&amp;ps_school=50705" TargetMode="External"/><Relationship Id="rId3513" Type="http://schemas.openxmlformats.org/officeDocument/2006/relationships/hyperlink" Target="https://statiz.sporki.com/add/?m=draft_school02&amp;ps_school=" TargetMode="External"/><Relationship Id="rId12056" Type="http://schemas.openxmlformats.org/officeDocument/2006/relationships/hyperlink" Target="https://statiz.sporki.com/add/?m=draft_school01&amp;ps_school=50701" TargetMode="External"/><Relationship Id="rId13107" Type="http://schemas.openxmlformats.org/officeDocument/2006/relationships/hyperlink" Target="https://statiz.sporki.com/player/?m=playerinfo&amp;p_no=13227" TargetMode="External"/><Relationship Id="rId16677" Type="http://schemas.openxmlformats.org/officeDocument/2006/relationships/hyperlink" Target="https://statiz.sporki.com/add/?m=draft_school01&amp;ps_school=50210" TargetMode="External"/><Relationship Id="rId17728" Type="http://schemas.openxmlformats.org/officeDocument/2006/relationships/hyperlink" Target="https://statiz.sporki.com/add/?m=draft_school01&amp;ps_school=50602" TargetMode="External"/><Relationship Id="rId434" Type="http://schemas.openxmlformats.org/officeDocument/2006/relationships/hyperlink" Target="https://statiz.sporki.com/add/?m=draft_school01&amp;ps_school=50216" TargetMode="External"/><Relationship Id="rId1064" Type="http://schemas.openxmlformats.org/officeDocument/2006/relationships/hyperlink" Target="https://statiz.sporki.com/add/?m=draft_school01&amp;ps_school=50802" TargetMode="External"/><Relationship Id="rId2115" Type="http://schemas.openxmlformats.org/officeDocument/2006/relationships/hyperlink" Target="https://statiz.sporki.com/add/?m=draft_school02&amp;ps_school=" TargetMode="External"/><Relationship Id="rId5685" Type="http://schemas.openxmlformats.org/officeDocument/2006/relationships/hyperlink" Target="https://statiz.sporki.com/add/?m=draft_school02&amp;ps_school=" TargetMode="External"/><Relationship Id="rId6736" Type="http://schemas.openxmlformats.org/officeDocument/2006/relationships/hyperlink" Target="https://statiz.sporki.com/player/?m=playerinfo&amp;p_no=10180" TargetMode="External"/><Relationship Id="rId15279" Type="http://schemas.openxmlformats.org/officeDocument/2006/relationships/hyperlink" Target="https://statiz.sporki.com/player/?m=playerinfo&amp;p_no=1862" TargetMode="External"/><Relationship Id="rId19150" Type="http://schemas.openxmlformats.org/officeDocument/2006/relationships/hyperlink" Target="https://statiz.sporki.com/add/?m=draft_school01&amp;ps_school=50107" TargetMode="External"/><Relationship Id="rId4287" Type="http://schemas.openxmlformats.org/officeDocument/2006/relationships/hyperlink" Target="https://statiz.sporki.com/add/?m=draft_school02&amp;ps_school=60101" TargetMode="External"/><Relationship Id="rId5338" Type="http://schemas.openxmlformats.org/officeDocument/2006/relationships/hyperlink" Target="https://statiz.sporki.com/player/?m=playerinfo&amp;p_no=10728" TargetMode="External"/><Relationship Id="rId9959" Type="http://schemas.openxmlformats.org/officeDocument/2006/relationships/hyperlink" Target="https://statiz.sporki.com/add/?m=draft_school01&amp;ps_school=50901" TargetMode="External"/><Relationship Id="rId11889" Type="http://schemas.openxmlformats.org/officeDocument/2006/relationships/hyperlink" Target="https://statiz.sporki.com/add/?m=draft_school02&amp;ps_school=60103" TargetMode="External"/><Relationship Id="rId15760" Type="http://schemas.openxmlformats.org/officeDocument/2006/relationships/hyperlink" Target="https://statiz.sporki.com/player/?m=playerinfo&amp;p_no=1404" TargetMode="External"/><Relationship Id="rId16811" Type="http://schemas.openxmlformats.org/officeDocument/2006/relationships/hyperlink" Target="https://statiz.sporki.com/add/?m=draft_school01&amp;ps_school=50901" TargetMode="External"/><Relationship Id="rId1948" Type="http://schemas.openxmlformats.org/officeDocument/2006/relationships/hyperlink" Target="https://statiz.sporki.com/player/?m=playerinfo&amp;p_no=14148" TargetMode="External"/><Relationship Id="rId3370" Type="http://schemas.openxmlformats.org/officeDocument/2006/relationships/hyperlink" Target="https://statiz.sporki.com/player/?m=playerinfo&amp;p_no=12617" TargetMode="External"/><Relationship Id="rId4421" Type="http://schemas.openxmlformats.org/officeDocument/2006/relationships/hyperlink" Target="https://statiz.sporki.com/add/?m=draft_school01&amp;ps_school=50101" TargetMode="External"/><Relationship Id="rId14362" Type="http://schemas.openxmlformats.org/officeDocument/2006/relationships/hyperlink" Target="https://statiz.sporki.com/player/?m=playerinfo&amp;p_no=2387" TargetMode="External"/><Relationship Id="rId15413" Type="http://schemas.openxmlformats.org/officeDocument/2006/relationships/hyperlink" Target="https://statiz.sporki.com/player/?m=playerinfo&amp;p_no=10099" TargetMode="External"/><Relationship Id="rId18983" Type="http://schemas.openxmlformats.org/officeDocument/2006/relationships/hyperlink" Target="https://statiz.sporki.com/add/?m=draft_school01&amp;ps_school=50208" TargetMode="External"/><Relationship Id="rId291" Type="http://schemas.openxmlformats.org/officeDocument/2006/relationships/hyperlink" Target="https://statiz.sporki.com/add/?m=draft_school02&amp;ps_school=" TargetMode="External"/><Relationship Id="rId3023" Type="http://schemas.openxmlformats.org/officeDocument/2006/relationships/hyperlink" Target="https://statiz.sporki.com/add/?m=draft_school01&amp;ps_school=50604" TargetMode="External"/><Relationship Id="rId7991" Type="http://schemas.openxmlformats.org/officeDocument/2006/relationships/hyperlink" Target="https://statiz.sporki.com/add/?m=draft_school01&amp;ps_school=" TargetMode="External"/><Relationship Id="rId10972" Type="http://schemas.openxmlformats.org/officeDocument/2006/relationships/hyperlink" Target="https://statiz.sporki.com/player/?m=playerinfo&amp;p_no=1340" TargetMode="External"/><Relationship Id="rId14015" Type="http://schemas.openxmlformats.org/officeDocument/2006/relationships/hyperlink" Target="https://statiz.sporki.com/player/?m=playerinfo&amp;p_no=10369" TargetMode="External"/><Relationship Id="rId17585" Type="http://schemas.openxmlformats.org/officeDocument/2006/relationships/hyperlink" Target="https://statiz.sporki.com/add/?m=draft_school01&amp;ps_school=50101" TargetMode="External"/><Relationship Id="rId18636" Type="http://schemas.openxmlformats.org/officeDocument/2006/relationships/hyperlink" Target="https://statiz.sporki.com/add/?m=draft_school01&amp;ps_school=50209" TargetMode="External"/><Relationship Id="rId5195" Type="http://schemas.openxmlformats.org/officeDocument/2006/relationships/hyperlink" Target="https://statiz.sporki.com/add/?m=draft_school01&amp;ps_school=50403" TargetMode="External"/><Relationship Id="rId6593" Type="http://schemas.openxmlformats.org/officeDocument/2006/relationships/hyperlink" Target="https://statiz.sporki.com/add/?m=draft_school01&amp;ps_school=50903" TargetMode="External"/><Relationship Id="rId7644" Type="http://schemas.openxmlformats.org/officeDocument/2006/relationships/hyperlink" Target="https://statiz.sporki.com/add/?m=draft_school02&amp;ps_school=" TargetMode="External"/><Relationship Id="rId10625" Type="http://schemas.openxmlformats.org/officeDocument/2006/relationships/hyperlink" Target="https://statiz.sporki.com/add/?m=draft_school01&amp;ps_school=50805" TargetMode="External"/><Relationship Id="rId16187" Type="http://schemas.openxmlformats.org/officeDocument/2006/relationships/hyperlink" Target="https://statiz.sporki.com/player/?m=playerinfo&amp;p_no=1074" TargetMode="External"/><Relationship Id="rId17238" Type="http://schemas.openxmlformats.org/officeDocument/2006/relationships/hyperlink" Target="https://statiz.sporki.com/add/?m=draft_school01&amp;ps_school=50103" TargetMode="External"/><Relationship Id="rId6246" Type="http://schemas.openxmlformats.org/officeDocument/2006/relationships/hyperlink" Target="https://statiz.sporki.com/add/?m=draft_school02&amp;ps_school=60113" TargetMode="External"/><Relationship Id="rId12797" Type="http://schemas.openxmlformats.org/officeDocument/2006/relationships/hyperlink" Target="https://statiz.sporki.com/player/?m=playerinfo&amp;p_no=14180" TargetMode="External"/><Relationship Id="rId13848" Type="http://schemas.openxmlformats.org/officeDocument/2006/relationships/hyperlink" Target="https://statiz.sporki.com/player/?m=playerinfo&amp;p_no=10887" TargetMode="External"/><Relationship Id="rId2856" Type="http://schemas.openxmlformats.org/officeDocument/2006/relationships/hyperlink" Target="https://statiz.sporki.com/add/?m=draft_school02&amp;ps_school=" TargetMode="External"/><Relationship Id="rId3907" Type="http://schemas.openxmlformats.org/officeDocument/2006/relationships/hyperlink" Target="https://statiz.sporki.com/player/?m=playerinfo&amp;p_no=11326" TargetMode="External"/><Relationship Id="rId9469" Type="http://schemas.openxmlformats.org/officeDocument/2006/relationships/hyperlink" Target="https://statiz.sporki.com/player/?m=playerinfo&amp;p_no=1808" TargetMode="External"/><Relationship Id="rId11399" Type="http://schemas.openxmlformats.org/officeDocument/2006/relationships/hyperlink" Target="https://statiz.sporki.com/add/?m=draft_school01&amp;ps_school=50805" TargetMode="External"/><Relationship Id="rId15270" Type="http://schemas.openxmlformats.org/officeDocument/2006/relationships/hyperlink" Target="https://statiz.sporki.com/player/?m=playerinfo&amp;p_no=1796" TargetMode="External"/><Relationship Id="rId16321" Type="http://schemas.openxmlformats.org/officeDocument/2006/relationships/hyperlink" Target="https://statiz.sporki.com/add/?m=draft_school01&amp;ps_school=50602" TargetMode="External"/><Relationship Id="rId828" Type="http://schemas.openxmlformats.org/officeDocument/2006/relationships/hyperlink" Target="https://statiz.sporki.com/add/?m=draft_school02&amp;ps_school=61122" TargetMode="External"/><Relationship Id="rId1458" Type="http://schemas.openxmlformats.org/officeDocument/2006/relationships/hyperlink" Target="https://statiz.sporki.com/add/?m=draft_school02&amp;ps_school=" TargetMode="External"/><Relationship Id="rId2509" Type="http://schemas.openxmlformats.org/officeDocument/2006/relationships/hyperlink" Target="https://statiz.sporki.com/player/?m=playerinfo&amp;p_no=13087" TargetMode="External"/><Relationship Id="rId8552" Type="http://schemas.openxmlformats.org/officeDocument/2006/relationships/hyperlink" Target="https://statiz.sporki.com/add/?m=draft_school01&amp;ps_school=" TargetMode="External"/><Relationship Id="rId9950" Type="http://schemas.openxmlformats.org/officeDocument/2006/relationships/hyperlink" Target="https://statiz.sporki.com/add/?m=draft_school01&amp;ps_school=50701" TargetMode="External"/><Relationship Id="rId11880" Type="http://schemas.openxmlformats.org/officeDocument/2006/relationships/hyperlink" Target="https://statiz.sporki.com/add/?m=draft_school02&amp;ps_school=60103" TargetMode="External"/><Relationship Id="rId12931" Type="http://schemas.openxmlformats.org/officeDocument/2006/relationships/hyperlink" Target="https://statiz.sporki.com/player/?m=playerinfo&amp;p_no=13071" TargetMode="External"/><Relationship Id="rId17095" Type="http://schemas.openxmlformats.org/officeDocument/2006/relationships/hyperlink" Target="https://statiz.sporki.com/add/?m=draft_school01&amp;ps_school=50113" TargetMode="External"/><Relationship Id="rId18146" Type="http://schemas.openxmlformats.org/officeDocument/2006/relationships/hyperlink" Target="https://statiz.sporki.com/add/?m=draft_school01&amp;ps_school=50804" TargetMode="External"/><Relationship Id="rId18493" Type="http://schemas.openxmlformats.org/officeDocument/2006/relationships/hyperlink" Target="https://statiz.sporki.com/add/?m=draft_school01&amp;ps_school=50402" TargetMode="External"/><Relationship Id="rId19544" Type="http://schemas.openxmlformats.org/officeDocument/2006/relationships/hyperlink" Target="https://statiz.sporki.com/add/?m=draft_school01&amp;ps_school=50109" TargetMode="External"/><Relationship Id="rId7154" Type="http://schemas.openxmlformats.org/officeDocument/2006/relationships/hyperlink" Target="https://statiz.sporki.com/add/?m=draft_school01&amp;ps_school=50113" TargetMode="External"/><Relationship Id="rId8205" Type="http://schemas.openxmlformats.org/officeDocument/2006/relationships/hyperlink" Target="https://statiz.sporki.com/add/?m=draft_school02&amp;ps_school=60204" TargetMode="External"/><Relationship Id="rId9603" Type="http://schemas.openxmlformats.org/officeDocument/2006/relationships/hyperlink" Target="https://statiz.sporki.com/add/?m=draft_school02&amp;ps_school=60102" TargetMode="External"/><Relationship Id="rId10482" Type="http://schemas.openxmlformats.org/officeDocument/2006/relationships/hyperlink" Target="https://statiz.sporki.com/add/?m=draft_school02&amp;ps_school=" TargetMode="External"/><Relationship Id="rId11533" Type="http://schemas.openxmlformats.org/officeDocument/2006/relationships/hyperlink" Target="https://statiz.sporki.com/player/?m=playerinfo&amp;p_no=1194" TargetMode="External"/><Relationship Id="rId10135" Type="http://schemas.openxmlformats.org/officeDocument/2006/relationships/hyperlink" Target="https://statiz.sporki.com/player/?m=playerinfo&amp;p_no=1612" TargetMode="External"/><Relationship Id="rId14756" Type="http://schemas.openxmlformats.org/officeDocument/2006/relationships/hyperlink" Target="https://statiz.sporki.com/player/?m=playerinfo&amp;p_no=2237" TargetMode="External"/><Relationship Id="rId15807" Type="http://schemas.openxmlformats.org/officeDocument/2006/relationships/hyperlink" Target="https://statiz.sporki.com/player/?m=playerinfo&amp;p_no=1420" TargetMode="External"/><Relationship Id="rId3764" Type="http://schemas.openxmlformats.org/officeDocument/2006/relationships/hyperlink" Target="https://statiz.sporki.com/add/?m=draft_school01&amp;ps_school=50402" TargetMode="External"/><Relationship Id="rId4815" Type="http://schemas.openxmlformats.org/officeDocument/2006/relationships/hyperlink" Target="https://statiz.sporki.com/add/?m=draft_school02&amp;ps_school=" TargetMode="External"/><Relationship Id="rId13358" Type="http://schemas.openxmlformats.org/officeDocument/2006/relationships/hyperlink" Target="https://statiz.sporki.com/player/?m=playerinfo&amp;p_no=11319" TargetMode="External"/><Relationship Id="rId14409" Type="http://schemas.openxmlformats.org/officeDocument/2006/relationships/hyperlink" Target="https://statiz.sporki.com/player/?m=playerinfo&amp;p_no=10409" TargetMode="External"/><Relationship Id="rId17979" Type="http://schemas.openxmlformats.org/officeDocument/2006/relationships/hyperlink" Target="https://statiz.sporki.com/add/?m=draft_school01&amp;ps_school=50703" TargetMode="External"/><Relationship Id="rId685" Type="http://schemas.openxmlformats.org/officeDocument/2006/relationships/hyperlink" Target="https://statiz.sporki.com/player/?m=playerinfo&amp;p_no=15063" TargetMode="External"/><Relationship Id="rId2366" Type="http://schemas.openxmlformats.org/officeDocument/2006/relationships/hyperlink" Target="https://statiz.sporki.com/add/?m=draft_school01&amp;ps_school=50802" TargetMode="External"/><Relationship Id="rId3417" Type="http://schemas.openxmlformats.org/officeDocument/2006/relationships/hyperlink" Target="https://statiz.sporki.com/add/?m=draft_school02&amp;ps_school=" TargetMode="External"/><Relationship Id="rId6987" Type="http://schemas.openxmlformats.org/officeDocument/2006/relationships/hyperlink" Target="https://statiz.sporki.com/add/?m=draft_school02&amp;ps_school=" TargetMode="External"/><Relationship Id="rId338" Type="http://schemas.openxmlformats.org/officeDocument/2006/relationships/hyperlink" Target="https://statiz.sporki.com/add/?m=draft_school01&amp;ps_school=" TargetMode="External"/><Relationship Id="rId2019" Type="http://schemas.openxmlformats.org/officeDocument/2006/relationships/hyperlink" Target="https://statiz.sporki.com/add/?m=draft_school02&amp;ps_school=" TargetMode="External"/><Relationship Id="rId5589" Type="http://schemas.openxmlformats.org/officeDocument/2006/relationships/hyperlink" Target="https://statiz.sporki.com/add/?m=draft_school02&amp;ps_school=60802" TargetMode="External"/><Relationship Id="rId9460" Type="http://schemas.openxmlformats.org/officeDocument/2006/relationships/hyperlink" Target="https://statiz.sporki.com/player/?m=playerinfo&amp;p_no=1828" TargetMode="External"/><Relationship Id="rId11390" Type="http://schemas.openxmlformats.org/officeDocument/2006/relationships/hyperlink" Target="https://statiz.sporki.com/add/?m=draft_school01&amp;ps_school=50123" TargetMode="External"/><Relationship Id="rId19054" Type="http://schemas.openxmlformats.org/officeDocument/2006/relationships/hyperlink" Target="https://statiz.sporki.com/add/?m=draft_school01&amp;ps_school=50121" TargetMode="External"/><Relationship Id="rId2500" Type="http://schemas.openxmlformats.org/officeDocument/2006/relationships/hyperlink" Target="https://statiz.sporki.com/player/?m=playerinfo&amp;p_no=13120" TargetMode="External"/><Relationship Id="rId8062" Type="http://schemas.openxmlformats.org/officeDocument/2006/relationships/hyperlink" Target="https://statiz.sporki.com/player/?m=playerinfo&amp;p_no=2109" TargetMode="External"/><Relationship Id="rId9113" Type="http://schemas.openxmlformats.org/officeDocument/2006/relationships/hyperlink" Target="https://statiz.sporki.com/add/?m=draft_school01&amp;ps_school=50501" TargetMode="External"/><Relationship Id="rId11043" Type="http://schemas.openxmlformats.org/officeDocument/2006/relationships/hyperlink" Target="https://statiz.sporki.com/add/?m=draft_school02&amp;ps_school=60501" TargetMode="External"/><Relationship Id="rId12441" Type="http://schemas.openxmlformats.org/officeDocument/2006/relationships/hyperlink" Target="https://statiz.sporki.com/player/?m=playerinfo&amp;p_no=15126" TargetMode="External"/><Relationship Id="rId1102" Type="http://schemas.openxmlformats.org/officeDocument/2006/relationships/hyperlink" Target="https://statiz.sporki.com/player/?m=playerinfo&amp;p_no=14811" TargetMode="External"/><Relationship Id="rId15664" Type="http://schemas.openxmlformats.org/officeDocument/2006/relationships/hyperlink" Target="https://statiz.sporki.com/player/?m=playerinfo&amp;p_no=1428" TargetMode="External"/><Relationship Id="rId16715" Type="http://schemas.openxmlformats.org/officeDocument/2006/relationships/hyperlink" Target="https://statiz.sporki.com/add/?m=draft_school01&amp;ps_school=50109" TargetMode="External"/><Relationship Id="rId3274" Type="http://schemas.openxmlformats.org/officeDocument/2006/relationships/hyperlink" Target="https://statiz.sporki.com/player/?m=playerinfo&amp;p_no=12549" TargetMode="External"/><Relationship Id="rId4672" Type="http://schemas.openxmlformats.org/officeDocument/2006/relationships/hyperlink" Target="https://statiz.sporki.com/player/?m=playerinfo&amp;p_no=11157" TargetMode="External"/><Relationship Id="rId5723" Type="http://schemas.openxmlformats.org/officeDocument/2006/relationships/hyperlink" Target="https://statiz.sporki.com/add/?m=draft_school01&amp;ps_school=50705" TargetMode="External"/><Relationship Id="rId14266" Type="http://schemas.openxmlformats.org/officeDocument/2006/relationships/hyperlink" Target="https://statiz.sporki.com/player/?m=playerinfo&amp;p_no=10333" TargetMode="External"/><Relationship Id="rId15317" Type="http://schemas.openxmlformats.org/officeDocument/2006/relationships/hyperlink" Target="https://statiz.sporki.com/player/?m=playerinfo&amp;p_no=1891" TargetMode="External"/><Relationship Id="rId18887" Type="http://schemas.openxmlformats.org/officeDocument/2006/relationships/hyperlink" Target="https://statiz.sporki.com/add/?m=draft_school01&amp;ps_school=50202" TargetMode="External"/><Relationship Id="rId195" Type="http://schemas.openxmlformats.org/officeDocument/2006/relationships/hyperlink" Target="https://statiz.sporki.com/add/?m=draft_school02&amp;ps_school=" TargetMode="External"/><Relationship Id="rId4325" Type="http://schemas.openxmlformats.org/officeDocument/2006/relationships/hyperlink" Target="https://statiz.sporki.com/add/?m=draft_school01&amp;ps_school=" TargetMode="External"/><Relationship Id="rId7895" Type="http://schemas.openxmlformats.org/officeDocument/2006/relationships/hyperlink" Target="https://statiz.sporki.com/add/?m=draft_school01&amp;ps_school=50112" TargetMode="External"/><Relationship Id="rId8946" Type="http://schemas.openxmlformats.org/officeDocument/2006/relationships/hyperlink" Target="https://statiz.sporki.com/add/?m=draft_school02&amp;ps_school=" TargetMode="External"/><Relationship Id="rId10876" Type="http://schemas.openxmlformats.org/officeDocument/2006/relationships/hyperlink" Target="https://statiz.sporki.com/player/?m=playerinfo&amp;p_no=1379" TargetMode="External"/><Relationship Id="rId11927" Type="http://schemas.openxmlformats.org/officeDocument/2006/relationships/hyperlink" Target="https://statiz.sporki.com/add/?m=draft_school01&amp;ps_school=50812" TargetMode="External"/><Relationship Id="rId17489" Type="http://schemas.openxmlformats.org/officeDocument/2006/relationships/hyperlink" Target="https://statiz.sporki.com/add/?m=draft_school01&amp;ps_school=50605" TargetMode="External"/><Relationship Id="rId6497" Type="http://schemas.openxmlformats.org/officeDocument/2006/relationships/hyperlink" Target="https://statiz.sporki.com/add/?m=draft_school01&amp;ps_school=50209" TargetMode="External"/><Relationship Id="rId7548" Type="http://schemas.openxmlformats.org/officeDocument/2006/relationships/hyperlink" Target="https://statiz.sporki.com/add/?m=draft_school02&amp;ps_school=60103" TargetMode="External"/><Relationship Id="rId10529" Type="http://schemas.openxmlformats.org/officeDocument/2006/relationships/hyperlink" Target="https://statiz.sporki.com/add/?m=draft_school01&amp;ps_school=50608" TargetMode="External"/><Relationship Id="rId14400" Type="http://schemas.openxmlformats.org/officeDocument/2006/relationships/hyperlink" Target="https://statiz.sporki.com/player/?m=playerinfo&amp;p_no=2400" TargetMode="External"/><Relationship Id="rId5099" Type="http://schemas.openxmlformats.org/officeDocument/2006/relationships/hyperlink" Target="https://statiz.sporki.com/add/?m=draft_school01&amp;ps_school=50401" TargetMode="External"/><Relationship Id="rId13002" Type="http://schemas.openxmlformats.org/officeDocument/2006/relationships/hyperlink" Target="https://statiz.sporki.com/player/?m=playerinfo&amp;p_no=13154" TargetMode="External"/><Relationship Id="rId17970" Type="http://schemas.openxmlformats.org/officeDocument/2006/relationships/hyperlink" Target="https://statiz.sporki.com/add/?m=draft_school01&amp;ps_school=51100" TargetMode="External"/><Relationship Id="rId2010" Type="http://schemas.openxmlformats.org/officeDocument/2006/relationships/hyperlink" Target="https://statiz.sporki.com/add/?m=draft_school02&amp;ps_school=" TargetMode="External"/><Relationship Id="rId5580" Type="http://schemas.openxmlformats.org/officeDocument/2006/relationships/hyperlink" Target="https://statiz.sporki.com/add/?m=draft_school02&amp;ps_school=60111" TargetMode="External"/><Relationship Id="rId6631" Type="http://schemas.openxmlformats.org/officeDocument/2006/relationships/hyperlink" Target="https://statiz.sporki.com/player/?m=playerinfo&amp;p_no=2375" TargetMode="External"/><Relationship Id="rId15174" Type="http://schemas.openxmlformats.org/officeDocument/2006/relationships/hyperlink" Target="https://statiz.sporki.com/player/?m=playerinfo&amp;p_no=10593" TargetMode="External"/><Relationship Id="rId16572" Type="http://schemas.openxmlformats.org/officeDocument/2006/relationships/hyperlink" Target="https://statiz.sporki.com/add/?m=draft_school01&amp;ps_school=50107" TargetMode="External"/><Relationship Id="rId17623" Type="http://schemas.openxmlformats.org/officeDocument/2006/relationships/hyperlink" Target="https://statiz.sporki.com/add/?m=draft_school01&amp;ps_school=50402" TargetMode="External"/><Relationship Id="rId4182" Type="http://schemas.openxmlformats.org/officeDocument/2006/relationships/hyperlink" Target="https://statiz.sporki.com/add/?m=draft_school02&amp;ps_school=60801" TargetMode="External"/><Relationship Id="rId5233" Type="http://schemas.openxmlformats.org/officeDocument/2006/relationships/hyperlink" Target="https://statiz.sporki.com/player/?m=playerinfo&amp;p_no=10746" TargetMode="External"/><Relationship Id="rId16225" Type="http://schemas.openxmlformats.org/officeDocument/2006/relationships/hyperlink" Target="https://statiz.sporki.com/add/?m=draft_school01&amp;ps_school=50107" TargetMode="External"/><Relationship Id="rId9854" Type="http://schemas.openxmlformats.org/officeDocument/2006/relationships/hyperlink" Target="https://statiz.sporki.com/add/?m=draft_school01&amp;ps_school=50209" TargetMode="External"/><Relationship Id="rId11784" Type="http://schemas.openxmlformats.org/officeDocument/2006/relationships/hyperlink" Target="https://statiz.sporki.com/add/?m=draft_school02&amp;ps_school=" TargetMode="External"/><Relationship Id="rId12835" Type="http://schemas.openxmlformats.org/officeDocument/2006/relationships/hyperlink" Target="https://statiz.sporki.com/player/?m=playerinfo&amp;p_no=14709" TargetMode="External"/><Relationship Id="rId18397" Type="http://schemas.openxmlformats.org/officeDocument/2006/relationships/hyperlink" Target="https://statiz.sporki.com/add/?m=draft_school01&amp;ps_school=50804" TargetMode="External"/><Relationship Id="rId19448" Type="http://schemas.openxmlformats.org/officeDocument/2006/relationships/hyperlink" Target="https://statiz.sporki.com/add/?m=draft_school01&amp;ps_school=50301" TargetMode="External"/><Relationship Id="rId68" Type="http://schemas.openxmlformats.org/officeDocument/2006/relationships/hyperlink" Target="https://statiz.sporki.com/add/?m=draft_school01&amp;ps_school=50301" TargetMode="External"/><Relationship Id="rId1843" Type="http://schemas.openxmlformats.org/officeDocument/2006/relationships/hyperlink" Target="https://statiz.sporki.com/player/?m=playerinfo&amp;p_no=14712" TargetMode="External"/><Relationship Id="rId7058" Type="http://schemas.openxmlformats.org/officeDocument/2006/relationships/hyperlink" Target="https://statiz.sporki.com/add/?m=draft_school01&amp;ps_school=" TargetMode="External"/><Relationship Id="rId8456" Type="http://schemas.openxmlformats.org/officeDocument/2006/relationships/hyperlink" Target="https://statiz.sporki.com/add/?m=draft_school01&amp;ps_school=50105" TargetMode="External"/><Relationship Id="rId9507" Type="http://schemas.openxmlformats.org/officeDocument/2006/relationships/hyperlink" Target="https://statiz.sporki.com/add/?m=draft_school02&amp;ps_school=" TargetMode="External"/><Relationship Id="rId10386" Type="http://schemas.openxmlformats.org/officeDocument/2006/relationships/hyperlink" Target="https://statiz.sporki.com/add/?m=draft_school02&amp;ps_school=" TargetMode="External"/><Relationship Id="rId11437" Type="http://schemas.openxmlformats.org/officeDocument/2006/relationships/hyperlink" Target="https://statiz.sporki.com/player/?m=playerinfo&amp;p_no=1332" TargetMode="External"/><Relationship Id="rId8109" Type="http://schemas.openxmlformats.org/officeDocument/2006/relationships/hyperlink" Target="https://statiz.sporki.com/add/?m=draft_school02&amp;ps_school=60113" TargetMode="External"/><Relationship Id="rId10039" Type="http://schemas.openxmlformats.org/officeDocument/2006/relationships/hyperlink" Target="https://statiz.sporki.com/player/?m=playerinfo&amp;p_no=1596" TargetMode="External"/><Relationship Id="rId17480" Type="http://schemas.openxmlformats.org/officeDocument/2006/relationships/hyperlink" Target="https://statiz.sporki.com/add/?m=draft_school01&amp;ps_school=50605" TargetMode="External"/><Relationship Id="rId18531" Type="http://schemas.openxmlformats.org/officeDocument/2006/relationships/hyperlink" Target="https://statiz.sporki.com/add/?m=draft_school01&amp;ps_school=50116" TargetMode="External"/><Relationship Id="rId3668" Type="http://schemas.openxmlformats.org/officeDocument/2006/relationships/hyperlink" Target="https://statiz.sporki.com/add/?m=draft_school01&amp;ps_school=50602" TargetMode="External"/><Relationship Id="rId4719" Type="http://schemas.openxmlformats.org/officeDocument/2006/relationships/hyperlink" Target="https://statiz.sporki.com/add/?m=draft_school02&amp;ps_school=61102" TargetMode="External"/><Relationship Id="rId16082" Type="http://schemas.openxmlformats.org/officeDocument/2006/relationships/hyperlink" Target="https://statiz.sporki.com/player/?m=playerinfo&amp;p_no=1019" TargetMode="External"/><Relationship Id="rId17133" Type="http://schemas.openxmlformats.org/officeDocument/2006/relationships/hyperlink" Target="https://statiz.sporki.com/add/?m=draft_school01&amp;ps_school=50705" TargetMode="External"/><Relationship Id="rId589" Type="http://schemas.openxmlformats.org/officeDocument/2006/relationships/hyperlink" Target="https://statiz.sporki.com/player/?m=playerinfo&amp;p_no=15070" TargetMode="External"/><Relationship Id="rId5090" Type="http://schemas.openxmlformats.org/officeDocument/2006/relationships/hyperlink" Target="https://statiz.sporki.com/add/?m=draft_school01&amp;ps_school=50812" TargetMode="External"/><Relationship Id="rId6141" Type="http://schemas.openxmlformats.org/officeDocument/2006/relationships/hyperlink" Target="https://statiz.sporki.com/add/?m=draft_school02&amp;ps_school=60113" TargetMode="External"/><Relationship Id="rId10520" Type="http://schemas.openxmlformats.org/officeDocument/2006/relationships/hyperlink" Target="https://statiz.sporki.com/add/?m=draft_school01&amp;ps_school=50609" TargetMode="External"/><Relationship Id="rId9364" Type="http://schemas.openxmlformats.org/officeDocument/2006/relationships/hyperlink" Target="https://statiz.sporki.com/player/?m=playerinfo&amp;p_no=1792" TargetMode="External"/><Relationship Id="rId12692" Type="http://schemas.openxmlformats.org/officeDocument/2006/relationships/hyperlink" Target="https://statiz.sporki.com/player/?m=playerinfo&amp;p_no=14690" TargetMode="External"/><Relationship Id="rId13743" Type="http://schemas.openxmlformats.org/officeDocument/2006/relationships/hyperlink" Target="https://statiz.sporki.com/player/?m=playerinfo&amp;p_no=10795" TargetMode="External"/><Relationship Id="rId2751" Type="http://schemas.openxmlformats.org/officeDocument/2006/relationships/hyperlink" Target="https://statiz.sporki.com/add/?m=draft_school02&amp;ps_school=" TargetMode="External"/><Relationship Id="rId3802" Type="http://schemas.openxmlformats.org/officeDocument/2006/relationships/hyperlink" Target="https://statiz.sporki.com/player/?m=playerinfo&amp;p_no=11360" TargetMode="External"/><Relationship Id="rId9017" Type="http://schemas.openxmlformats.org/officeDocument/2006/relationships/hyperlink" Target="https://statiz.sporki.com/add/?m=draft_school01&amp;ps_school=50203" TargetMode="External"/><Relationship Id="rId11294" Type="http://schemas.openxmlformats.org/officeDocument/2006/relationships/hyperlink" Target="https://statiz.sporki.com/add/?m=draft_school01&amp;ps_school=50812" TargetMode="External"/><Relationship Id="rId12345" Type="http://schemas.openxmlformats.org/officeDocument/2006/relationships/hyperlink" Target="https://statiz.sporki.com/player/?m=playerinfo&amp;p_no=15103" TargetMode="External"/><Relationship Id="rId16966" Type="http://schemas.openxmlformats.org/officeDocument/2006/relationships/hyperlink" Target="https://statiz.sporki.com/add/?m=draft_school01&amp;ps_school=50208" TargetMode="External"/><Relationship Id="rId723" Type="http://schemas.openxmlformats.org/officeDocument/2006/relationships/hyperlink" Target="https://statiz.sporki.com/add/?m=draft_school02&amp;ps_school=" TargetMode="External"/><Relationship Id="rId1006" Type="http://schemas.openxmlformats.org/officeDocument/2006/relationships/hyperlink" Target="https://statiz.sporki.com/player/?m=playerinfo&amp;p_no=14799" TargetMode="External"/><Relationship Id="rId1353" Type="http://schemas.openxmlformats.org/officeDocument/2006/relationships/hyperlink" Target="https://statiz.sporki.com/add/?m=draft_school02&amp;ps_school=" TargetMode="External"/><Relationship Id="rId2404" Type="http://schemas.openxmlformats.org/officeDocument/2006/relationships/hyperlink" Target="https://statiz.sporki.com/player/?m=playerinfo&amp;p_no=13159" TargetMode="External"/><Relationship Id="rId5974" Type="http://schemas.openxmlformats.org/officeDocument/2006/relationships/hyperlink" Target="https://statiz.sporki.com/player/?m=playerinfo&amp;p_no=10941" TargetMode="External"/><Relationship Id="rId15568" Type="http://schemas.openxmlformats.org/officeDocument/2006/relationships/hyperlink" Target="https://statiz.sporki.com/player/?m=playerinfo&amp;p_no=1524" TargetMode="External"/><Relationship Id="rId16619" Type="http://schemas.openxmlformats.org/officeDocument/2006/relationships/hyperlink" Target="https://statiz.sporki.com/add/?m=draft_school01&amp;ps_school=50502" TargetMode="External"/><Relationship Id="rId4576" Type="http://schemas.openxmlformats.org/officeDocument/2006/relationships/hyperlink" Target="https://statiz.sporki.com/player/?m=playerinfo&amp;p_no=11109" TargetMode="External"/><Relationship Id="rId5627" Type="http://schemas.openxmlformats.org/officeDocument/2006/relationships/hyperlink" Target="https://statiz.sporki.com/add/?m=draft_school01&amp;ps_school=50903" TargetMode="External"/><Relationship Id="rId18041" Type="http://schemas.openxmlformats.org/officeDocument/2006/relationships/hyperlink" Target="https://statiz.sporki.com/add/?m=draft_school01&amp;ps_school=50602" TargetMode="External"/><Relationship Id="rId3178" Type="http://schemas.openxmlformats.org/officeDocument/2006/relationships/hyperlink" Target="https://statiz.sporki.com/player/?m=playerinfo&amp;p_no=12534" TargetMode="External"/><Relationship Id="rId4229" Type="http://schemas.openxmlformats.org/officeDocument/2006/relationships/hyperlink" Target="https://statiz.sporki.com/add/?m=draft_school01&amp;ps_school=50808" TargetMode="External"/><Relationship Id="rId7799" Type="http://schemas.openxmlformats.org/officeDocument/2006/relationships/hyperlink" Target="https://statiz.sporki.com/add/?m=draft_school01&amp;ps_school=50108" TargetMode="External"/><Relationship Id="rId8100" Type="http://schemas.openxmlformats.org/officeDocument/2006/relationships/hyperlink" Target="https://statiz.sporki.com/add/?m=draft_school02&amp;ps_school=60802" TargetMode="External"/><Relationship Id="rId10030" Type="http://schemas.openxmlformats.org/officeDocument/2006/relationships/hyperlink" Target="https://statiz.sporki.com/player/?m=playerinfo&amp;p_no=1567" TargetMode="External"/><Relationship Id="rId4710" Type="http://schemas.openxmlformats.org/officeDocument/2006/relationships/hyperlink" Target="https://statiz.sporki.com/add/?m=draft_school02&amp;ps_school=60804" TargetMode="External"/><Relationship Id="rId13253" Type="http://schemas.openxmlformats.org/officeDocument/2006/relationships/hyperlink" Target="https://statiz.sporki.com/player/?m=playerinfo&amp;p_no=12553" TargetMode="External"/><Relationship Id="rId14651" Type="http://schemas.openxmlformats.org/officeDocument/2006/relationships/hyperlink" Target="https://statiz.sporki.com/player/?m=playerinfo&amp;p_no=2249" TargetMode="External"/><Relationship Id="rId15702" Type="http://schemas.openxmlformats.org/officeDocument/2006/relationships/hyperlink" Target="https://statiz.sporki.com/player/?m=playerinfo&amp;p_no=1460" TargetMode="External"/><Relationship Id="rId580" Type="http://schemas.openxmlformats.org/officeDocument/2006/relationships/hyperlink" Target="https://statiz.sporki.com/player/?m=playerinfo&amp;p_no=15048" TargetMode="External"/><Relationship Id="rId2261" Type="http://schemas.openxmlformats.org/officeDocument/2006/relationships/hyperlink" Target="https://statiz.sporki.com/add/?m=draft_school01&amp;ps_school=50101" TargetMode="External"/><Relationship Id="rId3312" Type="http://schemas.openxmlformats.org/officeDocument/2006/relationships/hyperlink" Target="https://statiz.sporki.com/add/?m=draft_school02&amp;ps_school=" TargetMode="External"/><Relationship Id="rId14304" Type="http://schemas.openxmlformats.org/officeDocument/2006/relationships/hyperlink" Target="https://statiz.sporki.com/player/?m=playerinfo&amp;p_no=10759" TargetMode="External"/><Relationship Id="rId17874" Type="http://schemas.openxmlformats.org/officeDocument/2006/relationships/hyperlink" Target="https://statiz.sporki.com/add/?m=draft_school01&amp;ps_school=50113" TargetMode="External"/><Relationship Id="rId18925" Type="http://schemas.openxmlformats.org/officeDocument/2006/relationships/hyperlink" Target="https://statiz.sporki.com/add/?m=draft_school01&amp;ps_school=50805" TargetMode="External"/><Relationship Id="rId233" Type="http://schemas.openxmlformats.org/officeDocument/2006/relationships/hyperlink" Target="https://statiz.sporki.com/add/?m=draft_school01&amp;ps_school=50219" TargetMode="External"/><Relationship Id="rId5484" Type="http://schemas.openxmlformats.org/officeDocument/2006/relationships/hyperlink" Target="https://statiz.sporki.com/add/?m=draft_school02&amp;ps_school=" TargetMode="External"/><Relationship Id="rId6882" Type="http://schemas.openxmlformats.org/officeDocument/2006/relationships/hyperlink" Target="https://statiz.sporki.com/add/?m=draft_school02&amp;ps_school=60114" TargetMode="External"/><Relationship Id="rId7933" Type="http://schemas.openxmlformats.org/officeDocument/2006/relationships/hyperlink" Target="https://statiz.sporki.com/player/?m=playerinfo&amp;p_no=2156" TargetMode="External"/><Relationship Id="rId10914" Type="http://schemas.openxmlformats.org/officeDocument/2006/relationships/hyperlink" Target="https://statiz.sporki.com/add/?m=draft_school02&amp;ps_school=" TargetMode="External"/><Relationship Id="rId16476" Type="http://schemas.openxmlformats.org/officeDocument/2006/relationships/hyperlink" Target="https://statiz.sporki.com/add/?m=draft_school01&amp;ps_school=50301" TargetMode="External"/><Relationship Id="rId17527" Type="http://schemas.openxmlformats.org/officeDocument/2006/relationships/hyperlink" Target="https://statiz.sporki.com/add/?m=draft_school01&amp;ps_school=50105" TargetMode="External"/><Relationship Id="rId4086" Type="http://schemas.openxmlformats.org/officeDocument/2006/relationships/hyperlink" Target="https://statiz.sporki.com/add/?m=draft_school02&amp;ps_school=60803" TargetMode="External"/><Relationship Id="rId5137" Type="http://schemas.openxmlformats.org/officeDocument/2006/relationships/hyperlink" Target="https://statiz.sporki.com/player/?m=playerinfo&amp;p_no=12674" TargetMode="External"/><Relationship Id="rId6535" Type="http://schemas.openxmlformats.org/officeDocument/2006/relationships/hyperlink" Target="https://statiz.sporki.com/player/?m=playerinfo&amp;p_no=10601" TargetMode="External"/><Relationship Id="rId15078" Type="http://schemas.openxmlformats.org/officeDocument/2006/relationships/hyperlink" Target="https://statiz.sporki.com/player/?m=playerinfo&amp;p_no=11441" TargetMode="External"/><Relationship Id="rId16129" Type="http://schemas.openxmlformats.org/officeDocument/2006/relationships/hyperlink" Target="https://statiz.sporki.com/player/?m=playerinfo&amp;p_no=1089" TargetMode="External"/><Relationship Id="rId9758" Type="http://schemas.openxmlformats.org/officeDocument/2006/relationships/hyperlink" Target="https://statiz.sporki.com/add/?m=draft_school01&amp;ps_school=50608" TargetMode="External"/><Relationship Id="rId11688" Type="http://schemas.openxmlformats.org/officeDocument/2006/relationships/hyperlink" Target="https://statiz.sporki.com/add/?m=draft_school02&amp;ps_school=60103" TargetMode="External"/><Relationship Id="rId12739" Type="http://schemas.openxmlformats.org/officeDocument/2006/relationships/hyperlink" Target="https://statiz.sporki.com/player/?m=playerinfo&amp;p_no=14670" TargetMode="External"/><Relationship Id="rId16610" Type="http://schemas.openxmlformats.org/officeDocument/2006/relationships/hyperlink" Target="https://statiz.sporki.com/add/?m=draft_school01&amp;ps_school=50208" TargetMode="External"/><Relationship Id="rId1747" Type="http://schemas.openxmlformats.org/officeDocument/2006/relationships/hyperlink" Target="https://statiz.sporki.com/player/?m=playerinfo&amp;p_no=14627" TargetMode="External"/><Relationship Id="rId14161" Type="http://schemas.openxmlformats.org/officeDocument/2006/relationships/hyperlink" Target="https://statiz.sporki.com/player/?m=playerinfo&amp;p_no=10382" TargetMode="External"/><Relationship Id="rId15212" Type="http://schemas.openxmlformats.org/officeDocument/2006/relationships/hyperlink" Target="https://statiz.sporki.com/player/?m=playerinfo&amp;p_no=1885" TargetMode="External"/><Relationship Id="rId4220" Type="http://schemas.openxmlformats.org/officeDocument/2006/relationships/hyperlink" Target="https://statiz.sporki.com/add/?m=draft_school01&amp;ps_school=50209" TargetMode="External"/><Relationship Id="rId7790" Type="http://schemas.openxmlformats.org/officeDocument/2006/relationships/hyperlink" Target="https://statiz.sporki.com/add/?m=draft_school01&amp;ps_school=50102" TargetMode="External"/><Relationship Id="rId8841" Type="http://schemas.openxmlformats.org/officeDocument/2006/relationships/hyperlink" Target="https://statiz.sporki.com/add/?m=draft_school02&amp;ps_school=60204" TargetMode="External"/><Relationship Id="rId17384" Type="http://schemas.openxmlformats.org/officeDocument/2006/relationships/hyperlink" Target="https://statiz.sporki.com/add/?m=draft_school01&amp;ps_school=50701" TargetMode="External"/><Relationship Id="rId18435" Type="http://schemas.openxmlformats.org/officeDocument/2006/relationships/hyperlink" Target="https://statiz.sporki.com/add/?m=draft_school01&amp;ps_school=50203" TargetMode="External"/><Relationship Id="rId18782" Type="http://schemas.openxmlformats.org/officeDocument/2006/relationships/hyperlink" Target="https://statiz.sporki.com/add/?m=draft_school01&amp;ps_school=50108" TargetMode="External"/><Relationship Id="rId6392" Type="http://schemas.openxmlformats.org/officeDocument/2006/relationships/hyperlink" Target="https://statiz.sporki.com/add/?m=draft_school01&amp;ps_school=50602" TargetMode="External"/><Relationship Id="rId7443" Type="http://schemas.openxmlformats.org/officeDocument/2006/relationships/hyperlink" Target="https://statiz.sporki.com/add/?m=draft_school02&amp;ps_school=" TargetMode="External"/><Relationship Id="rId10771" Type="http://schemas.openxmlformats.org/officeDocument/2006/relationships/hyperlink" Target="https://statiz.sporki.com/player/?m=playerinfo&amp;p_no=1481" TargetMode="External"/><Relationship Id="rId11822" Type="http://schemas.openxmlformats.org/officeDocument/2006/relationships/hyperlink" Target="https://statiz.sporki.com/add/?m=draft_school01&amp;ps_school=50401" TargetMode="External"/><Relationship Id="rId17037" Type="http://schemas.openxmlformats.org/officeDocument/2006/relationships/hyperlink" Target="https://statiz.sporki.com/add/?m=draft_school01&amp;ps_school=50209" TargetMode="External"/><Relationship Id="rId6045" Type="http://schemas.openxmlformats.org/officeDocument/2006/relationships/hyperlink" Target="https://statiz.sporki.com/add/?m=draft_school02&amp;ps_school=60108" TargetMode="External"/><Relationship Id="rId10424" Type="http://schemas.openxmlformats.org/officeDocument/2006/relationships/hyperlink" Target="https://statiz.sporki.com/add/?m=draft_school01&amp;ps_school=50814" TargetMode="External"/><Relationship Id="rId13994" Type="http://schemas.openxmlformats.org/officeDocument/2006/relationships/hyperlink" Target="https://statiz.sporki.com/player/?m=playerinfo&amp;p_no=10437" TargetMode="External"/><Relationship Id="rId9268" Type="http://schemas.openxmlformats.org/officeDocument/2006/relationships/hyperlink" Target="https://statiz.sporki.com/player/?m=playerinfo&amp;p_no=10881" TargetMode="External"/><Relationship Id="rId12596" Type="http://schemas.openxmlformats.org/officeDocument/2006/relationships/hyperlink" Target="https://statiz.sporki.com/player/?m=playerinfo&amp;p_no=14820" TargetMode="External"/><Relationship Id="rId13647" Type="http://schemas.openxmlformats.org/officeDocument/2006/relationships/hyperlink" Target="https://statiz.sporki.com/player/?m=playerinfo&amp;p_no=13004" TargetMode="External"/><Relationship Id="rId974" Type="http://schemas.openxmlformats.org/officeDocument/2006/relationships/hyperlink" Target="https://statiz.sporki.com/add/?m=draft_school01&amp;ps_school=50211" TargetMode="External"/><Relationship Id="rId2655" Type="http://schemas.openxmlformats.org/officeDocument/2006/relationships/hyperlink" Target="https://statiz.sporki.com/add/?m=draft_school02&amp;ps_school=" TargetMode="External"/><Relationship Id="rId3706" Type="http://schemas.openxmlformats.org/officeDocument/2006/relationships/hyperlink" Target="https://statiz.sporki.com/player/?m=playerinfo&amp;p_no=11412" TargetMode="External"/><Relationship Id="rId11198" Type="http://schemas.openxmlformats.org/officeDocument/2006/relationships/hyperlink" Target="https://statiz.sporki.com/add/?m=draft_school01&amp;ps_school=" TargetMode="External"/><Relationship Id="rId12249" Type="http://schemas.openxmlformats.org/officeDocument/2006/relationships/hyperlink" Target="https://statiz.sporki.com/player/?m=playerinfo&amp;p_no=15527" TargetMode="External"/><Relationship Id="rId16120" Type="http://schemas.openxmlformats.org/officeDocument/2006/relationships/hyperlink" Target="https://statiz.sporki.com/player/?m=playerinfo&amp;p_no=1009" TargetMode="External"/><Relationship Id="rId627" Type="http://schemas.openxmlformats.org/officeDocument/2006/relationships/hyperlink" Target="https://statiz.sporki.com/add/?m=draft_school02&amp;ps_school=" TargetMode="External"/><Relationship Id="rId1257" Type="http://schemas.openxmlformats.org/officeDocument/2006/relationships/hyperlink" Target="https://statiz.sporki.com/add/?m=draft_school02&amp;ps_school=" TargetMode="External"/><Relationship Id="rId2308" Type="http://schemas.openxmlformats.org/officeDocument/2006/relationships/hyperlink" Target="https://statiz.sporki.com/player/?m=playerinfo&amp;p_no=13061" TargetMode="External"/><Relationship Id="rId5878" Type="http://schemas.openxmlformats.org/officeDocument/2006/relationships/hyperlink" Target="https://statiz.sporki.com/player/?m=playerinfo&amp;p_no=10213" TargetMode="External"/><Relationship Id="rId6929" Type="http://schemas.openxmlformats.org/officeDocument/2006/relationships/hyperlink" Target="https://statiz.sporki.com/add/?m=draft_school01&amp;ps_school=50801" TargetMode="External"/><Relationship Id="rId18292" Type="http://schemas.openxmlformats.org/officeDocument/2006/relationships/hyperlink" Target="https://statiz.sporki.com/add/?m=draft_school01&amp;ps_school=50109" TargetMode="External"/><Relationship Id="rId19343" Type="http://schemas.openxmlformats.org/officeDocument/2006/relationships/hyperlink" Target="https://statiz.sporki.com/add/?m=draft_school01&amp;ps_school=50703" TargetMode="External"/><Relationship Id="rId8351" Type="http://schemas.openxmlformats.org/officeDocument/2006/relationships/hyperlink" Target="https://statiz.sporki.com/add/?m=draft_school01&amp;ps_school=50110" TargetMode="External"/><Relationship Id="rId9402" Type="http://schemas.openxmlformats.org/officeDocument/2006/relationships/hyperlink" Target="https://statiz.sporki.com/add/?m=draft_school02&amp;ps_school=60501" TargetMode="External"/><Relationship Id="rId10281" Type="http://schemas.openxmlformats.org/officeDocument/2006/relationships/hyperlink" Target="https://statiz.sporki.com/add/?m=draft_school02&amp;ps_school=60113" TargetMode="External"/><Relationship Id="rId11332" Type="http://schemas.openxmlformats.org/officeDocument/2006/relationships/hyperlink" Target="https://statiz.sporki.com/player/?m=playerinfo&amp;p_no=1235" TargetMode="External"/><Relationship Id="rId12730" Type="http://schemas.openxmlformats.org/officeDocument/2006/relationships/hyperlink" Target="https://statiz.sporki.com/player/?m=playerinfo&amp;p_no=14741" TargetMode="External"/><Relationship Id="rId8004" Type="http://schemas.openxmlformats.org/officeDocument/2006/relationships/hyperlink" Target="https://statiz.sporki.com/add/?m=draft_school02&amp;ps_school=" TargetMode="External"/><Relationship Id="rId15953" Type="http://schemas.openxmlformats.org/officeDocument/2006/relationships/hyperlink" Target="https://statiz.sporki.com/player/?m=playerinfo&amp;p_no=1205" TargetMode="External"/><Relationship Id="rId3563" Type="http://schemas.openxmlformats.org/officeDocument/2006/relationships/hyperlink" Target="https://statiz.sporki.com/add/?m=draft_school01&amp;ps_school=50805" TargetMode="External"/><Relationship Id="rId4961" Type="http://schemas.openxmlformats.org/officeDocument/2006/relationships/hyperlink" Target="https://statiz.sporki.com/add/?m=draft_school01&amp;ps_school=50301" TargetMode="External"/><Relationship Id="rId14555" Type="http://schemas.openxmlformats.org/officeDocument/2006/relationships/hyperlink" Target="https://statiz.sporki.com/player/?m=playerinfo&amp;p_no=2298" TargetMode="External"/><Relationship Id="rId15606" Type="http://schemas.openxmlformats.org/officeDocument/2006/relationships/hyperlink" Target="https://statiz.sporki.com/player/?m=playerinfo&amp;p_no=1592" TargetMode="External"/><Relationship Id="rId484" Type="http://schemas.openxmlformats.org/officeDocument/2006/relationships/hyperlink" Target="https://statiz.sporki.com/player/?m=playerinfo&amp;p_no=15110" TargetMode="External"/><Relationship Id="rId2165" Type="http://schemas.openxmlformats.org/officeDocument/2006/relationships/hyperlink" Target="https://statiz.sporki.com/add/?m=draft_school01&amp;ps_school=50111" TargetMode="External"/><Relationship Id="rId3216" Type="http://schemas.openxmlformats.org/officeDocument/2006/relationships/hyperlink" Target="https://statiz.sporki.com/add/?m=draft_school02&amp;ps_school=" TargetMode="External"/><Relationship Id="rId4614" Type="http://schemas.openxmlformats.org/officeDocument/2006/relationships/hyperlink" Target="https://statiz.sporki.com/add/?m=draft_school02&amp;ps_school=" TargetMode="External"/><Relationship Id="rId13157" Type="http://schemas.openxmlformats.org/officeDocument/2006/relationships/hyperlink" Target="https://statiz.sporki.com/player/?m=playerinfo&amp;p_no=12889" TargetMode="External"/><Relationship Id="rId14208" Type="http://schemas.openxmlformats.org/officeDocument/2006/relationships/hyperlink" Target="https://statiz.sporki.com/player/?m=playerinfo&amp;p_no=2426" TargetMode="External"/><Relationship Id="rId17778" Type="http://schemas.openxmlformats.org/officeDocument/2006/relationships/hyperlink" Target="https://statiz.sporki.com/add/?m=draft_school01&amp;ps_school=50403" TargetMode="External"/><Relationship Id="rId18829" Type="http://schemas.openxmlformats.org/officeDocument/2006/relationships/hyperlink" Target="https://statiz.sporki.com/add/?m=draft_school01&amp;ps_school=50116" TargetMode="External"/><Relationship Id="rId137" Type="http://schemas.openxmlformats.org/officeDocument/2006/relationships/hyperlink" Target="https://statiz.sporki.com/add/?m=draft_school01&amp;ps_school=50110" TargetMode="External"/><Relationship Id="rId6786" Type="http://schemas.openxmlformats.org/officeDocument/2006/relationships/hyperlink" Target="https://statiz.sporki.com/add/?m=draft_school02&amp;ps_school=" TargetMode="External"/><Relationship Id="rId7837" Type="http://schemas.openxmlformats.org/officeDocument/2006/relationships/hyperlink" Target="https://statiz.sporki.com/player/?m=playerinfo&amp;p_no=2312" TargetMode="External"/><Relationship Id="rId10818" Type="http://schemas.openxmlformats.org/officeDocument/2006/relationships/hyperlink" Target="https://statiz.sporki.com/add/?m=draft_school02&amp;ps_school=60103" TargetMode="External"/><Relationship Id="rId5388" Type="http://schemas.openxmlformats.org/officeDocument/2006/relationships/hyperlink" Target="https://statiz.sporki.com/add/?m=draft_school02&amp;ps_school=" TargetMode="External"/><Relationship Id="rId6439" Type="http://schemas.openxmlformats.org/officeDocument/2006/relationships/hyperlink" Target="https://statiz.sporki.com/player/?m=playerinfo&amp;p_no=2413" TargetMode="External"/><Relationship Id="rId12240" Type="http://schemas.openxmlformats.org/officeDocument/2006/relationships/hyperlink" Target="https://statiz.sporki.com/player/?m=playerinfo&amp;p_no=15526" TargetMode="External"/><Relationship Id="rId1998" Type="http://schemas.openxmlformats.org/officeDocument/2006/relationships/hyperlink" Target="https://statiz.sporki.com/add/?m=draft_school02&amp;ps_school=60204" TargetMode="External"/><Relationship Id="rId6920" Type="http://schemas.openxmlformats.org/officeDocument/2006/relationships/hyperlink" Target="https://statiz.sporki.com/add/?m=draft_school01&amp;ps_school=50805" TargetMode="External"/><Relationship Id="rId15463" Type="http://schemas.openxmlformats.org/officeDocument/2006/relationships/hyperlink" Target="https://statiz.sporki.com/player/?m=playerinfo&amp;p_no=1711" TargetMode="External"/><Relationship Id="rId16861" Type="http://schemas.openxmlformats.org/officeDocument/2006/relationships/hyperlink" Target="https://statiz.sporki.com/add/?m=draft_school01&amp;ps_school=50803" TargetMode="External"/><Relationship Id="rId17912" Type="http://schemas.openxmlformats.org/officeDocument/2006/relationships/hyperlink" Target="https://statiz.sporki.com/add/?m=draft_school01&amp;ps_school=50202" TargetMode="External"/><Relationship Id="rId4471" Type="http://schemas.openxmlformats.org/officeDocument/2006/relationships/hyperlink" Target="https://statiz.sporki.com/player/?m=playerinfo&amp;p_no=13237" TargetMode="External"/><Relationship Id="rId5522" Type="http://schemas.openxmlformats.org/officeDocument/2006/relationships/hyperlink" Target="https://statiz.sporki.com/add/?m=draft_school01&amp;ps_school=50103" TargetMode="External"/><Relationship Id="rId14065" Type="http://schemas.openxmlformats.org/officeDocument/2006/relationships/hyperlink" Target="https://statiz.sporki.com/player/?m=playerinfo&amp;p_no=10361" TargetMode="External"/><Relationship Id="rId15116" Type="http://schemas.openxmlformats.org/officeDocument/2006/relationships/hyperlink" Target="https://statiz.sporki.com/player/?m=playerinfo&amp;p_no=10575" TargetMode="External"/><Relationship Id="rId16514" Type="http://schemas.openxmlformats.org/officeDocument/2006/relationships/hyperlink" Target="https://statiz.sporki.com/add/?m=draft_school01&amp;ps_school=50208" TargetMode="External"/><Relationship Id="rId3073" Type="http://schemas.openxmlformats.org/officeDocument/2006/relationships/hyperlink" Target="https://statiz.sporki.com/player/?m=playerinfo&amp;p_no=12947" TargetMode="External"/><Relationship Id="rId4124" Type="http://schemas.openxmlformats.org/officeDocument/2006/relationships/hyperlink" Target="https://statiz.sporki.com/add/?m=draft_school01&amp;ps_school=50110" TargetMode="External"/><Relationship Id="rId7694" Type="http://schemas.openxmlformats.org/officeDocument/2006/relationships/hyperlink" Target="https://statiz.sporki.com/add/?m=draft_school01&amp;ps_school=50812" TargetMode="External"/><Relationship Id="rId18686" Type="http://schemas.openxmlformats.org/officeDocument/2006/relationships/hyperlink" Target="https://statiz.sporki.com/add/?m=draft_school01&amp;ps_school=50110" TargetMode="External"/><Relationship Id="rId6296" Type="http://schemas.openxmlformats.org/officeDocument/2006/relationships/hyperlink" Target="https://statiz.sporki.com/add/?m=draft_school01&amp;ps_school=50703" TargetMode="External"/><Relationship Id="rId7347" Type="http://schemas.openxmlformats.org/officeDocument/2006/relationships/hyperlink" Target="https://statiz.sporki.com/add/?m=draft_school02&amp;ps_school=" TargetMode="External"/><Relationship Id="rId8745" Type="http://schemas.openxmlformats.org/officeDocument/2006/relationships/hyperlink" Target="https://statiz.sporki.com/add/?m=draft_school02&amp;ps_school=60102" TargetMode="External"/><Relationship Id="rId10675" Type="http://schemas.openxmlformats.org/officeDocument/2006/relationships/hyperlink" Target="https://statiz.sporki.com/player/?m=playerinfo&amp;p_no=1480" TargetMode="External"/><Relationship Id="rId11726" Type="http://schemas.openxmlformats.org/officeDocument/2006/relationships/hyperlink" Target="https://statiz.sporki.com/add/?m=draft_school01&amp;ps_school=50703" TargetMode="External"/><Relationship Id="rId17288" Type="http://schemas.openxmlformats.org/officeDocument/2006/relationships/hyperlink" Target="https://statiz.sporki.com/add/?m=draft_school01&amp;ps_school=50208" TargetMode="External"/><Relationship Id="rId18339" Type="http://schemas.openxmlformats.org/officeDocument/2006/relationships/hyperlink" Target="https://statiz.sporki.com/add/?m=draft_school01&amp;ps_school=50805" TargetMode="External"/><Relationship Id="rId10328" Type="http://schemas.openxmlformats.org/officeDocument/2006/relationships/hyperlink" Target="https://statiz.sporki.com/add/?m=draft_school01&amp;ps_school=50604" TargetMode="External"/><Relationship Id="rId13898" Type="http://schemas.openxmlformats.org/officeDocument/2006/relationships/hyperlink" Target="https://statiz.sporki.com/player/?m=playerinfo&amp;p_no=10702" TargetMode="External"/><Relationship Id="rId14949" Type="http://schemas.openxmlformats.org/officeDocument/2006/relationships/hyperlink" Target="https://statiz.sporki.com/player/?m=playerinfo&amp;p_no=2291" TargetMode="External"/><Relationship Id="rId18820" Type="http://schemas.openxmlformats.org/officeDocument/2006/relationships/hyperlink" Target="https://statiz.sporki.com/add/?m=draft_school01&amp;ps_school=50116" TargetMode="External"/><Relationship Id="rId3957" Type="http://schemas.openxmlformats.org/officeDocument/2006/relationships/hyperlink" Target="https://statiz.sporki.com/add/?m=draft_school02&amp;ps_school=" TargetMode="External"/><Relationship Id="rId16371" Type="http://schemas.openxmlformats.org/officeDocument/2006/relationships/hyperlink" Target="https://statiz.sporki.com/add/?m=draft_school01&amp;ps_school=50805" TargetMode="External"/><Relationship Id="rId17422" Type="http://schemas.openxmlformats.org/officeDocument/2006/relationships/hyperlink" Target="https://statiz.sporki.com/add/?m=draft_school01&amp;ps_school=50805" TargetMode="External"/><Relationship Id="rId878" Type="http://schemas.openxmlformats.org/officeDocument/2006/relationships/hyperlink" Target="https://statiz.sporki.com/add/?m=draft_school01&amp;ps_school=" TargetMode="External"/><Relationship Id="rId2559" Type="http://schemas.openxmlformats.org/officeDocument/2006/relationships/hyperlink" Target="https://statiz.sporki.com/add/?m=draft_school02&amp;ps_school=" TargetMode="External"/><Relationship Id="rId6430" Type="http://schemas.openxmlformats.org/officeDocument/2006/relationships/hyperlink" Target="https://statiz.sporki.com/player/?m=playerinfo&amp;p_no=10331" TargetMode="External"/><Relationship Id="rId16024" Type="http://schemas.openxmlformats.org/officeDocument/2006/relationships/hyperlink" Target="https://statiz.sporki.com/player/?m=playerinfo&amp;p_no=1149" TargetMode="External"/><Relationship Id="rId19594" Type="http://schemas.openxmlformats.org/officeDocument/2006/relationships/hyperlink" Target="https://statiz.sporki.com/add/?m=draft_school01&amp;ps_school=50802" TargetMode="External"/><Relationship Id="rId5032" Type="http://schemas.openxmlformats.org/officeDocument/2006/relationships/hyperlink" Target="https://statiz.sporki.com/player/?m=playerinfo&amp;p_no=10933" TargetMode="External"/><Relationship Id="rId9653" Type="http://schemas.openxmlformats.org/officeDocument/2006/relationships/hyperlink" Target="https://statiz.sporki.com/add/?m=draft_school01&amp;ps_school=50711" TargetMode="External"/><Relationship Id="rId12981" Type="http://schemas.openxmlformats.org/officeDocument/2006/relationships/hyperlink" Target="https://statiz.sporki.com/player/?m=playerinfo&amp;p_no=13076" TargetMode="External"/><Relationship Id="rId18196" Type="http://schemas.openxmlformats.org/officeDocument/2006/relationships/hyperlink" Target="https://statiz.sporki.com/add/?m=draft_school01&amp;ps_school=50110" TargetMode="External"/><Relationship Id="rId19247" Type="http://schemas.openxmlformats.org/officeDocument/2006/relationships/hyperlink" Target="https://statiz.sporki.com/add/?m=draft_school01&amp;ps_school=50109" TargetMode="External"/><Relationship Id="rId8255" Type="http://schemas.openxmlformats.org/officeDocument/2006/relationships/hyperlink" Target="https://statiz.sporki.com/add/?m=draft_school01&amp;ps_school=51100" TargetMode="External"/><Relationship Id="rId9306" Type="http://schemas.openxmlformats.org/officeDocument/2006/relationships/hyperlink" Target="https://statiz.sporki.com/add/?m=draft_school02&amp;ps_school=60104" TargetMode="External"/><Relationship Id="rId10185" Type="http://schemas.openxmlformats.org/officeDocument/2006/relationships/hyperlink" Target="https://statiz.sporki.com/add/?m=draft_school02&amp;ps_school=" TargetMode="External"/><Relationship Id="rId11583" Type="http://schemas.openxmlformats.org/officeDocument/2006/relationships/hyperlink" Target="https://statiz.sporki.com/add/?m=draft_school02&amp;ps_school=60204" TargetMode="External"/><Relationship Id="rId12634" Type="http://schemas.openxmlformats.org/officeDocument/2006/relationships/hyperlink" Target="https://statiz.sporki.com/player/?m=playerinfo&amp;p_no=14590" TargetMode="External"/><Relationship Id="rId1642" Type="http://schemas.openxmlformats.org/officeDocument/2006/relationships/hyperlink" Target="https://statiz.sporki.com/player/?m=playerinfo&amp;p_no=14696" TargetMode="External"/><Relationship Id="rId11236" Type="http://schemas.openxmlformats.org/officeDocument/2006/relationships/hyperlink" Target="https://statiz.sporki.com/player/?m=playerinfo&amp;p_no=1278" TargetMode="External"/><Relationship Id="rId15857" Type="http://schemas.openxmlformats.org/officeDocument/2006/relationships/hyperlink" Target="https://statiz.sporki.com/player/?m=playerinfo&amp;p_no=1310" TargetMode="External"/><Relationship Id="rId16908" Type="http://schemas.openxmlformats.org/officeDocument/2006/relationships/hyperlink" Target="https://statiz.sporki.com/add/?m=draft_school01&amp;ps_school=50107" TargetMode="External"/><Relationship Id="rId4865" Type="http://schemas.openxmlformats.org/officeDocument/2006/relationships/hyperlink" Target="https://statiz.sporki.com/add/?m=draft_school01&amp;ps_school=50114" TargetMode="External"/><Relationship Id="rId5916" Type="http://schemas.openxmlformats.org/officeDocument/2006/relationships/hyperlink" Target="https://statiz.sporki.com/add/?m=draft_school02&amp;ps_school=60702" TargetMode="External"/><Relationship Id="rId14459" Type="http://schemas.openxmlformats.org/officeDocument/2006/relationships/hyperlink" Target="https://statiz.sporki.com/player/?m=playerinfo&amp;p_no=10302" TargetMode="External"/><Relationship Id="rId18330" Type="http://schemas.openxmlformats.org/officeDocument/2006/relationships/hyperlink" Target="https://statiz.sporki.com/add/?m=draft_school01&amp;ps_school=50403" TargetMode="External"/><Relationship Id="rId388" Type="http://schemas.openxmlformats.org/officeDocument/2006/relationships/hyperlink" Target="https://statiz.sporki.com/player/?m=playerinfo&amp;p_no=15540" TargetMode="External"/><Relationship Id="rId2069" Type="http://schemas.openxmlformats.org/officeDocument/2006/relationships/hyperlink" Target="https://statiz.sporki.com/add/?m=draft_school01&amp;ps_school=50709" TargetMode="External"/><Relationship Id="rId3467" Type="http://schemas.openxmlformats.org/officeDocument/2006/relationships/hyperlink" Target="https://statiz.sporki.com/add/?m=draft_school01&amp;ps_school=50101" TargetMode="External"/><Relationship Id="rId4518" Type="http://schemas.openxmlformats.org/officeDocument/2006/relationships/hyperlink" Target="https://statiz.sporki.com/add/?m=draft_school02&amp;ps_school=" TargetMode="External"/><Relationship Id="rId12491" Type="http://schemas.openxmlformats.org/officeDocument/2006/relationships/hyperlink" Target="https://statiz.sporki.com/player/?m=playerinfo&amp;p_no=14778" TargetMode="External"/><Relationship Id="rId13542" Type="http://schemas.openxmlformats.org/officeDocument/2006/relationships/hyperlink" Target="https://statiz.sporki.com/player/?m=playerinfo&amp;p_no=11260" TargetMode="External"/><Relationship Id="rId14940" Type="http://schemas.openxmlformats.org/officeDocument/2006/relationships/hyperlink" Target="https://statiz.sporki.com/player/?m=playerinfo&amp;p_no=10455" TargetMode="External"/><Relationship Id="rId2550" Type="http://schemas.openxmlformats.org/officeDocument/2006/relationships/hyperlink" Target="https://statiz.sporki.com/add/?m=draft_school02&amp;ps_school=" TargetMode="External"/><Relationship Id="rId3601" Type="http://schemas.openxmlformats.org/officeDocument/2006/relationships/hyperlink" Target="https://statiz.sporki.com/player/?m=playerinfo&amp;p_no=12981" TargetMode="External"/><Relationship Id="rId9163" Type="http://schemas.openxmlformats.org/officeDocument/2006/relationships/hyperlink" Target="https://statiz.sporki.com/player/?m=playerinfo&amp;p_no=1946" TargetMode="External"/><Relationship Id="rId11093" Type="http://schemas.openxmlformats.org/officeDocument/2006/relationships/hyperlink" Target="https://statiz.sporki.com/add/?m=draft_school01&amp;ps_school=50107" TargetMode="External"/><Relationship Id="rId12144" Type="http://schemas.openxmlformats.org/officeDocument/2006/relationships/hyperlink" Target="https://statiz.sporki.com/player/?m=playerinfo&amp;p_no=15253" TargetMode="External"/><Relationship Id="rId522" Type="http://schemas.openxmlformats.org/officeDocument/2006/relationships/hyperlink" Target="https://statiz.sporki.com/add/?m=draft_school02&amp;ps_school=" TargetMode="External"/><Relationship Id="rId1152" Type="http://schemas.openxmlformats.org/officeDocument/2006/relationships/hyperlink" Target="https://statiz.sporki.com/add/?m=draft_school02&amp;ps_school=" TargetMode="External"/><Relationship Id="rId2203" Type="http://schemas.openxmlformats.org/officeDocument/2006/relationships/hyperlink" Target="https://statiz.sporki.com/player/?m=playerinfo&amp;p_no=13931" TargetMode="External"/><Relationship Id="rId5773" Type="http://schemas.openxmlformats.org/officeDocument/2006/relationships/hyperlink" Target="https://statiz.sporki.com/player/?m=playerinfo&amp;p_no=10581" TargetMode="External"/><Relationship Id="rId16765" Type="http://schemas.openxmlformats.org/officeDocument/2006/relationships/hyperlink" Target="https://statiz.sporki.com/add/?m=draft_school01&amp;ps_school=50108" TargetMode="External"/><Relationship Id="rId17816" Type="http://schemas.openxmlformats.org/officeDocument/2006/relationships/hyperlink" Target="https://statiz.sporki.com/add/?m=draft_school01&amp;ps_school=50202" TargetMode="External"/><Relationship Id="rId4375" Type="http://schemas.openxmlformats.org/officeDocument/2006/relationships/hyperlink" Target="https://statiz.sporki.com/player/?m=playerinfo&amp;p_no=11275" TargetMode="External"/><Relationship Id="rId5426" Type="http://schemas.openxmlformats.org/officeDocument/2006/relationships/hyperlink" Target="https://statiz.sporki.com/add/?m=draft_school01&amp;ps_school=50102" TargetMode="External"/><Relationship Id="rId6824" Type="http://schemas.openxmlformats.org/officeDocument/2006/relationships/hyperlink" Target="https://statiz.sporki.com/add/?m=draft_school01&amp;ps_school=50107" TargetMode="External"/><Relationship Id="rId15367" Type="http://schemas.openxmlformats.org/officeDocument/2006/relationships/hyperlink" Target="https://statiz.sporki.com/player/?m=playerinfo&amp;p_no=1739" TargetMode="External"/><Relationship Id="rId16418" Type="http://schemas.openxmlformats.org/officeDocument/2006/relationships/hyperlink" Target="https://statiz.sporki.com/add/?m=draft_school01&amp;ps_school=50102" TargetMode="External"/><Relationship Id="rId4028" Type="http://schemas.openxmlformats.org/officeDocument/2006/relationships/hyperlink" Target="https://statiz.sporki.com/add/?m=draft_school01&amp;ps_school=50103" TargetMode="External"/><Relationship Id="rId8996" Type="http://schemas.openxmlformats.org/officeDocument/2006/relationships/hyperlink" Target="https://statiz.sporki.com/add/?m=draft_school01&amp;ps_school=50403" TargetMode="External"/><Relationship Id="rId11977" Type="http://schemas.openxmlformats.org/officeDocument/2006/relationships/hyperlink" Target="https://statiz.sporki.com/player/?m=playerinfo&amp;p_no=1070" TargetMode="External"/><Relationship Id="rId7598" Type="http://schemas.openxmlformats.org/officeDocument/2006/relationships/hyperlink" Target="https://statiz.sporki.com/add/?m=draft_school01&amp;ps_school=50805" TargetMode="External"/><Relationship Id="rId8649" Type="http://schemas.openxmlformats.org/officeDocument/2006/relationships/hyperlink" Target="https://statiz.sporki.com/add/?m=draft_school02&amp;ps_school=60501" TargetMode="External"/><Relationship Id="rId10579" Type="http://schemas.openxmlformats.org/officeDocument/2006/relationships/hyperlink" Target="https://statiz.sporki.com/player/?m=playerinfo&amp;p_no=1426" TargetMode="External"/><Relationship Id="rId14450" Type="http://schemas.openxmlformats.org/officeDocument/2006/relationships/hyperlink" Target="https://statiz.sporki.com/player/?m=playerinfo&amp;p_no=10671" TargetMode="External"/><Relationship Id="rId15501" Type="http://schemas.openxmlformats.org/officeDocument/2006/relationships/hyperlink" Target="https://statiz.sporki.com/player/?m=playerinfo&amp;p_no=1562" TargetMode="External"/><Relationship Id="rId13052" Type="http://schemas.openxmlformats.org/officeDocument/2006/relationships/hyperlink" Target="https://statiz.sporki.com/player/?m=playerinfo&amp;p_no=13257" TargetMode="External"/><Relationship Id="rId14103" Type="http://schemas.openxmlformats.org/officeDocument/2006/relationships/hyperlink" Target="https://statiz.sporki.com/player/?m=playerinfo&amp;p_no=10928" TargetMode="External"/><Relationship Id="rId17673" Type="http://schemas.openxmlformats.org/officeDocument/2006/relationships/hyperlink" Target="https://statiz.sporki.com/add/?m=draft_school01&amp;ps_school=50116" TargetMode="External"/><Relationship Id="rId18724" Type="http://schemas.openxmlformats.org/officeDocument/2006/relationships/hyperlink" Target="https://statiz.sporki.com/add/?m=draft_school01&amp;ps_school=50116" TargetMode="External"/><Relationship Id="rId2060" Type="http://schemas.openxmlformats.org/officeDocument/2006/relationships/hyperlink" Target="https://statiz.sporki.com/add/?m=draft_school01&amp;ps_school=50208" TargetMode="External"/><Relationship Id="rId3111" Type="http://schemas.openxmlformats.org/officeDocument/2006/relationships/hyperlink" Target="https://statiz.sporki.com/add/?m=draft_school02&amp;ps_school=" TargetMode="External"/><Relationship Id="rId6681" Type="http://schemas.openxmlformats.org/officeDocument/2006/relationships/hyperlink" Target="https://statiz.sporki.com/add/?m=draft_school02&amp;ps_school=60113" TargetMode="External"/><Relationship Id="rId7732" Type="http://schemas.openxmlformats.org/officeDocument/2006/relationships/hyperlink" Target="https://statiz.sporki.com/player/?m=playerinfo&amp;p_no=2169" TargetMode="External"/><Relationship Id="rId16275" Type="http://schemas.openxmlformats.org/officeDocument/2006/relationships/hyperlink" Target="https://statiz.sporki.com/add/?m=draft_school01&amp;ps_school=50109" TargetMode="External"/><Relationship Id="rId17326" Type="http://schemas.openxmlformats.org/officeDocument/2006/relationships/hyperlink" Target="https://statiz.sporki.com/add/?m=draft_school01&amp;ps_school=50803" TargetMode="External"/><Relationship Id="rId5283" Type="http://schemas.openxmlformats.org/officeDocument/2006/relationships/hyperlink" Target="https://statiz.sporki.com/add/?m=draft_school02&amp;ps_school=60102" TargetMode="External"/><Relationship Id="rId6334" Type="http://schemas.openxmlformats.org/officeDocument/2006/relationships/hyperlink" Target="https://statiz.sporki.com/player/?m=playerinfo&amp;p_no=10723" TargetMode="External"/><Relationship Id="rId10713" Type="http://schemas.openxmlformats.org/officeDocument/2006/relationships/hyperlink" Target="https://statiz.sporki.com/add/?m=draft_school02&amp;ps_school=" TargetMode="External"/><Relationship Id="rId9557" Type="http://schemas.openxmlformats.org/officeDocument/2006/relationships/hyperlink" Target="https://statiz.sporki.com/add/?m=draft_school01&amp;ps_school=50209" TargetMode="External"/><Relationship Id="rId12885" Type="http://schemas.openxmlformats.org/officeDocument/2006/relationships/hyperlink" Target="https://statiz.sporki.com/player/?m=playerinfo&amp;p_no=13936" TargetMode="External"/><Relationship Id="rId13936" Type="http://schemas.openxmlformats.org/officeDocument/2006/relationships/hyperlink" Target="https://statiz.sporki.com/player/?m=playerinfo&amp;p_no=10658" TargetMode="External"/><Relationship Id="rId19498" Type="http://schemas.openxmlformats.org/officeDocument/2006/relationships/hyperlink" Target="https://statiz.sporki.com/add/?m=draft_school01&amp;ps_school=50101" TargetMode="External"/><Relationship Id="rId1893" Type="http://schemas.openxmlformats.org/officeDocument/2006/relationships/hyperlink" Target="https://statiz.sporki.com/add/?m=draft_school02&amp;ps_school=" TargetMode="External"/><Relationship Id="rId2944" Type="http://schemas.openxmlformats.org/officeDocument/2006/relationships/hyperlink" Target="https://statiz.sporki.com/player/?m=playerinfo&amp;p_no=12885" TargetMode="External"/><Relationship Id="rId8159" Type="http://schemas.openxmlformats.org/officeDocument/2006/relationships/hyperlink" Target="https://statiz.sporki.com/add/?m=draft_school01&amp;ps_school=50502" TargetMode="External"/><Relationship Id="rId11487" Type="http://schemas.openxmlformats.org/officeDocument/2006/relationships/hyperlink" Target="https://statiz.sporki.com/add/?m=draft_school02&amp;ps_school=60113" TargetMode="External"/><Relationship Id="rId12538" Type="http://schemas.openxmlformats.org/officeDocument/2006/relationships/hyperlink" Target="https://statiz.sporki.com/player/?m=playerinfo&amp;p_no=14853" TargetMode="External"/><Relationship Id="rId916" Type="http://schemas.openxmlformats.org/officeDocument/2006/relationships/hyperlink" Target="https://statiz.sporki.com/player/?m=playerinfo&amp;p_no=15133" TargetMode="External"/><Relationship Id="rId1546" Type="http://schemas.openxmlformats.org/officeDocument/2006/relationships/hyperlink" Target="https://statiz.sporki.com/player/?m=playerinfo&amp;p_no=14736" TargetMode="External"/><Relationship Id="rId10089" Type="http://schemas.openxmlformats.org/officeDocument/2006/relationships/hyperlink" Target="https://statiz.sporki.com/add/?m=draft_school02&amp;ps_school=60705" TargetMode="External"/><Relationship Id="rId15011" Type="http://schemas.openxmlformats.org/officeDocument/2006/relationships/hyperlink" Target="https://statiz.sporki.com/player/?m=playerinfo&amp;p_no=13432" TargetMode="External"/><Relationship Id="rId18581" Type="http://schemas.openxmlformats.org/officeDocument/2006/relationships/hyperlink" Target="https://statiz.sporki.com/add/?m=draft_school01&amp;ps_school=50105" TargetMode="External"/><Relationship Id="rId19632" Type="http://schemas.openxmlformats.org/officeDocument/2006/relationships/hyperlink" Target="https://statiz.sporki.com/add/?m=draft_school01&amp;ps_school=50712" TargetMode="External"/><Relationship Id="rId4769" Type="http://schemas.openxmlformats.org/officeDocument/2006/relationships/hyperlink" Target="https://statiz.sporki.com/add/?m=draft_school01&amp;ps_school=50403" TargetMode="External"/><Relationship Id="rId8640" Type="http://schemas.openxmlformats.org/officeDocument/2006/relationships/hyperlink" Target="https://statiz.sporki.com/add/?m=draft_school02&amp;ps_school=60111" TargetMode="External"/><Relationship Id="rId10570" Type="http://schemas.openxmlformats.org/officeDocument/2006/relationships/hyperlink" Target="https://statiz.sporki.com/player/?m=playerinfo&amp;p_no=1427" TargetMode="External"/><Relationship Id="rId11621" Type="http://schemas.openxmlformats.org/officeDocument/2006/relationships/hyperlink" Target="https://statiz.sporki.com/add/?m=draft_school01&amp;ps_school=50805" TargetMode="External"/><Relationship Id="rId17183" Type="http://schemas.openxmlformats.org/officeDocument/2006/relationships/hyperlink" Target="https://statiz.sporki.com/add/?m=draft_school01&amp;ps_school=50113" TargetMode="External"/><Relationship Id="rId18234" Type="http://schemas.openxmlformats.org/officeDocument/2006/relationships/hyperlink" Target="https://statiz.sporki.com/add/?m=draft_school01&amp;ps_school=50805" TargetMode="External"/><Relationship Id="rId6191" Type="http://schemas.openxmlformats.org/officeDocument/2006/relationships/hyperlink" Target="https://statiz.sporki.com/add/?m=draft_school01&amp;ps_school=" TargetMode="External"/><Relationship Id="rId7242" Type="http://schemas.openxmlformats.org/officeDocument/2006/relationships/hyperlink" Target="https://statiz.sporki.com/add/?m=draft_school02&amp;ps_school=" TargetMode="External"/><Relationship Id="rId10223" Type="http://schemas.openxmlformats.org/officeDocument/2006/relationships/hyperlink" Target="https://statiz.sporki.com/add/?m=draft_school01&amp;ps_school=50402" TargetMode="External"/><Relationship Id="rId3852" Type="http://schemas.openxmlformats.org/officeDocument/2006/relationships/hyperlink" Target="https://statiz.sporki.com/add/?m=draft_school02&amp;ps_school=" TargetMode="External"/><Relationship Id="rId12395" Type="http://schemas.openxmlformats.org/officeDocument/2006/relationships/hyperlink" Target="https://statiz.sporki.com/player/?m=playerinfo&amp;p_no=15108" TargetMode="External"/><Relationship Id="rId13793" Type="http://schemas.openxmlformats.org/officeDocument/2006/relationships/hyperlink" Target="https://statiz.sporki.com/player/?m=playerinfo&amp;p_no=10819" TargetMode="External"/><Relationship Id="rId14844" Type="http://schemas.openxmlformats.org/officeDocument/2006/relationships/hyperlink" Target="https://statiz.sporki.com/player/?m=playerinfo&amp;p_no=10556" TargetMode="External"/><Relationship Id="rId773" Type="http://schemas.openxmlformats.org/officeDocument/2006/relationships/hyperlink" Target="https://statiz.sporki.com/add/?m=draft_school01&amp;ps_school=50902" TargetMode="External"/><Relationship Id="rId2454" Type="http://schemas.openxmlformats.org/officeDocument/2006/relationships/hyperlink" Target="https://statiz.sporki.com/add/?m=draft_school02&amp;ps_school=" TargetMode="External"/><Relationship Id="rId3505" Type="http://schemas.openxmlformats.org/officeDocument/2006/relationships/hyperlink" Target="https://statiz.sporki.com/player/?m=playerinfo&amp;p_no=12670" TargetMode="External"/><Relationship Id="rId4903" Type="http://schemas.openxmlformats.org/officeDocument/2006/relationships/hyperlink" Target="https://statiz.sporki.com/player/?m=playerinfo&amp;p_no=10814" TargetMode="External"/><Relationship Id="rId9067" Type="http://schemas.openxmlformats.org/officeDocument/2006/relationships/hyperlink" Target="https://statiz.sporki.com/player/?m=playerinfo&amp;p_no=10310" TargetMode="External"/><Relationship Id="rId12048" Type="http://schemas.openxmlformats.org/officeDocument/2006/relationships/hyperlink" Target="https://statiz.sporki.com/add/?m=draft_school02&amp;ps_school=60113" TargetMode="External"/><Relationship Id="rId13446" Type="http://schemas.openxmlformats.org/officeDocument/2006/relationships/hyperlink" Target="https://statiz.sporki.com/player/?m=playerinfo&amp;p_no=11352" TargetMode="External"/><Relationship Id="rId426" Type="http://schemas.openxmlformats.org/officeDocument/2006/relationships/hyperlink" Target="https://statiz.sporki.com/add/?m=draft_school02&amp;ps_school=" TargetMode="External"/><Relationship Id="rId1056" Type="http://schemas.openxmlformats.org/officeDocument/2006/relationships/hyperlink" Target="https://statiz.sporki.com/add/?m=draft_school02&amp;ps_school=" TargetMode="External"/><Relationship Id="rId2107" Type="http://schemas.openxmlformats.org/officeDocument/2006/relationships/hyperlink" Target="https://statiz.sporki.com/player/?m=playerinfo&amp;p_no=14121" TargetMode="External"/><Relationship Id="rId16669" Type="http://schemas.openxmlformats.org/officeDocument/2006/relationships/hyperlink" Target="https://statiz.sporki.com/add/?m=draft_school01&amp;ps_school=50210" TargetMode="External"/><Relationship Id="rId4279" Type="http://schemas.openxmlformats.org/officeDocument/2006/relationships/hyperlink" Target="https://statiz.sporki.com/player/?m=playerinfo&amp;p_no=11258" TargetMode="External"/><Relationship Id="rId5677" Type="http://schemas.openxmlformats.org/officeDocument/2006/relationships/hyperlink" Target="https://statiz.sporki.com/player/?m=playerinfo&amp;p_no=10282" TargetMode="External"/><Relationship Id="rId6728" Type="http://schemas.openxmlformats.org/officeDocument/2006/relationships/hyperlink" Target="https://statiz.sporki.com/add/?m=draft_school01&amp;ps_school=50207" TargetMode="External"/><Relationship Id="rId18091" Type="http://schemas.openxmlformats.org/officeDocument/2006/relationships/hyperlink" Target="https://statiz.sporki.com/add/?m=draft_school01&amp;ps_school=50403" TargetMode="External"/><Relationship Id="rId19142" Type="http://schemas.openxmlformats.org/officeDocument/2006/relationships/hyperlink" Target="https://statiz.sporki.com/add/?m=draft_school01&amp;ps_school=50209" TargetMode="External"/><Relationship Id="rId8150" Type="http://schemas.openxmlformats.org/officeDocument/2006/relationships/hyperlink" Target="https://statiz.sporki.com/add/?m=draft_school01&amp;ps_school=50112" TargetMode="External"/><Relationship Id="rId9201" Type="http://schemas.openxmlformats.org/officeDocument/2006/relationships/hyperlink" Target="https://statiz.sporki.com/add/?m=draft_school02&amp;ps_school=60113" TargetMode="External"/><Relationship Id="rId10080" Type="http://schemas.openxmlformats.org/officeDocument/2006/relationships/hyperlink" Target="https://statiz.sporki.com/add/?m=draft_school02&amp;ps_school=60803" TargetMode="External"/><Relationship Id="rId11131" Type="http://schemas.openxmlformats.org/officeDocument/2006/relationships/hyperlink" Target="https://statiz.sporki.com/player/?m=playerinfo&amp;p_no=1367" TargetMode="External"/><Relationship Id="rId15752" Type="http://schemas.openxmlformats.org/officeDocument/2006/relationships/hyperlink" Target="https://statiz.sporki.com/player/?m=playerinfo&amp;p_no=1371" TargetMode="External"/><Relationship Id="rId4760" Type="http://schemas.openxmlformats.org/officeDocument/2006/relationships/hyperlink" Target="https://statiz.sporki.com/add/?m=draft_school01&amp;ps_school=50302" TargetMode="External"/><Relationship Id="rId5811" Type="http://schemas.openxmlformats.org/officeDocument/2006/relationships/hyperlink" Target="https://statiz.sporki.com/add/?m=draft_school02&amp;ps_school=60704" TargetMode="External"/><Relationship Id="rId14354" Type="http://schemas.openxmlformats.org/officeDocument/2006/relationships/hyperlink" Target="https://statiz.sporki.com/player/?m=playerinfo&amp;p_no=2394" TargetMode="External"/><Relationship Id="rId15405" Type="http://schemas.openxmlformats.org/officeDocument/2006/relationships/hyperlink" Target="https://statiz.sporki.com/player/?m=playerinfo&amp;p_no=1695" TargetMode="External"/><Relationship Id="rId16803" Type="http://schemas.openxmlformats.org/officeDocument/2006/relationships/hyperlink" Target="https://statiz.sporki.com/add/?m=draft_school01&amp;ps_school=50604" TargetMode="External"/><Relationship Id="rId3362" Type="http://schemas.openxmlformats.org/officeDocument/2006/relationships/hyperlink" Target="https://statiz.sporki.com/add/?m=draft_school01&amp;ps_school=50801" TargetMode="External"/><Relationship Id="rId4413" Type="http://schemas.openxmlformats.org/officeDocument/2006/relationships/hyperlink" Target="https://statiz.sporki.com/add/?m=draft_school02&amp;ps_school=60804" TargetMode="External"/><Relationship Id="rId7983" Type="http://schemas.openxmlformats.org/officeDocument/2006/relationships/hyperlink" Target="https://statiz.sporki.com/add/?m=draft_school02&amp;ps_school=61100" TargetMode="External"/><Relationship Id="rId14007" Type="http://schemas.openxmlformats.org/officeDocument/2006/relationships/hyperlink" Target="https://statiz.sporki.com/player/?m=playerinfo&amp;p_no=10549" TargetMode="External"/><Relationship Id="rId18975" Type="http://schemas.openxmlformats.org/officeDocument/2006/relationships/hyperlink" Target="https://statiz.sporki.com/add/?m=draft_school01&amp;ps_school=50110" TargetMode="External"/><Relationship Id="rId283" Type="http://schemas.openxmlformats.org/officeDocument/2006/relationships/hyperlink" Target="https://statiz.sporki.com/player/?m=playerinfo&amp;p_no=15470" TargetMode="External"/><Relationship Id="rId3015" Type="http://schemas.openxmlformats.org/officeDocument/2006/relationships/hyperlink" Target="https://statiz.sporki.com/add/?m=draft_school02&amp;ps_school=" TargetMode="External"/><Relationship Id="rId6585" Type="http://schemas.openxmlformats.org/officeDocument/2006/relationships/hyperlink" Target="https://statiz.sporki.com/add/?m=draft_school02&amp;ps_school=" TargetMode="External"/><Relationship Id="rId7636" Type="http://schemas.openxmlformats.org/officeDocument/2006/relationships/hyperlink" Target="https://statiz.sporki.com/player/?m=playerinfo&amp;p_no=2262" TargetMode="External"/><Relationship Id="rId10964" Type="http://schemas.openxmlformats.org/officeDocument/2006/relationships/hyperlink" Target="https://statiz.sporki.com/add/?m=draft_school01&amp;ps_school=50106" TargetMode="External"/><Relationship Id="rId16179" Type="http://schemas.openxmlformats.org/officeDocument/2006/relationships/hyperlink" Target="https://statiz.sporki.com/player/?m=playerinfo&amp;p_no=1065" TargetMode="External"/><Relationship Id="rId17577" Type="http://schemas.openxmlformats.org/officeDocument/2006/relationships/hyperlink" Target="https://statiz.sporki.com/add/?m=draft_school01&amp;ps_school=50111" TargetMode="External"/><Relationship Id="rId18628" Type="http://schemas.openxmlformats.org/officeDocument/2006/relationships/hyperlink" Target="https://statiz.sporki.com/add/?m=draft_school01&amp;ps_school=50116" TargetMode="External"/><Relationship Id="rId5187" Type="http://schemas.openxmlformats.org/officeDocument/2006/relationships/hyperlink" Target="https://statiz.sporki.com/add/?m=draft_school02&amp;ps_school=60704" TargetMode="External"/><Relationship Id="rId6238" Type="http://schemas.openxmlformats.org/officeDocument/2006/relationships/hyperlink" Target="https://statiz.sporki.com/player/?m=playerinfo&amp;p_no=10081" TargetMode="External"/><Relationship Id="rId10617" Type="http://schemas.openxmlformats.org/officeDocument/2006/relationships/hyperlink" Target="https://statiz.sporki.com/add/?m=draft_school02&amp;ps_school=60104" TargetMode="External"/><Relationship Id="rId12789" Type="http://schemas.openxmlformats.org/officeDocument/2006/relationships/hyperlink" Target="https://statiz.sporki.com/player/?m=playerinfo&amp;p_no=14137" TargetMode="External"/><Relationship Id="rId16660" Type="http://schemas.openxmlformats.org/officeDocument/2006/relationships/hyperlink" Target="https://statiz.sporki.com/add/?m=draft_school01&amp;ps_school=50218" TargetMode="External"/><Relationship Id="rId17711" Type="http://schemas.openxmlformats.org/officeDocument/2006/relationships/hyperlink" Target="https://statiz.sporki.com/add/?m=draft_school01&amp;ps_school=50606" TargetMode="External"/><Relationship Id="rId1797" Type="http://schemas.openxmlformats.org/officeDocument/2006/relationships/hyperlink" Target="https://statiz.sporki.com/add/?m=draft_school02&amp;ps_school=60111" TargetMode="External"/><Relationship Id="rId2848" Type="http://schemas.openxmlformats.org/officeDocument/2006/relationships/hyperlink" Target="https://statiz.sporki.com/player/?m=playerinfo&amp;p_no=12891" TargetMode="External"/><Relationship Id="rId15262" Type="http://schemas.openxmlformats.org/officeDocument/2006/relationships/hyperlink" Target="https://statiz.sporki.com/player/?m=playerinfo&amp;p_no=1932" TargetMode="External"/><Relationship Id="rId16313" Type="http://schemas.openxmlformats.org/officeDocument/2006/relationships/hyperlink" Target="https://statiz.sporki.com/add/?m=draft_school01&amp;ps_school=50402" TargetMode="External"/><Relationship Id="rId4270" Type="http://schemas.openxmlformats.org/officeDocument/2006/relationships/hyperlink" Target="https://statiz.sporki.com/player/?m=playerinfo&amp;p_no=13262" TargetMode="External"/><Relationship Id="rId5321" Type="http://schemas.openxmlformats.org/officeDocument/2006/relationships/hyperlink" Target="https://statiz.sporki.com/add/?m=draft_school01&amp;ps_school=50111" TargetMode="External"/><Relationship Id="rId8891" Type="http://schemas.openxmlformats.org/officeDocument/2006/relationships/hyperlink" Target="https://statiz.sporki.com/add/?m=draft_school01&amp;ps_school=50202" TargetMode="External"/><Relationship Id="rId9942" Type="http://schemas.openxmlformats.org/officeDocument/2006/relationships/hyperlink" Target="https://statiz.sporki.com/add/?m=draft_school02&amp;ps_school=" TargetMode="External"/><Relationship Id="rId18485" Type="http://schemas.openxmlformats.org/officeDocument/2006/relationships/hyperlink" Target="https://statiz.sporki.com/add/?m=draft_school01&amp;ps_school=50112" TargetMode="External"/><Relationship Id="rId19536" Type="http://schemas.openxmlformats.org/officeDocument/2006/relationships/hyperlink" Target="https://statiz.sporki.com/add/?m=draft_school01&amp;ps_school=50110" TargetMode="External"/><Relationship Id="rId7493" Type="http://schemas.openxmlformats.org/officeDocument/2006/relationships/hyperlink" Target="https://statiz.sporki.com/add/?m=draft_school01&amp;ps_school=" TargetMode="External"/><Relationship Id="rId8544" Type="http://schemas.openxmlformats.org/officeDocument/2006/relationships/hyperlink" Target="https://statiz.sporki.com/add/?m=draft_school02&amp;ps_school=" TargetMode="External"/><Relationship Id="rId10474" Type="http://schemas.openxmlformats.org/officeDocument/2006/relationships/hyperlink" Target="https://statiz.sporki.com/player/?m=playerinfo&amp;p_no=1521" TargetMode="External"/><Relationship Id="rId11872" Type="http://schemas.openxmlformats.org/officeDocument/2006/relationships/hyperlink" Target="https://statiz.sporki.com/player/?m=playerinfo&amp;p_no=1046" TargetMode="External"/><Relationship Id="rId12923" Type="http://schemas.openxmlformats.org/officeDocument/2006/relationships/hyperlink" Target="https://statiz.sporki.com/player/?m=playerinfo&amp;p_no=13157" TargetMode="External"/><Relationship Id="rId17087" Type="http://schemas.openxmlformats.org/officeDocument/2006/relationships/hyperlink" Target="https://statiz.sporki.com/add/?m=draft_school01&amp;ps_school=50703" TargetMode="External"/><Relationship Id="rId18138" Type="http://schemas.openxmlformats.org/officeDocument/2006/relationships/hyperlink" Target="https://statiz.sporki.com/add/?m=draft_school01&amp;ps_school=50403" TargetMode="External"/><Relationship Id="rId1931" Type="http://schemas.openxmlformats.org/officeDocument/2006/relationships/hyperlink" Target="https://statiz.sporki.com/add/?m=draft_school01&amp;ps_school=50110" TargetMode="External"/><Relationship Id="rId6095" Type="http://schemas.openxmlformats.org/officeDocument/2006/relationships/hyperlink" Target="https://statiz.sporki.com/add/?m=draft_school01&amp;ps_school=50114" TargetMode="External"/><Relationship Id="rId7146" Type="http://schemas.openxmlformats.org/officeDocument/2006/relationships/hyperlink" Target="https://statiz.sporki.com/add/?m=draft_school02&amp;ps_school=" TargetMode="External"/><Relationship Id="rId10127" Type="http://schemas.openxmlformats.org/officeDocument/2006/relationships/hyperlink" Target="https://statiz.sporki.com/add/?m=draft_school01&amp;ps_school=50807" TargetMode="External"/><Relationship Id="rId11525" Type="http://schemas.openxmlformats.org/officeDocument/2006/relationships/hyperlink" Target="https://statiz.sporki.com/add/?m=draft_school01&amp;ps_school=" TargetMode="External"/><Relationship Id="rId13697" Type="http://schemas.openxmlformats.org/officeDocument/2006/relationships/hyperlink" Target="https://statiz.sporki.com/player/?m=playerinfo&amp;p_no=11156" TargetMode="External"/><Relationship Id="rId14748" Type="http://schemas.openxmlformats.org/officeDocument/2006/relationships/hyperlink" Target="https://statiz.sporki.com/player/?m=playerinfo&amp;p_no=2155" TargetMode="External"/><Relationship Id="rId677" Type="http://schemas.openxmlformats.org/officeDocument/2006/relationships/hyperlink" Target="https://statiz.sporki.com/add/?m=draft_school01&amp;ps_school=50116" TargetMode="External"/><Relationship Id="rId2358" Type="http://schemas.openxmlformats.org/officeDocument/2006/relationships/hyperlink" Target="https://statiz.sporki.com/add/?m=draft_school02&amp;ps_school=" TargetMode="External"/><Relationship Id="rId3756" Type="http://schemas.openxmlformats.org/officeDocument/2006/relationships/hyperlink" Target="https://statiz.sporki.com/add/?m=draft_school02&amp;ps_school=" TargetMode="External"/><Relationship Id="rId4807" Type="http://schemas.openxmlformats.org/officeDocument/2006/relationships/hyperlink" Target="https://statiz.sporki.com/player/?m=playerinfo&amp;p_no=10851" TargetMode="External"/><Relationship Id="rId12299" Type="http://schemas.openxmlformats.org/officeDocument/2006/relationships/hyperlink" Target="https://statiz.sporki.com/player/?m=playerinfo&amp;p_no=15628" TargetMode="External"/><Relationship Id="rId16170" Type="http://schemas.openxmlformats.org/officeDocument/2006/relationships/hyperlink" Target="https://statiz.sporki.com/player/?m=playerinfo&amp;p_no=1081" TargetMode="External"/><Relationship Id="rId17221" Type="http://schemas.openxmlformats.org/officeDocument/2006/relationships/hyperlink" Target="https://statiz.sporki.com/add/?m=draft_school01&amp;ps_school=50804" TargetMode="External"/><Relationship Id="rId3409" Type="http://schemas.openxmlformats.org/officeDocument/2006/relationships/hyperlink" Target="https://statiz.sporki.com/player/?m=playerinfo&amp;p_no=12597" TargetMode="External"/><Relationship Id="rId6979" Type="http://schemas.openxmlformats.org/officeDocument/2006/relationships/hyperlink" Target="https://statiz.sporki.com/player/?m=playerinfo&amp;p_no=10541" TargetMode="External"/><Relationship Id="rId12780" Type="http://schemas.openxmlformats.org/officeDocument/2006/relationships/hyperlink" Target="https://statiz.sporki.com/player/?m=playerinfo&amp;p_no=14156" TargetMode="External"/><Relationship Id="rId13831" Type="http://schemas.openxmlformats.org/officeDocument/2006/relationships/hyperlink" Target="https://statiz.sporki.com/player/?m=playerinfo&amp;p_no=10908" TargetMode="External"/><Relationship Id="rId19393" Type="http://schemas.openxmlformats.org/officeDocument/2006/relationships/hyperlink" Target="https://statiz.sporki.com/add/?m=draft_school01&amp;ps_school=50608" TargetMode="External"/><Relationship Id="rId9452" Type="http://schemas.openxmlformats.org/officeDocument/2006/relationships/hyperlink" Target="https://statiz.sporki.com/add/?m=draft_school01&amp;ps_school=50804" TargetMode="External"/><Relationship Id="rId11382" Type="http://schemas.openxmlformats.org/officeDocument/2006/relationships/hyperlink" Target="https://statiz.sporki.com/add/?m=draft_school02&amp;ps_school=60111" TargetMode="External"/><Relationship Id="rId12433" Type="http://schemas.openxmlformats.org/officeDocument/2006/relationships/hyperlink" Target="https://statiz.sporki.com/player/?m=playerinfo&amp;p_no=15005" TargetMode="External"/><Relationship Id="rId19046" Type="http://schemas.openxmlformats.org/officeDocument/2006/relationships/hyperlink" Target="https://statiz.sporki.com/add/?m=draft_school01&amp;ps_school=50803" TargetMode="External"/><Relationship Id="rId811" Type="http://schemas.openxmlformats.org/officeDocument/2006/relationships/hyperlink" Target="https://statiz.sporki.com/player/?m=playerinfo&amp;p_no=14998" TargetMode="External"/><Relationship Id="rId1441" Type="http://schemas.openxmlformats.org/officeDocument/2006/relationships/hyperlink" Target="https://statiz.sporki.com/player/?m=playerinfo&amp;p_no=14612" TargetMode="External"/><Relationship Id="rId8054" Type="http://schemas.openxmlformats.org/officeDocument/2006/relationships/hyperlink" Target="https://statiz.sporki.com/add/?m=draft_school01&amp;ps_school=50103" TargetMode="External"/><Relationship Id="rId9105" Type="http://schemas.openxmlformats.org/officeDocument/2006/relationships/hyperlink" Target="https://statiz.sporki.com/add/?m=draft_school02&amp;ps_school=60204" TargetMode="External"/><Relationship Id="rId11035" Type="http://schemas.openxmlformats.org/officeDocument/2006/relationships/hyperlink" Target="https://statiz.sporki.com/player/?m=playerinfo&amp;p_no=12713" TargetMode="External"/><Relationship Id="rId4664" Type="http://schemas.openxmlformats.org/officeDocument/2006/relationships/hyperlink" Target="https://statiz.sporki.com/add/?m=draft_school01&amp;ps_school=" TargetMode="External"/><Relationship Id="rId5715" Type="http://schemas.openxmlformats.org/officeDocument/2006/relationships/hyperlink" Target="https://statiz.sporki.com/add/?m=draft_school02&amp;ps_school=60204" TargetMode="External"/><Relationship Id="rId14258" Type="http://schemas.openxmlformats.org/officeDocument/2006/relationships/hyperlink" Target="https://statiz.sporki.com/player/?m=playerinfo&amp;p_no=10392" TargetMode="External"/><Relationship Id="rId15309" Type="http://schemas.openxmlformats.org/officeDocument/2006/relationships/hyperlink" Target="https://statiz.sporki.com/player/?m=playerinfo&amp;p_no=1834" TargetMode="External"/><Relationship Id="rId15656" Type="http://schemas.openxmlformats.org/officeDocument/2006/relationships/hyperlink" Target="https://statiz.sporki.com/player/?m=playerinfo&amp;p_no=1438" TargetMode="External"/><Relationship Id="rId16707" Type="http://schemas.openxmlformats.org/officeDocument/2006/relationships/hyperlink" Target="https://statiz.sporki.com/add/?m=draft_school01&amp;ps_school=51114" TargetMode="External"/><Relationship Id="rId3266" Type="http://schemas.openxmlformats.org/officeDocument/2006/relationships/hyperlink" Target="https://statiz.sporki.com/add/?m=draft_school01&amp;ps_school=50108" TargetMode="External"/><Relationship Id="rId4317" Type="http://schemas.openxmlformats.org/officeDocument/2006/relationships/hyperlink" Target="https://statiz.sporki.com/add/?m=draft_school02&amp;ps_school=" TargetMode="External"/><Relationship Id="rId18879" Type="http://schemas.openxmlformats.org/officeDocument/2006/relationships/hyperlink" Target="https://statiz.sporki.com/add/?m=draft_school01&amp;ps_school=50107" TargetMode="External"/><Relationship Id="rId187" Type="http://schemas.openxmlformats.org/officeDocument/2006/relationships/hyperlink" Target="https://statiz.sporki.com/player/?m=playerinfo&amp;p_no=15445" TargetMode="External"/><Relationship Id="rId6489" Type="http://schemas.openxmlformats.org/officeDocument/2006/relationships/hyperlink" Target="https://statiz.sporki.com/add/?m=draft_school02&amp;ps_school=" TargetMode="External"/><Relationship Id="rId7887" Type="http://schemas.openxmlformats.org/officeDocument/2006/relationships/hyperlink" Target="https://statiz.sporki.com/add/?m=draft_school02&amp;ps_school=60803" TargetMode="External"/><Relationship Id="rId8938" Type="http://schemas.openxmlformats.org/officeDocument/2006/relationships/hyperlink" Target="https://statiz.sporki.com/player/?m=playerinfo&amp;p_no=1952" TargetMode="External"/><Relationship Id="rId10868" Type="http://schemas.openxmlformats.org/officeDocument/2006/relationships/hyperlink" Target="https://statiz.sporki.com/add/?m=draft_school01&amp;ps_school=50601" TargetMode="External"/><Relationship Id="rId11919" Type="http://schemas.openxmlformats.org/officeDocument/2006/relationships/hyperlink" Target="https://statiz.sporki.com/add/?m=draft_school02&amp;ps_school=60108" TargetMode="External"/><Relationship Id="rId12290" Type="http://schemas.openxmlformats.org/officeDocument/2006/relationships/hyperlink" Target="https://statiz.sporki.com/player/?m=playerinfo&amp;p_no=15627" TargetMode="External"/><Relationship Id="rId13341" Type="http://schemas.openxmlformats.org/officeDocument/2006/relationships/hyperlink" Target="https://statiz.sporki.com/player/?m=playerinfo&amp;p_no=12982" TargetMode="External"/><Relationship Id="rId17962" Type="http://schemas.openxmlformats.org/officeDocument/2006/relationships/hyperlink" Target="https://statiz.sporki.com/add/?m=draft_school01&amp;ps_school=50112" TargetMode="External"/><Relationship Id="rId3400" Type="http://schemas.openxmlformats.org/officeDocument/2006/relationships/hyperlink" Target="https://statiz.sporki.com/player/?m=playerinfo&amp;p_no=12618" TargetMode="External"/><Relationship Id="rId6970" Type="http://schemas.openxmlformats.org/officeDocument/2006/relationships/hyperlink" Target="https://statiz.sporki.com/player/?m=playerinfo&amp;p_no=10035" TargetMode="External"/><Relationship Id="rId16564" Type="http://schemas.openxmlformats.org/officeDocument/2006/relationships/hyperlink" Target="https://statiz.sporki.com/add/?m=draft_school01&amp;ps_school=50601" TargetMode="External"/><Relationship Id="rId17615" Type="http://schemas.openxmlformats.org/officeDocument/2006/relationships/hyperlink" Target="https://statiz.sporki.com/add/?m=draft_school01&amp;ps_school=50201" TargetMode="External"/><Relationship Id="rId321" Type="http://schemas.openxmlformats.org/officeDocument/2006/relationships/hyperlink" Target="https://statiz.sporki.com/add/?m=draft_school02&amp;ps_school=" TargetMode="External"/><Relationship Id="rId2002" Type="http://schemas.openxmlformats.org/officeDocument/2006/relationships/hyperlink" Target="https://statiz.sporki.com/player/?m=playerinfo&amp;p_no=14139" TargetMode="External"/><Relationship Id="rId5572" Type="http://schemas.openxmlformats.org/officeDocument/2006/relationships/hyperlink" Target="https://statiz.sporki.com/player/?m=playerinfo&amp;p_no=10609" TargetMode="External"/><Relationship Id="rId6623" Type="http://schemas.openxmlformats.org/officeDocument/2006/relationships/hyperlink" Target="https://statiz.sporki.com/add/?m=draft_school01&amp;ps_school=50209" TargetMode="External"/><Relationship Id="rId15166" Type="http://schemas.openxmlformats.org/officeDocument/2006/relationships/hyperlink" Target="https://statiz.sporki.com/player/?m=playerinfo&amp;p_no=1950" TargetMode="External"/><Relationship Id="rId16217" Type="http://schemas.openxmlformats.org/officeDocument/2006/relationships/hyperlink" Target="https://statiz.sporki.com/add/?m=draft_school01&amp;ps_school=50403" TargetMode="External"/><Relationship Id="rId4174" Type="http://schemas.openxmlformats.org/officeDocument/2006/relationships/hyperlink" Target="https://statiz.sporki.com/player/?m=playerinfo&amp;p_no=11313" TargetMode="External"/><Relationship Id="rId5225" Type="http://schemas.openxmlformats.org/officeDocument/2006/relationships/hyperlink" Target="https://statiz.sporki.com/add/?m=draft_school01&amp;ps_school=50301" TargetMode="External"/><Relationship Id="rId8795" Type="http://schemas.openxmlformats.org/officeDocument/2006/relationships/hyperlink" Target="https://statiz.sporki.com/add/?m=draft_school01&amp;ps_school=50501" TargetMode="External"/><Relationship Id="rId9846" Type="http://schemas.openxmlformats.org/officeDocument/2006/relationships/hyperlink" Target="https://statiz.sporki.com/add/?m=draft_school02&amp;ps_school=60113" TargetMode="External"/><Relationship Id="rId18389" Type="http://schemas.openxmlformats.org/officeDocument/2006/relationships/hyperlink" Target="https://statiz.sporki.com/add/?m=draft_school01&amp;ps_school=50114" TargetMode="External"/><Relationship Id="rId7397" Type="http://schemas.openxmlformats.org/officeDocument/2006/relationships/hyperlink" Target="https://statiz.sporki.com/add/?m=draft_school01&amp;ps_school=50802" TargetMode="External"/><Relationship Id="rId8448" Type="http://schemas.openxmlformats.org/officeDocument/2006/relationships/hyperlink" Target="https://statiz.sporki.com/add/?m=draft_school02&amp;ps_school=60108" TargetMode="External"/><Relationship Id="rId11776" Type="http://schemas.openxmlformats.org/officeDocument/2006/relationships/hyperlink" Target="https://statiz.sporki.com/player/?m=playerinfo&amp;p_no=15155" TargetMode="External"/><Relationship Id="rId12827" Type="http://schemas.openxmlformats.org/officeDocument/2006/relationships/hyperlink" Target="https://statiz.sporki.com/player/?m=playerinfo&amp;p_no=14183" TargetMode="External"/><Relationship Id="rId1835" Type="http://schemas.openxmlformats.org/officeDocument/2006/relationships/hyperlink" Target="https://statiz.sporki.com/add/?m=draft_school01&amp;ps_school=50606" TargetMode="External"/><Relationship Id="rId10378" Type="http://schemas.openxmlformats.org/officeDocument/2006/relationships/hyperlink" Target="https://statiz.sporki.com/player/?m=playerinfo&amp;p_no=10158" TargetMode="External"/><Relationship Id="rId11429" Type="http://schemas.openxmlformats.org/officeDocument/2006/relationships/hyperlink" Target="https://statiz.sporki.com/add/?m=draft_school01&amp;ps_school=50301" TargetMode="External"/><Relationship Id="rId14999" Type="http://schemas.openxmlformats.org/officeDocument/2006/relationships/hyperlink" Target="https://statiz.sporki.com/player/?m=playerinfo&amp;p_no=10617" TargetMode="External"/><Relationship Id="rId15300" Type="http://schemas.openxmlformats.org/officeDocument/2006/relationships/hyperlink" Target="https://statiz.sporki.com/player/?m=playerinfo&amp;p_no=1869" TargetMode="External"/><Relationship Id="rId18870" Type="http://schemas.openxmlformats.org/officeDocument/2006/relationships/hyperlink" Target="https://statiz.sporki.com/add/?m=draft_school01&amp;ps_school=50109" TargetMode="External"/><Relationship Id="rId11910" Type="http://schemas.openxmlformats.org/officeDocument/2006/relationships/hyperlink" Target="https://statiz.sporki.com/add/?m=draft_school02&amp;ps_school=60803" TargetMode="External"/><Relationship Id="rId17472" Type="http://schemas.openxmlformats.org/officeDocument/2006/relationships/hyperlink" Target="https://statiz.sporki.com/add/?m=draft_school01&amp;ps_school=50809" TargetMode="External"/><Relationship Id="rId18523" Type="http://schemas.openxmlformats.org/officeDocument/2006/relationships/hyperlink" Target="https://statiz.sporki.com/add/?m=draft_school01&amp;ps_school=50501" TargetMode="External"/><Relationship Id="rId6480" Type="http://schemas.openxmlformats.org/officeDocument/2006/relationships/hyperlink" Target="https://statiz.sporki.com/add/?m=draft_school02&amp;ps_school=60106" TargetMode="External"/><Relationship Id="rId7531" Type="http://schemas.openxmlformats.org/officeDocument/2006/relationships/hyperlink" Target="https://statiz.sporki.com/player/?m=playerinfo&amp;p_no=2257" TargetMode="External"/><Relationship Id="rId10512" Type="http://schemas.openxmlformats.org/officeDocument/2006/relationships/hyperlink" Target="https://statiz.sporki.com/add/?m=draft_school02&amp;ps_school=" TargetMode="External"/><Relationship Id="rId16074" Type="http://schemas.openxmlformats.org/officeDocument/2006/relationships/hyperlink" Target="https://statiz.sporki.com/player/?m=playerinfo&amp;p_no=1108" TargetMode="External"/><Relationship Id="rId17125" Type="http://schemas.openxmlformats.org/officeDocument/2006/relationships/hyperlink" Target="https://statiz.sporki.com/add/?m=draft_school01&amp;ps_school=50901" TargetMode="External"/><Relationship Id="rId5082" Type="http://schemas.openxmlformats.org/officeDocument/2006/relationships/hyperlink" Target="https://statiz.sporki.com/add/?m=draft_school02&amp;ps_school=60204" TargetMode="External"/><Relationship Id="rId6133" Type="http://schemas.openxmlformats.org/officeDocument/2006/relationships/hyperlink" Target="https://statiz.sporki.com/player/?m=playerinfo&amp;p_no=10003" TargetMode="External"/><Relationship Id="rId12684" Type="http://schemas.openxmlformats.org/officeDocument/2006/relationships/hyperlink" Target="https://statiz.sporki.com/player/?m=playerinfo&amp;p_no=14667" TargetMode="External"/><Relationship Id="rId19297" Type="http://schemas.openxmlformats.org/officeDocument/2006/relationships/hyperlink" Target="https://statiz.sporki.com/add/?m=draft_school01&amp;ps_school=50121" TargetMode="External"/><Relationship Id="rId1692" Type="http://schemas.openxmlformats.org/officeDocument/2006/relationships/hyperlink" Target="https://statiz.sporki.com/add/?m=draft_school02&amp;ps_school=60804" TargetMode="External"/><Relationship Id="rId2743" Type="http://schemas.openxmlformats.org/officeDocument/2006/relationships/hyperlink" Target="https://statiz.sporki.com/player/?m=playerinfo&amp;p_no=12939" TargetMode="External"/><Relationship Id="rId9356" Type="http://schemas.openxmlformats.org/officeDocument/2006/relationships/hyperlink" Target="https://statiz.sporki.com/add/?m=draft_school01&amp;ps_school=50802" TargetMode="External"/><Relationship Id="rId11286" Type="http://schemas.openxmlformats.org/officeDocument/2006/relationships/hyperlink" Target="https://statiz.sporki.com/add/?m=draft_school02&amp;ps_school=60104" TargetMode="External"/><Relationship Id="rId12337" Type="http://schemas.openxmlformats.org/officeDocument/2006/relationships/hyperlink" Target="https://statiz.sporki.com/player/?m=playerinfo&amp;p_no=15037" TargetMode="External"/><Relationship Id="rId13735" Type="http://schemas.openxmlformats.org/officeDocument/2006/relationships/hyperlink" Target="https://statiz.sporki.com/player/?m=playerinfo&amp;p_no=10879" TargetMode="External"/><Relationship Id="rId715" Type="http://schemas.openxmlformats.org/officeDocument/2006/relationships/hyperlink" Target="https://statiz.sporki.com/player/?m=playerinfo&amp;p_no=15064" TargetMode="External"/><Relationship Id="rId1345" Type="http://schemas.openxmlformats.org/officeDocument/2006/relationships/hyperlink" Target="https://statiz.sporki.com/player/?m=playerinfo&amp;p_no=14883" TargetMode="External"/><Relationship Id="rId9009" Type="http://schemas.openxmlformats.org/officeDocument/2006/relationships/hyperlink" Target="https://statiz.sporki.com/add/?m=draft_school02&amp;ps_school=60108" TargetMode="External"/><Relationship Id="rId16958" Type="http://schemas.openxmlformats.org/officeDocument/2006/relationships/hyperlink" Target="https://statiz.sporki.com/add/?m=draft_school01&amp;ps_school=50606" TargetMode="External"/><Relationship Id="rId4568" Type="http://schemas.openxmlformats.org/officeDocument/2006/relationships/hyperlink" Target="https://statiz.sporki.com/add/?m=draft_school01&amp;ps_school=50216" TargetMode="External"/><Relationship Id="rId5966" Type="http://schemas.openxmlformats.org/officeDocument/2006/relationships/hyperlink" Target="https://statiz.sporki.com/add/?m=draft_school01&amp;ps_school=" TargetMode="External"/><Relationship Id="rId18380" Type="http://schemas.openxmlformats.org/officeDocument/2006/relationships/hyperlink" Target="https://statiz.sporki.com/add/?m=draft_school01&amp;ps_school=50608" TargetMode="External"/><Relationship Id="rId19431" Type="http://schemas.openxmlformats.org/officeDocument/2006/relationships/hyperlink" Target="https://statiz.sporki.com/add/?m=draft_school01&amp;ps_school=50121" TargetMode="External"/><Relationship Id="rId51" Type="http://schemas.openxmlformats.org/officeDocument/2006/relationships/hyperlink" Target="https://statiz.sporki.com/add/?m=draft_school02&amp;ps_school=" TargetMode="External"/><Relationship Id="rId5619" Type="http://schemas.openxmlformats.org/officeDocument/2006/relationships/hyperlink" Target="https://statiz.sporki.com/add/?m=draft_school02&amp;ps_school=" TargetMode="External"/><Relationship Id="rId7041" Type="http://schemas.openxmlformats.org/officeDocument/2006/relationships/hyperlink" Target="https://statiz.sporki.com/add/?m=draft_school02&amp;ps_school=" TargetMode="External"/><Relationship Id="rId11420" Type="http://schemas.openxmlformats.org/officeDocument/2006/relationships/hyperlink" Target="https://statiz.sporki.com/add/?m=draft_school01&amp;ps_school=50401" TargetMode="External"/><Relationship Id="rId14990" Type="http://schemas.openxmlformats.org/officeDocument/2006/relationships/hyperlink" Target="https://statiz.sporki.com/player/?m=playerinfo&amp;p_no=2026" TargetMode="External"/><Relationship Id="rId18033" Type="http://schemas.openxmlformats.org/officeDocument/2006/relationships/hyperlink" Target="https://statiz.sporki.com/add/?m=draft_school01&amp;ps_school=50604" TargetMode="External"/><Relationship Id="rId10022" Type="http://schemas.openxmlformats.org/officeDocument/2006/relationships/hyperlink" Target="https://statiz.sporki.com/add/?m=draft_school01&amp;ps_school=50401" TargetMode="External"/><Relationship Id="rId13592" Type="http://schemas.openxmlformats.org/officeDocument/2006/relationships/hyperlink" Target="https://statiz.sporki.com/player/?m=playerinfo&amp;p_no=11218" TargetMode="External"/><Relationship Id="rId14643" Type="http://schemas.openxmlformats.org/officeDocument/2006/relationships/hyperlink" Target="https://statiz.sporki.com/player/?m=playerinfo&amp;p_no=2256" TargetMode="External"/><Relationship Id="rId3651" Type="http://schemas.openxmlformats.org/officeDocument/2006/relationships/hyperlink" Target="https://statiz.sporki.com/add/?m=draft_school02&amp;ps_school=60203" TargetMode="External"/><Relationship Id="rId4702" Type="http://schemas.openxmlformats.org/officeDocument/2006/relationships/hyperlink" Target="https://statiz.sporki.com/player/?m=playerinfo&amp;p_no=11192" TargetMode="External"/><Relationship Id="rId12194" Type="http://schemas.openxmlformats.org/officeDocument/2006/relationships/hyperlink" Target="https://statiz.sporki.com/player/?m=playerinfo&amp;p_no=15444" TargetMode="External"/><Relationship Id="rId13245" Type="http://schemas.openxmlformats.org/officeDocument/2006/relationships/hyperlink" Target="https://statiz.sporki.com/player/?m=playerinfo&amp;p_no=12615" TargetMode="External"/><Relationship Id="rId572" Type="http://schemas.openxmlformats.org/officeDocument/2006/relationships/hyperlink" Target="https://statiz.sporki.com/add/?m=draft_school01&amp;ps_school=50602" TargetMode="External"/><Relationship Id="rId2253" Type="http://schemas.openxmlformats.org/officeDocument/2006/relationships/hyperlink" Target="https://statiz.sporki.com/add/?m=draft_school02&amp;ps_school=60501" TargetMode="External"/><Relationship Id="rId3304" Type="http://schemas.openxmlformats.org/officeDocument/2006/relationships/hyperlink" Target="https://statiz.sporki.com/player/?m=playerinfo&amp;p_no=12551" TargetMode="External"/><Relationship Id="rId6874" Type="http://schemas.openxmlformats.org/officeDocument/2006/relationships/hyperlink" Target="https://statiz.sporki.com/player/?m=playerinfo&amp;p_no=2342" TargetMode="External"/><Relationship Id="rId7925" Type="http://schemas.openxmlformats.org/officeDocument/2006/relationships/hyperlink" Target="https://statiz.sporki.com/add/?m=draft_school01&amp;ps_school=50502" TargetMode="External"/><Relationship Id="rId16468" Type="http://schemas.openxmlformats.org/officeDocument/2006/relationships/hyperlink" Target="https://statiz.sporki.com/add/?m=draft_school01&amp;ps_school=50210" TargetMode="External"/><Relationship Id="rId17519" Type="http://schemas.openxmlformats.org/officeDocument/2006/relationships/hyperlink" Target="https://statiz.sporki.com/add/?m=draft_school01&amp;ps_school=50802" TargetMode="External"/><Relationship Id="rId17866" Type="http://schemas.openxmlformats.org/officeDocument/2006/relationships/hyperlink" Target="https://statiz.sporki.com/add/?m=draft_school01&amp;ps_school=50103" TargetMode="External"/><Relationship Id="rId18917" Type="http://schemas.openxmlformats.org/officeDocument/2006/relationships/hyperlink" Target="https://statiz.sporki.com/add/?m=draft_school01&amp;ps_school=50114" TargetMode="External"/><Relationship Id="rId225" Type="http://schemas.openxmlformats.org/officeDocument/2006/relationships/hyperlink" Target="https://statiz.sporki.com/add/?m=draft_school02&amp;ps_school=" TargetMode="External"/><Relationship Id="rId5476" Type="http://schemas.openxmlformats.org/officeDocument/2006/relationships/hyperlink" Target="https://statiz.sporki.com/player/?m=playerinfo&amp;p_no=10585" TargetMode="External"/><Relationship Id="rId6527" Type="http://schemas.openxmlformats.org/officeDocument/2006/relationships/hyperlink" Target="https://statiz.sporki.com/add/?m=draft_school01&amp;ps_school=50501" TargetMode="External"/><Relationship Id="rId10906" Type="http://schemas.openxmlformats.org/officeDocument/2006/relationships/hyperlink" Target="https://statiz.sporki.com/player/?m=playerinfo&amp;p_no=1401" TargetMode="External"/><Relationship Id="rId4078" Type="http://schemas.openxmlformats.org/officeDocument/2006/relationships/hyperlink" Target="https://statiz.sporki.com/player/?m=playerinfo&amp;p_no=11230" TargetMode="External"/><Relationship Id="rId5129" Type="http://schemas.openxmlformats.org/officeDocument/2006/relationships/hyperlink" Target="https://statiz.sporki.com/add/?m=draft_school01&amp;ps_school=50208" TargetMode="External"/><Relationship Id="rId8699" Type="http://schemas.openxmlformats.org/officeDocument/2006/relationships/hyperlink" Target="https://statiz.sporki.com/add/?m=draft_school01&amp;ps_school=50116" TargetMode="External"/><Relationship Id="rId9000" Type="http://schemas.openxmlformats.org/officeDocument/2006/relationships/hyperlink" Target="https://statiz.sporki.com/add/?m=draft_school02&amp;ps_school=" TargetMode="External"/><Relationship Id="rId15551" Type="http://schemas.openxmlformats.org/officeDocument/2006/relationships/hyperlink" Target="https://statiz.sporki.com/player/?m=playerinfo&amp;p_no=1633" TargetMode="External"/><Relationship Id="rId16602" Type="http://schemas.openxmlformats.org/officeDocument/2006/relationships/hyperlink" Target="https://statiz.sporki.com/add/?m=draft_school01&amp;ps_school=50403" TargetMode="External"/><Relationship Id="rId1739" Type="http://schemas.openxmlformats.org/officeDocument/2006/relationships/hyperlink" Target="https://statiz.sporki.com/add/?m=draft_school01&amp;ps_school=" TargetMode="External"/><Relationship Id="rId5610" Type="http://schemas.openxmlformats.org/officeDocument/2006/relationships/hyperlink" Target="https://statiz.sporki.com/add/?m=draft_school02&amp;ps_school=" TargetMode="External"/><Relationship Id="rId14153" Type="http://schemas.openxmlformats.org/officeDocument/2006/relationships/hyperlink" Target="https://statiz.sporki.com/player/?m=playerinfo&amp;p_no=10568" TargetMode="External"/><Relationship Id="rId15204" Type="http://schemas.openxmlformats.org/officeDocument/2006/relationships/hyperlink" Target="https://statiz.sporki.com/player/?m=playerinfo&amp;p_no=1875" TargetMode="External"/><Relationship Id="rId18774" Type="http://schemas.openxmlformats.org/officeDocument/2006/relationships/hyperlink" Target="https://statiz.sporki.com/add/?m=draft_school01&amp;ps_school=50402" TargetMode="External"/><Relationship Id="rId3161" Type="http://schemas.openxmlformats.org/officeDocument/2006/relationships/hyperlink" Target="https://statiz.sporki.com/add/?m=draft_school01&amp;ps_school=50207" TargetMode="External"/><Relationship Id="rId4212" Type="http://schemas.openxmlformats.org/officeDocument/2006/relationships/hyperlink" Target="https://statiz.sporki.com/add/?m=draft_school02&amp;ps_school=" TargetMode="External"/><Relationship Id="rId7782" Type="http://schemas.openxmlformats.org/officeDocument/2006/relationships/hyperlink" Target="https://statiz.sporki.com/add/?m=draft_school02&amp;ps_school=" TargetMode="External"/><Relationship Id="rId8833" Type="http://schemas.openxmlformats.org/officeDocument/2006/relationships/hyperlink" Target="https://statiz.sporki.com/player/?m=playerinfo&amp;p_no=1954" TargetMode="External"/><Relationship Id="rId10763" Type="http://schemas.openxmlformats.org/officeDocument/2006/relationships/hyperlink" Target="https://statiz.sporki.com/add/?m=draft_school01&amp;ps_school=50604" TargetMode="External"/><Relationship Id="rId17376" Type="http://schemas.openxmlformats.org/officeDocument/2006/relationships/hyperlink" Target="https://statiz.sporki.com/add/?m=draft_school01&amp;ps_school=50103" TargetMode="External"/><Relationship Id="rId18427" Type="http://schemas.openxmlformats.org/officeDocument/2006/relationships/hyperlink" Target="https://statiz.sporki.com/add/?m=draft_school01&amp;ps_school=50602" TargetMode="External"/><Relationship Id="rId6384" Type="http://schemas.openxmlformats.org/officeDocument/2006/relationships/hyperlink" Target="https://statiz.sporki.com/add/?m=draft_school02&amp;ps_school=" TargetMode="External"/><Relationship Id="rId7435" Type="http://schemas.openxmlformats.org/officeDocument/2006/relationships/hyperlink" Target="https://statiz.sporki.com/player/?m=playerinfo&amp;p_no=11123" TargetMode="External"/><Relationship Id="rId10416" Type="http://schemas.openxmlformats.org/officeDocument/2006/relationships/hyperlink" Target="https://statiz.sporki.com/add/?m=draft_school02&amp;ps_school=" TargetMode="External"/><Relationship Id="rId11814" Type="http://schemas.openxmlformats.org/officeDocument/2006/relationships/hyperlink" Target="https://statiz.sporki.com/add/?m=draft_school02&amp;ps_school=" TargetMode="External"/><Relationship Id="rId17029" Type="http://schemas.openxmlformats.org/officeDocument/2006/relationships/hyperlink" Target="https://statiz.sporki.com/add/?m=draft_school01&amp;ps_school=50106" TargetMode="External"/><Relationship Id="rId6037" Type="http://schemas.openxmlformats.org/officeDocument/2006/relationships/hyperlink" Target="https://statiz.sporki.com/player/?m=playerinfo&amp;p_no=10304" TargetMode="External"/><Relationship Id="rId13986" Type="http://schemas.openxmlformats.org/officeDocument/2006/relationships/hyperlink" Target="https://statiz.sporki.com/player/?m=playerinfo&amp;p_no=10224" TargetMode="External"/><Relationship Id="rId966" Type="http://schemas.openxmlformats.org/officeDocument/2006/relationships/hyperlink" Target="https://statiz.sporki.com/add/?m=draft_school02&amp;ps_school=" TargetMode="External"/><Relationship Id="rId1596" Type="http://schemas.openxmlformats.org/officeDocument/2006/relationships/hyperlink" Target="https://statiz.sporki.com/add/?m=draft_school02&amp;ps_school=" TargetMode="External"/><Relationship Id="rId2647" Type="http://schemas.openxmlformats.org/officeDocument/2006/relationships/hyperlink" Target="https://statiz.sporki.com/player/?m=playerinfo&amp;p_no=13178" TargetMode="External"/><Relationship Id="rId2994" Type="http://schemas.openxmlformats.org/officeDocument/2006/relationships/hyperlink" Target="https://statiz.sporki.com/add/?m=draft_school02&amp;ps_school=" TargetMode="External"/><Relationship Id="rId12588" Type="http://schemas.openxmlformats.org/officeDocument/2006/relationships/hyperlink" Target="https://statiz.sporki.com/player/?m=playerinfo&amp;p_no=14760" TargetMode="External"/><Relationship Id="rId13639" Type="http://schemas.openxmlformats.org/officeDocument/2006/relationships/hyperlink" Target="https://statiz.sporki.com/player/?m=playerinfo&amp;p_no=11131" TargetMode="External"/><Relationship Id="rId15061" Type="http://schemas.openxmlformats.org/officeDocument/2006/relationships/hyperlink" Target="https://statiz.sporki.com/player/?m=playerinfo&amp;p_no=10228" TargetMode="External"/><Relationship Id="rId17510" Type="http://schemas.openxmlformats.org/officeDocument/2006/relationships/hyperlink" Target="https://statiz.sporki.com/add/?m=draft_school01&amp;ps_school=50113" TargetMode="External"/><Relationship Id="rId619" Type="http://schemas.openxmlformats.org/officeDocument/2006/relationships/hyperlink" Target="https://statiz.sporki.com/player/?m=playerinfo&amp;p_no=15071" TargetMode="External"/><Relationship Id="rId1249" Type="http://schemas.openxmlformats.org/officeDocument/2006/relationships/hyperlink" Target="https://statiz.sporki.com/player/?m=playerinfo&amp;p_no=14854" TargetMode="External"/><Relationship Id="rId5120" Type="http://schemas.openxmlformats.org/officeDocument/2006/relationships/hyperlink" Target="https://statiz.sporki.com/add/?m=draft_school01&amp;ps_school=50208" TargetMode="External"/><Relationship Id="rId16112" Type="http://schemas.openxmlformats.org/officeDocument/2006/relationships/hyperlink" Target="https://statiz.sporki.com/player/?m=playerinfo&amp;p_no=1121" TargetMode="External"/><Relationship Id="rId8690" Type="http://schemas.openxmlformats.org/officeDocument/2006/relationships/hyperlink" Target="https://statiz.sporki.com/add/?m=draft_school01&amp;ps_school=50604" TargetMode="External"/><Relationship Id="rId9741" Type="http://schemas.openxmlformats.org/officeDocument/2006/relationships/hyperlink" Target="https://statiz.sporki.com/add/?m=draft_school02&amp;ps_school=" TargetMode="External"/><Relationship Id="rId11671" Type="http://schemas.openxmlformats.org/officeDocument/2006/relationships/hyperlink" Target="https://statiz.sporki.com/player/?m=playerinfo&amp;p_no=1181" TargetMode="External"/><Relationship Id="rId12722" Type="http://schemas.openxmlformats.org/officeDocument/2006/relationships/hyperlink" Target="https://statiz.sporki.com/player/?m=playerinfo&amp;p_no=14626" TargetMode="External"/><Relationship Id="rId18284" Type="http://schemas.openxmlformats.org/officeDocument/2006/relationships/hyperlink" Target="https://statiz.sporki.com/add/?m=draft_school01&amp;ps_school=50806" TargetMode="External"/><Relationship Id="rId19335" Type="http://schemas.openxmlformats.org/officeDocument/2006/relationships/hyperlink" Target="https://statiz.sporki.com/add/?m=draft_school01&amp;ps_school=50701" TargetMode="External"/><Relationship Id="rId1730" Type="http://schemas.openxmlformats.org/officeDocument/2006/relationships/hyperlink" Target="https://statiz.sporki.com/add/?m=draft_school01&amp;ps_school=51120" TargetMode="External"/><Relationship Id="rId7292" Type="http://schemas.openxmlformats.org/officeDocument/2006/relationships/hyperlink" Target="https://statiz.sporki.com/add/?m=draft_school01&amp;ps_school=" TargetMode="External"/><Relationship Id="rId8343" Type="http://schemas.openxmlformats.org/officeDocument/2006/relationships/hyperlink" Target="https://statiz.sporki.com/add/?m=draft_school02&amp;ps_school=60109" TargetMode="External"/><Relationship Id="rId10273" Type="http://schemas.openxmlformats.org/officeDocument/2006/relationships/hyperlink" Target="https://statiz.sporki.com/player/?m=playerinfo&amp;p_no=1498" TargetMode="External"/><Relationship Id="rId11324" Type="http://schemas.openxmlformats.org/officeDocument/2006/relationships/hyperlink" Target="https://statiz.sporki.com/add/?m=draft_school01&amp;ps_school=50209" TargetMode="External"/><Relationship Id="rId14894" Type="http://schemas.openxmlformats.org/officeDocument/2006/relationships/hyperlink" Target="https://statiz.sporki.com/player/?m=playerinfo&amp;p_no=2073" TargetMode="External"/><Relationship Id="rId4953" Type="http://schemas.openxmlformats.org/officeDocument/2006/relationships/hyperlink" Target="https://statiz.sporki.com/add/?m=draft_school02&amp;ps_school=61002" TargetMode="External"/><Relationship Id="rId13496" Type="http://schemas.openxmlformats.org/officeDocument/2006/relationships/hyperlink" Target="https://statiz.sporki.com/player/?m=playerinfo&amp;p_no=11212" TargetMode="External"/><Relationship Id="rId14547" Type="http://schemas.openxmlformats.org/officeDocument/2006/relationships/hyperlink" Target="https://statiz.sporki.com/player/?m=playerinfo&amp;p_no=10178" TargetMode="External"/><Relationship Id="rId15945" Type="http://schemas.openxmlformats.org/officeDocument/2006/relationships/hyperlink" Target="https://statiz.sporki.com/player/?m=playerinfo&amp;p_no=1202" TargetMode="External"/><Relationship Id="rId3555" Type="http://schemas.openxmlformats.org/officeDocument/2006/relationships/hyperlink" Target="https://statiz.sporki.com/add/?m=draft_school02&amp;ps_school=60109" TargetMode="External"/><Relationship Id="rId4606" Type="http://schemas.openxmlformats.org/officeDocument/2006/relationships/hyperlink" Target="https://statiz.sporki.com/player/?m=playerinfo&amp;p_no=11091" TargetMode="External"/><Relationship Id="rId12098" Type="http://schemas.openxmlformats.org/officeDocument/2006/relationships/hyperlink" Target="https://statiz.sporki.com/add/?m=draft_school01&amp;ps_school=50602" TargetMode="External"/><Relationship Id="rId13149" Type="http://schemas.openxmlformats.org/officeDocument/2006/relationships/hyperlink" Target="https://statiz.sporki.com/player/?m=playerinfo&amp;p_no=12882" TargetMode="External"/><Relationship Id="rId17020" Type="http://schemas.openxmlformats.org/officeDocument/2006/relationships/hyperlink" Target="https://statiz.sporki.com/add/?m=draft_school01&amp;ps_school=50301" TargetMode="External"/><Relationship Id="rId476" Type="http://schemas.openxmlformats.org/officeDocument/2006/relationships/hyperlink" Target="https://statiz.sporki.com/add/?m=draft_school01&amp;ps_school=50601" TargetMode="External"/><Relationship Id="rId2157" Type="http://schemas.openxmlformats.org/officeDocument/2006/relationships/hyperlink" Target="https://statiz.sporki.com/add/?m=draft_school02&amp;ps_school=60114" TargetMode="External"/><Relationship Id="rId3208" Type="http://schemas.openxmlformats.org/officeDocument/2006/relationships/hyperlink" Target="https://statiz.sporki.com/player/?m=playerinfo&amp;p_no=12535" TargetMode="External"/><Relationship Id="rId6778" Type="http://schemas.openxmlformats.org/officeDocument/2006/relationships/hyperlink" Target="https://statiz.sporki.com/player/?m=playerinfo&amp;p_no=2401" TargetMode="External"/><Relationship Id="rId19192" Type="http://schemas.openxmlformats.org/officeDocument/2006/relationships/hyperlink" Target="https://statiz.sporki.com/add/?m=draft_school01&amp;ps_school=50602" TargetMode="External"/><Relationship Id="rId129" Type="http://schemas.openxmlformats.org/officeDocument/2006/relationships/hyperlink" Target="https://statiz.sporki.com/add/?m=draft_school02&amp;ps_school=" TargetMode="External"/><Relationship Id="rId7829" Type="http://schemas.openxmlformats.org/officeDocument/2006/relationships/hyperlink" Target="https://statiz.sporki.com/add/?m=draft_school01&amp;ps_school=50703" TargetMode="External"/><Relationship Id="rId9251" Type="http://schemas.openxmlformats.org/officeDocument/2006/relationships/hyperlink" Target="https://statiz.sporki.com/add/?m=draft_school01&amp;ps_school=50813" TargetMode="External"/><Relationship Id="rId13630" Type="http://schemas.openxmlformats.org/officeDocument/2006/relationships/hyperlink" Target="https://statiz.sporki.com/player/?m=playerinfo&amp;p_no=11127" TargetMode="External"/><Relationship Id="rId11181" Type="http://schemas.openxmlformats.org/officeDocument/2006/relationships/hyperlink" Target="https://statiz.sporki.com/add/?m=draft_school02&amp;ps_school=60204" TargetMode="External"/><Relationship Id="rId12232" Type="http://schemas.openxmlformats.org/officeDocument/2006/relationships/hyperlink" Target="https://statiz.sporki.com/player/?m=playerinfo&amp;p_no=15430" TargetMode="External"/><Relationship Id="rId16853" Type="http://schemas.openxmlformats.org/officeDocument/2006/relationships/hyperlink" Target="https://statiz.sporki.com/add/?m=draft_school01&amp;ps_school=50113" TargetMode="External"/><Relationship Id="rId17904" Type="http://schemas.openxmlformats.org/officeDocument/2006/relationships/hyperlink" Target="https://statiz.sporki.com/add/?m=draft_school01&amp;ps_school=50303" TargetMode="External"/><Relationship Id="rId610" Type="http://schemas.openxmlformats.org/officeDocument/2006/relationships/hyperlink" Target="https://statiz.sporki.com/player/?m=playerinfo&amp;p_no=15103" TargetMode="External"/><Relationship Id="rId1240" Type="http://schemas.openxmlformats.org/officeDocument/2006/relationships/hyperlink" Target="https://statiz.sporki.com/player/?m=playerinfo&amp;p_no=14833" TargetMode="External"/><Relationship Id="rId5861" Type="http://schemas.openxmlformats.org/officeDocument/2006/relationships/hyperlink" Target="https://statiz.sporki.com/add/?m=draft_school01&amp;ps_school=50703" TargetMode="External"/><Relationship Id="rId6912" Type="http://schemas.openxmlformats.org/officeDocument/2006/relationships/hyperlink" Target="https://statiz.sporki.com/add/?m=draft_school02&amp;ps_school=" TargetMode="External"/><Relationship Id="rId15455" Type="http://schemas.openxmlformats.org/officeDocument/2006/relationships/hyperlink" Target="https://statiz.sporki.com/player/?m=playerinfo&amp;p_no=1680" TargetMode="External"/><Relationship Id="rId16506" Type="http://schemas.openxmlformats.org/officeDocument/2006/relationships/hyperlink" Target="https://statiz.sporki.com/add/?m=draft_school01&amp;ps_school=50901" TargetMode="External"/><Relationship Id="rId4463" Type="http://schemas.openxmlformats.org/officeDocument/2006/relationships/hyperlink" Target="https://statiz.sporki.com/add/?m=draft_school01&amp;ps_school=50903" TargetMode="External"/><Relationship Id="rId5514" Type="http://schemas.openxmlformats.org/officeDocument/2006/relationships/hyperlink" Target="https://statiz.sporki.com/add/?m=draft_school02&amp;ps_school=" TargetMode="External"/><Relationship Id="rId14057" Type="http://schemas.openxmlformats.org/officeDocument/2006/relationships/hyperlink" Target="https://statiz.sporki.com/player/?m=playerinfo&amp;p_no=10289" TargetMode="External"/><Relationship Id="rId15108" Type="http://schemas.openxmlformats.org/officeDocument/2006/relationships/hyperlink" Target="https://statiz.sporki.com/player/?m=playerinfo&amp;p_no=1934" TargetMode="External"/><Relationship Id="rId18678" Type="http://schemas.openxmlformats.org/officeDocument/2006/relationships/hyperlink" Target="https://statiz.sporki.com/add/?m=draft_school01&amp;ps_school=50114" TargetMode="External"/><Relationship Id="rId3065" Type="http://schemas.openxmlformats.org/officeDocument/2006/relationships/hyperlink" Target="https://statiz.sporki.com/add/?m=draft_school01&amp;ps_school=" TargetMode="External"/><Relationship Id="rId4116" Type="http://schemas.openxmlformats.org/officeDocument/2006/relationships/hyperlink" Target="https://statiz.sporki.com/add/?m=draft_school02&amp;ps_school=60703" TargetMode="External"/><Relationship Id="rId7686" Type="http://schemas.openxmlformats.org/officeDocument/2006/relationships/hyperlink" Target="https://statiz.sporki.com/add/?m=draft_school02&amp;ps_school=60802" TargetMode="External"/><Relationship Id="rId8737" Type="http://schemas.openxmlformats.org/officeDocument/2006/relationships/hyperlink" Target="https://statiz.sporki.com/player/?m=playerinfo&amp;p_no=2297" TargetMode="External"/><Relationship Id="rId6288" Type="http://schemas.openxmlformats.org/officeDocument/2006/relationships/hyperlink" Target="https://statiz.sporki.com/add/?m=draft_school02&amp;ps_school=" TargetMode="External"/><Relationship Id="rId7339" Type="http://schemas.openxmlformats.org/officeDocument/2006/relationships/hyperlink" Target="https://statiz.sporki.com/player/?m=playerinfo&amp;p_no=10171" TargetMode="External"/><Relationship Id="rId10667" Type="http://schemas.openxmlformats.org/officeDocument/2006/relationships/hyperlink" Target="https://statiz.sporki.com/add/?m=draft_school01&amp;ps_school=50604" TargetMode="External"/><Relationship Id="rId11718" Type="http://schemas.openxmlformats.org/officeDocument/2006/relationships/hyperlink" Target="https://statiz.sporki.com/add/?m=draft_school02&amp;ps_school=60101" TargetMode="External"/><Relationship Id="rId13140" Type="http://schemas.openxmlformats.org/officeDocument/2006/relationships/hyperlink" Target="https://statiz.sporki.com/player/?m=playerinfo&amp;p_no=12881" TargetMode="External"/><Relationship Id="rId17761" Type="http://schemas.openxmlformats.org/officeDocument/2006/relationships/hyperlink" Target="https://statiz.sporki.com/add/?m=draft_school01&amp;ps_school=50208" TargetMode="External"/><Relationship Id="rId18812" Type="http://schemas.openxmlformats.org/officeDocument/2006/relationships/hyperlink" Target="https://statiz.sporki.com/add/?m=draft_school01&amp;ps_school=50203" TargetMode="External"/><Relationship Id="rId120" Type="http://schemas.openxmlformats.org/officeDocument/2006/relationships/hyperlink" Target="https://statiz.sporki.com/add/?m=draft_school02&amp;ps_school=" TargetMode="External"/><Relationship Id="rId2898" Type="http://schemas.openxmlformats.org/officeDocument/2006/relationships/hyperlink" Target="https://statiz.sporki.com/add/?m=draft_school02&amp;ps_school=" TargetMode="External"/><Relationship Id="rId3949" Type="http://schemas.openxmlformats.org/officeDocument/2006/relationships/hyperlink" Target="https://statiz.sporki.com/player/?m=playerinfo&amp;p_no=11408" TargetMode="External"/><Relationship Id="rId7820" Type="http://schemas.openxmlformats.org/officeDocument/2006/relationships/hyperlink" Target="https://statiz.sporki.com/add/?m=draft_school01&amp;ps_school=50711" TargetMode="External"/><Relationship Id="rId10801" Type="http://schemas.openxmlformats.org/officeDocument/2006/relationships/hyperlink" Target="https://statiz.sporki.com/player/?m=playerinfo&amp;p_no=1465" TargetMode="External"/><Relationship Id="rId16363" Type="http://schemas.openxmlformats.org/officeDocument/2006/relationships/hyperlink" Target="https://statiz.sporki.com/add/?m=draft_school01&amp;ps_school=50502" TargetMode="External"/><Relationship Id="rId17414" Type="http://schemas.openxmlformats.org/officeDocument/2006/relationships/hyperlink" Target="https://statiz.sporki.com/add/?m=draft_school01&amp;ps_school=50207" TargetMode="External"/><Relationship Id="rId5024" Type="http://schemas.openxmlformats.org/officeDocument/2006/relationships/hyperlink" Target="https://statiz.sporki.com/add/?m=draft_school01&amp;ps_school=50207" TargetMode="External"/><Relationship Id="rId5371" Type="http://schemas.openxmlformats.org/officeDocument/2006/relationships/hyperlink" Target="https://statiz.sporki.com/player/?m=playerinfo&amp;p_no=10670" TargetMode="External"/><Relationship Id="rId6422" Type="http://schemas.openxmlformats.org/officeDocument/2006/relationships/hyperlink" Target="https://statiz.sporki.com/add/?m=draft_school01&amp;ps_school=50805" TargetMode="External"/><Relationship Id="rId9992" Type="http://schemas.openxmlformats.org/officeDocument/2006/relationships/hyperlink" Target="https://statiz.sporki.com/add/?m=draft_school01&amp;ps_school=50501" TargetMode="External"/><Relationship Id="rId12973" Type="http://schemas.openxmlformats.org/officeDocument/2006/relationships/hyperlink" Target="https://statiz.sporki.com/player/?m=playerinfo&amp;p_no=13162" TargetMode="External"/><Relationship Id="rId16016" Type="http://schemas.openxmlformats.org/officeDocument/2006/relationships/hyperlink" Target="https://statiz.sporki.com/player/?m=playerinfo&amp;p_no=1241" TargetMode="External"/><Relationship Id="rId19586" Type="http://schemas.openxmlformats.org/officeDocument/2006/relationships/hyperlink" Target="https://statiz.sporki.com/add/?m=draft_school01&amp;ps_school=50114" TargetMode="External"/><Relationship Id="rId1981" Type="http://schemas.openxmlformats.org/officeDocument/2006/relationships/hyperlink" Target="https://statiz.sporki.com/player/?m=playerinfo&amp;p_no=14480" TargetMode="External"/><Relationship Id="rId8594" Type="http://schemas.openxmlformats.org/officeDocument/2006/relationships/hyperlink" Target="https://statiz.sporki.com/add/?m=draft_school01&amp;ps_school=50110" TargetMode="External"/><Relationship Id="rId9645" Type="http://schemas.openxmlformats.org/officeDocument/2006/relationships/hyperlink" Target="https://statiz.sporki.com/add/?m=draft_school02&amp;ps_school=60803" TargetMode="External"/><Relationship Id="rId11575" Type="http://schemas.openxmlformats.org/officeDocument/2006/relationships/hyperlink" Target="https://statiz.sporki.com/player/?m=playerinfo&amp;p_no=1189" TargetMode="External"/><Relationship Id="rId12626" Type="http://schemas.openxmlformats.org/officeDocument/2006/relationships/hyperlink" Target="https://statiz.sporki.com/player/?m=playerinfo&amp;p_no=14585" TargetMode="External"/><Relationship Id="rId18188" Type="http://schemas.openxmlformats.org/officeDocument/2006/relationships/hyperlink" Target="https://statiz.sporki.com/add/?m=draft_school01&amp;ps_school=50604" TargetMode="External"/><Relationship Id="rId19239" Type="http://schemas.openxmlformats.org/officeDocument/2006/relationships/hyperlink" Target="https://statiz.sporki.com/add/?m=draft_school01&amp;ps_school=50604" TargetMode="External"/><Relationship Id="rId1634" Type="http://schemas.openxmlformats.org/officeDocument/2006/relationships/hyperlink" Target="https://statiz.sporki.com/add/?m=draft_school01&amp;ps_school=50210" TargetMode="External"/><Relationship Id="rId7196" Type="http://schemas.openxmlformats.org/officeDocument/2006/relationships/hyperlink" Target="https://statiz.sporki.com/add/?m=draft_school01&amp;ps_school=50105" TargetMode="External"/><Relationship Id="rId8247" Type="http://schemas.openxmlformats.org/officeDocument/2006/relationships/hyperlink" Target="https://statiz.sporki.com/add/?m=draft_school02&amp;ps_school=60804" TargetMode="External"/><Relationship Id="rId10177" Type="http://schemas.openxmlformats.org/officeDocument/2006/relationships/hyperlink" Target="https://statiz.sporki.com/player/?m=playerinfo&amp;p_no=10080" TargetMode="External"/><Relationship Id="rId11228" Type="http://schemas.openxmlformats.org/officeDocument/2006/relationships/hyperlink" Target="https://statiz.sporki.com/add/?m=draft_school01&amp;ps_school=50125" TargetMode="External"/><Relationship Id="rId4857" Type="http://schemas.openxmlformats.org/officeDocument/2006/relationships/hyperlink" Target="https://statiz.sporki.com/add/?m=draft_school02&amp;ps_school=" TargetMode="External"/><Relationship Id="rId14798" Type="http://schemas.openxmlformats.org/officeDocument/2006/relationships/hyperlink" Target="https://statiz.sporki.com/player/?m=playerinfo&amp;p_no=2141" TargetMode="External"/><Relationship Id="rId15849" Type="http://schemas.openxmlformats.org/officeDocument/2006/relationships/hyperlink" Target="https://statiz.sporki.com/player/?m=playerinfo&amp;p_no=1290" TargetMode="External"/><Relationship Id="rId17271" Type="http://schemas.openxmlformats.org/officeDocument/2006/relationships/hyperlink" Target="https://statiz.sporki.com/add/?m=draft_school01&amp;ps_school=50209" TargetMode="External"/><Relationship Id="rId3459" Type="http://schemas.openxmlformats.org/officeDocument/2006/relationships/hyperlink" Target="https://statiz.sporki.com/add/?m=draft_school02&amp;ps_school=60108" TargetMode="External"/><Relationship Id="rId5908" Type="http://schemas.openxmlformats.org/officeDocument/2006/relationships/hyperlink" Target="https://statiz.sporki.com/player/?m=playerinfo&amp;p_no=10340" TargetMode="External"/><Relationship Id="rId7330" Type="http://schemas.openxmlformats.org/officeDocument/2006/relationships/hyperlink" Target="https://statiz.sporki.com/player/?m=playerinfo&amp;p_no=2227" TargetMode="External"/><Relationship Id="rId18322" Type="http://schemas.openxmlformats.org/officeDocument/2006/relationships/hyperlink" Target="https://statiz.sporki.com/add/?m=draft_school01&amp;ps_school=50106" TargetMode="External"/><Relationship Id="rId10311" Type="http://schemas.openxmlformats.org/officeDocument/2006/relationships/hyperlink" Target="https://statiz.sporki.com/add/?m=draft_school02&amp;ps_school=60109" TargetMode="External"/><Relationship Id="rId13881" Type="http://schemas.openxmlformats.org/officeDocument/2006/relationships/hyperlink" Target="https://statiz.sporki.com/player/?m=playerinfo&amp;p_no=10717" TargetMode="External"/><Relationship Id="rId14932" Type="http://schemas.openxmlformats.org/officeDocument/2006/relationships/hyperlink" Target="https://statiz.sporki.com/player/?m=playerinfo&amp;p_no=10317" TargetMode="External"/><Relationship Id="rId3940" Type="http://schemas.openxmlformats.org/officeDocument/2006/relationships/hyperlink" Target="https://statiz.sporki.com/player/?m=playerinfo&amp;p_no=11395" TargetMode="External"/><Relationship Id="rId9155" Type="http://schemas.openxmlformats.org/officeDocument/2006/relationships/hyperlink" Target="https://statiz.sporki.com/add/?m=draft_school01&amp;ps_school=50901" TargetMode="External"/><Relationship Id="rId12483" Type="http://schemas.openxmlformats.org/officeDocument/2006/relationships/hyperlink" Target="https://statiz.sporki.com/player/?m=playerinfo&amp;p_no=14763" TargetMode="External"/><Relationship Id="rId13534" Type="http://schemas.openxmlformats.org/officeDocument/2006/relationships/hyperlink" Target="https://statiz.sporki.com/player/?m=playerinfo&amp;p_no=13250" TargetMode="External"/><Relationship Id="rId19096" Type="http://schemas.openxmlformats.org/officeDocument/2006/relationships/hyperlink" Target="https://statiz.sporki.com/add/?m=draft_school01&amp;ps_school=50108" TargetMode="External"/><Relationship Id="rId861" Type="http://schemas.openxmlformats.org/officeDocument/2006/relationships/hyperlink" Target="https://statiz.sporki.com/add/?m=draft_school02&amp;ps_school=61129" TargetMode="External"/><Relationship Id="rId1491" Type="http://schemas.openxmlformats.org/officeDocument/2006/relationships/hyperlink" Target="https://statiz.sporki.com/add/?m=draft_school02&amp;ps_school=" TargetMode="External"/><Relationship Id="rId2542" Type="http://schemas.openxmlformats.org/officeDocument/2006/relationships/hyperlink" Target="https://statiz.sporki.com/player/?m=playerinfo&amp;p_no=13132" TargetMode="External"/><Relationship Id="rId11085" Type="http://schemas.openxmlformats.org/officeDocument/2006/relationships/hyperlink" Target="https://statiz.sporki.com/add/?m=draft_school02&amp;ps_school=60103" TargetMode="External"/><Relationship Id="rId12136" Type="http://schemas.openxmlformats.org/officeDocument/2006/relationships/hyperlink" Target="https://statiz.sporki.com/player/?m=playerinfo&amp;p_no=1074" TargetMode="External"/><Relationship Id="rId16757" Type="http://schemas.openxmlformats.org/officeDocument/2006/relationships/hyperlink" Target="https://statiz.sporki.com/add/?m=draft_school01&amp;ps_school=50810" TargetMode="External"/><Relationship Id="rId17808" Type="http://schemas.openxmlformats.org/officeDocument/2006/relationships/hyperlink" Target="https://statiz.sporki.com/add/?m=draft_school01&amp;ps_school=50703" TargetMode="External"/><Relationship Id="rId514" Type="http://schemas.openxmlformats.org/officeDocument/2006/relationships/hyperlink" Target="https://statiz.sporki.com/player/?m=playerinfo&amp;p_no=15111" TargetMode="External"/><Relationship Id="rId1144" Type="http://schemas.openxmlformats.org/officeDocument/2006/relationships/hyperlink" Target="https://statiz.sporki.com/player/?m=playerinfo&amp;p_no=14827" TargetMode="External"/><Relationship Id="rId5765" Type="http://schemas.openxmlformats.org/officeDocument/2006/relationships/hyperlink" Target="https://statiz.sporki.com/add/?m=draft_school01&amp;ps_school=50203" TargetMode="External"/><Relationship Id="rId6816" Type="http://schemas.openxmlformats.org/officeDocument/2006/relationships/hyperlink" Target="https://statiz.sporki.com/add/?m=draft_school02&amp;ps_school=" TargetMode="External"/><Relationship Id="rId15359" Type="http://schemas.openxmlformats.org/officeDocument/2006/relationships/hyperlink" Target="https://statiz.sporki.com/player/?m=playerinfo&amp;p_no=1779" TargetMode="External"/><Relationship Id="rId19230" Type="http://schemas.openxmlformats.org/officeDocument/2006/relationships/hyperlink" Target="https://statiz.sporki.com/add/?m=draft_school01&amp;ps_school=50501" TargetMode="External"/><Relationship Id="rId4367" Type="http://schemas.openxmlformats.org/officeDocument/2006/relationships/hyperlink" Target="https://statiz.sporki.com/add/?m=draft_school01&amp;ps_school=" TargetMode="External"/><Relationship Id="rId5418" Type="http://schemas.openxmlformats.org/officeDocument/2006/relationships/hyperlink" Target="https://statiz.sporki.com/add/?m=draft_school02&amp;ps_school=60703" TargetMode="External"/><Relationship Id="rId8988" Type="http://schemas.openxmlformats.org/officeDocument/2006/relationships/hyperlink" Target="https://statiz.sporki.com/add/?m=draft_school02&amp;ps_school=60102" TargetMode="External"/><Relationship Id="rId11969" Type="http://schemas.openxmlformats.org/officeDocument/2006/relationships/hyperlink" Target="https://statiz.sporki.com/add/?m=draft_school01&amp;ps_school=50202" TargetMode="External"/><Relationship Id="rId15840" Type="http://schemas.openxmlformats.org/officeDocument/2006/relationships/hyperlink" Target="https://statiz.sporki.com/player/?m=playerinfo&amp;p_no=11432" TargetMode="External"/><Relationship Id="rId13391" Type="http://schemas.openxmlformats.org/officeDocument/2006/relationships/hyperlink" Target="https://statiz.sporki.com/player/?m=playerinfo&amp;p_no=11362" TargetMode="External"/><Relationship Id="rId14442" Type="http://schemas.openxmlformats.org/officeDocument/2006/relationships/hyperlink" Target="https://statiz.sporki.com/player/?m=playerinfo&amp;p_no=2384" TargetMode="External"/><Relationship Id="rId371" Type="http://schemas.openxmlformats.org/officeDocument/2006/relationships/hyperlink" Target="https://statiz.sporki.com/add/?m=draft_school01&amp;ps_school=" TargetMode="External"/><Relationship Id="rId2052" Type="http://schemas.openxmlformats.org/officeDocument/2006/relationships/hyperlink" Target="https://statiz.sporki.com/add/?m=draft_school02&amp;ps_school=" TargetMode="External"/><Relationship Id="rId3450" Type="http://schemas.openxmlformats.org/officeDocument/2006/relationships/hyperlink" Target="https://statiz.sporki.com/add/?m=draft_school02&amp;ps_school=" TargetMode="External"/><Relationship Id="rId4501" Type="http://schemas.openxmlformats.org/officeDocument/2006/relationships/hyperlink" Target="https://statiz.sporki.com/player/?m=playerinfo&amp;p_no=11314" TargetMode="External"/><Relationship Id="rId13044" Type="http://schemas.openxmlformats.org/officeDocument/2006/relationships/hyperlink" Target="https://statiz.sporki.com/player/?m=playerinfo&amp;p_no=13196" TargetMode="External"/><Relationship Id="rId17665" Type="http://schemas.openxmlformats.org/officeDocument/2006/relationships/hyperlink" Target="https://statiz.sporki.com/add/?m=draft_school01&amp;ps_school=50208" TargetMode="External"/><Relationship Id="rId18716" Type="http://schemas.openxmlformats.org/officeDocument/2006/relationships/hyperlink" Target="https://statiz.sporki.com/add/?m=draft_school01&amp;ps_school=50209" TargetMode="External"/><Relationship Id="rId3103" Type="http://schemas.openxmlformats.org/officeDocument/2006/relationships/hyperlink" Target="https://statiz.sporki.com/player/?m=playerinfo&amp;p_no=12961" TargetMode="External"/><Relationship Id="rId6673" Type="http://schemas.openxmlformats.org/officeDocument/2006/relationships/hyperlink" Target="https://statiz.sporki.com/player/?m=playerinfo&amp;p_no=10212" TargetMode="External"/><Relationship Id="rId7724" Type="http://schemas.openxmlformats.org/officeDocument/2006/relationships/hyperlink" Target="https://statiz.sporki.com/add/?m=draft_school01&amp;ps_school=" TargetMode="External"/><Relationship Id="rId10705" Type="http://schemas.openxmlformats.org/officeDocument/2006/relationships/hyperlink" Target="https://statiz.sporki.com/player/?m=playerinfo&amp;p_no=1453" TargetMode="External"/><Relationship Id="rId16267" Type="http://schemas.openxmlformats.org/officeDocument/2006/relationships/hyperlink" Target="https://statiz.sporki.com/add/?m=draft_school01&amp;ps_school=50807" TargetMode="External"/><Relationship Id="rId17318" Type="http://schemas.openxmlformats.org/officeDocument/2006/relationships/hyperlink" Target="https://statiz.sporki.com/add/?m=draft_school01&amp;ps_school=50110" TargetMode="External"/><Relationship Id="rId5275" Type="http://schemas.openxmlformats.org/officeDocument/2006/relationships/hyperlink" Target="https://statiz.sporki.com/player/?m=playerinfo&amp;p_no=10736" TargetMode="External"/><Relationship Id="rId6326" Type="http://schemas.openxmlformats.org/officeDocument/2006/relationships/hyperlink" Target="https://statiz.sporki.com/add/?m=draft_school01&amp;ps_school=50501" TargetMode="External"/><Relationship Id="rId9896" Type="http://schemas.openxmlformats.org/officeDocument/2006/relationships/hyperlink" Target="https://statiz.sporki.com/add/?m=draft_school01&amp;ps_school=50105" TargetMode="External"/><Relationship Id="rId1885" Type="http://schemas.openxmlformats.org/officeDocument/2006/relationships/hyperlink" Target="https://statiz.sporki.com/player/?m=playerinfo&amp;p_no=14155" TargetMode="External"/><Relationship Id="rId2936" Type="http://schemas.openxmlformats.org/officeDocument/2006/relationships/hyperlink" Target="https://statiz.sporki.com/add/?m=draft_school01&amp;ps_school=50103" TargetMode="External"/><Relationship Id="rId8498" Type="http://schemas.openxmlformats.org/officeDocument/2006/relationships/hyperlink" Target="https://statiz.sporki.com/add/?m=draft_school01&amp;ps_school=50202" TargetMode="External"/><Relationship Id="rId9549" Type="http://schemas.openxmlformats.org/officeDocument/2006/relationships/hyperlink" Target="https://statiz.sporki.com/add/?m=draft_school02&amp;ps_school=60802" TargetMode="External"/><Relationship Id="rId11479" Type="http://schemas.openxmlformats.org/officeDocument/2006/relationships/hyperlink" Target="https://statiz.sporki.com/player/?m=playerinfo&amp;p_no=1231" TargetMode="External"/><Relationship Id="rId12877" Type="http://schemas.openxmlformats.org/officeDocument/2006/relationships/hyperlink" Target="https://statiz.sporki.com/player/?m=playerinfo&amp;p_no=14226" TargetMode="External"/><Relationship Id="rId13928" Type="http://schemas.openxmlformats.org/officeDocument/2006/relationships/hyperlink" Target="https://statiz.sporki.com/player/?m=playerinfo&amp;p_no=10724" TargetMode="External"/><Relationship Id="rId15350" Type="http://schemas.openxmlformats.org/officeDocument/2006/relationships/hyperlink" Target="https://statiz.sporki.com/player/?m=playerinfo&amp;p_no=1729" TargetMode="External"/><Relationship Id="rId908" Type="http://schemas.openxmlformats.org/officeDocument/2006/relationships/hyperlink" Target="https://statiz.sporki.com/add/?m=draft_school01&amp;ps_school=50601" TargetMode="External"/><Relationship Id="rId1538" Type="http://schemas.openxmlformats.org/officeDocument/2006/relationships/hyperlink" Target="https://statiz.sporki.com/add/?m=draft_school01&amp;ps_school=50105" TargetMode="External"/><Relationship Id="rId15003" Type="http://schemas.openxmlformats.org/officeDocument/2006/relationships/hyperlink" Target="https://statiz.sporki.com/player/?m=playerinfo&amp;p_no=10314" TargetMode="External"/><Relationship Id="rId16401" Type="http://schemas.openxmlformats.org/officeDocument/2006/relationships/hyperlink" Target="https://statiz.sporki.com/add/?m=draft_school01&amp;ps_school=50116" TargetMode="External"/><Relationship Id="rId4011" Type="http://schemas.openxmlformats.org/officeDocument/2006/relationships/hyperlink" Target="https://statiz.sporki.com/add/?m=draft_school02&amp;ps_school=" TargetMode="External"/><Relationship Id="rId11960" Type="http://schemas.openxmlformats.org/officeDocument/2006/relationships/hyperlink" Target="https://statiz.sporki.com/add/?m=draft_school01&amp;ps_school=50209" TargetMode="External"/><Relationship Id="rId18573" Type="http://schemas.openxmlformats.org/officeDocument/2006/relationships/hyperlink" Target="https://statiz.sporki.com/add/?m=draft_school01&amp;ps_school=50606" TargetMode="External"/><Relationship Id="rId19624" Type="http://schemas.openxmlformats.org/officeDocument/2006/relationships/hyperlink" Target="https://statiz.sporki.com/add/?m=draft_school01&amp;ps_school=50209" TargetMode="External"/><Relationship Id="rId6183" Type="http://schemas.openxmlformats.org/officeDocument/2006/relationships/hyperlink" Target="https://statiz.sporki.com/add/?m=draft_school02&amp;ps_school=" TargetMode="External"/><Relationship Id="rId7234" Type="http://schemas.openxmlformats.org/officeDocument/2006/relationships/hyperlink" Target="https://statiz.sporki.com/player/?m=playerinfo&amp;p_no=2282" TargetMode="External"/><Relationship Id="rId7581" Type="http://schemas.openxmlformats.org/officeDocument/2006/relationships/hyperlink" Target="https://statiz.sporki.com/add/?m=draft_school02&amp;ps_school=" TargetMode="External"/><Relationship Id="rId8632" Type="http://schemas.openxmlformats.org/officeDocument/2006/relationships/hyperlink" Target="https://statiz.sporki.com/player/?m=playerinfo&amp;p_no=1982" TargetMode="External"/><Relationship Id="rId10562" Type="http://schemas.openxmlformats.org/officeDocument/2006/relationships/hyperlink" Target="https://statiz.sporki.com/add/?m=draft_school01&amp;ps_school=50402" TargetMode="External"/><Relationship Id="rId11613" Type="http://schemas.openxmlformats.org/officeDocument/2006/relationships/hyperlink" Target="https://statiz.sporki.com/add/?m=draft_school02&amp;ps_school=60101" TargetMode="External"/><Relationship Id="rId17175" Type="http://schemas.openxmlformats.org/officeDocument/2006/relationships/hyperlink" Target="https://statiz.sporki.com/add/?m=draft_school01&amp;ps_school=50207" TargetMode="External"/><Relationship Id="rId18226" Type="http://schemas.openxmlformats.org/officeDocument/2006/relationships/hyperlink" Target="https://statiz.sporki.com/add/?m=draft_school01&amp;ps_school=50403" TargetMode="External"/><Relationship Id="rId10215" Type="http://schemas.openxmlformats.org/officeDocument/2006/relationships/hyperlink" Target="https://statiz.sporki.com/add/?m=draft_school02&amp;ps_school=" TargetMode="External"/><Relationship Id="rId13785" Type="http://schemas.openxmlformats.org/officeDocument/2006/relationships/hyperlink" Target="https://statiz.sporki.com/player/?m=playerinfo&amp;p_no=10895" TargetMode="External"/><Relationship Id="rId14836" Type="http://schemas.openxmlformats.org/officeDocument/2006/relationships/hyperlink" Target="https://statiz.sporki.com/player/?m=playerinfo&amp;p_no=2106" TargetMode="External"/><Relationship Id="rId2793" Type="http://schemas.openxmlformats.org/officeDocument/2006/relationships/hyperlink" Target="https://statiz.sporki.com/add/?m=draft_school02&amp;ps_school=" TargetMode="External"/><Relationship Id="rId3844" Type="http://schemas.openxmlformats.org/officeDocument/2006/relationships/hyperlink" Target="https://statiz.sporki.com/player/?m=playerinfo&amp;p_no=14686" TargetMode="External"/><Relationship Id="rId12387" Type="http://schemas.openxmlformats.org/officeDocument/2006/relationships/hyperlink" Target="https://statiz.sporki.com/player/?m=playerinfo&amp;p_no=15042" TargetMode="External"/><Relationship Id="rId13438" Type="http://schemas.openxmlformats.org/officeDocument/2006/relationships/hyperlink" Target="https://statiz.sporki.com/player/?m=playerinfo&amp;p_no=11324" TargetMode="External"/><Relationship Id="rId765" Type="http://schemas.openxmlformats.org/officeDocument/2006/relationships/hyperlink" Target="https://statiz.sporki.com/add/?m=draft_school02&amp;ps_school=" TargetMode="External"/><Relationship Id="rId1395" Type="http://schemas.openxmlformats.org/officeDocument/2006/relationships/hyperlink" Target="https://statiz.sporki.com/add/?m=draft_school02&amp;ps_school=" TargetMode="External"/><Relationship Id="rId2446" Type="http://schemas.openxmlformats.org/officeDocument/2006/relationships/hyperlink" Target="https://statiz.sporki.com/player/?m=playerinfo&amp;p_no=13107" TargetMode="External"/><Relationship Id="rId9059" Type="http://schemas.openxmlformats.org/officeDocument/2006/relationships/hyperlink" Target="https://statiz.sporki.com/add/?m=draft_school01&amp;ps_school=50711" TargetMode="External"/><Relationship Id="rId19481" Type="http://schemas.openxmlformats.org/officeDocument/2006/relationships/hyperlink" Target="https://statiz.sporki.com/add/?m=draft_school01&amp;ps_school=50711" TargetMode="External"/><Relationship Id="rId418" Type="http://schemas.openxmlformats.org/officeDocument/2006/relationships/hyperlink" Target="https://statiz.sporki.com/player/?m=playerinfo&amp;p_no=15618" TargetMode="External"/><Relationship Id="rId1048" Type="http://schemas.openxmlformats.org/officeDocument/2006/relationships/hyperlink" Target="https://statiz.sporki.com/player/?m=playerinfo&amp;p_no=14778" TargetMode="External"/><Relationship Id="rId5669" Type="http://schemas.openxmlformats.org/officeDocument/2006/relationships/hyperlink" Target="https://statiz.sporki.com/add/?m=draft_school01&amp;ps_school=" TargetMode="External"/><Relationship Id="rId9540" Type="http://schemas.openxmlformats.org/officeDocument/2006/relationships/hyperlink" Target="https://statiz.sporki.com/add/?m=draft_school02&amp;ps_school=" TargetMode="External"/><Relationship Id="rId18083" Type="http://schemas.openxmlformats.org/officeDocument/2006/relationships/hyperlink" Target="https://statiz.sporki.com/add/?m=draft_school01&amp;ps_school=50903" TargetMode="External"/><Relationship Id="rId19134" Type="http://schemas.openxmlformats.org/officeDocument/2006/relationships/hyperlink" Target="https://statiz.sporki.com/add/?m=draft_school01&amp;ps_school=50608" TargetMode="External"/><Relationship Id="rId7091" Type="http://schemas.openxmlformats.org/officeDocument/2006/relationships/hyperlink" Target="https://statiz.sporki.com/add/?m=draft_school01&amp;ps_school=50201" TargetMode="External"/><Relationship Id="rId8142" Type="http://schemas.openxmlformats.org/officeDocument/2006/relationships/hyperlink" Target="https://statiz.sporki.com/add/?m=draft_school02&amp;ps_school=60103" TargetMode="External"/><Relationship Id="rId10072" Type="http://schemas.openxmlformats.org/officeDocument/2006/relationships/hyperlink" Target="https://statiz.sporki.com/player/?m=playerinfo&amp;p_no=1587" TargetMode="External"/><Relationship Id="rId11470" Type="http://schemas.openxmlformats.org/officeDocument/2006/relationships/hyperlink" Target="https://statiz.sporki.com/player/?m=playerinfo&amp;p_no=1221" TargetMode="External"/><Relationship Id="rId12521" Type="http://schemas.openxmlformats.org/officeDocument/2006/relationships/hyperlink" Target="https://statiz.sporki.com/player/?m=playerinfo&amp;p_no=14870" TargetMode="External"/><Relationship Id="rId11123" Type="http://schemas.openxmlformats.org/officeDocument/2006/relationships/hyperlink" Target="https://statiz.sporki.com/add/?m=draft_school01&amp;ps_school=50403" TargetMode="External"/><Relationship Id="rId14693" Type="http://schemas.openxmlformats.org/officeDocument/2006/relationships/hyperlink" Target="https://statiz.sporki.com/player/?m=playerinfo&amp;p_no=10664" TargetMode="External"/><Relationship Id="rId15744" Type="http://schemas.openxmlformats.org/officeDocument/2006/relationships/hyperlink" Target="https://statiz.sporki.com/player/?m=playerinfo&amp;p_no=1463" TargetMode="External"/><Relationship Id="rId4752" Type="http://schemas.openxmlformats.org/officeDocument/2006/relationships/hyperlink" Target="https://statiz.sporki.com/add/?m=draft_school02&amp;ps_school=" TargetMode="External"/><Relationship Id="rId5803" Type="http://schemas.openxmlformats.org/officeDocument/2006/relationships/hyperlink" Target="https://statiz.sporki.com/player/?m=playerinfo&amp;p_no=10072" TargetMode="External"/><Relationship Id="rId13295" Type="http://schemas.openxmlformats.org/officeDocument/2006/relationships/hyperlink" Target="https://statiz.sporki.com/player/?m=playerinfo&amp;p_no=12619" TargetMode="External"/><Relationship Id="rId14346" Type="http://schemas.openxmlformats.org/officeDocument/2006/relationships/hyperlink" Target="https://statiz.sporki.com/player/?m=playerinfo&amp;p_no=11092" TargetMode="External"/><Relationship Id="rId18967" Type="http://schemas.openxmlformats.org/officeDocument/2006/relationships/hyperlink" Target="https://statiz.sporki.com/add/?m=draft_school01&amp;ps_school=50403" TargetMode="External"/><Relationship Id="rId3354" Type="http://schemas.openxmlformats.org/officeDocument/2006/relationships/hyperlink" Target="https://statiz.sporki.com/add/?m=draft_school02&amp;ps_school=60115" TargetMode="External"/><Relationship Id="rId4405" Type="http://schemas.openxmlformats.org/officeDocument/2006/relationships/hyperlink" Target="https://statiz.sporki.com/player/?m=playerinfo&amp;p_no=12943" TargetMode="External"/><Relationship Id="rId7975" Type="http://schemas.openxmlformats.org/officeDocument/2006/relationships/hyperlink" Target="https://statiz.sporki.com/player/?m=playerinfo&amp;p_no=2160" TargetMode="External"/><Relationship Id="rId17569" Type="http://schemas.openxmlformats.org/officeDocument/2006/relationships/hyperlink" Target="https://statiz.sporki.com/add/?m=draft_school01&amp;ps_school=50803" TargetMode="External"/><Relationship Id="rId275" Type="http://schemas.openxmlformats.org/officeDocument/2006/relationships/hyperlink" Target="https://statiz.sporki.com/add/?m=draft_school01&amp;ps_school=50101" TargetMode="External"/><Relationship Id="rId3007" Type="http://schemas.openxmlformats.org/officeDocument/2006/relationships/hyperlink" Target="https://statiz.sporki.com/player/?m=playerinfo&amp;p_no=13230" TargetMode="External"/><Relationship Id="rId6577" Type="http://schemas.openxmlformats.org/officeDocument/2006/relationships/hyperlink" Target="https://statiz.sporki.com/player/?m=playerinfo&amp;p_no=10281" TargetMode="External"/><Relationship Id="rId7628" Type="http://schemas.openxmlformats.org/officeDocument/2006/relationships/hyperlink" Target="https://statiz.sporki.com/add/?m=draft_school01&amp;ps_school=50805" TargetMode="External"/><Relationship Id="rId10956" Type="http://schemas.openxmlformats.org/officeDocument/2006/relationships/hyperlink" Target="https://statiz.sporki.com/add/?m=draft_school02&amp;ps_school=" TargetMode="External"/><Relationship Id="rId5179" Type="http://schemas.openxmlformats.org/officeDocument/2006/relationships/hyperlink" Target="https://statiz.sporki.com/player/?m=playerinfo&amp;p_no=11309" TargetMode="External"/><Relationship Id="rId9050" Type="http://schemas.openxmlformats.org/officeDocument/2006/relationships/hyperlink" Target="https://statiz.sporki.com/add/?m=draft_school01&amp;ps_school=50106" TargetMode="External"/><Relationship Id="rId10609" Type="http://schemas.openxmlformats.org/officeDocument/2006/relationships/hyperlink" Target="https://statiz.sporki.com/player/?m=playerinfo&amp;p_no=1462" TargetMode="External"/><Relationship Id="rId12031" Type="http://schemas.openxmlformats.org/officeDocument/2006/relationships/hyperlink" Target="https://statiz.sporki.com/player/?m=playerinfo&amp;p_no=1038" TargetMode="External"/><Relationship Id="rId16652" Type="http://schemas.openxmlformats.org/officeDocument/2006/relationships/hyperlink" Target="https://statiz.sporki.com/add/?m=draft_school01&amp;ps_school=50208" TargetMode="External"/><Relationship Id="rId17703" Type="http://schemas.openxmlformats.org/officeDocument/2006/relationships/hyperlink" Target="https://statiz.sporki.com/add/?m=draft_school01&amp;ps_school=50116" TargetMode="External"/><Relationship Id="rId1789" Type="http://schemas.openxmlformats.org/officeDocument/2006/relationships/hyperlink" Target="https://statiz.sporki.com/player/?m=playerinfo&amp;p_no=14672" TargetMode="External"/><Relationship Id="rId4262" Type="http://schemas.openxmlformats.org/officeDocument/2006/relationships/hyperlink" Target="https://statiz.sporki.com/add/?m=draft_school01&amp;ps_school=50501" TargetMode="External"/><Relationship Id="rId5660" Type="http://schemas.openxmlformats.org/officeDocument/2006/relationships/hyperlink" Target="https://statiz.sporki.com/add/?m=draft_school01&amp;ps_school=" TargetMode="External"/><Relationship Id="rId6711" Type="http://schemas.openxmlformats.org/officeDocument/2006/relationships/hyperlink" Target="https://statiz.sporki.com/add/?m=draft_school02&amp;ps_school=" TargetMode="External"/><Relationship Id="rId15254" Type="http://schemas.openxmlformats.org/officeDocument/2006/relationships/hyperlink" Target="https://statiz.sporki.com/player/?m=playerinfo&amp;p_no=1864" TargetMode="External"/><Relationship Id="rId16305" Type="http://schemas.openxmlformats.org/officeDocument/2006/relationships/hyperlink" Target="https://statiz.sporki.com/add/?m=draft_school01&amp;ps_school=50703" TargetMode="External"/><Relationship Id="rId5313" Type="http://schemas.openxmlformats.org/officeDocument/2006/relationships/hyperlink" Target="https://statiz.sporki.com/add/?m=draft_school02&amp;ps_school=" TargetMode="External"/><Relationship Id="rId8883" Type="http://schemas.openxmlformats.org/officeDocument/2006/relationships/hyperlink" Target="https://statiz.sporki.com/add/?m=draft_school02&amp;ps_school=60802" TargetMode="External"/><Relationship Id="rId9934" Type="http://schemas.openxmlformats.org/officeDocument/2006/relationships/hyperlink" Target="https://statiz.sporki.com/player/?m=playerinfo&amp;p_no=1798" TargetMode="External"/><Relationship Id="rId11864" Type="http://schemas.openxmlformats.org/officeDocument/2006/relationships/hyperlink" Target="https://statiz.sporki.com/add/?m=draft_school01&amp;ps_school=50109" TargetMode="External"/><Relationship Id="rId12915" Type="http://schemas.openxmlformats.org/officeDocument/2006/relationships/hyperlink" Target="https://statiz.sporki.com/player/?m=playerinfo&amp;p_no=13114" TargetMode="External"/><Relationship Id="rId18477" Type="http://schemas.openxmlformats.org/officeDocument/2006/relationships/hyperlink" Target="https://statiz.sporki.com/add/?m=draft_school01&amp;ps_school=50705" TargetMode="External"/><Relationship Id="rId19528" Type="http://schemas.openxmlformats.org/officeDocument/2006/relationships/hyperlink" Target="https://statiz.sporki.com/add/?m=draft_school01&amp;ps_school=50711" TargetMode="External"/><Relationship Id="rId1923" Type="http://schemas.openxmlformats.org/officeDocument/2006/relationships/hyperlink" Target="https://statiz.sporki.com/add/?m=draft_school02&amp;ps_school=" TargetMode="External"/><Relationship Id="rId7485" Type="http://schemas.openxmlformats.org/officeDocument/2006/relationships/hyperlink" Target="https://statiz.sporki.com/add/?m=draft_school02&amp;ps_school=" TargetMode="External"/><Relationship Id="rId8536" Type="http://schemas.openxmlformats.org/officeDocument/2006/relationships/hyperlink" Target="https://statiz.sporki.com/player/?m=playerinfo&amp;p_no=2054" TargetMode="External"/><Relationship Id="rId10466" Type="http://schemas.openxmlformats.org/officeDocument/2006/relationships/hyperlink" Target="https://statiz.sporki.com/add/?m=draft_school01&amp;ps_school=50804" TargetMode="External"/><Relationship Id="rId11517" Type="http://schemas.openxmlformats.org/officeDocument/2006/relationships/hyperlink" Target="https://statiz.sporki.com/add/?m=draft_school02&amp;ps_school=60113" TargetMode="External"/><Relationship Id="rId17079" Type="http://schemas.openxmlformats.org/officeDocument/2006/relationships/hyperlink" Target="https://statiz.sporki.com/add/?m=draft_school01&amp;ps_school=50809" TargetMode="External"/><Relationship Id="rId6087" Type="http://schemas.openxmlformats.org/officeDocument/2006/relationships/hyperlink" Target="https://statiz.sporki.com/add/?m=draft_school02&amp;ps_school=60106" TargetMode="External"/><Relationship Id="rId7138" Type="http://schemas.openxmlformats.org/officeDocument/2006/relationships/hyperlink" Target="https://statiz.sporki.com/player/?m=playerinfo&amp;p_no=10570" TargetMode="External"/><Relationship Id="rId10119" Type="http://schemas.openxmlformats.org/officeDocument/2006/relationships/hyperlink" Target="https://statiz.sporki.com/add/?m=draft_school02&amp;ps_school=60803" TargetMode="External"/><Relationship Id="rId13689" Type="http://schemas.openxmlformats.org/officeDocument/2006/relationships/hyperlink" Target="https://statiz.sporki.com/player/?m=playerinfo&amp;p_no=13184" TargetMode="External"/><Relationship Id="rId17560" Type="http://schemas.openxmlformats.org/officeDocument/2006/relationships/hyperlink" Target="https://statiz.sporki.com/add/?m=draft_school01&amp;ps_school=50802" TargetMode="External"/><Relationship Id="rId2697" Type="http://schemas.openxmlformats.org/officeDocument/2006/relationships/hyperlink" Target="https://statiz.sporki.com/add/?m=draft_school02&amp;ps_school=" TargetMode="External"/><Relationship Id="rId3748" Type="http://schemas.openxmlformats.org/officeDocument/2006/relationships/hyperlink" Target="https://statiz.sporki.com/player/?m=playerinfo&amp;p_no=11362" TargetMode="External"/><Relationship Id="rId16162" Type="http://schemas.openxmlformats.org/officeDocument/2006/relationships/hyperlink" Target="https://statiz.sporki.com/player/?m=playerinfo&amp;p_no=1104" TargetMode="External"/><Relationship Id="rId17213" Type="http://schemas.openxmlformats.org/officeDocument/2006/relationships/hyperlink" Target="https://statiz.sporki.com/add/?m=draft_school01&amp;ps_school=50301" TargetMode="External"/><Relationship Id="rId18611" Type="http://schemas.openxmlformats.org/officeDocument/2006/relationships/hyperlink" Target="https://statiz.sporki.com/add/?m=draft_school01&amp;ps_school=50401" TargetMode="External"/><Relationship Id="rId669" Type="http://schemas.openxmlformats.org/officeDocument/2006/relationships/hyperlink" Target="https://statiz.sporki.com/add/?m=draft_school02&amp;ps_school=" TargetMode="External"/><Relationship Id="rId1299" Type="http://schemas.openxmlformats.org/officeDocument/2006/relationships/hyperlink" Target="https://statiz.sporki.com/add/?m=draft_school02&amp;ps_school=61107" TargetMode="External"/><Relationship Id="rId5170" Type="http://schemas.openxmlformats.org/officeDocument/2006/relationships/hyperlink" Target="https://statiz.sporki.com/player/?m=playerinfo&amp;p_no=10784" TargetMode="External"/><Relationship Id="rId6221" Type="http://schemas.openxmlformats.org/officeDocument/2006/relationships/hyperlink" Target="https://statiz.sporki.com/add/?m=draft_school01&amp;ps_school=" TargetMode="External"/><Relationship Id="rId10600" Type="http://schemas.openxmlformats.org/officeDocument/2006/relationships/hyperlink" Target="https://statiz.sporki.com/player/?m=playerinfo&amp;p_no=1493" TargetMode="External"/><Relationship Id="rId8393" Type="http://schemas.openxmlformats.org/officeDocument/2006/relationships/hyperlink" Target="https://statiz.sporki.com/add/?m=draft_school01&amp;ps_school=50116" TargetMode="External"/><Relationship Id="rId9444" Type="http://schemas.openxmlformats.org/officeDocument/2006/relationships/hyperlink" Target="https://statiz.sporki.com/add/?m=draft_school02&amp;ps_school=" TargetMode="External"/><Relationship Id="rId9791" Type="http://schemas.openxmlformats.org/officeDocument/2006/relationships/hyperlink" Target="https://statiz.sporki.com/add/?m=draft_school01&amp;ps_school=50209" TargetMode="External"/><Relationship Id="rId12772" Type="http://schemas.openxmlformats.org/officeDocument/2006/relationships/hyperlink" Target="https://statiz.sporki.com/player/?m=playerinfo&amp;p_no=14131" TargetMode="External"/><Relationship Id="rId13823" Type="http://schemas.openxmlformats.org/officeDocument/2006/relationships/hyperlink" Target="https://statiz.sporki.com/player/?m=playerinfo&amp;p_no=11133" TargetMode="External"/><Relationship Id="rId19385" Type="http://schemas.openxmlformats.org/officeDocument/2006/relationships/hyperlink" Target="https://statiz.sporki.com/add/?m=draft_school01&amp;ps_school=50202" TargetMode="External"/><Relationship Id="rId1780" Type="http://schemas.openxmlformats.org/officeDocument/2006/relationships/hyperlink" Target="https://statiz.sporki.com/player/?m=playerinfo&amp;p_no=14726" TargetMode="External"/><Relationship Id="rId2831" Type="http://schemas.openxmlformats.org/officeDocument/2006/relationships/hyperlink" Target="https://statiz.sporki.com/add/?m=draft_school01&amp;ps_school=50601" TargetMode="External"/><Relationship Id="rId8046" Type="http://schemas.openxmlformats.org/officeDocument/2006/relationships/hyperlink" Target="https://statiz.sporki.com/add/?m=draft_school02&amp;ps_school=" TargetMode="External"/><Relationship Id="rId11374" Type="http://schemas.openxmlformats.org/officeDocument/2006/relationships/hyperlink" Target="https://statiz.sporki.com/player/?m=playerinfo&amp;p_no=1324" TargetMode="External"/><Relationship Id="rId12425" Type="http://schemas.openxmlformats.org/officeDocument/2006/relationships/hyperlink" Target="https://statiz.sporki.com/player/?m=playerinfo&amp;p_no=15151" TargetMode="External"/><Relationship Id="rId15995" Type="http://schemas.openxmlformats.org/officeDocument/2006/relationships/hyperlink" Target="https://statiz.sporki.com/player/?m=playerinfo&amp;p_no=1148" TargetMode="External"/><Relationship Id="rId19038" Type="http://schemas.openxmlformats.org/officeDocument/2006/relationships/hyperlink" Target="https://statiz.sporki.com/add/?m=draft_school01&amp;ps_school=50701" TargetMode="External"/><Relationship Id="rId803" Type="http://schemas.openxmlformats.org/officeDocument/2006/relationships/hyperlink" Target="https://statiz.sporki.com/add/?m=draft_school01&amp;ps_school=50301" TargetMode="External"/><Relationship Id="rId1433" Type="http://schemas.openxmlformats.org/officeDocument/2006/relationships/hyperlink" Target="https://statiz.sporki.com/add/?m=draft_school01&amp;ps_school=50208" TargetMode="External"/><Relationship Id="rId11027" Type="http://schemas.openxmlformats.org/officeDocument/2006/relationships/hyperlink" Target="https://statiz.sporki.com/add/?m=draft_school01&amp;ps_school=50701" TargetMode="External"/><Relationship Id="rId14597" Type="http://schemas.openxmlformats.org/officeDocument/2006/relationships/hyperlink" Target="https://statiz.sporki.com/player/?m=playerinfo&amp;p_no=10155" TargetMode="External"/><Relationship Id="rId15648" Type="http://schemas.openxmlformats.org/officeDocument/2006/relationships/hyperlink" Target="https://statiz.sporki.com/player/?m=playerinfo&amp;p_no=1529" TargetMode="External"/><Relationship Id="rId4656" Type="http://schemas.openxmlformats.org/officeDocument/2006/relationships/hyperlink" Target="https://statiz.sporki.com/add/?m=draft_school02&amp;ps_school=" TargetMode="External"/><Relationship Id="rId5707" Type="http://schemas.openxmlformats.org/officeDocument/2006/relationships/hyperlink" Target="https://statiz.sporki.com/player/?m=playerinfo&amp;p_no=10703" TargetMode="External"/><Relationship Id="rId13199" Type="http://schemas.openxmlformats.org/officeDocument/2006/relationships/hyperlink" Target="https://statiz.sporki.com/player/?m=playerinfo&amp;p_no=12530" TargetMode="External"/><Relationship Id="rId17070" Type="http://schemas.openxmlformats.org/officeDocument/2006/relationships/hyperlink" Target="https://statiz.sporki.com/add/?m=draft_school01&amp;ps_school=50705" TargetMode="External"/><Relationship Id="rId18121" Type="http://schemas.openxmlformats.org/officeDocument/2006/relationships/hyperlink" Target="https://statiz.sporki.com/add/?m=draft_school01&amp;ps_school=50705" TargetMode="External"/><Relationship Id="rId3258" Type="http://schemas.openxmlformats.org/officeDocument/2006/relationships/hyperlink" Target="https://statiz.sporki.com/add/?m=draft_school02&amp;ps_school=60503" TargetMode="External"/><Relationship Id="rId4309" Type="http://schemas.openxmlformats.org/officeDocument/2006/relationships/hyperlink" Target="https://statiz.sporki.com/player/?m=playerinfo&amp;p_no=11262" TargetMode="External"/><Relationship Id="rId7879" Type="http://schemas.openxmlformats.org/officeDocument/2006/relationships/hyperlink" Target="https://statiz.sporki.com/player/?m=playerinfo&amp;p_no=10517" TargetMode="External"/><Relationship Id="rId10110" Type="http://schemas.openxmlformats.org/officeDocument/2006/relationships/hyperlink" Target="https://statiz.sporki.com/add/?m=draft_school02&amp;ps_school=60703" TargetMode="External"/><Relationship Id="rId179" Type="http://schemas.openxmlformats.org/officeDocument/2006/relationships/hyperlink" Target="https://statiz.sporki.com/add/?m=draft_school01&amp;ps_school=50116" TargetMode="External"/><Relationship Id="rId12282" Type="http://schemas.openxmlformats.org/officeDocument/2006/relationships/hyperlink" Target="https://statiz.sporki.com/player/?m=playerinfo&amp;p_no=15616" TargetMode="External"/><Relationship Id="rId13680" Type="http://schemas.openxmlformats.org/officeDocument/2006/relationships/hyperlink" Target="https://statiz.sporki.com/player/?m=playerinfo&amp;p_no=11117" TargetMode="External"/><Relationship Id="rId14731" Type="http://schemas.openxmlformats.org/officeDocument/2006/relationships/hyperlink" Target="https://statiz.sporki.com/player/?m=playerinfo&amp;p_no=2195" TargetMode="External"/><Relationship Id="rId660" Type="http://schemas.openxmlformats.org/officeDocument/2006/relationships/hyperlink" Target="https://statiz.sporki.com/add/?m=draft_school02&amp;ps_school=" TargetMode="External"/><Relationship Id="rId1290" Type="http://schemas.openxmlformats.org/officeDocument/2006/relationships/hyperlink" Target="https://statiz.sporki.com/add/?m=draft_school02&amp;ps_school=" TargetMode="External"/><Relationship Id="rId2341" Type="http://schemas.openxmlformats.org/officeDocument/2006/relationships/hyperlink" Target="https://statiz.sporki.com/player/?m=playerinfo&amp;p_no=13146" TargetMode="External"/><Relationship Id="rId13333" Type="http://schemas.openxmlformats.org/officeDocument/2006/relationships/hyperlink" Target="https://statiz.sporki.com/player/?m=playerinfo&amp;p_no=12987" TargetMode="External"/><Relationship Id="rId17954" Type="http://schemas.openxmlformats.org/officeDocument/2006/relationships/hyperlink" Target="https://statiz.sporki.com/add/?m=draft_school01&amp;ps_school=50109" TargetMode="External"/><Relationship Id="rId313" Type="http://schemas.openxmlformats.org/officeDocument/2006/relationships/hyperlink" Target="https://statiz.sporki.com/player/?m=playerinfo&amp;p_no=15495" TargetMode="External"/><Relationship Id="rId6962" Type="http://schemas.openxmlformats.org/officeDocument/2006/relationships/hyperlink" Target="https://statiz.sporki.com/add/?m=draft_school01&amp;ps_school=50102" TargetMode="External"/><Relationship Id="rId16556" Type="http://schemas.openxmlformats.org/officeDocument/2006/relationships/hyperlink" Target="https://statiz.sporki.com/add/?m=draft_school01&amp;ps_school=50207" TargetMode="External"/><Relationship Id="rId17607" Type="http://schemas.openxmlformats.org/officeDocument/2006/relationships/hyperlink" Target="https://statiz.sporki.com/add/?m=draft_school01&amp;ps_school=50107" TargetMode="External"/><Relationship Id="rId5564" Type="http://schemas.openxmlformats.org/officeDocument/2006/relationships/hyperlink" Target="https://statiz.sporki.com/add/?m=draft_school01&amp;ps_school=50114" TargetMode="External"/><Relationship Id="rId6615" Type="http://schemas.openxmlformats.org/officeDocument/2006/relationships/hyperlink" Target="https://statiz.sporki.com/add/?m=draft_school02&amp;ps_school=" TargetMode="External"/><Relationship Id="rId15158" Type="http://schemas.openxmlformats.org/officeDocument/2006/relationships/hyperlink" Target="https://statiz.sporki.com/player/?m=playerinfo&amp;p_no=10169" TargetMode="External"/><Relationship Id="rId16209" Type="http://schemas.openxmlformats.org/officeDocument/2006/relationships/hyperlink" Target="https://statiz.sporki.com/add/?m=draft_school01&amp;ps_school=50111" TargetMode="External"/><Relationship Id="rId4166" Type="http://schemas.openxmlformats.org/officeDocument/2006/relationships/hyperlink" Target="https://statiz.sporki.com/add/?m=draft_school01&amp;ps_school=50808" TargetMode="External"/><Relationship Id="rId5217" Type="http://schemas.openxmlformats.org/officeDocument/2006/relationships/hyperlink" Target="https://statiz.sporki.com/add/?m=draft_school02&amp;ps_school=" TargetMode="External"/><Relationship Id="rId8787" Type="http://schemas.openxmlformats.org/officeDocument/2006/relationships/hyperlink" Target="https://statiz.sporki.com/add/?m=draft_school02&amp;ps_school=60703" TargetMode="External"/><Relationship Id="rId9838" Type="http://schemas.openxmlformats.org/officeDocument/2006/relationships/hyperlink" Target="https://statiz.sporki.com/player/?m=playerinfo&amp;p_no=1657" TargetMode="External"/><Relationship Id="rId11768" Type="http://schemas.openxmlformats.org/officeDocument/2006/relationships/hyperlink" Target="https://statiz.sporki.com/add/?m=draft_school01&amp;ps_school=" TargetMode="External"/><Relationship Id="rId1827" Type="http://schemas.openxmlformats.org/officeDocument/2006/relationships/hyperlink" Target="https://statiz.sporki.com/add/?m=draft_school02&amp;ps_school=" TargetMode="External"/><Relationship Id="rId7389" Type="http://schemas.openxmlformats.org/officeDocument/2006/relationships/hyperlink" Target="https://statiz.sporki.com/add/?m=draft_school02&amp;ps_school=" TargetMode="External"/><Relationship Id="rId12819" Type="http://schemas.openxmlformats.org/officeDocument/2006/relationships/hyperlink" Target="https://statiz.sporki.com/player/?m=playerinfo&amp;p_no=14140" TargetMode="External"/><Relationship Id="rId13190" Type="http://schemas.openxmlformats.org/officeDocument/2006/relationships/hyperlink" Target="https://statiz.sporki.com/player/?m=playerinfo&amp;p_no=13243" TargetMode="External"/><Relationship Id="rId14241" Type="http://schemas.openxmlformats.org/officeDocument/2006/relationships/hyperlink" Target="https://statiz.sporki.com/player/?m=playerinfo&amp;p_no=10059" TargetMode="External"/><Relationship Id="rId3999" Type="http://schemas.openxmlformats.org/officeDocument/2006/relationships/hyperlink" Target="https://statiz.sporki.com/add/?m=draft_school02&amp;ps_school=60804" TargetMode="External"/><Relationship Id="rId4300" Type="http://schemas.openxmlformats.org/officeDocument/2006/relationships/hyperlink" Target="https://statiz.sporki.com/player/?m=playerinfo&amp;p_no=11311" TargetMode="External"/><Relationship Id="rId18862" Type="http://schemas.openxmlformats.org/officeDocument/2006/relationships/hyperlink" Target="https://statiz.sporki.com/add/?m=draft_school01&amp;ps_school=50109" TargetMode="External"/><Relationship Id="rId170" Type="http://schemas.openxmlformats.org/officeDocument/2006/relationships/hyperlink" Target="https://statiz.sporki.com/add/?m=draft_school01&amp;ps_school=50215" TargetMode="External"/><Relationship Id="rId6472" Type="http://schemas.openxmlformats.org/officeDocument/2006/relationships/hyperlink" Target="https://statiz.sporki.com/player/?m=playerinfo&amp;p_no=10276" TargetMode="External"/><Relationship Id="rId7523" Type="http://schemas.openxmlformats.org/officeDocument/2006/relationships/hyperlink" Target="https://statiz.sporki.com/add/?m=draft_school01&amp;ps_school=" TargetMode="External"/><Relationship Id="rId7870" Type="http://schemas.openxmlformats.org/officeDocument/2006/relationships/hyperlink" Target="https://statiz.sporki.com/player/?m=playerinfo&amp;p_no=2322" TargetMode="External"/><Relationship Id="rId8921" Type="http://schemas.openxmlformats.org/officeDocument/2006/relationships/hyperlink" Target="https://statiz.sporki.com/add/?m=draft_school01&amp;ps_school=50403" TargetMode="External"/><Relationship Id="rId10851" Type="http://schemas.openxmlformats.org/officeDocument/2006/relationships/hyperlink" Target="https://statiz.sporki.com/add/?m=draft_school02&amp;ps_school=60109" TargetMode="External"/><Relationship Id="rId11902" Type="http://schemas.openxmlformats.org/officeDocument/2006/relationships/hyperlink" Target="https://statiz.sporki.com/player/?m=playerinfo&amp;p_no=1082" TargetMode="External"/><Relationship Id="rId16066" Type="http://schemas.openxmlformats.org/officeDocument/2006/relationships/hyperlink" Target="https://statiz.sporki.com/player/?m=playerinfo&amp;p_no=1077" TargetMode="External"/><Relationship Id="rId17464" Type="http://schemas.openxmlformats.org/officeDocument/2006/relationships/hyperlink" Target="https://statiz.sporki.com/add/?m=draft_school01&amp;ps_school=50403" TargetMode="External"/><Relationship Id="rId18515" Type="http://schemas.openxmlformats.org/officeDocument/2006/relationships/hyperlink" Target="https://statiz.sporki.com/add/?m=draft_school01&amp;ps_school=50209" TargetMode="External"/><Relationship Id="rId5074" Type="http://schemas.openxmlformats.org/officeDocument/2006/relationships/hyperlink" Target="https://statiz.sporki.com/player/?m=playerinfo&amp;p_no=10942" TargetMode="External"/><Relationship Id="rId6125" Type="http://schemas.openxmlformats.org/officeDocument/2006/relationships/hyperlink" Target="https://statiz.sporki.com/add/?m=draft_school01&amp;ps_school=50112" TargetMode="External"/><Relationship Id="rId10504" Type="http://schemas.openxmlformats.org/officeDocument/2006/relationships/hyperlink" Target="https://statiz.sporki.com/player/?m=playerinfo&amp;p_no=10743" TargetMode="External"/><Relationship Id="rId17117" Type="http://schemas.openxmlformats.org/officeDocument/2006/relationships/hyperlink" Target="https://statiz.sporki.com/add/?m=draft_school01&amp;ps_school=50107" TargetMode="External"/><Relationship Id="rId8297" Type="http://schemas.openxmlformats.org/officeDocument/2006/relationships/hyperlink" Target="https://statiz.sporki.com/add/?m=draft_school01&amp;ps_school=50110" TargetMode="External"/><Relationship Id="rId9695" Type="http://schemas.openxmlformats.org/officeDocument/2006/relationships/hyperlink" Target="https://statiz.sporki.com/add/?m=draft_school01&amp;ps_school=50402" TargetMode="External"/><Relationship Id="rId12676" Type="http://schemas.openxmlformats.org/officeDocument/2006/relationships/hyperlink" Target="https://statiz.sporki.com/player/?m=playerinfo&amp;p_no=14685" TargetMode="External"/><Relationship Id="rId13727" Type="http://schemas.openxmlformats.org/officeDocument/2006/relationships/hyperlink" Target="https://statiz.sporki.com/player/?m=playerinfo&amp;p_no=11420" TargetMode="External"/><Relationship Id="rId19289" Type="http://schemas.openxmlformats.org/officeDocument/2006/relationships/hyperlink" Target="https://statiz.sporki.com/add/?m=draft_school01&amp;ps_school=50802" TargetMode="External"/><Relationship Id="rId1684" Type="http://schemas.openxmlformats.org/officeDocument/2006/relationships/hyperlink" Target="https://statiz.sporki.com/player/?m=playerinfo&amp;p_no=14724" TargetMode="External"/><Relationship Id="rId2735" Type="http://schemas.openxmlformats.org/officeDocument/2006/relationships/hyperlink" Target="https://statiz.sporki.com/add/?m=draft_school01&amp;ps_school=50201" TargetMode="External"/><Relationship Id="rId9348" Type="http://schemas.openxmlformats.org/officeDocument/2006/relationships/hyperlink" Target="https://statiz.sporki.com/add/?m=draft_school02&amp;ps_school=60101" TargetMode="External"/><Relationship Id="rId11278" Type="http://schemas.openxmlformats.org/officeDocument/2006/relationships/hyperlink" Target="https://statiz.sporki.com/player/?m=playerinfo&amp;p_no=1246" TargetMode="External"/><Relationship Id="rId12329" Type="http://schemas.openxmlformats.org/officeDocument/2006/relationships/hyperlink" Target="https://statiz.sporki.com/player/?m=playerinfo&amp;p_no=15015" TargetMode="External"/><Relationship Id="rId15899" Type="http://schemas.openxmlformats.org/officeDocument/2006/relationships/hyperlink" Target="https://statiz.sporki.com/player/?m=playerinfo&amp;p_no=1258" TargetMode="External"/><Relationship Id="rId16200" Type="http://schemas.openxmlformats.org/officeDocument/2006/relationships/hyperlink" Target="https://statiz.sporki.com/add/?m=draft_school01&amp;ps_school=50114" TargetMode="External"/><Relationship Id="rId707" Type="http://schemas.openxmlformats.org/officeDocument/2006/relationships/hyperlink" Target="https://statiz.sporki.com/add/?m=draft_school01&amp;ps_school=50705" TargetMode="External"/><Relationship Id="rId1337" Type="http://schemas.openxmlformats.org/officeDocument/2006/relationships/hyperlink" Target="https://statiz.sporki.com/add/?m=draft_school01&amp;ps_school=" TargetMode="External"/><Relationship Id="rId5958" Type="http://schemas.openxmlformats.org/officeDocument/2006/relationships/hyperlink" Target="https://statiz.sporki.com/add/?m=draft_school02&amp;ps_school=" TargetMode="External"/><Relationship Id="rId18372" Type="http://schemas.openxmlformats.org/officeDocument/2006/relationships/hyperlink" Target="https://statiz.sporki.com/add/?m=draft_school01&amp;ps_school=50401" TargetMode="External"/><Relationship Id="rId19423" Type="http://schemas.openxmlformats.org/officeDocument/2006/relationships/hyperlink" Target="https://statiz.sporki.com/add/?m=draft_school01&amp;ps_school=50805" TargetMode="External"/><Relationship Id="rId43" Type="http://schemas.openxmlformats.org/officeDocument/2006/relationships/hyperlink" Target="https://statiz.sporki.com/player/?m=playerinfo&amp;p_no=15462" TargetMode="External"/><Relationship Id="rId7380" Type="http://schemas.openxmlformats.org/officeDocument/2006/relationships/hyperlink" Target="https://statiz.sporki.com/add/?m=draft_school02&amp;ps_school=" TargetMode="External"/><Relationship Id="rId8431" Type="http://schemas.openxmlformats.org/officeDocument/2006/relationships/hyperlink" Target="https://statiz.sporki.com/player/?m=playerinfo&amp;p_no=2049" TargetMode="External"/><Relationship Id="rId10361" Type="http://schemas.openxmlformats.org/officeDocument/2006/relationships/hyperlink" Target="https://statiz.sporki.com/add/?m=draft_school01&amp;ps_school=50209" TargetMode="External"/><Relationship Id="rId12810" Type="http://schemas.openxmlformats.org/officeDocument/2006/relationships/hyperlink" Target="https://statiz.sporki.com/player/?m=playerinfo&amp;p_no=14222" TargetMode="External"/><Relationship Id="rId18025" Type="http://schemas.openxmlformats.org/officeDocument/2006/relationships/hyperlink" Target="https://statiz.sporki.com/add/?m=draft_school01&amp;ps_school=50103" TargetMode="External"/><Relationship Id="rId7033" Type="http://schemas.openxmlformats.org/officeDocument/2006/relationships/hyperlink" Target="https://statiz.sporki.com/player/?m=playerinfo&amp;p_no=2324" TargetMode="External"/><Relationship Id="rId10014" Type="http://schemas.openxmlformats.org/officeDocument/2006/relationships/hyperlink" Target="https://statiz.sporki.com/add/?m=draft_school02&amp;ps_school=60113" TargetMode="External"/><Relationship Id="rId11412" Type="http://schemas.openxmlformats.org/officeDocument/2006/relationships/hyperlink" Target="https://statiz.sporki.com/add/?m=draft_school02&amp;ps_school=60113" TargetMode="External"/><Relationship Id="rId14982" Type="http://schemas.openxmlformats.org/officeDocument/2006/relationships/hyperlink" Target="https://statiz.sporki.com/player/?m=playerinfo&amp;p_no=2045" TargetMode="External"/><Relationship Id="rId3990" Type="http://schemas.openxmlformats.org/officeDocument/2006/relationships/hyperlink" Target="https://statiz.sporki.com/add/?m=draft_school02&amp;ps_school=" TargetMode="External"/><Relationship Id="rId13584" Type="http://schemas.openxmlformats.org/officeDocument/2006/relationships/hyperlink" Target="https://statiz.sporki.com/player/?m=playerinfo&amp;p_no=11287" TargetMode="External"/><Relationship Id="rId14635" Type="http://schemas.openxmlformats.org/officeDocument/2006/relationships/hyperlink" Target="https://statiz.sporki.com/player/?m=playerinfo&amp;p_no=2231" TargetMode="External"/><Relationship Id="rId1194" Type="http://schemas.openxmlformats.org/officeDocument/2006/relationships/hyperlink" Target="https://statiz.sporki.com/add/?m=draft_school02&amp;ps_school=" TargetMode="External"/><Relationship Id="rId2592" Type="http://schemas.openxmlformats.org/officeDocument/2006/relationships/hyperlink" Target="https://statiz.sporki.com/add/?m=draft_school02&amp;ps_school=60804" TargetMode="External"/><Relationship Id="rId3643" Type="http://schemas.openxmlformats.org/officeDocument/2006/relationships/hyperlink" Target="https://statiz.sporki.com/player/?m=playerinfo&amp;p_no=11320" TargetMode="External"/><Relationship Id="rId12186" Type="http://schemas.openxmlformats.org/officeDocument/2006/relationships/hyperlink" Target="https://statiz.sporki.com/player/?m=playerinfo&amp;p_no=15465" TargetMode="External"/><Relationship Id="rId13237" Type="http://schemas.openxmlformats.org/officeDocument/2006/relationships/hyperlink" Target="https://statiz.sporki.com/player/?m=playerinfo&amp;p_no=12606" TargetMode="External"/><Relationship Id="rId17858" Type="http://schemas.openxmlformats.org/officeDocument/2006/relationships/hyperlink" Target="https://statiz.sporki.com/add/?m=draft_school01&amp;ps_school=50604" TargetMode="External"/><Relationship Id="rId18909" Type="http://schemas.openxmlformats.org/officeDocument/2006/relationships/hyperlink" Target="https://statiz.sporki.com/add/?m=draft_school01&amp;ps_school=50608" TargetMode="External"/><Relationship Id="rId217" Type="http://schemas.openxmlformats.org/officeDocument/2006/relationships/hyperlink" Target="https://statiz.sporki.com/player/?m=playerinfo&amp;p_no=15446" TargetMode="External"/><Relationship Id="rId564" Type="http://schemas.openxmlformats.org/officeDocument/2006/relationships/hyperlink" Target="https://statiz.sporki.com/add/?m=draft_school02&amp;ps_school=" TargetMode="External"/><Relationship Id="rId2245" Type="http://schemas.openxmlformats.org/officeDocument/2006/relationships/hyperlink" Target="https://statiz.sporki.com/player/?m=playerinfo&amp;p_no=13938" TargetMode="External"/><Relationship Id="rId6866" Type="http://schemas.openxmlformats.org/officeDocument/2006/relationships/hyperlink" Target="https://statiz.sporki.com/add/?m=draft_school01&amp;ps_school=" TargetMode="External"/><Relationship Id="rId7917" Type="http://schemas.openxmlformats.org/officeDocument/2006/relationships/hyperlink" Target="https://statiz.sporki.com/add/?m=draft_school02&amp;ps_school=60108" TargetMode="External"/><Relationship Id="rId19280" Type="http://schemas.openxmlformats.org/officeDocument/2006/relationships/hyperlink" Target="https://statiz.sporki.com/add/?m=draft_school01&amp;ps_school=50202" TargetMode="External"/><Relationship Id="rId5468" Type="http://schemas.openxmlformats.org/officeDocument/2006/relationships/hyperlink" Target="https://statiz.sporki.com/add/?m=draft_school01&amp;ps_school=50403" TargetMode="External"/><Relationship Id="rId6519" Type="http://schemas.openxmlformats.org/officeDocument/2006/relationships/hyperlink" Target="https://statiz.sporki.com/add/?m=draft_school02&amp;ps_school=" TargetMode="External"/><Relationship Id="rId12320" Type="http://schemas.openxmlformats.org/officeDocument/2006/relationships/hyperlink" Target="https://statiz.sporki.com/player/?m=playerinfo&amp;p_no=15058" TargetMode="External"/><Relationship Id="rId14492" Type="http://schemas.openxmlformats.org/officeDocument/2006/relationships/hyperlink" Target="https://statiz.sporki.com/player/?m=playerinfo&amp;p_no=2323" TargetMode="External"/><Relationship Id="rId15890" Type="http://schemas.openxmlformats.org/officeDocument/2006/relationships/hyperlink" Target="https://statiz.sporki.com/player/?m=playerinfo&amp;p_no=1277" TargetMode="External"/><Relationship Id="rId16941" Type="http://schemas.openxmlformats.org/officeDocument/2006/relationships/hyperlink" Target="https://statiz.sporki.com/add/?m=draft_school01&amp;ps_school=50602" TargetMode="External"/><Relationship Id="rId4551" Type="http://schemas.openxmlformats.org/officeDocument/2006/relationships/hyperlink" Target="https://statiz.sporki.com/add/?m=draft_school02&amp;ps_school=" TargetMode="External"/><Relationship Id="rId13094" Type="http://schemas.openxmlformats.org/officeDocument/2006/relationships/hyperlink" Target="https://statiz.sporki.com/player/?m=playerinfo&amp;p_no=12871" TargetMode="External"/><Relationship Id="rId14145" Type="http://schemas.openxmlformats.org/officeDocument/2006/relationships/hyperlink" Target="https://statiz.sporki.com/player/?m=playerinfo&amp;p_no=11401" TargetMode="External"/><Relationship Id="rId15543" Type="http://schemas.openxmlformats.org/officeDocument/2006/relationships/hyperlink" Target="https://statiz.sporki.com/player/?m=playerinfo&amp;p_no=1595" TargetMode="External"/><Relationship Id="rId3153" Type="http://schemas.openxmlformats.org/officeDocument/2006/relationships/hyperlink" Target="https://statiz.sporki.com/add/?m=draft_school02&amp;ps_school=" TargetMode="External"/><Relationship Id="rId4204" Type="http://schemas.openxmlformats.org/officeDocument/2006/relationships/hyperlink" Target="https://statiz.sporki.com/player/?m=playerinfo&amp;p_no=11339" TargetMode="External"/><Relationship Id="rId5602" Type="http://schemas.openxmlformats.org/officeDocument/2006/relationships/hyperlink" Target="https://statiz.sporki.com/player/?m=playerinfo&amp;p_no=10760" TargetMode="External"/><Relationship Id="rId18766" Type="http://schemas.openxmlformats.org/officeDocument/2006/relationships/hyperlink" Target="https://statiz.sporki.com/add/?m=draft_school01&amp;ps_school=50114" TargetMode="External"/><Relationship Id="rId7774" Type="http://schemas.openxmlformats.org/officeDocument/2006/relationships/hyperlink" Target="https://statiz.sporki.com/player/?m=playerinfo&amp;p_no=2211" TargetMode="External"/><Relationship Id="rId8825" Type="http://schemas.openxmlformats.org/officeDocument/2006/relationships/hyperlink" Target="https://statiz.sporki.com/add/?m=draft_school01&amp;ps_school=50110" TargetMode="External"/><Relationship Id="rId10755" Type="http://schemas.openxmlformats.org/officeDocument/2006/relationships/hyperlink" Target="https://statiz.sporki.com/add/?m=draft_school02&amp;ps_school=" TargetMode="External"/><Relationship Id="rId11806" Type="http://schemas.openxmlformats.org/officeDocument/2006/relationships/hyperlink" Target="https://statiz.sporki.com/player/?m=playerinfo&amp;p_no=1135" TargetMode="External"/><Relationship Id="rId17368" Type="http://schemas.openxmlformats.org/officeDocument/2006/relationships/hyperlink" Target="https://statiz.sporki.com/add/?m=draft_school01&amp;ps_school=50601" TargetMode="External"/><Relationship Id="rId18419" Type="http://schemas.openxmlformats.org/officeDocument/2006/relationships/hyperlink" Target="https://statiz.sporki.com/add/?m=draft_school01&amp;ps_school=50403" TargetMode="External"/><Relationship Id="rId6029" Type="http://schemas.openxmlformats.org/officeDocument/2006/relationships/hyperlink" Target="https://statiz.sporki.com/add/?m=draft_school01&amp;ps_school=50802" TargetMode="External"/><Relationship Id="rId6376" Type="http://schemas.openxmlformats.org/officeDocument/2006/relationships/hyperlink" Target="https://statiz.sporki.com/player/?m=playerinfo&amp;p_no=10690" TargetMode="External"/><Relationship Id="rId7427" Type="http://schemas.openxmlformats.org/officeDocument/2006/relationships/hyperlink" Target="https://statiz.sporki.com/add/?m=draft_school01&amp;ps_school=50602" TargetMode="External"/><Relationship Id="rId10408" Type="http://schemas.openxmlformats.org/officeDocument/2006/relationships/hyperlink" Target="https://statiz.sporki.com/player/?m=playerinfo&amp;p_no=1530" TargetMode="External"/><Relationship Id="rId13978" Type="http://schemas.openxmlformats.org/officeDocument/2006/relationships/hyperlink" Target="https://statiz.sporki.com/player/?m=playerinfo&amp;p_no=10451" TargetMode="External"/><Relationship Id="rId2986" Type="http://schemas.openxmlformats.org/officeDocument/2006/relationships/hyperlink" Target="https://statiz.sporki.com/player/?m=playerinfo&amp;p_no=12862" TargetMode="External"/><Relationship Id="rId9599" Type="http://schemas.openxmlformats.org/officeDocument/2006/relationships/hyperlink" Target="https://statiz.sporki.com/add/?m=draft_school01&amp;ps_school=" TargetMode="External"/><Relationship Id="rId16451" Type="http://schemas.openxmlformats.org/officeDocument/2006/relationships/hyperlink" Target="https://statiz.sporki.com/add/?m=draft_school01&amp;ps_school=50111" TargetMode="External"/><Relationship Id="rId17502" Type="http://schemas.openxmlformats.org/officeDocument/2006/relationships/hyperlink" Target="https://statiz.sporki.com/add/?m=draft_school01&amp;ps_school=50601" TargetMode="External"/><Relationship Id="rId18900" Type="http://schemas.openxmlformats.org/officeDocument/2006/relationships/hyperlink" Target="https://statiz.sporki.com/add/?m=draft_school01&amp;ps_school=50209" TargetMode="External"/><Relationship Id="rId958" Type="http://schemas.openxmlformats.org/officeDocument/2006/relationships/hyperlink" Target="https://statiz.sporki.com/player/?m=playerinfo&amp;p_no=14788" TargetMode="External"/><Relationship Id="rId1588" Type="http://schemas.openxmlformats.org/officeDocument/2006/relationships/hyperlink" Target="https://statiz.sporki.com/player/?m=playerinfo&amp;p_no=14707" TargetMode="External"/><Relationship Id="rId2639" Type="http://schemas.openxmlformats.org/officeDocument/2006/relationships/hyperlink" Target="https://statiz.sporki.com/add/?m=draft_school01&amp;ps_school=" TargetMode="External"/><Relationship Id="rId6510" Type="http://schemas.openxmlformats.org/officeDocument/2006/relationships/hyperlink" Target="https://statiz.sporki.com/add/?m=draft_school02&amp;ps_school=" TargetMode="External"/><Relationship Id="rId15053" Type="http://schemas.openxmlformats.org/officeDocument/2006/relationships/hyperlink" Target="https://statiz.sporki.com/player/?m=playerinfo&amp;p_no=10504" TargetMode="External"/><Relationship Id="rId16104" Type="http://schemas.openxmlformats.org/officeDocument/2006/relationships/hyperlink" Target="https://statiz.sporki.com/player/?m=playerinfo&amp;p_no=1134" TargetMode="External"/><Relationship Id="rId4061" Type="http://schemas.openxmlformats.org/officeDocument/2006/relationships/hyperlink" Target="https://statiz.sporki.com/add/?m=draft_school01&amp;ps_school=50805" TargetMode="External"/><Relationship Id="rId5112" Type="http://schemas.openxmlformats.org/officeDocument/2006/relationships/hyperlink" Target="https://statiz.sporki.com/add/?m=draft_school02&amp;ps_school=61002" TargetMode="External"/><Relationship Id="rId8682" Type="http://schemas.openxmlformats.org/officeDocument/2006/relationships/hyperlink" Target="https://statiz.sporki.com/add/?m=draft_school02&amp;ps_school=60203" TargetMode="External"/><Relationship Id="rId9733" Type="http://schemas.openxmlformats.org/officeDocument/2006/relationships/hyperlink" Target="https://statiz.sporki.com/player/?m=playerinfo&amp;p_no=1853" TargetMode="External"/><Relationship Id="rId18276" Type="http://schemas.openxmlformats.org/officeDocument/2006/relationships/hyperlink" Target="https://statiz.sporki.com/add/?m=draft_school01&amp;ps_school=50108" TargetMode="External"/><Relationship Id="rId7284" Type="http://schemas.openxmlformats.org/officeDocument/2006/relationships/hyperlink" Target="https://statiz.sporki.com/add/?m=draft_school02&amp;ps_school=" TargetMode="External"/><Relationship Id="rId8335" Type="http://schemas.openxmlformats.org/officeDocument/2006/relationships/hyperlink" Target="https://statiz.sporki.com/player/?m=playerinfo&amp;p_no=2150" TargetMode="External"/><Relationship Id="rId11663" Type="http://schemas.openxmlformats.org/officeDocument/2006/relationships/hyperlink" Target="https://statiz.sporki.com/add/?m=draft_school01&amp;ps_school=50604" TargetMode="External"/><Relationship Id="rId12714" Type="http://schemas.openxmlformats.org/officeDocument/2006/relationships/hyperlink" Target="https://statiz.sporki.com/player/?m=playerinfo&amp;p_no=14602" TargetMode="External"/><Relationship Id="rId19327" Type="http://schemas.openxmlformats.org/officeDocument/2006/relationships/hyperlink" Target="https://statiz.sporki.com/add/?m=draft_school01&amp;ps_school=50106" TargetMode="External"/><Relationship Id="rId1722" Type="http://schemas.openxmlformats.org/officeDocument/2006/relationships/hyperlink" Target="https://statiz.sporki.com/add/?m=draft_school02&amp;ps_school=61110" TargetMode="External"/><Relationship Id="rId10265" Type="http://schemas.openxmlformats.org/officeDocument/2006/relationships/hyperlink" Target="https://statiz.sporki.com/add/?m=draft_school01&amp;ps_school=" TargetMode="External"/><Relationship Id="rId11316" Type="http://schemas.openxmlformats.org/officeDocument/2006/relationships/hyperlink" Target="https://statiz.sporki.com/add/?m=draft_school02&amp;ps_school=60102" TargetMode="External"/><Relationship Id="rId14886" Type="http://schemas.openxmlformats.org/officeDocument/2006/relationships/hyperlink" Target="https://statiz.sporki.com/player/?m=playerinfo&amp;p_no=2157" TargetMode="External"/><Relationship Id="rId15937" Type="http://schemas.openxmlformats.org/officeDocument/2006/relationships/hyperlink" Target="https://statiz.sporki.com/player/?m=playerinfo&amp;p_no=1245" TargetMode="External"/><Relationship Id="rId3894" Type="http://schemas.openxmlformats.org/officeDocument/2006/relationships/hyperlink" Target="https://statiz.sporki.com/add/?m=draft_school02&amp;ps_school=" TargetMode="External"/><Relationship Id="rId4945" Type="http://schemas.openxmlformats.org/officeDocument/2006/relationships/hyperlink" Target="https://statiz.sporki.com/player/?m=playerinfo&amp;p_no=10810" TargetMode="External"/><Relationship Id="rId13488" Type="http://schemas.openxmlformats.org/officeDocument/2006/relationships/hyperlink" Target="https://statiz.sporki.com/player/?m=playerinfo&amp;p_no=11278" TargetMode="External"/><Relationship Id="rId14539" Type="http://schemas.openxmlformats.org/officeDocument/2006/relationships/hyperlink" Target="https://statiz.sporki.com/player/?m=playerinfo&amp;p_no=2286" TargetMode="External"/><Relationship Id="rId18410" Type="http://schemas.openxmlformats.org/officeDocument/2006/relationships/hyperlink" Target="https://statiz.sporki.com/add/?m=draft_school01&amp;ps_school=50501" TargetMode="External"/><Relationship Id="rId2496" Type="http://schemas.openxmlformats.org/officeDocument/2006/relationships/hyperlink" Target="https://statiz.sporki.com/add/?m=draft_school02&amp;ps_school=" TargetMode="External"/><Relationship Id="rId3547" Type="http://schemas.openxmlformats.org/officeDocument/2006/relationships/hyperlink" Target="https://statiz.sporki.com/player/?m=playerinfo&amp;p_no=12648" TargetMode="External"/><Relationship Id="rId17012" Type="http://schemas.openxmlformats.org/officeDocument/2006/relationships/hyperlink" Target="https://statiz.sporki.com/add/?m=draft_school01&amp;ps_school=50108" TargetMode="External"/><Relationship Id="rId468" Type="http://schemas.openxmlformats.org/officeDocument/2006/relationships/hyperlink" Target="https://statiz.sporki.com/add/?m=draft_school02&amp;ps_school=60103" TargetMode="External"/><Relationship Id="rId1098" Type="http://schemas.openxmlformats.org/officeDocument/2006/relationships/hyperlink" Target="https://statiz.sporki.com/add/?m=draft_school02&amp;ps_school=" TargetMode="External"/><Relationship Id="rId2149" Type="http://schemas.openxmlformats.org/officeDocument/2006/relationships/hyperlink" Target="https://statiz.sporki.com/player/?m=playerinfo&amp;p_no=14144" TargetMode="External"/><Relationship Id="rId6020" Type="http://schemas.openxmlformats.org/officeDocument/2006/relationships/hyperlink" Target="https://statiz.sporki.com/add/?m=draft_school01&amp;ps_school=50107" TargetMode="External"/><Relationship Id="rId9590" Type="http://schemas.openxmlformats.org/officeDocument/2006/relationships/hyperlink" Target="https://statiz.sporki.com/add/?m=draft_school01&amp;ps_school=50108" TargetMode="External"/><Relationship Id="rId12571" Type="http://schemas.openxmlformats.org/officeDocument/2006/relationships/hyperlink" Target="https://statiz.sporki.com/player/?m=playerinfo&amp;p_no=14752" TargetMode="External"/><Relationship Id="rId19184" Type="http://schemas.openxmlformats.org/officeDocument/2006/relationships/hyperlink" Target="https://statiz.sporki.com/add/?m=draft_school01&amp;ps_school=50210" TargetMode="External"/><Relationship Id="rId2630" Type="http://schemas.openxmlformats.org/officeDocument/2006/relationships/hyperlink" Target="https://statiz.sporki.com/add/?m=draft_school01&amp;ps_school=" TargetMode="External"/><Relationship Id="rId8192" Type="http://schemas.openxmlformats.org/officeDocument/2006/relationships/hyperlink" Target="https://statiz.sporki.com/add/?m=draft_school01&amp;ps_school=50112" TargetMode="External"/><Relationship Id="rId9243" Type="http://schemas.openxmlformats.org/officeDocument/2006/relationships/hyperlink" Target="https://statiz.sporki.com/add/?m=draft_school02&amp;ps_school=" TargetMode="External"/><Relationship Id="rId11173" Type="http://schemas.openxmlformats.org/officeDocument/2006/relationships/hyperlink" Target="https://statiz.sporki.com/player/?m=playerinfo&amp;p_no=1271" TargetMode="External"/><Relationship Id="rId12224" Type="http://schemas.openxmlformats.org/officeDocument/2006/relationships/hyperlink" Target="https://statiz.sporki.com/player/?m=playerinfo&amp;p_no=15447" TargetMode="External"/><Relationship Id="rId13622" Type="http://schemas.openxmlformats.org/officeDocument/2006/relationships/hyperlink" Target="https://statiz.sporki.com/player/?m=playerinfo&amp;p_no=11098" TargetMode="External"/><Relationship Id="rId602" Type="http://schemas.openxmlformats.org/officeDocument/2006/relationships/hyperlink" Target="https://statiz.sporki.com/add/?m=draft_school01&amp;ps_school=50207" TargetMode="External"/><Relationship Id="rId1232" Type="http://schemas.openxmlformats.org/officeDocument/2006/relationships/hyperlink" Target="https://statiz.sporki.com/add/?m=draft_school01&amp;ps_school=50207" TargetMode="External"/><Relationship Id="rId15794" Type="http://schemas.openxmlformats.org/officeDocument/2006/relationships/hyperlink" Target="https://statiz.sporki.com/player/?m=playerinfo&amp;p_no=1364" TargetMode="External"/><Relationship Id="rId16845" Type="http://schemas.openxmlformats.org/officeDocument/2006/relationships/hyperlink" Target="https://statiz.sporki.com/add/?m=draft_school01&amp;ps_school=50102" TargetMode="External"/><Relationship Id="rId5853" Type="http://schemas.openxmlformats.org/officeDocument/2006/relationships/hyperlink" Target="https://statiz.sporki.com/add/?m=draft_school02&amp;ps_school=60102" TargetMode="External"/><Relationship Id="rId6904" Type="http://schemas.openxmlformats.org/officeDocument/2006/relationships/hyperlink" Target="https://statiz.sporki.com/player/?m=playerinfo&amp;p_no=10577" TargetMode="External"/><Relationship Id="rId14396" Type="http://schemas.openxmlformats.org/officeDocument/2006/relationships/hyperlink" Target="https://statiz.sporki.com/player/?m=playerinfo&amp;p_no=10040" TargetMode="External"/><Relationship Id="rId15447" Type="http://schemas.openxmlformats.org/officeDocument/2006/relationships/hyperlink" Target="https://statiz.sporki.com/player/?m=playerinfo&amp;p_no=1708" TargetMode="External"/><Relationship Id="rId3057" Type="http://schemas.openxmlformats.org/officeDocument/2006/relationships/hyperlink" Target="https://statiz.sporki.com/add/?m=draft_school02&amp;ps_school=" TargetMode="External"/><Relationship Id="rId4108" Type="http://schemas.openxmlformats.org/officeDocument/2006/relationships/hyperlink" Target="https://statiz.sporki.com/player/?m=playerinfo&amp;p_no=11232" TargetMode="External"/><Relationship Id="rId4455" Type="http://schemas.openxmlformats.org/officeDocument/2006/relationships/hyperlink" Target="https://statiz.sporki.com/add/?m=draft_school02&amp;ps_school=" TargetMode="External"/><Relationship Id="rId5506" Type="http://schemas.openxmlformats.org/officeDocument/2006/relationships/hyperlink" Target="https://statiz.sporki.com/player/?m=playerinfo&amp;p_no=10066" TargetMode="External"/><Relationship Id="rId14049" Type="http://schemas.openxmlformats.org/officeDocument/2006/relationships/hyperlink" Target="https://statiz.sporki.com/player/?m=playerinfo&amp;p_no=11147" TargetMode="External"/><Relationship Id="rId7678" Type="http://schemas.openxmlformats.org/officeDocument/2006/relationships/hyperlink" Target="https://statiz.sporki.com/player/?m=playerinfo&amp;p_no=10006" TargetMode="External"/><Relationship Id="rId8729" Type="http://schemas.openxmlformats.org/officeDocument/2006/relationships/hyperlink" Target="https://statiz.sporki.com/add/?m=draft_school01&amp;ps_school=50706" TargetMode="External"/><Relationship Id="rId10659" Type="http://schemas.openxmlformats.org/officeDocument/2006/relationships/hyperlink" Target="https://statiz.sporki.com/add/?m=draft_school02&amp;ps_school=60109" TargetMode="External"/><Relationship Id="rId14530" Type="http://schemas.openxmlformats.org/officeDocument/2006/relationships/hyperlink" Target="https://statiz.sporki.com/player/?m=playerinfo&amp;p_no=10523" TargetMode="External"/><Relationship Id="rId12081" Type="http://schemas.openxmlformats.org/officeDocument/2006/relationships/hyperlink" Target="https://statiz.sporki.com/add/?m=draft_school02&amp;ps_school=" TargetMode="External"/><Relationship Id="rId13132" Type="http://schemas.openxmlformats.org/officeDocument/2006/relationships/hyperlink" Target="https://statiz.sporki.com/player/?m=playerinfo&amp;p_no=12880" TargetMode="External"/><Relationship Id="rId2140" Type="http://schemas.openxmlformats.org/officeDocument/2006/relationships/hyperlink" Target="https://statiz.sporki.com/player/?m=playerinfo&amp;p_no=14204" TargetMode="External"/><Relationship Id="rId6761" Type="http://schemas.openxmlformats.org/officeDocument/2006/relationships/hyperlink" Target="https://statiz.sporki.com/add/?m=draft_school01&amp;ps_school=50803" TargetMode="External"/><Relationship Id="rId7812" Type="http://schemas.openxmlformats.org/officeDocument/2006/relationships/hyperlink" Target="https://statiz.sporki.com/add/?m=draft_school02&amp;ps_school=60101" TargetMode="External"/><Relationship Id="rId16355" Type="http://schemas.openxmlformats.org/officeDocument/2006/relationships/hyperlink" Target="https://statiz.sporki.com/add/?m=draft_school01&amp;ps_school=50602" TargetMode="External"/><Relationship Id="rId17753" Type="http://schemas.openxmlformats.org/officeDocument/2006/relationships/hyperlink" Target="https://statiz.sporki.com/add/?m=draft_school01&amp;ps_school=50901" TargetMode="External"/><Relationship Id="rId18804" Type="http://schemas.openxmlformats.org/officeDocument/2006/relationships/hyperlink" Target="https://statiz.sporki.com/add/?m=draft_school01&amp;ps_school=50805" TargetMode="External"/><Relationship Id="rId112" Type="http://schemas.openxmlformats.org/officeDocument/2006/relationships/hyperlink" Target="https://statiz.sporki.com/player/?m=playerinfo&amp;p_no=15500" TargetMode="External"/><Relationship Id="rId5363" Type="http://schemas.openxmlformats.org/officeDocument/2006/relationships/hyperlink" Target="https://statiz.sporki.com/add/?m=draft_school01&amp;ps_school=50301" TargetMode="External"/><Relationship Id="rId6414" Type="http://schemas.openxmlformats.org/officeDocument/2006/relationships/hyperlink" Target="https://statiz.sporki.com/add/?m=draft_school02&amp;ps_school=60104" TargetMode="External"/><Relationship Id="rId16008" Type="http://schemas.openxmlformats.org/officeDocument/2006/relationships/hyperlink" Target="https://statiz.sporki.com/player/?m=playerinfo&amp;p_no=1140" TargetMode="External"/><Relationship Id="rId17406" Type="http://schemas.openxmlformats.org/officeDocument/2006/relationships/hyperlink" Target="https://statiz.sporki.com/add/?m=draft_school01&amp;ps_school=50703" TargetMode="External"/><Relationship Id="rId5016" Type="http://schemas.openxmlformats.org/officeDocument/2006/relationships/hyperlink" Target="https://statiz.sporki.com/add/?m=draft_school02&amp;ps_school=60203" TargetMode="External"/><Relationship Id="rId9984" Type="http://schemas.openxmlformats.org/officeDocument/2006/relationships/hyperlink" Target="https://statiz.sporki.com/add/?m=draft_school02&amp;ps_school=" TargetMode="External"/><Relationship Id="rId12965" Type="http://schemas.openxmlformats.org/officeDocument/2006/relationships/hyperlink" Target="https://statiz.sporki.com/player/?m=playerinfo&amp;p_no=13119" TargetMode="External"/><Relationship Id="rId19578" Type="http://schemas.openxmlformats.org/officeDocument/2006/relationships/hyperlink" Target="https://statiz.sporki.com/add/?m=draft_school01&amp;ps_school=50402" TargetMode="External"/><Relationship Id="rId1973" Type="http://schemas.openxmlformats.org/officeDocument/2006/relationships/hyperlink" Target="https://statiz.sporki.com/add/?m=draft_school01&amp;ps_school=50804" TargetMode="External"/><Relationship Id="rId7188" Type="http://schemas.openxmlformats.org/officeDocument/2006/relationships/hyperlink" Target="https://statiz.sporki.com/add/?m=draft_school02&amp;ps_school=" TargetMode="External"/><Relationship Id="rId8239" Type="http://schemas.openxmlformats.org/officeDocument/2006/relationships/hyperlink" Target="https://statiz.sporki.com/player/?m=playerinfo&amp;p_no=10594" TargetMode="External"/><Relationship Id="rId8586" Type="http://schemas.openxmlformats.org/officeDocument/2006/relationships/hyperlink" Target="https://statiz.sporki.com/add/?m=draft_school02&amp;ps_school=60103" TargetMode="External"/><Relationship Id="rId9637" Type="http://schemas.openxmlformats.org/officeDocument/2006/relationships/hyperlink" Target="https://statiz.sporki.com/player/?m=playerinfo&amp;p_no=1958" TargetMode="External"/><Relationship Id="rId11567" Type="http://schemas.openxmlformats.org/officeDocument/2006/relationships/hyperlink" Target="https://statiz.sporki.com/add/?m=draft_school01&amp;ps_school=50114" TargetMode="External"/><Relationship Id="rId12618" Type="http://schemas.openxmlformats.org/officeDocument/2006/relationships/hyperlink" Target="https://statiz.sporki.com/player/?m=playerinfo&amp;p_no=14625" TargetMode="External"/><Relationship Id="rId1626" Type="http://schemas.openxmlformats.org/officeDocument/2006/relationships/hyperlink" Target="https://statiz.sporki.com/add/?m=draft_school02&amp;ps_school=" TargetMode="External"/><Relationship Id="rId10169" Type="http://schemas.openxmlformats.org/officeDocument/2006/relationships/hyperlink" Target="https://statiz.sporki.com/add/?m=draft_school01&amp;ps_school=50901" TargetMode="External"/><Relationship Id="rId14040" Type="http://schemas.openxmlformats.org/officeDocument/2006/relationships/hyperlink" Target="https://statiz.sporki.com/player/?m=playerinfo&amp;p_no=13280" TargetMode="External"/><Relationship Id="rId18661" Type="http://schemas.openxmlformats.org/officeDocument/2006/relationships/hyperlink" Target="https://statiz.sporki.com/add/?m=draft_school01&amp;ps_school=50116" TargetMode="External"/><Relationship Id="rId3798" Type="http://schemas.openxmlformats.org/officeDocument/2006/relationships/hyperlink" Target="https://statiz.sporki.com/add/?m=draft_school02&amp;ps_school=60108" TargetMode="External"/><Relationship Id="rId4849" Type="http://schemas.openxmlformats.org/officeDocument/2006/relationships/hyperlink" Target="https://statiz.sporki.com/player/?m=playerinfo&amp;p_no=10894" TargetMode="External"/><Relationship Id="rId8720" Type="http://schemas.openxmlformats.org/officeDocument/2006/relationships/hyperlink" Target="https://statiz.sporki.com/add/?m=draft_school01&amp;ps_school=50106" TargetMode="External"/><Relationship Id="rId10650" Type="http://schemas.openxmlformats.org/officeDocument/2006/relationships/hyperlink" Target="https://statiz.sporki.com/add/?m=draft_school02&amp;ps_school=60803" TargetMode="External"/><Relationship Id="rId17263" Type="http://schemas.openxmlformats.org/officeDocument/2006/relationships/hyperlink" Target="https://statiz.sporki.com/add/?m=draft_school01&amp;ps_school=50701" TargetMode="External"/><Relationship Id="rId18314" Type="http://schemas.openxmlformats.org/officeDocument/2006/relationships/hyperlink" Target="https://statiz.sporki.com/add/?m=draft_school01&amp;ps_school=50209" TargetMode="External"/><Relationship Id="rId6271" Type="http://schemas.openxmlformats.org/officeDocument/2006/relationships/hyperlink" Target="https://statiz.sporki.com/player/?m=playerinfo&amp;p_no=10563" TargetMode="External"/><Relationship Id="rId7322" Type="http://schemas.openxmlformats.org/officeDocument/2006/relationships/hyperlink" Target="https://statiz.sporki.com/add/?m=draft_school01&amp;ps_school=50115" TargetMode="External"/><Relationship Id="rId10303" Type="http://schemas.openxmlformats.org/officeDocument/2006/relationships/hyperlink" Target="https://statiz.sporki.com/player/?m=playerinfo&amp;p_no=1535" TargetMode="External"/><Relationship Id="rId11701" Type="http://schemas.openxmlformats.org/officeDocument/2006/relationships/hyperlink" Target="https://statiz.sporki.com/player/?m=playerinfo&amp;p_no=1137" TargetMode="External"/><Relationship Id="rId9494" Type="http://schemas.openxmlformats.org/officeDocument/2006/relationships/hyperlink" Target="https://statiz.sporki.com/add/?m=draft_school01&amp;ps_school=50107" TargetMode="External"/><Relationship Id="rId13873" Type="http://schemas.openxmlformats.org/officeDocument/2006/relationships/hyperlink" Target="https://statiz.sporki.com/player/?m=playerinfo&amp;p_no=10749" TargetMode="External"/><Relationship Id="rId14924" Type="http://schemas.openxmlformats.org/officeDocument/2006/relationships/hyperlink" Target="https://statiz.sporki.com/player/?m=playerinfo&amp;p_no=10515" TargetMode="External"/><Relationship Id="rId19088" Type="http://schemas.openxmlformats.org/officeDocument/2006/relationships/hyperlink" Target="https://statiz.sporki.com/add/?m=draft_school01&amp;ps_school=50112" TargetMode="External"/><Relationship Id="rId1483" Type="http://schemas.openxmlformats.org/officeDocument/2006/relationships/hyperlink" Target="https://statiz.sporki.com/player/?m=playerinfo&amp;p_no=14587" TargetMode="External"/><Relationship Id="rId2881" Type="http://schemas.openxmlformats.org/officeDocument/2006/relationships/hyperlink" Target="https://statiz.sporki.com/player/?m=playerinfo&amp;p_no=12878" TargetMode="External"/><Relationship Id="rId3932" Type="http://schemas.openxmlformats.org/officeDocument/2006/relationships/hyperlink" Target="https://statiz.sporki.com/add/?m=draft_school01&amp;ps_school=" TargetMode="External"/><Relationship Id="rId8096" Type="http://schemas.openxmlformats.org/officeDocument/2006/relationships/hyperlink" Target="https://statiz.sporki.com/add/?m=draft_school01&amp;ps_school=50113" TargetMode="External"/><Relationship Id="rId9147" Type="http://schemas.openxmlformats.org/officeDocument/2006/relationships/hyperlink" Target="https://statiz.sporki.com/add/?m=draft_school02&amp;ps_school=60203" TargetMode="External"/><Relationship Id="rId11077" Type="http://schemas.openxmlformats.org/officeDocument/2006/relationships/hyperlink" Target="https://statiz.sporki.com/player/?m=playerinfo&amp;p_no=1289" TargetMode="External"/><Relationship Id="rId12475" Type="http://schemas.openxmlformats.org/officeDocument/2006/relationships/hyperlink" Target="https://statiz.sporki.com/player/?m=playerinfo&amp;p_no=14769" TargetMode="External"/><Relationship Id="rId13526" Type="http://schemas.openxmlformats.org/officeDocument/2006/relationships/hyperlink" Target="https://statiz.sporki.com/player/?m=playerinfo&amp;p_no=13247" TargetMode="External"/><Relationship Id="rId506" Type="http://schemas.openxmlformats.org/officeDocument/2006/relationships/hyperlink" Target="https://statiz.sporki.com/add/?m=draft_school01&amp;ps_school=50901" TargetMode="External"/><Relationship Id="rId853" Type="http://schemas.openxmlformats.org/officeDocument/2006/relationships/hyperlink" Target="https://statiz.sporki.com/player/?m=playerinfo&amp;p_no=14999" TargetMode="External"/><Relationship Id="rId1136" Type="http://schemas.openxmlformats.org/officeDocument/2006/relationships/hyperlink" Target="https://statiz.sporki.com/add/?m=draft_school01&amp;ps_school=50218" TargetMode="External"/><Relationship Id="rId2534" Type="http://schemas.openxmlformats.org/officeDocument/2006/relationships/hyperlink" Target="https://statiz.sporki.com/add/?m=draft_school01&amp;ps_school=50114" TargetMode="External"/><Relationship Id="rId12128" Type="http://schemas.openxmlformats.org/officeDocument/2006/relationships/hyperlink" Target="https://statiz.sporki.com/add/?m=draft_school01&amp;ps_school=50109" TargetMode="External"/><Relationship Id="rId15698" Type="http://schemas.openxmlformats.org/officeDocument/2006/relationships/hyperlink" Target="https://statiz.sporki.com/player/?m=playerinfo&amp;p_no=1445" TargetMode="External"/><Relationship Id="rId16749" Type="http://schemas.openxmlformats.org/officeDocument/2006/relationships/hyperlink" Target="https://statiz.sporki.com/add/?m=draft_school01&amp;ps_school=50301" TargetMode="External"/><Relationship Id="rId5757" Type="http://schemas.openxmlformats.org/officeDocument/2006/relationships/hyperlink" Target="https://statiz.sporki.com/add/?m=draft_school02&amp;ps_school=" TargetMode="External"/><Relationship Id="rId6808" Type="http://schemas.openxmlformats.org/officeDocument/2006/relationships/hyperlink" Target="https://statiz.sporki.com/player/?m=playerinfo&amp;p_no=10540" TargetMode="External"/><Relationship Id="rId18171" Type="http://schemas.openxmlformats.org/officeDocument/2006/relationships/hyperlink" Target="https://statiz.sporki.com/add/?m=draft_school01&amp;ps_school=50805" TargetMode="External"/><Relationship Id="rId19222" Type="http://schemas.openxmlformats.org/officeDocument/2006/relationships/hyperlink" Target="https://statiz.sporki.com/add/?m=draft_school01&amp;ps_school=50602" TargetMode="External"/><Relationship Id="rId4359" Type="http://schemas.openxmlformats.org/officeDocument/2006/relationships/hyperlink" Target="https://statiz.sporki.com/add/?m=draft_school02&amp;ps_school=" TargetMode="External"/><Relationship Id="rId8230" Type="http://schemas.openxmlformats.org/officeDocument/2006/relationships/hyperlink" Target="https://statiz.sporki.com/player/?m=playerinfo&amp;p_no=11454" TargetMode="External"/><Relationship Id="rId10160" Type="http://schemas.openxmlformats.org/officeDocument/2006/relationships/hyperlink" Target="https://statiz.sporki.com/add/?m=draft_school01&amp;ps_school=50805" TargetMode="External"/><Relationship Id="rId11211" Type="http://schemas.openxmlformats.org/officeDocument/2006/relationships/hyperlink" Target="https://statiz.sporki.com/add/?m=draft_school02&amp;ps_school=60104" TargetMode="External"/><Relationship Id="rId14781" Type="http://schemas.openxmlformats.org/officeDocument/2006/relationships/hyperlink" Target="https://statiz.sporki.com/player/?m=playerinfo&amp;p_no=2162" TargetMode="External"/><Relationship Id="rId4840" Type="http://schemas.openxmlformats.org/officeDocument/2006/relationships/hyperlink" Target="https://statiz.sporki.com/player/?m=playerinfo&amp;p_no=11148" TargetMode="External"/><Relationship Id="rId13383" Type="http://schemas.openxmlformats.org/officeDocument/2006/relationships/hyperlink" Target="https://statiz.sporki.com/player/?m=playerinfo&amp;p_no=11375" TargetMode="External"/><Relationship Id="rId14434" Type="http://schemas.openxmlformats.org/officeDocument/2006/relationships/hyperlink" Target="https://statiz.sporki.com/player/?m=playerinfo&amp;p_no=2397" TargetMode="External"/><Relationship Id="rId15832" Type="http://schemas.openxmlformats.org/officeDocument/2006/relationships/hyperlink" Target="https://statiz.sporki.com/player/?m=playerinfo&amp;p_no=1485" TargetMode="External"/><Relationship Id="rId2391" Type="http://schemas.openxmlformats.org/officeDocument/2006/relationships/hyperlink" Target="https://statiz.sporki.com/add/?m=draft_school02&amp;ps_school=" TargetMode="External"/><Relationship Id="rId3442" Type="http://schemas.openxmlformats.org/officeDocument/2006/relationships/hyperlink" Target="https://statiz.sporki.com/player/?m=playerinfo&amp;p_no=12642" TargetMode="External"/><Relationship Id="rId13036" Type="http://schemas.openxmlformats.org/officeDocument/2006/relationships/hyperlink" Target="https://statiz.sporki.com/player/?m=playerinfo&amp;p_no=13252" TargetMode="External"/><Relationship Id="rId363" Type="http://schemas.openxmlformats.org/officeDocument/2006/relationships/hyperlink" Target="https://statiz.sporki.com/add/?m=draft_school02&amp;ps_school=" TargetMode="External"/><Relationship Id="rId2044" Type="http://schemas.openxmlformats.org/officeDocument/2006/relationships/hyperlink" Target="https://statiz.sporki.com/player/?m=playerinfo&amp;p_no=14569" TargetMode="External"/><Relationship Id="rId17657" Type="http://schemas.openxmlformats.org/officeDocument/2006/relationships/hyperlink" Target="https://statiz.sporki.com/add/?m=draft_school01&amp;ps_school=50110" TargetMode="External"/><Relationship Id="rId18708" Type="http://schemas.openxmlformats.org/officeDocument/2006/relationships/hyperlink" Target="https://statiz.sporki.com/add/?m=draft_school01&amp;ps_school=50802" TargetMode="External"/><Relationship Id="rId5267" Type="http://schemas.openxmlformats.org/officeDocument/2006/relationships/hyperlink" Target="https://statiz.sporki.com/add/?m=draft_school01&amp;ps_school=50703" TargetMode="External"/><Relationship Id="rId6318" Type="http://schemas.openxmlformats.org/officeDocument/2006/relationships/hyperlink" Target="https://statiz.sporki.com/add/?m=draft_school02&amp;ps_school=" TargetMode="External"/><Relationship Id="rId6665" Type="http://schemas.openxmlformats.org/officeDocument/2006/relationships/hyperlink" Target="https://statiz.sporki.com/add/?m=draft_school01&amp;ps_school=50108" TargetMode="External"/><Relationship Id="rId7716" Type="http://schemas.openxmlformats.org/officeDocument/2006/relationships/hyperlink" Target="https://statiz.sporki.com/add/?m=draft_school02&amp;ps_school=" TargetMode="External"/><Relationship Id="rId16259" Type="http://schemas.openxmlformats.org/officeDocument/2006/relationships/hyperlink" Target="https://statiz.sporki.com/add/?m=draft_school01&amp;ps_school=50219" TargetMode="External"/><Relationship Id="rId9888" Type="http://schemas.openxmlformats.org/officeDocument/2006/relationships/hyperlink" Target="https://statiz.sporki.com/add/?m=draft_school02&amp;ps_school=60703" TargetMode="External"/><Relationship Id="rId12869" Type="http://schemas.openxmlformats.org/officeDocument/2006/relationships/hyperlink" Target="https://statiz.sporki.com/player/?m=playerinfo&amp;p_no=13942" TargetMode="External"/><Relationship Id="rId16740" Type="http://schemas.openxmlformats.org/officeDocument/2006/relationships/hyperlink" Target="https://statiz.sporki.com/add/?m=draft_school01&amp;ps_school=50116" TargetMode="External"/><Relationship Id="rId1877" Type="http://schemas.openxmlformats.org/officeDocument/2006/relationships/hyperlink" Target="https://statiz.sporki.com/add/?m=draft_school01&amp;ps_school=50103" TargetMode="External"/><Relationship Id="rId2928" Type="http://schemas.openxmlformats.org/officeDocument/2006/relationships/hyperlink" Target="https://statiz.sporki.com/add/?m=draft_school02&amp;ps_school=" TargetMode="External"/><Relationship Id="rId14291" Type="http://schemas.openxmlformats.org/officeDocument/2006/relationships/hyperlink" Target="https://statiz.sporki.com/player/?m=playerinfo&amp;p_no=2396" TargetMode="External"/><Relationship Id="rId15342" Type="http://schemas.openxmlformats.org/officeDocument/2006/relationships/hyperlink" Target="https://statiz.sporki.com/player/?m=playerinfo&amp;p_no=1736" TargetMode="External"/><Relationship Id="rId4350" Type="http://schemas.openxmlformats.org/officeDocument/2006/relationships/hyperlink" Target="https://statiz.sporki.com/add/?m=draft_school02&amp;ps_school=" TargetMode="External"/><Relationship Id="rId5401" Type="http://schemas.openxmlformats.org/officeDocument/2006/relationships/hyperlink" Target="https://statiz.sporki.com/player/?m=playerinfo&amp;p_no=10774" TargetMode="External"/><Relationship Id="rId8971" Type="http://schemas.openxmlformats.org/officeDocument/2006/relationships/hyperlink" Target="https://statiz.sporki.com/player/?m=playerinfo&amp;p_no=10408" TargetMode="External"/><Relationship Id="rId18565" Type="http://schemas.openxmlformats.org/officeDocument/2006/relationships/hyperlink" Target="https://statiz.sporki.com/add/?m=draft_school01&amp;ps_school=50106" TargetMode="External"/><Relationship Id="rId4003" Type="http://schemas.openxmlformats.org/officeDocument/2006/relationships/hyperlink" Target="https://statiz.sporki.com/player/?m=playerinfo&amp;p_no=11418" TargetMode="External"/><Relationship Id="rId7573" Type="http://schemas.openxmlformats.org/officeDocument/2006/relationships/hyperlink" Target="https://statiz.sporki.com/player/?m=playerinfo&amp;p_no=10183" TargetMode="External"/><Relationship Id="rId8624" Type="http://schemas.openxmlformats.org/officeDocument/2006/relationships/hyperlink" Target="https://statiz.sporki.com/add/?m=draft_school01&amp;ps_school=" TargetMode="External"/><Relationship Id="rId11952" Type="http://schemas.openxmlformats.org/officeDocument/2006/relationships/hyperlink" Target="https://statiz.sporki.com/add/?m=draft_school02&amp;ps_school=60101" TargetMode="External"/><Relationship Id="rId17167" Type="http://schemas.openxmlformats.org/officeDocument/2006/relationships/hyperlink" Target="https://statiz.sporki.com/add/?m=draft_school01&amp;ps_school=50109" TargetMode="External"/><Relationship Id="rId18218" Type="http://schemas.openxmlformats.org/officeDocument/2006/relationships/hyperlink" Target="https://statiz.sporki.com/add/?m=draft_school01&amp;ps_school=50202" TargetMode="External"/><Relationship Id="rId19616" Type="http://schemas.openxmlformats.org/officeDocument/2006/relationships/hyperlink" Target="https://statiz.sporki.com/add/?m=draft_school01&amp;ps_school=50209" TargetMode="External"/><Relationship Id="rId6175" Type="http://schemas.openxmlformats.org/officeDocument/2006/relationships/hyperlink" Target="https://statiz.sporki.com/player/?m=playerinfo&amp;p_no=2420" TargetMode="External"/><Relationship Id="rId7226" Type="http://schemas.openxmlformats.org/officeDocument/2006/relationships/hyperlink" Target="https://statiz.sporki.com/add/?m=draft_school01&amp;ps_school=50606" TargetMode="External"/><Relationship Id="rId10554" Type="http://schemas.openxmlformats.org/officeDocument/2006/relationships/hyperlink" Target="https://statiz.sporki.com/add/?m=draft_school02&amp;ps_school=60113" TargetMode="External"/><Relationship Id="rId11605" Type="http://schemas.openxmlformats.org/officeDocument/2006/relationships/hyperlink" Target="https://statiz.sporki.com/player/?m=playerinfo&amp;p_no=1145" TargetMode="External"/><Relationship Id="rId9398" Type="http://schemas.openxmlformats.org/officeDocument/2006/relationships/hyperlink" Target="https://statiz.sporki.com/add/?m=draft_school01&amp;ps_school=50805" TargetMode="External"/><Relationship Id="rId10207" Type="http://schemas.openxmlformats.org/officeDocument/2006/relationships/hyperlink" Target="https://statiz.sporki.com/player/?m=playerinfo&amp;p_no=1604" TargetMode="External"/><Relationship Id="rId13777" Type="http://schemas.openxmlformats.org/officeDocument/2006/relationships/hyperlink" Target="https://statiz.sporki.com/player/?m=playerinfo&amp;p_no=10849" TargetMode="External"/><Relationship Id="rId14828" Type="http://schemas.openxmlformats.org/officeDocument/2006/relationships/hyperlink" Target="https://statiz.sporki.com/player/?m=playerinfo&amp;p_no=2287" TargetMode="External"/><Relationship Id="rId2785" Type="http://schemas.openxmlformats.org/officeDocument/2006/relationships/hyperlink" Target="https://statiz.sporki.com/player/?m=playerinfo&amp;p_no=12905" TargetMode="External"/><Relationship Id="rId3836" Type="http://schemas.openxmlformats.org/officeDocument/2006/relationships/hyperlink" Target="https://statiz.sporki.com/add/?m=draft_school01&amp;ps_school=50804" TargetMode="External"/><Relationship Id="rId12379" Type="http://schemas.openxmlformats.org/officeDocument/2006/relationships/hyperlink" Target="https://statiz.sporki.com/player/?m=playerinfo&amp;p_no=15019" TargetMode="External"/><Relationship Id="rId16250" Type="http://schemas.openxmlformats.org/officeDocument/2006/relationships/hyperlink" Target="https://statiz.sporki.com/add/?m=draft_school01&amp;ps_school=50116" TargetMode="External"/><Relationship Id="rId17301" Type="http://schemas.openxmlformats.org/officeDocument/2006/relationships/hyperlink" Target="https://statiz.sporki.com/add/?m=draft_school01&amp;ps_school=50116" TargetMode="External"/><Relationship Id="rId757" Type="http://schemas.openxmlformats.org/officeDocument/2006/relationships/hyperlink" Target="https://statiz.sporki.com/player/?m=playerinfo&amp;p_no=15032" TargetMode="External"/><Relationship Id="rId1387" Type="http://schemas.openxmlformats.org/officeDocument/2006/relationships/hyperlink" Target="https://statiz.sporki.com/player/?m=playerinfo&amp;p_no=14589" TargetMode="External"/><Relationship Id="rId2438" Type="http://schemas.openxmlformats.org/officeDocument/2006/relationships/hyperlink" Target="https://statiz.sporki.com/add/?m=draft_school01&amp;ps_school=50114" TargetMode="External"/><Relationship Id="rId12860" Type="http://schemas.openxmlformats.org/officeDocument/2006/relationships/hyperlink" Target="https://statiz.sporki.com/player/?m=playerinfo&amp;p_no=14214" TargetMode="External"/><Relationship Id="rId19473" Type="http://schemas.openxmlformats.org/officeDocument/2006/relationships/hyperlink" Target="https://statiz.sporki.com/add/?m=draft_school01&amp;ps_school=50805" TargetMode="External"/><Relationship Id="rId93" Type="http://schemas.openxmlformats.org/officeDocument/2006/relationships/hyperlink" Target="https://statiz.sporki.com/add/?m=draft_school02&amp;ps_school=" TargetMode="External"/><Relationship Id="rId8481" Type="http://schemas.openxmlformats.org/officeDocument/2006/relationships/hyperlink" Target="https://statiz.sporki.com/add/?m=draft_school02&amp;ps_school=60602" TargetMode="External"/><Relationship Id="rId9532" Type="http://schemas.openxmlformats.org/officeDocument/2006/relationships/hyperlink" Target="https://statiz.sporki.com/player/?m=playerinfo&amp;p_no=10101" TargetMode="External"/><Relationship Id="rId11462" Type="http://schemas.openxmlformats.org/officeDocument/2006/relationships/hyperlink" Target="https://statiz.sporki.com/add/?m=draft_school01&amp;ps_school=50805" TargetMode="External"/><Relationship Id="rId12513" Type="http://schemas.openxmlformats.org/officeDocument/2006/relationships/hyperlink" Target="https://statiz.sporki.com/player/?m=playerinfo&amp;p_no=14766" TargetMode="External"/><Relationship Id="rId13911" Type="http://schemas.openxmlformats.org/officeDocument/2006/relationships/hyperlink" Target="https://statiz.sporki.com/player/?m=playerinfo&amp;p_no=10798" TargetMode="External"/><Relationship Id="rId18075" Type="http://schemas.openxmlformats.org/officeDocument/2006/relationships/hyperlink" Target="https://statiz.sporki.com/add/?m=draft_school01&amp;ps_school=50202" TargetMode="External"/><Relationship Id="rId19126" Type="http://schemas.openxmlformats.org/officeDocument/2006/relationships/hyperlink" Target="https://statiz.sporki.com/add/?m=draft_school01&amp;ps_school=50602" TargetMode="External"/><Relationship Id="rId1521" Type="http://schemas.openxmlformats.org/officeDocument/2006/relationships/hyperlink" Target="https://statiz.sporki.com/add/?m=draft_school02&amp;ps_school=" TargetMode="External"/><Relationship Id="rId7083" Type="http://schemas.openxmlformats.org/officeDocument/2006/relationships/hyperlink" Target="https://statiz.sporki.com/add/?m=draft_school02&amp;ps_school=" TargetMode="External"/><Relationship Id="rId8134" Type="http://schemas.openxmlformats.org/officeDocument/2006/relationships/hyperlink" Target="https://statiz.sporki.com/player/?m=playerinfo&amp;p_no=2299" TargetMode="External"/><Relationship Id="rId10064" Type="http://schemas.openxmlformats.org/officeDocument/2006/relationships/hyperlink" Target="https://statiz.sporki.com/add/?m=draft_school01&amp;ps_school=50805" TargetMode="External"/><Relationship Id="rId11115" Type="http://schemas.openxmlformats.org/officeDocument/2006/relationships/hyperlink" Target="https://statiz.sporki.com/add/?m=draft_school02&amp;ps_school=60113" TargetMode="External"/><Relationship Id="rId3693" Type="http://schemas.openxmlformats.org/officeDocument/2006/relationships/hyperlink" Target="https://statiz.sporki.com/add/?m=draft_school02&amp;ps_school=" TargetMode="External"/><Relationship Id="rId13287" Type="http://schemas.openxmlformats.org/officeDocument/2006/relationships/hyperlink" Target="https://statiz.sporki.com/player/?m=playerinfo&amp;p_no=12610" TargetMode="External"/><Relationship Id="rId14685" Type="http://schemas.openxmlformats.org/officeDocument/2006/relationships/hyperlink" Target="https://statiz.sporki.com/player/?m=playerinfo&amp;p_no=2177" TargetMode="External"/><Relationship Id="rId15736" Type="http://schemas.openxmlformats.org/officeDocument/2006/relationships/hyperlink" Target="https://statiz.sporki.com/player/?m=playerinfo&amp;p_no=1384" TargetMode="External"/><Relationship Id="rId2295" Type="http://schemas.openxmlformats.org/officeDocument/2006/relationships/hyperlink" Target="https://statiz.sporki.com/add/?m=draft_school02&amp;ps_school=" TargetMode="External"/><Relationship Id="rId3346" Type="http://schemas.openxmlformats.org/officeDocument/2006/relationships/hyperlink" Target="https://statiz.sporki.com/player/?m=playerinfo&amp;p_no=12523" TargetMode="External"/><Relationship Id="rId4744" Type="http://schemas.openxmlformats.org/officeDocument/2006/relationships/hyperlink" Target="https://statiz.sporki.com/player/?m=playerinfo&amp;p_no=13188" TargetMode="External"/><Relationship Id="rId14338" Type="http://schemas.openxmlformats.org/officeDocument/2006/relationships/hyperlink" Target="https://statiz.sporki.com/player/?m=playerinfo&amp;p_no=10274" TargetMode="External"/><Relationship Id="rId18959" Type="http://schemas.openxmlformats.org/officeDocument/2006/relationships/hyperlink" Target="https://statiz.sporki.com/add/?m=draft_school01&amp;ps_school=50203" TargetMode="External"/><Relationship Id="rId267" Type="http://schemas.openxmlformats.org/officeDocument/2006/relationships/hyperlink" Target="https://statiz.sporki.com/add/?m=draft_school02&amp;ps_school=" TargetMode="External"/><Relationship Id="rId7967" Type="http://schemas.openxmlformats.org/officeDocument/2006/relationships/hyperlink" Target="https://statiz.sporki.com/add/?m=draft_school01&amp;ps_school=" TargetMode="External"/><Relationship Id="rId10948" Type="http://schemas.openxmlformats.org/officeDocument/2006/relationships/hyperlink" Target="https://statiz.sporki.com/player/?m=playerinfo&amp;p_no=1418" TargetMode="External"/><Relationship Id="rId6569" Type="http://schemas.openxmlformats.org/officeDocument/2006/relationships/hyperlink" Target="https://statiz.sporki.com/add/?m=draft_school01&amp;ps_school=50202" TargetMode="External"/><Relationship Id="rId12370" Type="http://schemas.openxmlformats.org/officeDocument/2006/relationships/hyperlink" Target="https://statiz.sporki.com/player/?m=playerinfo&amp;p_no=15063" TargetMode="External"/><Relationship Id="rId13421" Type="http://schemas.openxmlformats.org/officeDocument/2006/relationships/hyperlink" Target="https://statiz.sporki.com/player/?m=playerinfo&amp;p_no=13057" TargetMode="External"/><Relationship Id="rId16991" Type="http://schemas.openxmlformats.org/officeDocument/2006/relationships/hyperlink" Target="https://statiz.sporki.com/add/?m=draft_school01&amp;ps_school=50401" TargetMode="External"/><Relationship Id="rId9042" Type="http://schemas.openxmlformats.org/officeDocument/2006/relationships/hyperlink" Target="https://statiz.sporki.com/add/?m=draft_school02&amp;ps_school=60114" TargetMode="External"/><Relationship Id="rId12023" Type="http://schemas.openxmlformats.org/officeDocument/2006/relationships/hyperlink" Target="https://statiz.sporki.com/add/?m=draft_school01&amp;ps_school=50701" TargetMode="External"/><Relationship Id="rId15593" Type="http://schemas.openxmlformats.org/officeDocument/2006/relationships/hyperlink" Target="https://statiz.sporki.com/player/?m=playerinfo&amp;p_no=1624" TargetMode="External"/><Relationship Id="rId16644" Type="http://schemas.openxmlformats.org/officeDocument/2006/relationships/hyperlink" Target="https://statiz.sporki.com/add/?m=draft_school01&amp;ps_school=50110" TargetMode="External"/><Relationship Id="rId401" Type="http://schemas.openxmlformats.org/officeDocument/2006/relationships/hyperlink" Target="https://statiz.sporki.com/add/?m=draft_school01&amp;ps_school=50107" TargetMode="External"/><Relationship Id="rId1031" Type="http://schemas.openxmlformats.org/officeDocument/2006/relationships/hyperlink" Target="https://statiz.sporki.com/add/?m=draft_school01&amp;ps_school=50205" TargetMode="External"/><Relationship Id="rId5652" Type="http://schemas.openxmlformats.org/officeDocument/2006/relationships/hyperlink" Target="https://statiz.sporki.com/add/?m=draft_school02&amp;ps_school=60108" TargetMode="External"/><Relationship Id="rId6703" Type="http://schemas.openxmlformats.org/officeDocument/2006/relationships/hyperlink" Target="https://statiz.sporki.com/player/?m=playerinfo&amp;p_no=10740" TargetMode="External"/><Relationship Id="rId14195" Type="http://schemas.openxmlformats.org/officeDocument/2006/relationships/hyperlink" Target="https://statiz.sporki.com/player/?m=playerinfo&amp;p_no=10205" TargetMode="External"/><Relationship Id="rId15246" Type="http://schemas.openxmlformats.org/officeDocument/2006/relationships/hyperlink" Target="https://statiz.sporki.com/player/?m=playerinfo&amp;p_no=1815" TargetMode="External"/><Relationship Id="rId4254" Type="http://schemas.openxmlformats.org/officeDocument/2006/relationships/hyperlink" Target="https://statiz.sporki.com/add/?m=draft_school02&amp;ps_school=60802" TargetMode="External"/><Relationship Id="rId5305" Type="http://schemas.openxmlformats.org/officeDocument/2006/relationships/hyperlink" Target="https://statiz.sporki.com/player/?m=playerinfo&amp;p_no=10731" TargetMode="External"/><Relationship Id="rId7477" Type="http://schemas.openxmlformats.org/officeDocument/2006/relationships/hyperlink" Target="https://statiz.sporki.com/player/?m=playerinfo&amp;p_no=2266" TargetMode="External"/><Relationship Id="rId8528" Type="http://schemas.openxmlformats.org/officeDocument/2006/relationships/hyperlink" Target="https://statiz.sporki.com/add/?m=draft_school01&amp;ps_school=" TargetMode="External"/><Relationship Id="rId8875" Type="http://schemas.openxmlformats.org/officeDocument/2006/relationships/hyperlink" Target="https://statiz.sporki.com/player/?m=playerinfo&amp;p_no=2070" TargetMode="External"/><Relationship Id="rId9926" Type="http://schemas.openxmlformats.org/officeDocument/2006/relationships/hyperlink" Target="https://statiz.sporki.com/add/?m=draft_school01&amp;ps_school=50602" TargetMode="External"/><Relationship Id="rId11856" Type="http://schemas.openxmlformats.org/officeDocument/2006/relationships/hyperlink" Target="https://statiz.sporki.com/add/?m=draft_school02&amp;ps_school=" TargetMode="External"/><Relationship Id="rId12907" Type="http://schemas.openxmlformats.org/officeDocument/2006/relationships/hyperlink" Target="https://statiz.sporki.com/player/?m=playerinfo&amp;p_no=13102" TargetMode="External"/><Relationship Id="rId18469" Type="http://schemas.openxmlformats.org/officeDocument/2006/relationships/hyperlink" Target="https://statiz.sporki.com/add/?m=draft_school01&amp;ps_school=50110" TargetMode="External"/><Relationship Id="rId1915" Type="http://schemas.openxmlformats.org/officeDocument/2006/relationships/hyperlink" Target="https://statiz.sporki.com/player/?m=playerinfo&amp;p_no=14156" TargetMode="External"/><Relationship Id="rId6079" Type="http://schemas.openxmlformats.org/officeDocument/2006/relationships/hyperlink" Target="https://statiz.sporki.com/player/?m=playerinfo&amp;p_no=10266" TargetMode="External"/><Relationship Id="rId10458" Type="http://schemas.openxmlformats.org/officeDocument/2006/relationships/hyperlink" Target="https://statiz.sporki.com/add/?m=draft_school02&amp;ps_school=" TargetMode="External"/><Relationship Id="rId11509" Type="http://schemas.openxmlformats.org/officeDocument/2006/relationships/hyperlink" Target="https://statiz.sporki.com/player/?m=playerinfo&amp;p_no=1210" TargetMode="External"/><Relationship Id="rId18950" Type="http://schemas.openxmlformats.org/officeDocument/2006/relationships/hyperlink" Target="https://statiz.sporki.com/add/?m=draft_school01&amp;ps_school=50121" TargetMode="External"/><Relationship Id="rId17552" Type="http://schemas.openxmlformats.org/officeDocument/2006/relationships/hyperlink" Target="https://statiz.sporki.com/add/?m=draft_school01&amp;ps_school=50113" TargetMode="External"/><Relationship Id="rId18603" Type="http://schemas.openxmlformats.org/officeDocument/2006/relationships/hyperlink" Target="https://statiz.sporki.com/add/?m=draft_school01&amp;ps_school=50102" TargetMode="External"/><Relationship Id="rId2689" Type="http://schemas.openxmlformats.org/officeDocument/2006/relationships/hyperlink" Target="https://statiz.sporki.com/player/?m=playerinfo&amp;p_no=13254" TargetMode="External"/><Relationship Id="rId6560" Type="http://schemas.openxmlformats.org/officeDocument/2006/relationships/hyperlink" Target="https://statiz.sporki.com/add/?m=draft_school01&amp;ps_school=50303" TargetMode="External"/><Relationship Id="rId7611" Type="http://schemas.openxmlformats.org/officeDocument/2006/relationships/hyperlink" Target="https://statiz.sporki.com/add/?m=draft_school02&amp;ps_school=" TargetMode="External"/><Relationship Id="rId16154" Type="http://schemas.openxmlformats.org/officeDocument/2006/relationships/hyperlink" Target="https://statiz.sporki.com/player/?m=playerinfo&amp;p_no=1025" TargetMode="External"/><Relationship Id="rId17205" Type="http://schemas.openxmlformats.org/officeDocument/2006/relationships/hyperlink" Target="https://statiz.sporki.com/add/?m=draft_school01&amp;ps_school=50105" TargetMode="External"/><Relationship Id="rId5162" Type="http://schemas.openxmlformats.org/officeDocument/2006/relationships/hyperlink" Target="https://statiz.sporki.com/add/?m=draft_school01&amp;ps_school=50802" TargetMode="External"/><Relationship Id="rId6213" Type="http://schemas.openxmlformats.org/officeDocument/2006/relationships/hyperlink" Target="https://statiz.sporki.com/add/?m=draft_school02&amp;ps_school=" TargetMode="External"/><Relationship Id="rId9783" Type="http://schemas.openxmlformats.org/officeDocument/2006/relationships/hyperlink" Target="https://statiz.sporki.com/add/?m=draft_school02&amp;ps_school=60113" TargetMode="External"/><Relationship Id="rId19377" Type="http://schemas.openxmlformats.org/officeDocument/2006/relationships/hyperlink" Target="https://statiz.sporki.com/add/?m=draft_school01&amp;ps_school=50403" TargetMode="External"/><Relationship Id="rId1772" Type="http://schemas.openxmlformats.org/officeDocument/2006/relationships/hyperlink" Target="https://statiz.sporki.com/add/?m=draft_school01&amp;ps_school=50207" TargetMode="External"/><Relationship Id="rId8385" Type="http://schemas.openxmlformats.org/officeDocument/2006/relationships/hyperlink" Target="https://statiz.sporki.com/add/?m=draft_school02&amp;ps_school=60501" TargetMode="External"/><Relationship Id="rId9436" Type="http://schemas.openxmlformats.org/officeDocument/2006/relationships/hyperlink" Target="https://statiz.sporki.com/player/?m=playerinfo&amp;p_no=10511" TargetMode="External"/><Relationship Id="rId11366" Type="http://schemas.openxmlformats.org/officeDocument/2006/relationships/hyperlink" Target="https://statiz.sporki.com/add/?m=draft_school01&amp;ps_school=50110" TargetMode="External"/><Relationship Id="rId12764" Type="http://schemas.openxmlformats.org/officeDocument/2006/relationships/hyperlink" Target="https://statiz.sporki.com/player/?m=playerinfo&amp;p_no=14159" TargetMode="External"/><Relationship Id="rId13815" Type="http://schemas.openxmlformats.org/officeDocument/2006/relationships/hyperlink" Target="https://statiz.sporki.com/player/?m=playerinfo&amp;p_no=11151" TargetMode="External"/><Relationship Id="rId1425" Type="http://schemas.openxmlformats.org/officeDocument/2006/relationships/hyperlink" Target="https://statiz.sporki.com/add/?m=draft_school02&amp;ps_school=" TargetMode="External"/><Relationship Id="rId2823" Type="http://schemas.openxmlformats.org/officeDocument/2006/relationships/hyperlink" Target="https://statiz.sporki.com/add/?m=draft_school02&amp;ps_school=" TargetMode="External"/><Relationship Id="rId8038" Type="http://schemas.openxmlformats.org/officeDocument/2006/relationships/hyperlink" Target="https://statiz.sporki.com/player/?m=playerinfo&amp;p_no=2100" TargetMode="External"/><Relationship Id="rId11019" Type="http://schemas.openxmlformats.org/officeDocument/2006/relationships/hyperlink" Target="https://statiz.sporki.com/add/?m=draft_school02&amp;ps_school=60104" TargetMode="External"/><Relationship Id="rId12417" Type="http://schemas.openxmlformats.org/officeDocument/2006/relationships/hyperlink" Target="https://statiz.sporki.com/player/?m=playerinfo&amp;p_no=15003" TargetMode="External"/><Relationship Id="rId15987" Type="http://schemas.openxmlformats.org/officeDocument/2006/relationships/hyperlink" Target="https://statiz.sporki.com/player/?m=playerinfo&amp;p_no=1226" TargetMode="External"/><Relationship Id="rId4995" Type="http://schemas.openxmlformats.org/officeDocument/2006/relationships/hyperlink" Target="https://statiz.sporki.com/add/?m=draft_school02&amp;ps_school=" TargetMode="External"/><Relationship Id="rId14589" Type="http://schemas.openxmlformats.org/officeDocument/2006/relationships/hyperlink" Target="https://statiz.sporki.com/player/?m=playerinfo&amp;p_no=10124" TargetMode="External"/><Relationship Id="rId18460" Type="http://schemas.openxmlformats.org/officeDocument/2006/relationships/hyperlink" Target="https://statiz.sporki.com/add/?m=draft_school01&amp;ps_school=50805" TargetMode="External"/><Relationship Id="rId19511" Type="http://schemas.openxmlformats.org/officeDocument/2006/relationships/hyperlink" Target="https://statiz.sporki.com/add/?m=draft_school01&amp;ps_school=50807" TargetMode="External"/><Relationship Id="rId2199" Type="http://schemas.openxmlformats.org/officeDocument/2006/relationships/hyperlink" Target="https://statiz.sporki.com/add/?m=draft_school02&amp;ps_school=61106" TargetMode="External"/><Relationship Id="rId3597" Type="http://schemas.openxmlformats.org/officeDocument/2006/relationships/hyperlink" Target="https://statiz.sporki.com/add/?m=draft_school02&amp;ps_school=60102" TargetMode="External"/><Relationship Id="rId4648" Type="http://schemas.openxmlformats.org/officeDocument/2006/relationships/hyperlink" Target="https://statiz.sporki.com/player/?m=playerinfo&amp;p_no=11076" TargetMode="External"/><Relationship Id="rId6070" Type="http://schemas.openxmlformats.org/officeDocument/2006/relationships/hyperlink" Target="https://statiz.sporki.com/player/?m=playerinfo&amp;p_no=10024" TargetMode="External"/><Relationship Id="rId11500" Type="http://schemas.openxmlformats.org/officeDocument/2006/relationships/hyperlink" Target="https://statiz.sporki.com/player/?m=playerinfo&amp;p_no=1230" TargetMode="External"/><Relationship Id="rId17062" Type="http://schemas.openxmlformats.org/officeDocument/2006/relationships/hyperlink" Target="https://statiz.sporki.com/add/?m=draft_school01&amp;ps_school=50103" TargetMode="External"/><Relationship Id="rId18113" Type="http://schemas.openxmlformats.org/officeDocument/2006/relationships/hyperlink" Target="https://statiz.sporki.com/add/?m=draft_school01&amp;ps_school=50110" TargetMode="External"/><Relationship Id="rId7121" Type="http://schemas.openxmlformats.org/officeDocument/2006/relationships/hyperlink" Target="https://statiz.sporki.com/add/?m=draft_school01&amp;ps_school=50602" TargetMode="External"/><Relationship Id="rId10102" Type="http://schemas.openxmlformats.org/officeDocument/2006/relationships/hyperlink" Target="https://statiz.sporki.com/player/?m=playerinfo&amp;p_no=1582" TargetMode="External"/><Relationship Id="rId13672" Type="http://schemas.openxmlformats.org/officeDocument/2006/relationships/hyperlink" Target="https://statiz.sporki.com/player/?m=playerinfo&amp;p_no=11130" TargetMode="External"/><Relationship Id="rId14723" Type="http://schemas.openxmlformats.org/officeDocument/2006/relationships/hyperlink" Target="https://statiz.sporki.com/player/?m=playerinfo&amp;p_no=2199" TargetMode="External"/><Relationship Id="rId2680" Type="http://schemas.openxmlformats.org/officeDocument/2006/relationships/hyperlink" Target="https://statiz.sporki.com/player/?m=playerinfo&amp;p_no=13233" TargetMode="External"/><Relationship Id="rId3731" Type="http://schemas.openxmlformats.org/officeDocument/2006/relationships/hyperlink" Target="https://statiz.sporki.com/add/?m=draft_school01&amp;ps_school=50801" TargetMode="External"/><Relationship Id="rId9293" Type="http://schemas.openxmlformats.org/officeDocument/2006/relationships/hyperlink" Target="https://statiz.sporki.com/add/?m=draft_school01&amp;ps_school=50108" TargetMode="External"/><Relationship Id="rId12274" Type="http://schemas.openxmlformats.org/officeDocument/2006/relationships/hyperlink" Target="https://statiz.sporki.com/player/?m=playerinfo&amp;p_no=15642" TargetMode="External"/><Relationship Id="rId13325" Type="http://schemas.openxmlformats.org/officeDocument/2006/relationships/hyperlink" Target="https://statiz.sporki.com/player/?m=playerinfo&amp;p_no=13181" TargetMode="External"/><Relationship Id="rId652" Type="http://schemas.openxmlformats.org/officeDocument/2006/relationships/hyperlink" Target="https://statiz.sporki.com/player/?m=playerinfo&amp;p_no=13676" TargetMode="External"/><Relationship Id="rId1282" Type="http://schemas.openxmlformats.org/officeDocument/2006/relationships/hyperlink" Target="https://statiz.sporki.com/player/?m=playerinfo&amp;p_no=14755" TargetMode="External"/><Relationship Id="rId2333" Type="http://schemas.openxmlformats.org/officeDocument/2006/relationships/hyperlink" Target="https://statiz.sporki.com/add/?m=draft_school01&amp;ps_school=50113" TargetMode="External"/><Relationship Id="rId15497" Type="http://schemas.openxmlformats.org/officeDocument/2006/relationships/hyperlink" Target="https://statiz.sporki.com/player/?m=playerinfo&amp;p_no=1620" TargetMode="External"/><Relationship Id="rId16895" Type="http://schemas.openxmlformats.org/officeDocument/2006/relationships/hyperlink" Target="https://statiz.sporki.com/add/?m=draft_school01&amp;ps_school=50206" TargetMode="External"/><Relationship Id="rId17946" Type="http://schemas.openxmlformats.org/officeDocument/2006/relationships/hyperlink" Target="https://statiz.sporki.com/add/?m=draft_school01&amp;ps_school=50114" TargetMode="External"/><Relationship Id="rId305" Type="http://schemas.openxmlformats.org/officeDocument/2006/relationships/hyperlink" Target="https://statiz.sporki.com/add/?m=draft_school01&amp;ps_school=50606" TargetMode="External"/><Relationship Id="rId5556" Type="http://schemas.openxmlformats.org/officeDocument/2006/relationships/hyperlink" Target="https://statiz.sporki.com/add/?m=draft_school02&amp;ps_school=60101" TargetMode="External"/><Relationship Id="rId6607" Type="http://schemas.openxmlformats.org/officeDocument/2006/relationships/hyperlink" Target="https://statiz.sporki.com/player/?m=playerinfo&amp;p_no=10694" TargetMode="External"/><Relationship Id="rId6954" Type="http://schemas.openxmlformats.org/officeDocument/2006/relationships/hyperlink" Target="https://statiz.sporki.com/add/?m=draft_school02&amp;ps_school=" TargetMode="External"/><Relationship Id="rId14099" Type="http://schemas.openxmlformats.org/officeDocument/2006/relationships/hyperlink" Target="https://statiz.sporki.com/player/?m=playerinfo&amp;p_no=10140" TargetMode="External"/><Relationship Id="rId16548" Type="http://schemas.openxmlformats.org/officeDocument/2006/relationships/hyperlink" Target="https://statiz.sporki.com/add/?m=draft_school01&amp;ps_school=50801" TargetMode="External"/><Relationship Id="rId19021" Type="http://schemas.openxmlformats.org/officeDocument/2006/relationships/hyperlink" Target="https://statiz.sporki.com/add/?m=draft_school01&amp;ps_school=50903" TargetMode="External"/><Relationship Id="rId4158" Type="http://schemas.openxmlformats.org/officeDocument/2006/relationships/hyperlink" Target="https://statiz.sporki.com/add/?m=draft_school02&amp;ps_school=" TargetMode="External"/><Relationship Id="rId5209" Type="http://schemas.openxmlformats.org/officeDocument/2006/relationships/hyperlink" Target="https://statiz.sporki.com/player/?m=playerinfo&amp;p_no=10721" TargetMode="External"/><Relationship Id="rId8779" Type="http://schemas.openxmlformats.org/officeDocument/2006/relationships/hyperlink" Target="https://statiz.sporki.com/player/?m=playerinfo&amp;p_no=14231" TargetMode="External"/><Relationship Id="rId11010" Type="http://schemas.openxmlformats.org/officeDocument/2006/relationships/hyperlink" Target="https://statiz.sporki.com/add/?m=draft_school02&amp;ps_school=60104" TargetMode="External"/><Relationship Id="rId14580" Type="http://schemas.openxmlformats.org/officeDocument/2006/relationships/hyperlink" Target="https://statiz.sporki.com/player/?m=playerinfo&amp;p_no=10695" TargetMode="External"/><Relationship Id="rId15631" Type="http://schemas.openxmlformats.org/officeDocument/2006/relationships/hyperlink" Target="https://statiz.sporki.com/player/?m=playerinfo&amp;p_no=1512" TargetMode="External"/><Relationship Id="rId1819" Type="http://schemas.openxmlformats.org/officeDocument/2006/relationships/hyperlink" Target="https://statiz.sporki.com/player/?m=playerinfo&amp;p_no=14731" TargetMode="External"/><Relationship Id="rId13182" Type="http://schemas.openxmlformats.org/officeDocument/2006/relationships/hyperlink" Target="https://statiz.sporki.com/player/?m=playerinfo&amp;p_no=13265" TargetMode="External"/><Relationship Id="rId14233" Type="http://schemas.openxmlformats.org/officeDocument/2006/relationships/hyperlink" Target="https://statiz.sporki.com/player/?m=playerinfo&amp;p_no=10586" TargetMode="External"/><Relationship Id="rId18854" Type="http://schemas.openxmlformats.org/officeDocument/2006/relationships/hyperlink" Target="https://statiz.sporki.com/add/?m=draft_school01&amp;ps_school=50802" TargetMode="External"/><Relationship Id="rId2190" Type="http://schemas.openxmlformats.org/officeDocument/2006/relationships/hyperlink" Target="https://statiz.sporki.com/add/?m=draft_school02&amp;ps_school=" TargetMode="External"/><Relationship Id="rId3241" Type="http://schemas.openxmlformats.org/officeDocument/2006/relationships/hyperlink" Target="https://statiz.sporki.com/player/?m=playerinfo&amp;p_no=12574" TargetMode="External"/><Relationship Id="rId7862" Type="http://schemas.openxmlformats.org/officeDocument/2006/relationships/hyperlink" Target="https://statiz.sporki.com/add/?m=draft_school01&amp;ps_school=50804" TargetMode="External"/><Relationship Id="rId8913" Type="http://schemas.openxmlformats.org/officeDocument/2006/relationships/hyperlink" Target="https://statiz.sporki.com/add/?m=draft_school02&amp;ps_school=60803" TargetMode="External"/><Relationship Id="rId17456" Type="http://schemas.openxmlformats.org/officeDocument/2006/relationships/hyperlink" Target="https://statiz.sporki.com/add/?m=draft_school01&amp;ps_school=50105" TargetMode="External"/><Relationship Id="rId18507" Type="http://schemas.openxmlformats.org/officeDocument/2006/relationships/hyperlink" Target="https://statiz.sporki.com/add/?m=draft_school01&amp;ps_school=50110" TargetMode="External"/><Relationship Id="rId162" Type="http://schemas.openxmlformats.org/officeDocument/2006/relationships/hyperlink" Target="https://statiz.sporki.com/add/?m=draft_school02&amp;ps_school=60108" TargetMode="External"/><Relationship Id="rId6464" Type="http://schemas.openxmlformats.org/officeDocument/2006/relationships/hyperlink" Target="https://statiz.sporki.com/add/?m=draft_school01&amp;ps_school=" TargetMode="External"/><Relationship Id="rId7515" Type="http://schemas.openxmlformats.org/officeDocument/2006/relationships/hyperlink" Target="https://statiz.sporki.com/add/?m=draft_school02&amp;ps_school=" TargetMode="External"/><Relationship Id="rId10843" Type="http://schemas.openxmlformats.org/officeDocument/2006/relationships/hyperlink" Target="https://statiz.sporki.com/player/?m=playerinfo&amp;p_no=15156" TargetMode="External"/><Relationship Id="rId16058" Type="http://schemas.openxmlformats.org/officeDocument/2006/relationships/hyperlink" Target="https://statiz.sporki.com/player/?m=playerinfo&amp;p_no=1107" TargetMode="External"/><Relationship Id="rId17109" Type="http://schemas.openxmlformats.org/officeDocument/2006/relationships/hyperlink" Target="https://statiz.sporki.com/add/?m=draft_school01&amp;ps_school=50109" TargetMode="External"/><Relationship Id="rId5066" Type="http://schemas.openxmlformats.org/officeDocument/2006/relationships/hyperlink" Target="https://statiz.sporki.com/add/?m=draft_school01&amp;ps_school=" TargetMode="External"/><Relationship Id="rId6117" Type="http://schemas.openxmlformats.org/officeDocument/2006/relationships/hyperlink" Target="https://statiz.sporki.com/add/?m=draft_school02&amp;ps_school=" TargetMode="External"/><Relationship Id="rId9687" Type="http://schemas.openxmlformats.org/officeDocument/2006/relationships/hyperlink" Target="https://statiz.sporki.com/add/?m=draft_school02&amp;ps_school=" TargetMode="External"/><Relationship Id="rId8289" Type="http://schemas.openxmlformats.org/officeDocument/2006/relationships/hyperlink" Target="https://statiz.sporki.com/add/?m=draft_school02&amp;ps_school=60203" TargetMode="External"/><Relationship Id="rId12668" Type="http://schemas.openxmlformats.org/officeDocument/2006/relationships/hyperlink" Target="https://statiz.sporki.com/player/?m=playerinfo&amp;p_no=14640" TargetMode="External"/><Relationship Id="rId13719" Type="http://schemas.openxmlformats.org/officeDocument/2006/relationships/hyperlink" Target="https://statiz.sporki.com/player/?m=playerinfo&amp;p_no=11152" TargetMode="External"/><Relationship Id="rId1676" Type="http://schemas.openxmlformats.org/officeDocument/2006/relationships/hyperlink" Target="https://statiz.sporki.com/add/?m=draft_school01&amp;ps_school=50605" TargetMode="External"/><Relationship Id="rId2727" Type="http://schemas.openxmlformats.org/officeDocument/2006/relationships/hyperlink" Target="https://statiz.sporki.com/add/?m=draft_school02&amp;ps_school=60703" TargetMode="External"/><Relationship Id="rId14090" Type="http://schemas.openxmlformats.org/officeDocument/2006/relationships/hyperlink" Target="https://statiz.sporki.com/player/?m=playerinfo&amp;p_no=10280" TargetMode="External"/><Relationship Id="rId15141" Type="http://schemas.openxmlformats.org/officeDocument/2006/relationships/hyperlink" Target="https://statiz.sporki.com/player/?m=playerinfo&amp;p_no=1990" TargetMode="External"/><Relationship Id="rId1329" Type="http://schemas.openxmlformats.org/officeDocument/2006/relationships/hyperlink" Target="https://statiz.sporki.com/add/?m=draft_school02&amp;ps_school=" TargetMode="External"/><Relationship Id="rId4899" Type="http://schemas.openxmlformats.org/officeDocument/2006/relationships/hyperlink" Target="https://statiz.sporki.com/add/?m=draft_school02&amp;ps_school=60702" TargetMode="External"/><Relationship Id="rId5200" Type="http://schemas.openxmlformats.org/officeDocument/2006/relationships/hyperlink" Target="https://statiz.sporki.com/player/?m=playerinfo&amp;p_no=10662" TargetMode="External"/><Relationship Id="rId8770" Type="http://schemas.openxmlformats.org/officeDocument/2006/relationships/hyperlink" Target="https://statiz.sporki.com/player/?m=playerinfo&amp;p_no=10154" TargetMode="External"/><Relationship Id="rId9821" Type="http://schemas.openxmlformats.org/officeDocument/2006/relationships/hyperlink" Target="https://statiz.sporki.com/add/?m=draft_school01&amp;ps_school=" TargetMode="External"/><Relationship Id="rId11751" Type="http://schemas.openxmlformats.org/officeDocument/2006/relationships/hyperlink" Target="https://statiz.sporki.com/add/?m=draft_school02&amp;ps_school=60111" TargetMode="External"/><Relationship Id="rId12802" Type="http://schemas.openxmlformats.org/officeDocument/2006/relationships/hyperlink" Target="https://statiz.sporki.com/player/?m=playerinfo&amp;p_no=14480" TargetMode="External"/><Relationship Id="rId18364" Type="http://schemas.openxmlformats.org/officeDocument/2006/relationships/hyperlink" Target="https://statiz.sporki.com/add/?m=draft_school01&amp;ps_school=50602" TargetMode="External"/><Relationship Id="rId19415" Type="http://schemas.openxmlformats.org/officeDocument/2006/relationships/hyperlink" Target="https://statiz.sporki.com/add/?m=draft_school01&amp;ps_school=50121" TargetMode="External"/><Relationship Id="rId35" Type="http://schemas.openxmlformats.org/officeDocument/2006/relationships/hyperlink" Target="https://statiz.sporki.com/add/?m=draft_school01&amp;ps_school=50114" TargetMode="External"/><Relationship Id="rId1810" Type="http://schemas.openxmlformats.org/officeDocument/2006/relationships/hyperlink" Target="https://statiz.sporki.com/player/?m=playerinfo&amp;p_no=14682" TargetMode="External"/><Relationship Id="rId7372" Type="http://schemas.openxmlformats.org/officeDocument/2006/relationships/hyperlink" Target="https://statiz.sporki.com/player/?m=playerinfo&amp;p_no=10462" TargetMode="External"/><Relationship Id="rId8423" Type="http://schemas.openxmlformats.org/officeDocument/2006/relationships/hyperlink" Target="https://statiz.sporki.com/add/?m=draft_school01&amp;ps_school=50602" TargetMode="External"/><Relationship Id="rId10353" Type="http://schemas.openxmlformats.org/officeDocument/2006/relationships/hyperlink" Target="https://statiz.sporki.com/add/?m=draft_school02&amp;ps_school=60109" TargetMode="External"/><Relationship Id="rId11404" Type="http://schemas.openxmlformats.org/officeDocument/2006/relationships/hyperlink" Target="https://statiz.sporki.com/player/?m=playerinfo&amp;p_no=1223" TargetMode="External"/><Relationship Id="rId18017" Type="http://schemas.openxmlformats.org/officeDocument/2006/relationships/hyperlink" Target="https://statiz.sporki.com/add/?m=draft_school01&amp;ps_school=50111" TargetMode="External"/><Relationship Id="rId3982" Type="http://schemas.openxmlformats.org/officeDocument/2006/relationships/hyperlink" Target="https://statiz.sporki.com/player/?m=playerinfo&amp;p_no=13056" TargetMode="External"/><Relationship Id="rId7025" Type="http://schemas.openxmlformats.org/officeDocument/2006/relationships/hyperlink" Target="https://statiz.sporki.com/add/?m=draft_school01&amp;ps_school=50501" TargetMode="External"/><Relationship Id="rId10006" Type="http://schemas.openxmlformats.org/officeDocument/2006/relationships/hyperlink" Target="https://statiz.sporki.com/player/?m=playerinfo&amp;p_no=1608" TargetMode="External"/><Relationship Id="rId13576" Type="http://schemas.openxmlformats.org/officeDocument/2006/relationships/hyperlink" Target="https://statiz.sporki.com/player/?m=playerinfo&amp;p_no=11265" TargetMode="External"/><Relationship Id="rId14974" Type="http://schemas.openxmlformats.org/officeDocument/2006/relationships/hyperlink" Target="https://statiz.sporki.com/player/?m=playerinfo&amp;p_no=10385" TargetMode="External"/><Relationship Id="rId2584" Type="http://schemas.openxmlformats.org/officeDocument/2006/relationships/hyperlink" Target="https://statiz.sporki.com/player/?m=playerinfo&amp;p_no=13165" TargetMode="External"/><Relationship Id="rId3635" Type="http://schemas.openxmlformats.org/officeDocument/2006/relationships/hyperlink" Target="https://statiz.sporki.com/add/?m=draft_school01&amp;ps_school=50902" TargetMode="External"/><Relationship Id="rId9197" Type="http://schemas.openxmlformats.org/officeDocument/2006/relationships/hyperlink" Target="https://statiz.sporki.com/add/?m=draft_school01&amp;ps_school=50803" TargetMode="External"/><Relationship Id="rId12178" Type="http://schemas.openxmlformats.org/officeDocument/2006/relationships/hyperlink" Target="https://statiz.sporki.com/player/?m=playerinfo&amp;p_no=15487" TargetMode="External"/><Relationship Id="rId13229" Type="http://schemas.openxmlformats.org/officeDocument/2006/relationships/hyperlink" Target="https://statiz.sporki.com/player/?m=playerinfo&amp;p_no=12558" TargetMode="External"/><Relationship Id="rId14627" Type="http://schemas.openxmlformats.org/officeDocument/2006/relationships/hyperlink" Target="https://statiz.sporki.com/player/?m=playerinfo&amp;p_no=10150" TargetMode="External"/><Relationship Id="rId17100" Type="http://schemas.openxmlformats.org/officeDocument/2006/relationships/hyperlink" Target="https://statiz.sporki.com/add/?m=draft_school01&amp;ps_school=50605" TargetMode="External"/><Relationship Id="rId556" Type="http://schemas.openxmlformats.org/officeDocument/2006/relationships/hyperlink" Target="https://statiz.sporki.com/player/?m=playerinfo&amp;p_no=15036" TargetMode="External"/><Relationship Id="rId1186" Type="http://schemas.openxmlformats.org/officeDocument/2006/relationships/hyperlink" Target="https://statiz.sporki.com/player/?m=playerinfo&amp;p_no=14865" TargetMode="External"/><Relationship Id="rId2237" Type="http://schemas.openxmlformats.org/officeDocument/2006/relationships/hyperlink" Target="https://statiz.sporki.com/add/?m=draft_school01&amp;ps_school=" TargetMode="External"/><Relationship Id="rId16799" Type="http://schemas.openxmlformats.org/officeDocument/2006/relationships/hyperlink" Target="https://statiz.sporki.com/add/?m=draft_school01&amp;ps_school=50602" TargetMode="External"/><Relationship Id="rId209" Type="http://schemas.openxmlformats.org/officeDocument/2006/relationships/hyperlink" Target="https://statiz.sporki.com/add/?m=draft_school01&amp;ps_school=50604" TargetMode="External"/><Relationship Id="rId6858" Type="http://schemas.openxmlformats.org/officeDocument/2006/relationships/hyperlink" Target="https://statiz.sporki.com/add/?m=draft_school02&amp;ps_school=" TargetMode="External"/><Relationship Id="rId7909" Type="http://schemas.openxmlformats.org/officeDocument/2006/relationships/hyperlink" Target="https://statiz.sporki.com/player/?m=playerinfo&amp;p_no=10509" TargetMode="External"/><Relationship Id="rId8280" Type="http://schemas.openxmlformats.org/officeDocument/2006/relationships/hyperlink" Target="https://statiz.sporki.com/add/?m=draft_school02&amp;ps_school=" TargetMode="External"/><Relationship Id="rId13710" Type="http://schemas.openxmlformats.org/officeDocument/2006/relationships/hyperlink" Target="https://statiz.sporki.com/player/?m=playerinfo&amp;p_no=11191" TargetMode="External"/><Relationship Id="rId19272" Type="http://schemas.openxmlformats.org/officeDocument/2006/relationships/hyperlink" Target="https://statiz.sporki.com/add/?m=draft_school01&amp;ps_school=50109" TargetMode="External"/><Relationship Id="rId9331" Type="http://schemas.openxmlformats.org/officeDocument/2006/relationships/hyperlink" Target="https://statiz.sporki.com/player/?m=playerinfo&amp;p_no=1823" TargetMode="External"/><Relationship Id="rId11261" Type="http://schemas.openxmlformats.org/officeDocument/2006/relationships/hyperlink" Target="https://statiz.sporki.com/add/?m=draft_school01&amp;ps_school=50107" TargetMode="External"/><Relationship Id="rId12312" Type="http://schemas.openxmlformats.org/officeDocument/2006/relationships/hyperlink" Target="https://statiz.sporki.com/player/?m=playerinfo&amp;p_no=15079" TargetMode="External"/><Relationship Id="rId15882" Type="http://schemas.openxmlformats.org/officeDocument/2006/relationships/hyperlink" Target="https://statiz.sporki.com/player/?m=playerinfo&amp;p_no=1333" TargetMode="External"/><Relationship Id="rId16933" Type="http://schemas.openxmlformats.org/officeDocument/2006/relationships/hyperlink" Target="https://statiz.sporki.com/add/?m=draft_school01&amp;ps_school=50301" TargetMode="External"/><Relationship Id="rId1320" Type="http://schemas.openxmlformats.org/officeDocument/2006/relationships/hyperlink" Target="https://statiz.sporki.com/add/?m=draft_school02&amp;ps_school=" TargetMode="External"/><Relationship Id="rId4890" Type="http://schemas.openxmlformats.org/officeDocument/2006/relationships/hyperlink" Target="https://statiz.sporki.com/add/?m=draft_school02&amp;ps_school=60803" TargetMode="External"/><Relationship Id="rId5941" Type="http://schemas.openxmlformats.org/officeDocument/2006/relationships/hyperlink" Target="https://statiz.sporki.com/player/?m=playerinfo&amp;p_no=10125" TargetMode="External"/><Relationship Id="rId14484" Type="http://schemas.openxmlformats.org/officeDocument/2006/relationships/hyperlink" Target="https://statiz.sporki.com/player/?m=playerinfo&amp;p_no=10306" TargetMode="External"/><Relationship Id="rId15535" Type="http://schemas.openxmlformats.org/officeDocument/2006/relationships/hyperlink" Target="https://statiz.sporki.com/player/?m=playerinfo&amp;p_no=10550" TargetMode="External"/><Relationship Id="rId3492" Type="http://schemas.openxmlformats.org/officeDocument/2006/relationships/hyperlink" Target="https://statiz.sporki.com/add/?m=draft_school02&amp;ps_school=" TargetMode="External"/><Relationship Id="rId4543" Type="http://schemas.openxmlformats.org/officeDocument/2006/relationships/hyperlink" Target="https://statiz.sporki.com/player/?m=playerinfo&amp;p_no=13001" TargetMode="External"/><Relationship Id="rId13086" Type="http://schemas.openxmlformats.org/officeDocument/2006/relationships/hyperlink" Target="https://statiz.sporki.com/player/?m=playerinfo&amp;p_no=12941" TargetMode="External"/><Relationship Id="rId14137" Type="http://schemas.openxmlformats.org/officeDocument/2006/relationships/hyperlink" Target="https://statiz.sporki.com/player/?m=playerinfo&amp;p_no=11215" TargetMode="External"/><Relationship Id="rId2094" Type="http://schemas.openxmlformats.org/officeDocument/2006/relationships/hyperlink" Target="https://statiz.sporki.com/add/?m=draft_school02&amp;ps_school=" TargetMode="External"/><Relationship Id="rId3145" Type="http://schemas.openxmlformats.org/officeDocument/2006/relationships/hyperlink" Target="https://statiz.sporki.com/player/?m=playerinfo&amp;p_no=13243" TargetMode="External"/><Relationship Id="rId7766" Type="http://schemas.openxmlformats.org/officeDocument/2006/relationships/hyperlink" Target="https://statiz.sporki.com/add/?m=draft_school01&amp;ps_school=" TargetMode="External"/><Relationship Id="rId8817" Type="http://schemas.openxmlformats.org/officeDocument/2006/relationships/hyperlink" Target="https://statiz.sporki.com/add/?m=draft_school02&amp;ps_school=60111" TargetMode="External"/><Relationship Id="rId18758" Type="http://schemas.openxmlformats.org/officeDocument/2006/relationships/hyperlink" Target="https://statiz.sporki.com/add/?m=draft_school01&amp;ps_school=50202" TargetMode="External"/><Relationship Id="rId6368" Type="http://schemas.openxmlformats.org/officeDocument/2006/relationships/hyperlink" Target="https://statiz.sporki.com/add/?m=draft_school01&amp;ps_school=50112" TargetMode="External"/><Relationship Id="rId7419" Type="http://schemas.openxmlformats.org/officeDocument/2006/relationships/hyperlink" Target="https://statiz.sporki.com/add/?m=draft_school02&amp;ps_school=60102" TargetMode="External"/><Relationship Id="rId10747" Type="http://schemas.openxmlformats.org/officeDocument/2006/relationships/hyperlink" Target="https://statiz.sporki.com/player/?m=playerinfo&amp;p_no=1434" TargetMode="External"/><Relationship Id="rId13220" Type="http://schemas.openxmlformats.org/officeDocument/2006/relationships/hyperlink" Target="https://statiz.sporki.com/player/?m=playerinfo&amp;p_no=12526" TargetMode="External"/><Relationship Id="rId16790" Type="http://schemas.openxmlformats.org/officeDocument/2006/relationships/hyperlink" Target="https://statiz.sporki.com/add/?m=draft_school01&amp;ps_school=50105" TargetMode="External"/><Relationship Id="rId17841" Type="http://schemas.openxmlformats.org/officeDocument/2006/relationships/hyperlink" Target="https://statiz.sporki.com/add/?m=draft_school01&amp;ps_school=50708" TargetMode="External"/><Relationship Id="rId200" Type="http://schemas.openxmlformats.org/officeDocument/2006/relationships/hyperlink" Target="https://statiz.sporki.com/add/?m=draft_school01&amp;ps_school=50807" TargetMode="External"/><Relationship Id="rId2978" Type="http://schemas.openxmlformats.org/officeDocument/2006/relationships/hyperlink" Target="https://statiz.sporki.com/add/?m=draft_school01&amp;ps_school=50601" TargetMode="External"/><Relationship Id="rId7900" Type="http://schemas.openxmlformats.org/officeDocument/2006/relationships/hyperlink" Target="https://statiz.sporki.com/player/?m=playerinfo&amp;p_no=10007" TargetMode="External"/><Relationship Id="rId15392" Type="http://schemas.openxmlformats.org/officeDocument/2006/relationships/hyperlink" Target="https://statiz.sporki.com/player/?m=playerinfo&amp;p_no=10062" TargetMode="External"/><Relationship Id="rId16443" Type="http://schemas.openxmlformats.org/officeDocument/2006/relationships/hyperlink" Target="https://statiz.sporki.com/add/?m=draft_school01&amp;ps_school=50501" TargetMode="External"/><Relationship Id="rId5451" Type="http://schemas.openxmlformats.org/officeDocument/2006/relationships/hyperlink" Target="https://statiz.sporki.com/add/?m=draft_school02&amp;ps_school=60103" TargetMode="External"/><Relationship Id="rId6502" Type="http://schemas.openxmlformats.org/officeDocument/2006/relationships/hyperlink" Target="https://statiz.sporki.com/player/?m=playerinfo&amp;p_no=10359" TargetMode="External"/><Relationship Id="rId15045" Type="http://schemas.openxmlformats.org/officeDocument/2006/relationships/hyperlink" Target="https://statiz.sporki.com/player/?m=playerinfo&amp;p_no=2172" TargetMode="External"/><Relationship Id="rId19666" Type="http://schemas.openxmlformats.org/officeDocument/2006/relationships/hyperlink" Target="https://statiz.sporki.com/add/?m=draft_school01&amp;ps_school=50501" TargetMode="External"/><Relationship Id="rId4053" Type="http://schemas.openxmlformats.org/officeDocument/2006/relationships/hyperlink" Target="https://statiz.sporki.com/add/?m=draft_school02&amp;ps_school=60803" TargetMode="External"/><Relationship Id="rId5104" Type="http://schemas.openxmlformats.org/officeDocument/2006/relationships/hyperlink" Target="https://statiz.sporki.com/player/?m=playerinfo&amp;p_no=10858" TargetMode="External"/><Relationship Id="rId8674" Type="http://schemas.openxmlformats.org/officeDocument/2006/relationships/hyperlink" Target="https://statiz.sporki.com/player/?m=playerinfo&amp;p_no=1984" TargetMode="External"/><Relationship Id="rId9725" Type="http://schemas.openxmlformats.org/officeDocument/2006/relationships/hyperlink" Target="https://statiz.sporki.com/add/?m=draft_school01&amp;ps_school=50110" TargetMode="External"/><Relationship Id="rId11655" Type="http://schemas.openxmlformats.org/officeDocument/2006/relationships/hyperlink" Target="https://statiz.sporki.com/add/?m=draft_school02&amp;ps_school=60109" TargetMode="External"/><Relationship Id="rId18268" Type="http://schemas.openxmlformats.org/officeDocument/2006/relationships/hyperlink" Target="https://statiz.sporki.com/add/?m=draft_school01&amp;ps_school=50604" TargetMode="External"/><Relationship Id="rId19319" Type="http://schemas.openxmlformats.org/officeDocument/2006/relationships/hyperlink" Target="https://statiz.sporki.com/add/?m=draft_school01&amp;ps_school=50103" TargetMode="External"/><Relationship Id="rId1714" Type="http://schemas.openxmlformats.org/officeDocument/2006/relationships/hyperlink" Target="https://statiz.sporki.com/player/?m=playerinfo&amp;p_no=14610" TargetMode="External"/><Relationship Id="rId7276" Type="http://schemas.openxmlformats.org/officeDocument/2006/relationships/hyperlink" Target="https://statiz.sporki.com/player/?m=playerinfo&amp;p_no=2296" TargetMode="External"/><Relationship Id="rId8327" Type="http://schemas.openxmlformats.org/officeDocument/2006/relationships/hyperlink" Target="https://statiz.sporki.com/add/?m=draft_school01&amp;ps_school=50703" TargetMode="External"/><Relationship Id="rId10257" Type="http://schemas.openxmlformats.org/officeDocument/2006/relationships/hyperlink" Target="https://statiz.sporki.com/add/?m=draft_school02&amp;ps_school=" TargetMode="External"/><Relationship Id="rId11308" Type="http://schemas.openxmlformats.org/officeDocument/2006/relationships/hyperlink" Target="https://statiz.sporki.com/player/?m=playerinfo&amp;p_no=1269" TargetMode="External"/><Relationship Id="rId12706" Type="http://schemas.openxmlformats.org/officeDocument/2006/relationships/hyperlink" Target="https://statiz.sporki.com/player/?m=playerinfo&amp;p_no=14687" TargetMode="External"/><Relationship Id="rId14878" Type="http://schemas.openxmlformats.org/officeDocument/2006/relationships/hyperlink" Target="https://statiz.sporki.com/player/?m=playerinfo&amp;p_no=2087" TargetMode="External"/><Relationship Id="rId15929" Type="http://schemas.openxmlformats.org/officeDocument/2006/relationships/hyperlink" Target="https://statiz.sporki.com/player/?m=playerinfo&amp;p_no=1267" TargetMode="External"/><Relationship Id="rId2488" Type="http://schemas.openxmlformats.org/officeDocument/2006/relationships/hyperlink" Target="https://statiz.sporki.com/player/?m=playerinfo&amp;p_no=13075" TargetMode="External"/><Relationship Id="rId3886" Type="http://schemas.openxmlformats.org/officeDocument/2006/relationships/hyperlink" Target="https://statiz.sporki.com/player/?m=playerinfo&amp;p_no=11323" TargetMode="External"/><Relationship Id="rId4937" Type="http://schemas.openxmlformats.org/officeDocument/2006/relationships/hyperlink" Target="https://statiz.sporki.com/add/?m=draft_school01&amp;ps_school=50204" TargetMode="External"/><Relationship Id="rId17351" Type="http://schemas.openxmlformats.org/officeDocument/2006/relationships/hyperlink" Target="https://statiz.sporki.com/add/?m=draft_school01&amp;ps_school=50103" TargetMode="External"/><Relationship Id="rId18402" Type="http://schemas.openxmlformats.org/officeDocument/2006/relationships/hyperlink" Target="https://statiz.sporki.com/add/?m=draft_school01&amp;ps_school=50711" TargetMode="External"/><Relationship Id="rId3539" Type="http://schemas.openxmlformats.org/officeDocument/2006/relationships/hyperlink" Target="https://statiz.sporki.com/add/?m=draft_school01&amp;ps_school=" TargetMode="External"/><Relationship Id="rId6012" Type="http://schemas.openxmlformats.org/officeDocument/2006/relationships/hyperlink" Target="https://statiz.sporki.com/add/?m=draft_school02&amp;ps_school=60703" TargetMode="External"/><Relationship Id="rId7410" Type="http://schemas.openxmlformats.org/officeDocument/2006/relationships/hyperlink" Target="https://statiz.sporki.com/add/?m=draft_school02&amp;ps_school=60102" TargetMode="External"/><Relationship Id="rId13961" Type="http://schemas.openxmlformats.org/officeDocument/2006/relationships/hyperlink" Target="https://statiz.sporki.com/player/?m=playerinfo&amp;p_no=10777" TargetMode="External"/><Relationship Id="rId17004" Type="http://schemas.openxmlformats.org/officeDocument/2006/relationships/hyperlink" Target="https://statiz.sporki.com/add/?m=draft_school01&amp;ps_school=50802" TargetMode="External"/><Relationship Id="rId9582" Type="http://schemas.openxmlformats.org/officeDocument/2006/relationships/hyperlink" Target="https://statiz.sporki.com/add/?m=draft_school02&amp;ps_school=60802" TargetMode="External"/><Relationship Id="rId12563" Type="http://schemas.openxmlformats.org/officeDocument/2006/relationships/hyperlink" Target="https://statiz.sporki.com/player/?m=playerinfo&amp;p_no=14831" TargetMode="External"/><Relationship Id="rId13614" Type="http://schemas.openxmlformats.org/officeDocument/2006/relationships/hyperlink" Target="https://statiz.sporki.com/player/?m=playerinfo&amp;p_no=12665" TargetMode="External"/><Relationship Id="rId19176" Type="http://schemas.openxmlformats.org/officeDocument/2006/relationships/hyperlink" Target="https://statiz.sporki.com/add/?m=draft_school01&amp;ps_school=50800" TargetMode="External"/><Relationship Id="rId941" Type="http://schemas.openxmlformats.org/officeDocument/2006/relationships/hyperlink" Target="https://statiz.sporki.com/add/?m=draft_school01&amp;ps_school=50102" TargetMode="External"/><Relationship Id="rId1571" Type="http://schemas.openxmlformats.org/officeDocument/2006/relationships/hyperlink" Target="https://statiz.sporki.com/add/?m=draft_school01&amp;ps_school=50402" TargetMode="External"/><Relationship Id="rId2622" Type="http://schemas.openxmlformats.org/officeDocument/2006/relationships/hyperlink" Target="https://statiz.sporki.com/add/?m=draft_school02&amp;ps_school=61119" TargetMode="External"/><Relationship Id="rId8184" Type="http://schemas.openxmlformats.org/officeDocument/2006/relationships/hyperlink" Target="https://statiz.sporki.com/add/?m=draft_school02&amp;ps_school=60204" TargetMode="External"/><Relationship Id="rId9235" Type="http://schemas.openxmlformats.org/officeDocument/2006/relationships/hyperlink" Target="https://statiz.sporki.com/player/?m=playerinfo&amp;p_no=1927" TargetMode="External"/><Relationship Id="rId11165" Type="http://schemas.openxmlformats.org/officeDocument/2006/relationships/hyperlink" Target="https://statiz.sporki.com/add/?m=draft_school01&amp;ps_school=50502" TargetMode="External"/><Relationship Id="rId12216" Type="http://schemas.openxmlformats.org/officeDocument/2006/relationships/hyperlink" Target="https://statiz.sporki.com/player/?m=playerinfo&amp;p_no=15468" TargetMode="External"/><Relationship Id="rId15786" Type="http://schemas.openxmlformats.org/officeDocument/2006/relationships/hyperlink" Target="https://statiz.sporki.com/player/?m=playerinfo&amp;p_no=13921" TargetMode="External"/><Relationship Id="rId1224" Type="http://schemas.openxmlformats.org/officeDocument/2006/relationships/hyperlink" Target="https://statiz.sporki.com/add/?m=draft_school02&amp;ps_school=" TargetMode="External"/><Relationship Id="rId4794" Type="http://schemas.openxmlformats.org/officeDocument/2006/relationships/hyperlink" Target="https://statiz.sporki.com/add/?m=draft_school02&amp;ps_school=60501" TargetMode="External"/><Relationship Id="rId5845" Type="http://schemas.openxmlformats.org/officeDocument/2006/relationships/hyperlink" Target="https://statiz.sporki.com/player/?m=playerinfo&amp;p_no=10280" TargetMode="External"/><Relationship Id="rId14388" Type="http://schemas.openxmlformats.org/officeDocument/2006/relationships/hyperlink" Target="https://statiz.sporki.com/player/?m=playerinfo&amp;p_no=10380" TargetMode="External"/><Relationship Id="rId15439" Type="http://schemas.openxmlformats.org/officeDocument/2006/relationships/hyperlink" Target="https://statiz.sporki.com/player/?m=playerinfo&amp;p_no=1684" TargetMode="External"/><Relationship Id="rId16837" Type="http://schemas.openxmlformats.org/officeDocument/2006/relationships/hyperlink" Target="https://statiz.sporki.com/add/?m=draft_school01&amp;ps_school=50802" TargetMode="External"/><Relationship Id="rId19310" Type="http://schemas.openxmlformats.org/officeDocument/2006/relationships/hyperlink" Target="https://statiz.sporki.com/add/?m=draft_school01&amp;ps_school=50502" TargetMode="External"/><Relationship Id="rId3396" Type="http://schemas.openxmlformats.org/officeDocument/2006/relationships/hyperlink" Target="https://statiz.sporki.com/add/?m=draft_school02&amp;ps_school=" TargetMode="External"/><Relationship Id="rId4447" Type="http://schemas.openxmlformats.org/officeDocument/2006/relationships/hyperlink" Target="https://statiz.sporki.com/player/?m=playerinfo&amp;p_no=11087" TargetMode="External"/><Relationship Id="rId3049" Type="http://schemas.openxmlformats.org/officeDocument/2006/relationships/hyperlink" Target="https://statiz.sporki.com/player/?m=playerinfo&amp;p_no=12877" TargetMode="External"/><Relationship Id="rId10998" Type="http://schemas.openxmlformats.org/officeDocument/2006/relationships/hyperlink" Target="https://statiz.sporki.com/add/?m=draft_school02&amp;ps_school=60703" TargetMode="External"/><Relationship Id="rId15920" Type="http://schemas.openxmlformats.org/officeDocument/2006/relationships/hyperlink" Target="https://statiz.sporki.com/player/?m=playerinfo&amp;p_no=1257" TargetMode="External"/><Relationship Id="rId9092" Type="http://schemas.openxmlformats.org/officeDocument/2006/relationships/hyperlink" Target="https://statiz.sporki.com/add/?m=draft_school01&amp;ps_school=50114" TargetMode="External"/><Relationship Id="rId13471" Type="http://schemas.openxmlformats.org/officeDocument/2006/relationships/hyperlink" Target="https://statiz.sporki.com/player/?m=playerinfo&amp;p_no=12662" TargetMode="External"/><Relationship Id="rId14522" Type="http://schemas.openxmlformats.org/officeDocument/2006/relationships/hyperlink" Target="https://statiz.sporki.com/player/?m=playerinfo&amp;p_no=10606" TargetMode="External"/><Relationship Id="rId1081" Type="http://schemas.openxmlformats.org/officeDocument/2006/relationships/hyperlink" Target="https://statiz.sporki.com/player/?m=playerinfo&amp;p_no=14847" TargetMode="External"/><Relationship Id="rId3530" Type="http://schemas.openxmlformats.org/officeDocument/2006/relationships/hyperlink" Target="https://statiz.sporki.com/add/?m=draft_school01&amp;ps_school=" TargetMode="External"/><Relationship Id="rId12073" Type="http://schemas.openxmlformats.org/officeDocument/2006/relationships/hyperlink" Target="https://statiz.sporki.com/player/?m=playerinfo&amp;p_no=1115" TargetMode="External"/><Relationship Id="rId13124" Type="http://schemas.openxmlformats.org/officeDocument/2006/relationships/hyperlink" Target="https://statiz.sporki.com/player/?m=playerinfo&amp;p_no=12925" TargetMode="External"/><Relationship Id="rId16694" Type="http://schemas.openxmlformats.org/officeDocument/2006/relationships/hyperlink" Target="https://statiz.sporki.com/add/?m=draft_school01&amp;ps_school=50709" TargetMode="External"/><Relationship Id="rId17745" Type="http://schemas.openxmlformats.org/officeDocument/2006/relationships/hyperlink" Target="https://statiz.sporki.com/add/?m=draft_school01&amp;ps_school=50114" TargetMode="External"/><Relationship Id="rId451" Type="http://schemas.openxmlformats.org/officeDocument/2006/relationships/hyperlink" Target="https://statiz.sporki.com/player/?m=playerinfo&amp;p_no=15623" TargetMode="External"/><Relationship Id="rId2132" Type="http://schemas.openxmlformats.org/officeDocument/2006/relationships/hyperlink" Target="https://statiz.sporki.com/add/?m=draft_school01&amp;ps_school=50116" TargetMode="External"/><Relationship Id="rId6753" Type="http://schemas.openxmlformats.org/officeDocument/2006/relationships/hyperlink" Target="https://statiz.sporki.com/add/?m=draft_school02&amp;ps_school=" TargetMode="External"/><Relationship Id="rId7804" Type="http://schemas.openxmlformats.org/officeDocument/2006/relationships/hyperlink" Target="https://statiz.sporki.com/player/?m=playerinfo&amp;p_no=10147" TargetMode="External"/><Relationship Id="rId15296" Type="http://schemas.openxmlformats.org/officeDocument/2006/relationships/hyperlink" Target="https://statiz.sporki.com/player/?m=playerinfo&amp;p_no=1839" TargetMode="External"/><Relationship Id="rId16347" Type="http://schemas.openxmlformats.org/officeDocument/2006/relationships/hyperlink" Target="https://statiz.sporki.com/add/?m=draft_school01&amp;ps_school=50213" TargetMode="External"/><Relationship Id="rId104" Type="http://schemas.openxmlformats.org/officeDocument/2006/relationships/hyperlink" Target="https://statiz.sporki.com/add/?m=draft_school01&amp;ps_school=50101" TargetMode="External"/><Relationship Id="rId5355" Type="http://schemas.openxmlformats.org/officeDocument/2006/relationships/hyperlink" Target="https://statiz.sporki.com/add/?m=draft_school02&amp;ps_school=" TargetMode="External"/><Relationship Id="rId6406" Type="http://schemas.openxmlformats.org/officeDocument/2006/relationships/hyperlink" Target="https://statiz.sporki.com/player/?m=playerinfo&amp;p_no=11285" TargetMode="External"/><Relationship Id="rId9976" Type="http://schemas.openxmlformats.org/officeDocument/2006/relationships/hyperlink" Target="https://statiz.sporki.com/player/?m=playerinfo&amp;p_no=1692" TargetMode="External"/><Relationship Id="rId5008" Type="http://schemas.openxmlformats.org/officeDocument/2006/relationships/hyperlink" Target="https://statiz.sporki.com/player/?m=playerinfo&amp;p_no=11159" TargetMode="External"/><Relationship Id="rId8578" Type="http://schemas.openxmlformats.org/officeDocument/2006/relationships/hyperlink" Target="https://statiz.sporki.com/player/?m=playerinfo&amp;p_no=10069" TargetMode="External"/><Relationship Id="rId9629" Type="http://schemas.openxmlformats.org/officeDocument/2006/relationships/hyperlink" Target="https://statiz.sporki.com/add/?m=draft_school01&amp;ps_school=50706" TargetMode="External"/><Relationship Id="rId12957" Type="http://schemas.openxmlformats.org/officeDocument/2006/relationships/hyperlink" Target="https://statiz.sporki.com/player/?m=playerinfo&amp;p_no=13107" TargetMode="External"/><Relationship Id="rId1965" Type="http://schemas.openxmlformats.org/officeDocument/2006/relationships/hyperlink" Target="https://statiz.sporki.com/add/?m=draft_school02&amp;ps_school=" TargetMode="External"/><Relationship Id="rId11559" Type="http://schemas.openxmlformats.org/officeDocument/2006/relationships/hyperlink" Target="https://statiz.sporki.com/add/?m=draft_school02&amp;ps_school=60109" TargetMode="External"/><Relationship Id="rId14032" Type="http://schemas.openxmlformats.org/officeDocument/2006/relationships/hyperlink" Target="https://statiz.sporki.com/player/?m=playerinfo&amp;p_no=10441" TargetMode="External"/><Relationship Id="rId15430" Type="http://schemas.openxmlformats.org/officeDocument/2006/relationships/hyperlink" Target="https://statiz.sporki.com/player/?m=playerinfo&amp;p_no=11437" TargetMode="External"/><Relationship Id="rId1618" Type="http://schemas.openxmlformats.org/officeDocument/2006/relationships/hyperlink" Target="https://statiz.sporki.com/player/?m=playerinfo&amp;p_no=14715" TargetMode="External"/><Relationship Id="rId3040" Type="http://schemas.openxmlformats.org/officeDocument/2006/relationships/hyperlink" Target="https://statiz.sporki.com/player/?m=playerinfo&amp;p_no=12849" TargetMode="External"/><Relationship Id="rId18653" Type="http://schemas.openxmlformats.org/officeDocument/2006/relationships/hyperlink" Target="https://statiz.sporki.com/add/?m=draft_school01&amp;ps_school=50602" TargetMode="External"/><Relationship Id="rId7661" Type="http://schemas.openxmlformats.org/officeDocument/2006/relationships/hyperlink" Target="https://statiz.sporki.com/add/?m=draft_school01&amp;ps_school=50110" TargetMode="External"/><Relationship Id="rId8712" Type="http://schemas.openxmlformats.org/officeDocument/2006/relationships/hyperlink" Target="https://statiz.sporki.com/add/?m=draft_school02&amp;ps_school=60703" TargetMode="External"/><Relationship Id="rId10642" Type="http://schemas.openxmlformats.org/officeDocument/2006/relationships/hyperlink" Target="https://statiz.sporki.com/player/?m=playerinfo&amp;p_no=1422" TargetMode="External"/><Relationship Id="rId17255" Type="http://schemas.openxmlformats.org/officeDocument/2006/relationships/hyperlink" Target="https://statiz.sporki.com/add/?m=draft_school01&amp;ps_school=50602" TargetMode="External"/><Relationship Id="rId18306" Type="http://schemas.openxmlformats.org/officeDocument/2006/relationships/hyperlink" Target="https://statiz.sporki.com/add/?m=draft_school01&amp;ps_school=50105" TargetMode="External"/><Relationship Id="rId6263" Type="http://schemas.openxmlformats.org/officeDocument/2006/relationships/hyperlink" Target="https://statiz.sporki.com/add/?m=draft_school01&amp;ps_school=50108" TargetMode="External"/><Relationship Id="rId7314" Type="http://schemas.openxmlformats.org/officeDocument/2006/relationships/hyperlink" Target="https://statiz.sporki.com/add/?m=draft_school02&amp;ps_school=60113" TargetMode="External"/><Relationship Id="rId13865" Type="http://schemas.openxmlformats.org/officeDocument/2006/relationships/hyperlink" Target="https://statiz.sporki.com/player/?m=playerinfo&amp;p_no=10784" TargetMode="External"/><Relationship Id="rId2873" Type="http://schemas.openxmlformats.org/officeDocument/2006/relationships/hyperlink" Target="https://statiz.sporki.com/add/?m=draft_school01&amp;ps_school=50702" TargetMode="External"/><Relationship Id="rId3924" Type="http://schemas.openxmlformats.org/officeDocument/2006/relationships/hyperlink" Target="https://statiz.sporki.com/add/?m=draft_school02&amp;ps_school=" TargetMode="External"/><Relationship Id="rId9486" Type="http://schemas.openxmlformats.org/officeDocument/2006/relationships/hyperlink" Target="https://statiz.sporki.com/add/?m=draft_school02&amp;ps_school=" TargetMode="External"/><Relationship Id="rId12467" Type="http://schemas.openxmlformats.org/officeDocument/2006/relationships/hyperlink" Target="https://statiz.sporki.com/player/?m=playerinfo&amp;p_no=14798" TargetMode="External"/><Relationship Id="rId13518" Type="http://schemas.openxmlformats.org/officeDocument/2006/relationships/hyperlink" Target="https://statiz.sporki.com/player/?m=playerinfo&amp;p_no=11236" TargetMode="External"/><Relationship Id="rId14916" Type="http://schemas.openxmlformats.org/officeDocument/2006/relationships/hyperlink" Target="https://statiz.sporki.com/player/?m=playerinfo&amp;p_no=10542" TargetMode="External"/><Relationship Id="rId845" Type="http://schemas.openxmlformats.org/officeDocument/2006/relationships/hyperlink" Target="https://statiz.sporki.com/add/?m=draft_school01&amp;ps_school=" TargetMode="External"/><Relationship Id="rId1475" Type="http://schemas.openxmlformats.org/officeDocument/2006/relationships/hyperlink" Target="https://statiz.sporki.com/add/?m=draft_school01&amp;ps_school=50902" TargetMode="External"/><Relationship Id="rId2526" Type="http://schemas.openxmlformats.org/officeDocument/2006/relationships/hyperlink" Target="https://statiz.sporki.com/add/?m=draft_school02&amp;ps_school=" TargetMode="External"/><Relationship Id="rId8088" Type="http://schemas.openxmlformats.org/officeDocument/2006/relationships/hyperlink" Target="https://statiz.sporki.com/add/?m=draft_school02&amp;ps_school=60104" TargetMode="External"/><Relationship Id="rId9139" Type="http://schemas.openxmlformats.org/officeDocument/2006/relationships/hyperlink" Target="https://statiz.sporki.com/player/?m=playerinfo&amp;p_no=1894" TargetMode="External"/><Relationship Id="rId11069" Type="http://schemas.openxmlformats.org/officeDocument/2006/relationships/hyperlink" Target="https://statiz.sporki.com/add/?m=draft_school01&amp;ps_school=50805" TargetMode="External"/><Relationship Id="rId1128" Type="http://schemas.openxmlformats.org/officeDocument/2006/relationships/hyperlink" Target="https://statiz.sporki.com/add/?m=draft_school02&amp;ps_school=" TargetMode="External"/><Relationship Id="rId4698" Type="http://schemas.openxmlformats.org/officeDocument/2006/relationships/hyperlink" Target="https://statiz.sporki.com/add/?m=draft_school02&amp;ps_school=" TargetMode="External"/><Relationship Id="rId5749" Type="http://schemas.openxmlformats.org/officeDocument/2006/relationships/hyperlink" Target="https://statiz.sporki.com/player/?m=playerinfo&amp;p_no=10320" TargetMode="External"/><Relationship Id="rId18163" Type="http://schemas.openxmlformats.org/officeDocument/2006/relationships/hyperlink" Target="https://statiz.sporki.com/add/?m=draft_school01&amp;ps_school=50112" TargetMode="External"/><Relationship Id="rId19561" Type="http://schemas.openxmlformats.org/officeDocument/2006/relationships/hyperlink" Target="https://statiz.sporki.com/add/?m=draft_school01&amp;ps_school=50122" TargetMode="External"/><Relationship Id="rId7171" Type="http://schemas.openxmlformats.org/officeDocument/2006/relationships/hyperlink" Target="https://statiz.sporki.com/player/?m=playerinfo&amp;p_no=10433" TargetMode="External"/><Relationship Id="rId8222" Type="http://schemas.openxmlformats.org/officeDocument/2006/relationships/hyperlink" Target="https://statiz.sporki.com/add/?m=draft_school01&amp;ps_school=50209" TargetMode="External"/><Relationship Id="rId9620" Type="http://schemas.openxmlformats.org/officeDocument/2006/relationships/hyperlink" Target="https://statiz.sporki.com/add/?m=draft_school01&amp;ps_school=50110" TargetMode="External"/><Relationship Id="rId11550" Type="http://schemas.openxmlformats.org/officeDocument/2006/relationships/hyperlink" Target="https://statiz.sporki.com/add/?m=draft_school02&amp;ps_school=60103" TargetMode="External"/><Relationship Id="rId12601" Type="http://schemas.openxmlformats.org/officeDocument/2006/relationships/hyperlink" Target="https://statiz.sporki.com/player/?m=playerinfo&amp;p_no=14878" TargetMode="External"/><Relationship Id="rId19214" Type="http://schemas.openxmlformats.org/officeDocument/2006/relationships/hyperlink" Target="https://statiz.sporki.com/add/?m=draft_school01&amp;ps_school=50813" TargetMode="External"/><Relationship Id="rId10152" Type="http://schemas.openxmlformats.org/officeDocument/2006/relationships/hyperlink" Target="https://statiz.sporki.com/add/?m=draft_school02&amp;ps_school=60102" TargetMode="External"/><Relationship Id="rId11203" Type="http://schemas.openxmlformats.org/officeDocument/2006/relationships/hyperlink" Target="https://statiz.sporki.com/player/?m=playerinfo&amp;p_no=1361" TargetMode="External"/><Relationship Id="rId14773" Type="http://schemas.openxmlformats.org/officeDocument/2006/relationships/hyperlink" Target="https://statiz.sporki.com/player/?m=playerinfo&amp;p_no=2321" TargetMode="External"/><Relationship Id="rId15824" Type="http://schemas.openxmlformats.org/officeDocument/2006/relationships/hyperlink" Target="https://statiz.sporki.com/player/?m=playerinfo&amp;p_no=1370" TargetMode="External"/><Relationship Id="rId3781" Type="http://schemas.openxmlformats.org/officeDocument/2006/relationships/hyperlink" Target="https://statiz.sporki.com/player/?m=playerinfo&amp;p_no=11384" TargetMode="External"/><Relationship Id="rId4832" Type="http://schemas.openxmlformats.org/officeDocument/2006/relationships/hyperlink" Target="https://statiz.sporki.com/add/?m=draft_school01&amp;ps_school=50808" TargetMode="External"/><Relationship Id="rId13375" Type="http://schemas.openxmlformats.org/officeDocument/2006/relationships/hyperlink" Target="https://statiz.sporki.com/player/?m=playerinfo&amp;p_no=11399" TargetMode="External"/><Relationship Id="rId14426" Type="http://schemas.openxmlformats.org/officeDocument/2006/relationships/hyperlink" Target="https://statiz.sporki.com/player/?m=playerinfo&amp;p_no=2350" TargetMode="External"/><Relationship Id="rId17996" Type="http://schemas.openxmlformats.org/officeDocument/2006/relationships/hyperlink" Target="https://statiz.sporki.com/add/?m=draft_school01&amp;ps_school=50602" TargetMode="External"/><Relationship Id="rId2383" Type="http://schemas.openxmlformats.org/officeDocument/2006/relationships/hyperlink" Target="https://statiz.sporki.com/player/?m=playerinfo&amp;p_no=13170" TargetMode="External"/><Relationship Id="rId3434" Type="http://schemas.openxmlformats.org/officeDocument/2006/relationships/hyperlink" Target="https://statiz.sporki.com/add/?m=draft_school01&amp;ps_school=50110" TargetMode="External"/><Relationship Id="rId13028" Type="http://schemas.openxmlformats.org/officeDocument/2006/relationships/hyperlink" Target="https://statiz.sporki.com/player/?m=playerinfo&amp;p_no=13287" TargetMode="External"/><Relationship Id="rId16598" Type="http://schemas.openxmlformats.org/officeDocument/2006/relationships/hyperlink" Target="https://statiz.sporki.com/add/?m=draft_school01&amp;ps_school=50108" TargetMode="External"/><Relationship Id="rId17649" Type="http://schemas.openxmlformats.org/officeDocument/2006/relationships/hyperlink" Target="https://statiz.sporki.com/add/?m=draft_school01&amp;ps_school=51100" TargetMode="External"/><Relationship Id="rId355" Type="http://schemas.openxmlformats.org/officeDocument/2006/relationships/hyperlink" Target="https://statiz.sporki.com/player/?m=playerinfo&amp;p_no=15529" TargetMode="External"/><Relationship Id="rId2036" Type="http://schemas.openxmlformats.org/officeDocument/2006/relationships/hyperlink" Target="https://statiz.sporki.com/add/?m=draft_school01&amp;ps_school=50804" TargetMode="External"/><Relationship Id="rId6657" Type="http://schemas.openxmlformats.org/officeDocument/2006/relationships/hyperlink" Target="https://statiz.sporki.com/add/?m=draft_school02&amp;ps_school=" TargetMode="External"/><Relationship Id="rId7708" Type="http://schemas.openxmlformats.org/officeDocument/2006/relationships/hyperlink" Target="https://statiz.sporki.com/player/?m=playerinfo&amp;p_no=2198" TargetMode="External"/><Relationship Id="rId19071" Type="http://schemas.openxmlformats.org/officeDocument/2006/relationships/hyperlink" Target="https://statiz.sporki.com/add/?m=draft_school01&amp;ps_school=50501" TargetMode="External"/><Relationship Id="rId5259" Type="http://schemas.openxmlformats.org/officeDocument/2006/relationships/hyperlink" Target="https://statiz.sporki.com/add/?m=draft_school02&amp;ps_school=60703" TargetMode="External"/><Relationship Id="rId9130" Type="http://schemas.openxmlformats.org/officeDocument/2006/relationships/hyperlink" Target="https://statiz.sporki.com/player/?m=playerinfo&amp;p_no=1883" TargetMode="External"/><Relationship Id="rId11060" Type="http://schemas.openxmlformats.org/officeDocument/2006/relationships/hyperlink" Target="https://statiz.sporki.com/add/?m=draft_school01&amp;ps_school=50701" TargetMode="External"/><Relationship Id="rId12111" Type="http://schemas.openxmlformats.org/officeDocument/2006/relationships/hyperlink" Target="https://statiz.sporki.com/add/?m=draft_school02&amp;ps_school=" TargetMode="External"/><Relationship Id="rId15681" Type="http://schemas.openxmlformats.org/officeDocument/2006/relationships/hyperlink" Target="https://statiz.sporki.com/player/?m=playerinfo&amp;p_no=1488" TargetMode="External"/><Relationship Id="rId16732" Type="http://schemas.openxmlformats.org/officeDocument/2006/relationships/hyperlink" Target="https://statiz.sporki.com/add/?m=draft_school01&amp;ps_school=50301" TargetMode="External"/><Relationship Id="rId1869" Type="http://schemas.openxmlformats.org/officeDocument/2006/relationships/hyperlink" Target="https://statiz.sporki.com/add/?m=draft_school02&amp;ps_school=" TargetMode="External"/><Relationship Id="rId3291" Type="http://schemas.openxmlformats.org/officeDocument/2006/relationships/hyperlink" Target="https://statiz.sporki.com/add/?m=draft_school02&amp;ps_school=" TargetMode="External"/><Relationship Id="rId5740" Type="http://schemas.openxmlformats.org/officeDocument/2006/relationships/hyperlink" Target="https://statiz.sporki.com/player/?m=playerinfo&amp;p_no=10133" TargetMode="External"/><Relationship Id="rId14283" Type="http://schemas.openxmlformats.org/officeDocument/2006/relationships/hyperlink" Target="https://statiz.sporki.com/player/?m=playerinfo&amp;p_no=10216" TargetMode="External"/><Relationship Id="rId15334" Type="http://schemas.openxmlformats.org/officeDocument/2006/relationships/hyperlink" Target="https://statiz.sporki.com/player/?m=playerinfo&amp;p_no=1865" TargetMode="External"/><Relationship Id="rId4342" Type="http://schemas.openxmlformats.org/officeDocument/2006/relationships/hyperlink" Target="https://statiz.sporki.com/player/?m=playerinfo&amp;p_no=11288" TargetMode="External"/><Relationship Id="rId8963" Type="http://schemas.openxmlformats.org/officeDocument/2006/relationships/hyperlink" Target="https://statiz.sporki.com/add/?m=draft_school01&amp;ps_school=50401" TargetMode="External"/><Relationship Id="rId10893" Type="http://schemas.openxmlformats.org/officeDocument/2006/relationships/hyperlink" Target="https://statiz.sporki.com/add/?m=draft_school02&amp;ps_school=60203" TargetMode="External"/><Relationship Id="rId11944" Type="http://schemas.openxmlformats.org/officeDocument/2006/relationships/hyperlink" Target="https://statiz.sporki.com/player/?m=playerinfo&amp;p_no=1031" TargetMode="External"/><Relationship Id="rId18557" Type="http://schemas.openxmlformats.org/officeDocument/2006/relationships/hyperlink" Target="https://statiz.sporki.com/add/?m=draft_school01&amp;ps_school=50303" TargetMode="External"/><Relationship Id="rId19608" Type="http://schemas.openxmlformats.org/officeDocument/2006/relationships/hyperlink" Target="https://statiz.sporki.com/add/?m=draft_school01&amp;ps_school=50712" TargetMode="External"/><Relationship Id="rId7565" Type="http://schemas.openxmlformats.org/officeDocument/2006/relationships/hyperlink" Target="https://statiz.sporki.com/add/?m=draft_school01&amp;ps_school=50202" TargetMode="External"/><Relationship Id="rId8616" Type="http://schemas.openxmlformats.org/officeDocument/2006/relationships/hyperlink" Target="https://statiz.sporki.com/add/?m=draft_school02&amp;ps_school=60108" TargetMode="External"/><Relationship Id="rId10546" Type="http://schemas.openxmlformats.org/officeDocument/2006/relationships/hyperlink" Target="https://statiz.sporki.com/player/?m=playerinfo&amp;p_no=1461" TargetMode="External"/><Relationship Id="rId17159" Type="http://schemas.openxmlformats.org/officeDocument/2006/relationships/hyperlink" Target="https://statiz.sporki.com/add/?m=draft_school01&amp;ps_school=50604" TargetMode="External"/><Relationship Id="rId6167" Type="http://schemas.openxmlformats.org/officeDocument/2006/relationships/hyperlink" Target="https://statiz.sporki.com/add/?m=draft_school01&amp;ps_school=" TargetMode="External"/><Relationship Id="rId7218" Type="http://schemas.openxmlformats.org/officeDocument/2006/relationships/hyperlink" Target="https://statiz.sporki.com/add/?m=draft_school02&amp;ps_school=60102" TargetMode="External"/><Relationship Id="rId2777" Type="http://schemas.openxmlformats.org/officeDocument/2006/relationships/hyperlink" Target="https://statiz.sporki.com/add/?m=draft_school01&amp;ps_school=50802" TargetMode="External"/><Relationship Id="rId13769" Type="http://schemas.openxmlformats.org/officeDocument/2006/relationships/hyperlink" Target="https://statiz.sporki.com/player/?m=playerinfo&amp;p_no=10891" TargetMode="External"/><Relationship Id="rId15191" Type="http://schemas.openxmlformats.org/officeDocument/2006/relationships/hyperlink" Target="https://statiz.sporki.com/player/?m=playerinfo&amp;p_no=1898" TargetMode="External"/><Relationship Id="rId16242" Type="http://schemas.openxmlformats.org/officeDocument/2006/relationships/hyperlink" Target="https://statiz.sporki.com/add/?m=draft_school01&amp;ps_school=50802" TargetMode="External"/><Relationship Id="rId17640" Type="http://schemas.openxmlformats.org/officeDocument/2006/relationships/hyperlink" Target="https://statiz.sporki.com/add/?m=draft_school01&amp;ps_school=50401" TargetMode="External"/><Relationship Id="rId749" Type="http://schemas.openxmlformats.org/officeDocument/2006/relationships/hyperlink" Target="https://statiz.sporki.com/add/?m=draft_school01&amp;ps_school=50208" TargetMode="External"/><Relationship Id="rId1379" Type="http://schemas.openxmlformats.org/officeDocument/2006/relationships/hyperlink" Target="https://statiz.sporki.com/add/?m=draft_school01&amp;ps_school=50106" TargetMode="External"/><Relationship Id="rId3828" Type="http://schemas.openxmlformats.org/officeDocument/2006/relationships/hyperlink" Target="https://statiz.sporki.com/add/?m=draft_school02&amp;ps_school=" TargetMode="External"/><Relationship Id="rId5250" Type="http://schemas.openxmlformats.org/officeDocument/2006/relationships/hyperlink" Target="https://statiz.sporki.com/add/?m=draft_school02&amp;ps_school=60108" TargetMode="External"/><Relationship Id="rId6301" Type="http://schemas.openxmlformats.org/officeDocument/2006/relationships/hyperlink" Target="https://statiz.sporki.com/player/?m=playerinfo&amp;p_no=10660" TargetMode="External"/><Relationship Id="rId9871" Type="http://schemas.openxmlformats.org/officeDocument/2006/relationships/hyperlink" Target="https://statiz.sporki.com/player/?m=playerinfo&amp;p_no=1654" TargetMode="External"/><Relationship Id="rId12852" Type="http://schemas.openxmlformats.org/officeDocument/2006/relationships/hyperlink" Target="https://statiz.sporki.com/player/?m=playerinfo&amp;p_no=14652" TargetMode="External"/><Relationship Id="rId13903" Type="http://schemas.openxmlformats.org/officeDocument/2006/relationships/hyperlink" Target="https://statiz.sporki.com/player/?m=playerinfo&amp;p_no=11294" TargetMode="External"/><Relationship Id="rId19465" Type="http://schemas.openxmlformats.org/officeDocument/2006/relationships/hyperlink" Target="https://statiz.sporki.com/add/?m=draft_school01&amp;ps_school=50109" TargetMode="External"/><Relationship Id="rId85" Type="http://schemas.openxmlformats.org/officeDocument/2006/relationships/hyperlink" Target="https://statiz.sporki.com/player/?m=playerinfo&amp;p_no=15510" TargetMode="External"/><Relationship Id="rId1860" Type="http://schemas.openxmlformats.org/officeDocument/2006/relationships/hyperlink" Target="https://statiz.sporki.com/add/?m=draft_school02&amp;ps_school=" TargetMode="External"/><Relationship Id="rId2911" Type="http://schemas.openxmlformats.org/officeDocument/2006/relationships/hyperlink" Target="https://statiz.sporki.com/player/?m=playerinfo&amp;p_no=12879" TargetMode="External"/><Relationship Id="rId7075" Type="http://schemas.openxmlformats.org/officeDocument/2006/relationships/hyperlink" Target="https://statiz.sporki.com/player/?m=playerinfo&amp;p_no=2310" TargetMode="External"/><Relationship Id="rId8473" Type="http://schemas.openxmlformats.org/officeDocument/2006/relationships/hyperlink" Target="https://statiz.sporki.com/player/?m=playerinfo&amp;p_no=2105" TargetMode="External"/><Relationship Id="rId9524" Type="http://schemas.openxmlformats.org/officeDocument/2006/relationships/hyperlink" Target="https://statiz.sporki.com/add/?m=draft_school01&amp;ps_school=50301" TargetMode="External"/><Relationship Id="rId11454" Type="http://schemas.openxmlformats.org/officeDocument/2006/relationships/hyperlink" Target="https://statiz.sporki.com/add/?m=draft_school02&amp;ps_school=60108" TargetMode="External"/><Relationship Id="rId12505" Type="http://schemas.openxmlformats.org/officeDocument/2006/relationships/hyperlink" Target="https://statiz.sporki.com/player/?m=playerinfo&amp;p_no=14768" TargetMode="External"/><Relationship Id="rId18067" Type="http://schemas.openxmlformats.org/officeDocument/2006/relationships/hyperlink" Target="https://statiz.sporki.com/add/?m=draft_school01&amp;ps_school=50115" TargetMode="External"/><Relationship Id="rId19118" Type="http://schemas.openxmlformats.org/officeDocument/2006/relationships/hyperlink" Target="https://statiz.sporki.com/add/?m=draft_school01&amp;ps_school=50107" TargetMode="External"/><Relationship Id="rId1513" Type="http://schemas.openxmlformats.org/officeDocument/2006/relationships/hyperlink" Target="https://statiz.sporki.com/player/?m=playerinfo&amp;p_no=14584" TargetMode="External"/><Relationship Id="rId8126" Type="http://schemas.openxmlformats.org/officeDocument/2006/relationships/hyperlink" Target="https://statiz.sporki.com/add/?m=draft_school01&amp;ps_school=50116" TargetMode="External"/><Relationship Id="rId10056" Type="http://schemas.openxmlformats.org/officeDocument/2006/relationships/hyperlink" Target="https://statiz.sporki.com/add/?m=draft_school02&amp;ps_school=60204" TargetMode="External"/><Relationship Id="rId11107" Type="http://schemas.openxmlformats.org/officeDocument/2006/relationships/hyperlink" Target="https://statiz.sporki.com/player/?m=playerinfo&amp;p_no=1330" TargetMode="External"/><Relationship Id="rId14677" Type="http://schemas.openxmlformats.org/officeDocument/2006/relationships/hyperlink" Target="https://statiz.sporki.com/player/?m=playerinfo&amp;p_no=10108" TargetMode="External"/><Relationship Id="rId15728" Type="http://schemas.openxmlformats.org/officeDocument/2006/relationships/hyperlink" Target="https://statiz.sporki.com/player/?m=playerinfo&amp;p_no=1467" TargetMode="External"/><Relationship Id="rId3685" Type="http://schemas.openxmlformats.org/officeDocument/2006/relationships/hyperlink" Target="https://statiz.sporki.com/player/?m=playerinfo&amp;p_no=11351" TargetMode="External"/><Relationship Id="rId4736" Type="http://schemas.openxmlformats.org/officeDocument/2006/relationships/hyperlink" Target="https://statiz.sporki.com/add/?m=draft_school01&amp;ps_school=50804" TargetMode="External"/><Relationship Id="rId13279" Type="http://schemas.openxmlformats.org/officeDocument/2006/relationships/hyperlink" Target="https://statiz.sporki.com/player/?m=playerinfo&amp;p_no=12641" TargetMode="External"/><Relationship Id="rId17150" Type="http://schemas.openxmlformats.org/officeDocument/2006/relationships/hyperlink" Target="https://statiz.sporki.com/add/?m=draft_school01&amp;ps_school=50202" TargetMode="External"/><Relationship Id="rId18201" Type="http://schemas.openxmlformats.org/officeDocument/2006/relationships/hyperlink" Target="https://statiz.sporki.com/add/?m=draft_school01&amp;ps_school=50204" TargetMode="External"/><Relationship Id="rId2287" Type="http://schemas.openxmlformats.org/officeDocument/2006/relationships/hyperlink" Target="https://statiz.sporki.com/player/?m=playerinfo&amp;p_no=14207" TargetMode="External"/><Relationship Id="rId3338" Type="http://schemas.openxmlformats.org/officeDocument/2006/relationships/hyperlink" Target="https://statiz.sporki.com/add/?m=draft_school01&amp;ps_school=50802" TargetMode="External"/><Relationship Id="rId7959" Type="http://schemas.openxmlformats.org/officeDocument/2006/relationships/hyperlink" Target="https://statiz.sporki.com/add/?m=draft_school02&amp;ps_school=" TargetMode="External"/><Relationship Id="rId259" Type="http://schemas.openxmlformats.org/officeDocument/2006/relationships/hyperlink" Target="https://statiz.sporki.com/player/?m=playerinfo&amp;p_no=15493" TargetMode="External"/><Relationship Id="rId9381" Type="http://schemas.openxmlformats.org/officeDocument/2006/relationships/hyperlink" Target="https://statiz.sporki.com/add/?m=draft_school02&amp;ps_school=60705" TargetMode="External"/><Relationship Id="rId13760" Type="http://schemas.openxmlformats.org/officeDocument/2006/relationships/hyperlink" Target="https://statiz.sporki.com/player/?m=playerinfo&amp;p_no=10821" TargetMode="External"/><Relationship Id="rId14811" Type="http://schemas.openxmlformats.org/officeDocument/2006/relationships/hyperlink" Target="https://statiz.sporki.com/player/?m=playerinfo&amp;p_no=2134" TargetMode="External"/><Relationship Id="rId1370" Type="http://schemas.openxmlformats.org/officeDocument/2006/relationships/hyperlink" Target="https://statiz.sporki.com/add/?m=draft_school01&amp;ps_school=50810" TargetMode="External"/><Relationship Id="rId9034" Type="http://schemas.openxmlformats.org/officeDocument/2006/relationships/hyperlink" Target="https://statiz.sporki.com/player/?m=playerinfo&amp;p_no=1931" TargetMode="External"/><Relationship Id="rId12362" Type="http://schemas.openxmlformats.org/officeDocument/2006/relationships/hyperlink" Target="https://statiz.sporki.com/player/?m=playerinfo&amp;p_no=15084" TargetMode="External"/><Relationship Id="rId13413" Type="http://schemas.openxmlformats.org/officeDocument/2006/relationships/hyperlink" Target="https://statiz.sporki.com/player/?m=playerinfo&amp;p_no=11391" TargetMode="External"/><Relationship Id="rId16983" Type="http://schemas.openxmlformats.org/officeDocument/2006/relationships/hyperlink" Target="https://statiz.sporki.com/add/?m=draft_school01&amp;ps_school=50903" TargetMode="External"/><Relationship Id="rId740" Type="http://schemas.openxmlformats.org/officeDocument/2006/relationships/hyperlink" Target="https://statiz.sporki.com/add/?m=draft_school01&amp;ps_school=50702" TargetMode="External"/><Relationship Id="rId1023" Type="http://schemas.openxmlformats.org/officeDocument/2006/relationships/hyperlink" Target="https://statiz.sporki.com/add/?m=draft_school02&amp;ps_school=60111" TargetMode="External"/><Relationship Id="rId2421" Type="http://schemas.openxmlformats.org/officeDocument/2006/relationships/hyperlink" Target="https://statiz.sporki.com/add/?m=draft_school02&amp;ps_school=" TargetMode="External"/><Relationship Id="rId5991" Type="http://schemas.openxmlformats.org/officeDocument/2006/relationships/hyperlink" Target="https://statiz.sporki.com/add/?m=draft_school02&amp;ps_school=60704" TargetMode="External"/><Relationship Id="rId12015" Type="http://schemas.openxmlformats.org/officeDocument/2006/relationships/hyperlink" Target="https://statiz.sporki.com/add/?m=draft_school02&amp;ps_school=60113" TargetMode="External"/><Relationship Id="rId15585" Type="http://schemas.openxmlformats.org/officeDocument/2006/relationships/hyperlink" Target="https://statiz.sporki.com/player/?m=playerinfo&amp;p_no=1534" TargetMode="External"/><Relationship Id="rId16636" Type="http://schemas.openxmlformats.org/officeDocument/2006/relationships/hyperlink" Target="https://statiz.sporki.com/add/?m=draft_school01&amp;ps_school=50209" TargetMode="External"/><Relationship Id="rId4593" Type="http://schemas.openxmlformats.org/officeDocument/2006/relationships/hyperlink" Target="https://statiz.sporki.com/add/?m=draft_school02&amp;ps_school=60113" TargetMode="External"/><Relationship Id="rId5644" Type="http://schemas.openxmlformats.org/officeDocument/2006/relationships/hyperlink" Target="https://statiz.sporki.com/player/?m=playerinfo&amp;p_no=10747" TargetMode="External"/><Relationship Id="rId14187" Type="http://schemas.openxmlformats.org/officeDocument/2006/relationships/hyperlink" Target="https://statiz.sporki.com/player/?m=playerinfo&amp;p_no=10611" TargetMode="External"/><Relationship Id="rId15238" Type="http://schemas.openxmlformats.org/officeDocument/2006/relationships/hyperlink" Target="https://statiz.sporki.com/player/?m=playerinfo&amp;p_no=1962" TargetMode="External"/><Relationship Id="rId3195" Type="http://schemas.openxmlformats.org/officeDocument/2006/relationships/hyperlink" Target="https://statiz.sporki.com/add/?m=draft_school02&amp;ps_school=" TargetMode="External"/><Relationship Id="rId4246" Type="http://schemas.openxmlformats.org/officeDocument/2006/relationships/hyperlink" Target="https://statiz.sporki.com/player/?m=playerinfo&amp;p_no=11273" TargetMode="External"/><Relationship Id="rId8867" Type="http://schemas.openxmlformats.org/officeDocument/2006/relationships/hyperlink" Target="https://statiz.sporki.com/add/?m=draft_school01&amp;ps_school=50109" TargetMode="External"/><Relationship Id="rId9918" Type="http://schemas.openxmlformats.org/officeDocument/2006/relationships/hyperlink" Target="https://statiz.sporki.com/add/?m=draft_school02&amp;ps_school=60203" TargetMode="External"/><Relationship Id="rId10797" Type="http://schemas.openxmlformats.org/officeDocument/2006/relationships/hyperlink" Target="https://statiz.sporki.com/add/?m=draft_school02&amp;ps_school=60103" TargetMode="External"/><Relationship Id="rId7469" Type="http://schemas.openxmlformats.org/officeDocument/2006/relationships/hyperlink" Target="https://statiz.sporki.com/add/?m=draft_school01&amp;ps_school=50403" TargetMode="External"/><Relationship Id="rId11848" Type="http://schemas.openxmlformats.org/officeDocument/2006/relationships/hyperlink" Target="https://statiz.sporki.com/player/?m=playerinfo&amp;p_no=1050" TargetMode="External"/><Relationship Id="rId13270" Type="http://schemas.openxmlformats.org/officeDocument/2006/relationships/hyperlink" Target="https://statiz.sporki.com/player/?m=playerinfo&amp;p_no=12586" TargetMode="External"/><Relationship Id="rId14321" Type="http://schemas.openxmlformats.org/officeDocument/2006/relationships/hyperlink" Target="https://statiz.sporki.com/player/?m=playerinfo&amp;p_no=11161" TargetMode="External"/><Relationship Id="rId1907" Type="http://schemas.openxmlformats.org/officeDocument/2006/relationships/hyperlink" Target="https://statiz.sporki.com/add/?m=draft_school01&amp;ps_school=50108" TargetMode="External"/><Relationship Id="rId17891" Type="http://schemas.openxmlformats.org/officeDocument/2006/relationships/hyperlink" Target="https://statiz.sporki.com/add/?m=draft_school01&amp;ps_school=50210" TargetMode="External"/><Relationship Id="rId18942" Type="http://schemas.openxmlformats.org/officeDocument/2006/relationships/hyperlink" Target="https://statiz.sporki.com/add/?m=draft_school01&amp;ps_school=50402" TargetMode="External"/><Relationship Id="rId250" Type="http://schemas.openxmlformats.org/officeDocument/2006/relationships/hyperlink" Target="https://statiz.sporki.com/player/?m=playerinfo&amp;p_no=15458" TargetMode="External"/><Relationship Id="rId7950" Type="http://schemas.openxmlformats.org/officeDocument/2006/relationships/hyperlink" Target="https://statiz.sporki.com/add/?m=draft_school02&amp;ps_school=60605" TargetMode="External"/><Relationship Id="rId10931" Type="http://schemas.openxmlformats.org/officeDocument/2006/relationships/hyperlink" Target="https://statiz.sporki.com/add/?m=draft_school01&amp;ps_school=50114" TargetMode="External"/><Relationship Id="rId15095" Type="http://schemas.openxmlformats.org/officeDocument/2006/relationships/hyperlink" Target="https://statiz.sporki.com/player/?m=playerinfo&amp;p_no=1949" TargetMode="External"/><Relationship Id="rId16493" Type="http://schemas.openxmlformats.org/officeDocument/2006/relationships/hyperlink" Target="https://statiz.sporki.com/add/?m=draft_school01&amp;ps_school=50107" TargetMode="External"/><Relationship Id="rId17544" Type="http://schemas.openxmlformats.org/officeDocument/2006/relationships/hyperlink" Target="https://statiz.sporki.com/add/?m=draft_school01&amp;ps_school=51101" TargetMode="External"/><Relationship Id="rId5154" Type="http://schemas.openxmlformats.org/officeDocument/2006/relationships/hyperlink" Target="https://statiz.sporki.com/add/?m=draft_school02&amp;ps_school=" TargetMode="External"/><Relationship Id="rId6552" Type="http://schemas.openxmlformats.org/officeDocument/2006/relationships/hyperlink" Target="https://statiz.sporki.com/add/?m=draft_school02&amp;ps_school=" TargetMode="External"/><Relationship Id="rId7603" Type="http://schemas.openxmlformats.org/officeDocument/2006/relationships/hyperlink" Target="https://statiz.sporki.com/player/?m=playerinfo&amp;p_no=2389" TargetMode="External"/><Relationship Id="rId16146" Type="http://schemas.openxmlformats.org/officeDocument/2006/relationships/hyperlink" Target="https://statiz.sporki.com/player/?m=playerinfo&amp;p_no=1034" TargetMode="External"/><Relationship Id="rId6205" Type="http://schemas.openxmlformats.org/officeDocument/2006/relationships/hyperlink" Target="https://statiz.sporki.com/player/?m=playerinfo&amp;p_no=2430" TargetMode="External"/><Relationship Id="rId9775" Type="http://schemas.openxmlformats.org/officeDocument/2006/relationships/hyperlink" Target="https://statiz.sporki.com/player/?m=playerinfo&amp;p_no=1693" TargetMode="External"/><Relationship Id="rId12756" Type="http://schemas.openxmlformats.org/officeDocument/2006/relationships/hyperlink" Target="https://statiz.sporki.com/player/?m=playerinfo&amp;p_no=14712" TargetMode="External"/><Relationship Id="rId13807" Type="http://schemas.openxmlformats.org/officeDocument/2006/relationships/hyperlink" Target="https://statiz.sporki.com/player/?m=playerinfo&amp;p_no=10816" TargetMode="External"/><Relationship Id="rId19369" Type="http://schemas.openxmlformats.org/officeDocument/2006/relationships/hyperlink" Target="https://statiz.sporki.com/add/?m=draft_school01&amp;ps_school=50116" TargetMode="External"/><Relationship Id="rId1764" Type="http://schemas.openxmlformats.org/officeDocument/2006/relationships/hyperlink" Target="https://statiz.sporki.com/add/?m=draft_school02&amp;ps_school=" TargetMode="External"/><Relationship Id="rId2815" Type="http://schemas.openxmlformats.org/officeDocument/2006/relationships/hyperlink" Target="https://statiz.sporki.com/player/?m=playerinfo&amp;p_no=12854" TargetMode="External"/><Relationship Id="rId8377" Type="http://schemas.openxmlformats.org/officeDocument/2006/relationships/hyperlink" Target="https://statiz.sporki.com/player/?m=playerinfo&amp;p_no=2034" TargetMode="External"/><Relationship Id="rId9428" Type="http://schemas.openxmlformats.org/officeDocument/2006/relationships/hyperlink" Target="https://statiz.sporki.com/add/?m=draft_school01&amp;ps_school=50202" TargetMode="External"/><Relationship Id="rId11358" Type="http://schemas.openxmlformats.org/officeDocument/2006/relationships/hyperlink" Target="https://statiz.sporki.com/add/?m=draft_school02&amp;ps_school=60109" TargetMode="External"/><Relationship Id="rId12409" Type="http://schemas.openxmlformats.org/officeDocument/2006/relationships/hyperlink" Target="https://statiz.sporki.com/player/?m=playerinfo&amp;p_no=15022" TargetMode="External"/><Relationship Id="rId1417" Type="http://schemas.openxmlformats.org/officeDocument/2006/relationships/hyperlink" Target="https://statiz.sporki.com/player/?m=playerinfo&amp;p_no=14588" TargetMode="External"/><Relationship Id="rId4987" Type="http://schemas.openxmlformats.org/officeDocument/2006/relationships/hyperlink" Target="https://statiz.sporki.com/player/?m=playerinfo&amp;p_no=11138" TargetMode="External"/><Relationship Id="rId15979" Type="http://schemas.openxmlformats.org/officeDocument/2006/relationships/hyperlink" Target="https://statiz.sporki.com/player/?m=playerinfo&amp;p_no=1213" TargetMode="External"/><Relationship Id="rId18452" Type="http://schemas.openxmlformats.org/officeDocument/2006/relationships/hyperlink" Target="https://statiz.sporki.com/add/?m=draft_school01&amp;ps_school=50109" TargetMode="External"/><Relationship Id="rId3589" Type="http://schemas.openxmlformats.org/officeDocument/2006/relationships/hyperlink" Target="https://statiz.sporki.com/player/?m=playerinfo&amp;p_no=12601" TargetMode="External"/><Relationship Id="rId7460" Type="http://schemas.openxmlformats.org/officeDocument/2006/relationships/hyperlink" Target="https://statiz.sporki.com/add/?m=draft_school01&amp;ps_school=50501" TargetMode="External"/><Relationship Id="rId8511" Type="http://schemas.openxmlformats.org/officeDocument/2006/relationships/hyperlink" Target="https://statiz.sporki.com/add/?m=draft_school02&amp;ps_school=60101" TargetMode="External"/><Relationship Id="rId17054" Type="http://schemas.openxmlformats.org/officeDocument/2006/relationships/hyperlink" Target="https://statiz.sporki.com/add/?m=draft_school01&amp;ps_school=51001" TargetMode="External"/><Relationship Id="rId18105" Type="http://schemas.openxmlformats.org/officeDocument/2006/relationships/hyperlink" Target="https://statiz.sporki.com/add/?m=draft_school01&amp;ps_school=50602" TargetMode="External"/><Relationship Id="rId19503" Type="http://schemas.openxmlformats.org/officeDocument/2006/relationships/hyperlink" Target="https://statiz.sporki.com/add/?m=draft_school01&amp;ps_school=50111" TargetMode="External"/><Relationship Id="rId6062" Type="http://schemas.openxmlformats.org/officeDocument/2006/relationships/hyperlink" Target="https://statiz.sporki.com/add/?m=draft_school01&amp;ps_school=50111" TargetMode="External"/><Relationship Id="rId7113" Type="http://schemas.openxmlformats.org/officeDocument/2006/relationships/hyperlink" Target="https://statiz.sporki.com/add/?m=draft_school02&amp;ps_school=" TargetMode="External"/><Relationship Id="rId10441" Type="http://schemas.openxmlformats.org/officeDocument/2006/relationships/hyperlink" Target="https://statiz.sporki.com/player/?m=playerinfo&amp;p_no=1564" TargetMode="External"/><Relationship Id="rId9285" Type="http://schemas.openxmlformats.org/officeDocument/2006/relationships/hyperlink" Target="https://statiz.sporki.com/add/?m=draft_school02&amp;ps_school=" TargetMode="External"/><Relationship Id="rId13664" Type="http://schemas.openxmlformats.org/officeDocument/2006/relationships/hyperlink" Target="https://statiz.sporki.com/player/?m=playerinfo&amp;p_no=11241" TargetMode="External"/><Relationship Id="rId14715" Type="http://schemas.openxmlformats.org/officeDocument/2006/relationships/hyperlink" Target="https://statiz.sporki.com/player/?m=playerinfo&amp;p_no=2202" TargetMode="External"/><Relationship Id="rId991" Type="http://schemas.openxmlformats.org/officeDocument/2006/relationships/hyperlink" Target="https://statiz.sporki.com/player/?m=playerinfo&amp;p_no=14783" TargetMode="External"/><Relationship Id="rId2672" Type="http://schemas.openxmlformats.org/officeDocument/2006/relationships/hyperlink" Target="https://statiz.sporki.com/add/?m=draft_school01&amp;ps_school=50113" TargetMode="External"/><Relationship Id="rId3723" Type="http://schemas.openxmlformats.org/officeDocument/2006/relationships/hyperlink" Target="https://statiz.sporki.com/add/?m=draft_school02&amp;ps_school=" TargetMode="External"/><Relationship Id="rId12266" Type="http://schemas.openxmlformats.org/officeDocument/2006/relationships/hyperlink" Target="https://statiz.sporki.com/player/?m=playerinfo&amp;p_no=15651" TargetMode="External"/><Relationship Id="rId13317" Type="http://schemas.openxmlformats.org/officeDocument/2006/relationships/hyperlink" Target="https://statiz.sporki.com/player/?m=playerinfo&amp;p_no=12504" TargetMode="External"/><Relationship Id="rId16887" Type="http://schemas.openxmlformats.org/officeDocument/2006/relationships/hyperlink" Target="https://statiz.sporki.com/add/?m=draft_school01&amp;ps_school=50602" TargetMode="External"/><Relationship Id="rId17938" Type="http://schemas.openxmlformats.org/officeDocument/2006/relationships/hyperlink" Target="https://statiz.sporki.com/add/?m=draft_school01&amp;ps_school=50401" TargetMode="External"/><Relationship Id="rId644" Type="http://schemas.openxmlformats.org/officeDocument/2006/relationships/hyperlink" Target="https://statiz.sporki.com/add/?m=draft_school01&amp;ps_school=50103" TargetMode="External"/><Relationship Id="rId1274" Type="http://schemas.openxmlformats.org/officeDocument/2006/relationships/hyperlink" Target="https://statiz.sporki.com/add/?m=draft_school01&amp;ps_school=50804" TargetMode="External"/><Relationship Id="rId2325" Type="http://schemas.openxmlformats.org/officeDocument/2006/relationships/hyperlink" Target="https://statiz.sporki.com/add/?m=draft_school02&amp;ps_school=" TargetMode="External"/><Relationship Id="rId5895" Type="http://schemas.openxmlformats.org/officeDocument/2006/relationships/hyperlink" Target="https://statiz.sporki.com/add/?m=draft_school02&amp;ps_school=60103" TargetMode="External"/><Relationship Id="rId6946" Type="http://schemas.openxmlformats.org/officeDocument/2006/relationships/hyperlink" Target="https://statiz.sporki.com/player/?m=playerinfo&amp;p_no=10063" TargetMode="External"/><Relationship Id="rId15489" Type="http://schemas.openxmlformats.org/officeDocument/2006/relationships/hyperlink" Target="https://statiz.sporki.com/player/?m=playerinfo&amp;p_no=1570" TargetMode="External"/><Relationship Id="rId19360" Type="http://schemas.openxmlformats.org/officeDocument/2006/relationships/hyperlink" Target="https://statiz.sporki.com/add/?m=draft_school01&amp;ps_school=50805" TargetMode="External"/><Relationship Id="rId4497" Type="http://schemas.openxmlformats.org/officeDocument/2006/relationships/hyperlink" Target="https://statiz.sporki.com/add/?m=draft_school02&amp;ps_school=" TargetMode="External"/><Relationship Id="rId5548" Type="http://schemas.openxmlformats.org/officeDocument/2006/relationships/hyperlink" Target="https://statiz.sporki.com/player/?m=playerinfo&amp;p_no=10324" TargetMode="External"/><Relationship Id="rId12400" Type="http://schemas.openxmlformats.org/officeDocument/2006/relationships/hyperlink" Target="https://statiz.sporki.com/player/?m=playerinfo&amp;p_no=15066" TargetMode="External"/><Relationship Id="rId19013" Type="http://schemas.openxmlformats.org/officeDocument/2006/relationships/hyperlink" Target="https://statiz.sporki.com/add/?m=draft_school01&amp;ps_school=50802" TargetMode="External"/><Relationship Id="rId3099" Type="http://schemas.openxmlformats.org/officeDocument/2006/relationships/hyperlink" Target="https://statiz.sporki.com/add/?m=draft_school02&amp;ps_school=" TargetMode="External"/><Relationship Id="rId8021" Type="http://schemas.openxmlformats.org/officeDocument/2006/relationships/hyperlink" Target="https://statiz.sporki.com/add/?m=draft_school01&amp;ps_school=50602" TargetMode="External"/><Relationship Id="rId11002" Type="http://schemas.openxmlformats.org/officeDocument/2006/relationships/hyperlink" Target="https://statiz.sporki.com/player/?m=playerinfo&amp;p_no=1338" TargetMode="External"/><Relationship Id="rId15970" Type="http://schemas.openxmlformats.org/officeDocument/2006/relationships/hyperlink" Target="https://statiz.sporki.com/player/?m=playerinfo&amp;p_no=1229" TargetMode="External"/><Relationship Id="rId3580" Type="http://schemas.openxmlformats.org/officeDocument/2006/relationships/hyperlink" Target="https://statiz.sporki.com/player/?m=playerinfo&amp;p_no=12974" TargetMode="External"/><Relationship Id="rId13174" Type="http://schemas.openxmlformats.org/officeDocument/2006/relationships/hyperlink" Target="https://statiz.sporki.com/player/?m=playerinfo&amp;p_no=12955" TargetMode="External"/><Relationship Id="rId14572" Type="http://schemas.openxmlformats.org/officeDocument/2006/relationships/hyperlink" Target="https://statiz.sporki.com/player/?m=playerinfo&amp;p_no=2303" TargetMode="External"/><Relationship Id="rId15623" Type="http://schemas.openxmlformats.org/officeDocument/2006/relationships/hyperlink" Target="https://statiz.sporki.com/player/?m=playerinfo&amp;p_no=1699" TargetMode="External"/><Relationship Id="rId2182" Type="http://schemas.openxmlformats.org/officeDocument/2006/relationships/hyperlink" Target="https://statiz.sporki.com/player/?m=playerinfo&amp;p_no=13942" TargetMode="External"/><Relationship Id="rId3233" Type="http://schemas.openxmlformats.org/officeDocument/2006/relationships/hyperlink" Target="https://statiz.sporki.com/add/?m=draft_school01&amp;ps_school=" TargetMode="External"/><Relationship Id="rId4631" Type="http://schemas.openxmlformats.org/officeDocument/2006/relationships/hyperlink" Target="https://statiz.sporki.com/add/?m=draft_school01&amp;ps_school=50105" TargetMode="External"/><Relationship Id="rId14225" Type="http://schemas.openxmlformats.org/officeDocument/2006/relationships/hyperlink" Target="https://statiz.sporki.com/player/?m=playerinfo&amp;p_no=10210" TargetMode="External"/><Relationship Id="rId17795" Type="http://schemas.openxmlformats.org/officeDocument/2006/relationships/hyperlink" Target="https://statiz.sporki.com/add/?m=draft_school01&amp;ps_school=50110" TargetMode="External"/><Relationship Id="rId18846" Type="http://schemas.openxmlformats.org/officeDocument/2006/relationships/hyperlink" Target="https://statiz.sporki.com/add/?m=draft_school01&amp;ps_school=50701" TargetMode="External"/><Relationship Id="rId154" Type="http://schemas.openxmlformats.org/officeDocument/2006/relationships/hyperlink" Target="https://statiz.sporki.com/player/?m=playerinfo&amp;p_no=15436" TargetMode="External"/><Relationship Id="rId7854" Type="http://schemas.openxmlformats.org/officeDocument/2006/relationships/hyperlink" Target="https://statiz.sporki.com/add/?m=draft_school02&amp;ps_school=" TargetMode="External"/><Relationship Id="rId8905" Type="http://schemas.openxmlformats.org/officeDocument/2006/relationships/hyperlink" Target="https://statiz.sporki.com/player/?m=playerinfo&amp;p_no=1913" TargetMode="External"/><Relationship Id="rId10835" Type="http://schemas.openxmlformats.org/officeDocument/2006/relationships/hyperlink" Target="https://statiz.sporki.com/add/?m=draft_school01&amp;ps_school=50302" TargetMode="External"/><Relationship Id="rId16397" Type="http://schemas.openxmlformats.org/officeDocument/2006/relationships/hyperlink" Target="https://statiz.sporki.com/add/?m=draft_school01&amp;ps_school=50105" TargetMode="External"/><Relationship Id="rId17448" Type="http://schemas.openxmlformats.org/officeDocument/2006/relationships/hyperlink" Target="https://statiz.sporki.com/add/?m=draft_school01&amp;ps_school=50109" TargetMode="External"/><Relationship Id="rId6456" Type="http://schemas.openxmlformats.org/officeDocument/2006/relationships/hyperlink" Target="https://statiz.sporki.com/add/?m=draft_school02&amp;ps_school=" TargetMode="External"/><Relationship Id="rId7507" Type="http://schemas.openxmlformats.org/officeDocument/2006/relationships/hyperlink" Target="https://statiz.sporki.com/player/?m=playerinfo&amp;p_no=2250" TargetMode="External"/><Relationship Id="rId5058" Type="http://schemas.openxmlformats.org/officeDocument/2006/relationships/hyperlink" Target="https://statiz.sporki.com/add/?m=draft_school02&amp;ps_school=" TargetMode="External"/><Relationship Id="rId6109" Type="http://schemas.openxmlformats.org/officeDocument/2006/relationships/hyperlink" Target="https://statiz.sporki.com/player/?m=playerinfo&amp;p_no=10345" TargetMode="External"/><Relationship Id="rId9679" Type="http://schemas.openxmlformats.org/officeDocument/2006/relationships/hyperlink" Target="https://statiz.sporki.com/player/?m=playerinfo&amp;p_no=1733" TargetMode="External"/><Relationship Id="rId15480" Type="http://schemas.openxmlformats.org/officeDocument/2006/relationships/hyperlink" Target="https://statiz.sporki.com/player/?m=playerinfo&amp;p_no=11434" TargetMode="External"/><Relationship Id="rId16531" Type="http://schemas.openxmlformats.org/officeDocument/2006/relationships/hyperlink" Target="https://statiz.sporki.com/add/?m=draft_school01&amp;ps_school=50108" TargetMode="External"/><Relationship Id="rId1668" Type="http://schemas.openxmlformats.org/officeDocument/2006/relationships/hyperlink" Target="https://statiz.sporki.com/add/?m=draft_school02&amp;ps_school=" TargetMode="External"/><Relationship Id="rId2719" Type="http://schemas.openxmlformats.org/officeDocument/2006/relationships/hyperlink" Target="https://statiz.sporki.com/player/?m=playerinfo&amp;p_no=13268" TargetMode="External"/><Relationship Id="rId14082" Type="http://schemas.openxmlformats.org/officeDocument/2006/relationships/hyperlink" Target="https://statiz.sporki.com/player/?m=playerinfo&amp;p_no=10610" TargetMode="External"/><Relationship Id="rId15133" Type="http://schemas.openxmlformats.org/officeDocument/2006/relationships/hyperlink" Target="https://statiz.sporki.com/player/?m=playerinfo&amp;p_no=1940" TargetMode="External"/><Relationship Id="rId3090" Type="http://schemas.openxmlformats.org/officeDocument/2006/relationships/hyperlink" Target="https://statiz.sporki.com/add/?m=draft_school02&amp;ps_school=" TargetMode="External"/><Relationship Id="rId4141" Type="http://schemas.openxmlformats.org/officeDocument/2006/relationships/hyperlink" Target="https://statiz.sporki.com/player/?m=playerinfo&amp;p_no=11403" TargetMode="External"/><Relationship Id="rId7364" Type="http://schemas.openxmlformats.org/officeDocument/2006/relationships/hyperlink" Target="https://statiz.sporki.com/add/?m=draft_school01&amp;ps_school=50806" TargetMode="External"/><Relationship Id="rId8762" Type="http://schemas.openxmlformats.org/officeDocument/2006/relationships/hyperlink" Target="https://statiz.sporki.com/add/?m=draft_school01&amp;ps_school=50209" TargetMode="External"/><Relationship Id="rId9813" Type="http://schemas.openxmlformats.org/officeDocument/2006/relationships/hyperlink" Target="https://statiz.sporki.com/add/?m=draft_school02&amp;ps_school=60114" TargetMode="External"/><Relationship Id="rId10692" Type="http://schemas.openxmlformats.org/officeDocument/2006/relationships/hyperlink" Target="https://statiz.sporki.com/add/?m=draft_school02&amp;ps_school=" TargetMode="External"/><Relationship Id="rId11743" Type="http://schemas.openxmlformats.org/officeDocument/2006/relationships/hyperlink" Target="https://statiz.sporki.com/player/?m=playerinfo&amp;p_no=1026" TargetMode="External"/><Relationship Id="rId18356" Type="http://schemas.openxmlformats.org/officeDocument/2006/relationships/hyperlink" Target="https://statiz.sporki.com/add/?m=draft_school01&amp;ps_school=50112" TargetMode="External"/><Relationship Id="rId19407" Type="http://schemas.openxmlformats.org/officeDocument/2006/relationships/hyperlink" Target="https://statiz.sporki.com/add/?m=draft_school01&amp;ps_school=50701" TargetMode="External"/><Relationship Id="rId27" Type="http://schemas.openxmlformats.org/officeDocument/2006/relationships/hyperlink" Target="https://statiz.sporki.com/add/?m=draft_school02&amp;ps_school=" TargetMode="External"/><Relationship Id="rId1802" Type="http://schemas.openxmlformats.org/officeDocument/2006/relationships/hyperlink" Target="https://statiz.sporki.com/add/?m=draft_school01&amp;ps_school=50811" TargetMode="External"/><Relationship Id="rId7017" Type="http://schemas.openxmlformats.org/officeDocument/2006/relationships/hyperlink" Target="https://statiz.sporki.com/add/?m=draft_school02&amp;ps_school=" TargetMode="External"/><Relationship Id="rId8415" Type="http://schemas.openxmlformats.org/officeDocument/2006/relationships/hyperlink" Target="https://statiz.sporki.com/add/?m=draft_school02&amp;ps_school=60114" TargetMode="External"/><Relationship Id="rId10345" Type="http://schemas.openxmlformats.org/officeDocument/2006/relationships/hyperlink" Target="https://statiz.sporki.com/player/?m=playerinfo&amp;p_no=1511" TargetMode="External"/><Relationship Id="rId14966" Type="http://schemas.openxmlformats.org/officeDocument/2006/relationships/hyperlink" Target="https://statiz.sporki.com/player/?m=playerinfo&amp;p_no=2105" TargetMode="External"/><Relationship Id="rId18009" Type="http://schemas.openxmlformats.org/officeDocument/2006/relationships/hyperlink" Target="https://statiz.sporki.com/add/?m=draft_school01&amp;ps_school=50111" TargetMode="External"/><Relationship Id="rId3974" Type="http://schemas.openxmlformats.org/officeDocument/2006/relationships/hyperlink" Target="https://statiz.sporki.com/add/?m=draft_school01&amp;ps_school=50209" TargetMode="External"/><Relationship Id="rId13568" Type="http://schemas.openxmlformats.org/officeDocument/2006/relationships/hyperlink" Target="https://statiz.sporki.com/player/?m=playerinfo&amp;p_no=11258" TargetMode="External"/><Relationship Id="rId14619" Type="http://schemas.openxmlformats.org/officeDocument/2006/relationships/hyperlink" Target="https://statiz.sporki.com/player/?m=playerinfo&amp;p_no=10074" TargetMode="External"/><Relationship Id="rId895" Type="http://schemas.openxmlformats.org/officeDocument/2006/relationships/hyperlink" Target="https://statiz.sporki.com/player/?m=playerinfo&amp;p_no=15123" TargetMode="External"/><Relationship Id="rId2576" Type="http://schemas.openxmlformats.org/officeDocument/2006/relationships/hyperlink" Target="https://statiz.sporki.com/add/?m=draft_school01&amp;ps_school=50203" TargetMode="External"/><Relationship Id="rId3627" Type="http://schemas.openxmlformats.org/officeDocument/2006/relationships/hyperlink" Target="https://statiz.sporki.com/add/?m=draft_school02&amp;ps_school=" TargetMode="External"/><Relationship Id="rId9189" Type="http://schemas.openxmlformats.org/officeDocument/2006/relationships/hyperlink" Target="https://statiz.sporki.com/add/?m=draft_school02&amp;ps_school=60803" TargetMode="External"/><Relationship Id="rId16041" Type="http://schemas.openxmlformats.org/officeDocument/2006/relationships/hyperlink" Target="https://statiz.sporki.com/player/?m=playerinfo&amp;p_no=1178" TargetMode="External"/><Relationship Id="rId548" Type="http://schemas.openxmlformats.org/officeDocument/2006/relationships/hyperlink" Target="https://statiz.sporki.com/add/?m=draft_school01&amp;ps_school=50213" TargetMode="External"/><Relationship Id="rId1178" Type="http://schemas.openxmlformats.org/officeDocument/2006/relationships/hyperlink" Target="https://statiz.sporki.com/add/?m=draft_school01&amp;ps_school=50602" TargetMode="External"/><Relationship Id="rId2229" Type="http://schemas.openxmlformats.org/officeDocument/2006/relationships/hyperlink" Target="https://statiz.sporki.com/add/?m=draft_school02&amp;ps_school=" TargetMode="External"/><Relationship Id="rId5799" Type="http://schemas.openxmlformats.org/officeDocument/2006/relationships/hyperlink" Target="https://statiz.sporki.com/add/?m=draft_school02&amp;ps_school=" TargetMode="External"/><Relationship Id="rId6100" Type="http://schemas.openxmlformats.org/officeDocument/2006/relationships/hyperlink" Target="https://statiz.sporki.com/player/?m=playerinfo&amp;p_no=10434" TargetMode="External"/><Relationship Id="rId9670" Type="http://schemas.openxmlformats.org/officeDocument/2006/relationships/hyperlink" Target="https://statiz.sporki.com/player/?m=playerinfo&amp;p_no=1723" TargetMode="External"/><Relationship Id="rId19264" Type="http://schemas.openxmlformats.org/officeDocument/2006/relationships/hyperlink" Target="https://statiz.sporki.com/add/?m=draft_school01&amp;ps_school=50901" TargetMode="External"/><Relationship Id="rId8272" Type="http://schemas.openxmlformats.org/officeDocument/2006/relationships/hyperlink" Target="https://statiz.sporki.com/player/?m=playerinfo&amp;p_no=2094" TargetMode="External"/><Relationship Id="rId9323" Type="http://schemas.openxmlformats.org/officeDocument/2006/relationships/hyperlink" Target="https://statiz.sporki.com/add/?m=draft_school01&amp;ps_school=50604" TargetMode="External"/><Relationship Id="rId12651" Type="http://schemas.openxmlformats.org/officeDocument/2006/relationships/hyperlink" Target="https://statiz.sporki.com/player/?m=playerinfo&amp;p_no=14708" TargetMode="External"/><Relationship Id="rId13702" Type="http://schemas.openxmlformats.org/officeDocument/2006/relationships/hyperlink" Target="https://statiz.sporki.com/player/?m=playerinfo&amp;p_no=11181" TargetMode="External"/><Relationship Id="rId1312" Type="http://schemas.openxmlformats.org/officeDocument/2006/relationships/hyperlink" Target="https://statiz.sporki.com/player/?m=playerinfo&amp;p_no=14751" TargetMode="External"/><Relationship Id="rId2710" Type="http://schemas.openxmlformats.org/officeDocument/2006/relationships/hyperlink" Target="https://statiz.sporki.com/player/?m=playerinfo&amp;p_no=13225" TargetMode="External"/><Relationship Id="rId11253" Type="http://schemas.openxmlformats.org/officeDocument/2006/relationships/hyperlink" Target="https://statiz.sporki.com/add/?m=draft_school02&amp;ps_school=" TargetMode="External"/><Relationship Id="rId12304" Type="http://schemas.openxmlformats.org/officeDocument/2006/relationships/hyperlink" Target="https://statiz.sporki.com/player/?m=playerinfo&amp;p_no=15023" TargetMode="External"/><Relationship Id="rId15874" Type="http://schemas.openxmlformats.org/officeDocument/2006/relationships/hyperlink" Target="https://statiz.sporki.com/player/?m=playerinfo&amp;p_no=1286" TargetMode="External"/><Relationship Id="rId16925" Type="http://schemas.openxmlformats.org/officeDocument/2006/relationships/hyperlink" Target="https://statiz.sporki.com/add/?m=draft_school01&amp;ps_school=50602" TargetMode="External"/><Relationship Id="rId4882" Type="http://schemas.openxmlformats.org/officeDocument/2006/relationships/hyperlink" Target="https://statiz.sporki.com/player/?m=playerinfo&amp;p_no=10891" TargetMode="External"/><Relationship Id="rId5933" Type="http://schemas.openxmlformats.org/officeDocument/2006/relationships/hyperlink" Target="https://statiz.sporki.com/add/?m=draft_school01&amp;ps_school=" TargetMode="External"/><Relationship Id="rId14476" Type="http://schemas.openxmlformats.org/officeDocument/2006/relationships/hyperlink" Target="https://statiz.sporki.com/player/?m=playerinfo&amp;p_no=2421" TargetMode="External"/><Relationship Id="rId15527" Type="http://schemas.openxmlformats.org/officeDocument/2006/relationships/hyperlink" Target="https://statiz.sporki.com/player/?m=playerinfo&amp;p_no=1614" TargetMode="External"/><Relationship Id="rId2086" Type="http://schemas.openxmlformats.org/officeDocument/2006/relationships/hyperlink" Target="https://statiz.sporki.com/player/?m=playerinfo&amp;p_no=14112" TargetMode="External"/><Relationship Id="rId3484" Type="http://schemas.openxmlformats.org/officeDocument/2006/relationships/hyperlink" Target="https://statiz.sporki.com/player/?m=playerinfo&amp;p_no=12689" TargetMode="External"/><Relationship Id="rId4535" Type="http://schemas.openxmlformats.org/officeDocument/2006/relationships/hyperlink" Target="https://statiz.sporki.com/add/?m=draft_school01&amp;ps_school=50705" TargetMode="External"/><Relationship Id="rId13078" Type="http://schemas.openxmlformats.org/officeDocument/2006/relationships/hyperlink" Target="https://statiz.sporki.com/player/?m=playerinfo&amp;p_no=12897" TargetMode="External"/><Relationship Id="rId14129" Type="http://schemas.openxmlformats.org/officeDocument/2006/relationships/hyperlink" Target="https://statiz.sporki.com/player/?m=playerinfo&amp;p_no=10366" TargetMode="External"/><Relationship Id="rId17699" Type="http://schemas.openxmlformats.org/officeDocument/2006/relationships/hyperlink" Target="https://statiz.sporki.com/add/?m=draft_school01&amp;ps_school=50605" TargetMode="External"/><Relationship Id="rId18000" Type="http://schemas.openxmlformats.org/officeDocument/2006/relationships/hyperlink" Target="https://statiz.sporki.com/add/?m=draft_school01&amp;ps_school=50401" TargetMode="External"/><Relationship Id="rId3137" Type="http://schemas.openxmlformats.org/officeDocument/2006/relationships/hyperlink" Target="https://statiz.sporki.com/add/?m=draft_school01&amp;ps_school=50116" TargetMode="External"/><Relationship Id="rId7758" Type="http://schemas.openxmlformats.org/officeDocument/2006/relationships/hyperlink" Target="https://statiz.sporki.com/add/?m=draft_school02&amp;ps_school=" TargetMode="External"/><Relationship Id="rId8809" Type="http://schemas.openxmlformats.org/officeDocument/2006/relationships/hyperlink" Target="https://statiz.sporki.com/player/?m=playerinfo&amp;p_no=11441" TargetMode="External"/><Relationship Id="rId10739" Type="http://schemas.openxmlformats.org/officeDocument/2006/relationships/hyperlink" Target="https://statiz.sporki.com/add/?m=draft_school01&amp;ps_school=50813" TargetMode="External"/><Relationship Id="rId14610" Type="http://schemas.openxmlformats.org/officeDocument/2006/relationships/hyperlink" Target="https://statiz.sporki.com/player/?m=playerinfo&amp;p_no=2283" TargetMode="External"/><Relationship Id="rId9180" Type="http://schemas.openxmlformats.org/officeDocument/2006/relationships/hyperlink" Target="https://statiz.sporki.com/add/?m=draft_school02&amp;ps_school=60101" TargetMode="External"/><Relationship Id="rId12161" Type="http://schemas.openxmlformats.org/officeDocument/2006/relationships/hyperlink" Target="https://statiz.sporki.com/player/?m=playerinfo&amp;p_no=15519" TargetMode="External"/><Relationship Id="rId13212" Type="http://schemas.openxmlformats.org/officeDocument/2006/relationships/hyperlink" Target="https://statiz.sporki.com/player/?m=playerinfo&amp;p_no=12573" TargetMode="External"/><Relationship Id="rId2220" Type="http://schemas.openxmlformats.org/officeDocument/2006/relationships/hyperlink" Target="https://statiz.sporki.com/add/?m=draft_school02&amp;ps_school=" TargetMode="External"/><Relationship Id="rId5790" Type="http://schemas.openxmlformats.org/officeDocument/2006/relationships/hyperlink" Target="https://statiz.sporki.com/add/?m=draft_school02&amp;ps_school=60108" TargetMode="External"/><Relationship Id="rId15384" Type="http://schemas.openxmlformats.org/officeDocument/2006/relationships/hyperlink" Target="https://statiz.sporki.com/player/?m=playerinfo&amp;p_no=10543" TargetMode="External"/><Relationship Id="rId16782" Type="http://schemas.openxmlformats.org/officeDocument/2006/relationships/hyperlink" Target="https://statiz.sporki.com/add/?m=draft_school01&amp;ps_school=50210" TargetMode="External"/><Relationship Id="rId17833" Type="http://schemas.openxmlformats.org/officeDocument/2006/relationships/hyperlink" Target="https://statiz.sporki.com/add/?m=draft_school01&amp;ps_school=50501" TargetMode="External"/><Relationship Id="rId4392" Type="http://schemas.openxmlformats.org/officeDocument/2006/relationships/hyperlink" Target="https://statiz.sporki.com/add/?m=draft_school02&amp;ps_school=" TargetMode="External"/><Relationship Id="rId5443" Type="http://schemas.openxmlformats.org/officeDocument/2006/relationships/hyperlink" Target="https://statiz.sporki.com/player/?m=playerinfo&amp;p_no=10860" TargetMode="External"/><Relationship Id="rId6841" Type="http://schemas.openxmlformats.org/officeDocument/2006/relationships/hyperlink" Target="https://statiz.sporki.com/player/?m=playerinfo&amp;p_no=2369" TargetMode="External"/><Relationship Id="rId15037" Type="http://schemas.openxmlformats.org/officeDocument/2006/relationships/hyperlink" Target="https://statiz.sporki.com/player/?m=playerinfo&amp;p_no=1978" TargetMode="External"/><Relationship Id="rId16435" Type="http://schemas.openxmlformats.org/officeDocument/2006/relationships/hyperlink" Target="https://statiz.sporki.com/add/?m=draft_school01&amp;ps_school=51125" TargetMode="External"/><Relationship Id="rId4045" Type="http://schemas.openxmlformats.org/officeDocument/2006/relationships/hyperlink" Target="https://statiz.sporki.com/player/?m=playerinfo&amp;p_no=11308" TargetMode="External"/><Relationship Id="rId11994" Type="http://schemas.openxmlformats.org/officeDocument/2006/relationships/hyperlink" Target="https://statiz.sporki.com/add/?m=draft_school02&amp;ps_school=60203" TargetMode="External"/><Relationship Id="rId19658" Type="http://schemas.openxmlformats.org/officeDocument/2006/relationships/hyperlink" Target="https://statiz.sporki.com/add/?m=draft_school01&amp;ps_school=50807" TargetMode="External"/><Relationship Id="rId8666" Type="http://schemas.openxmlformats.org/officeDocument/2006/relationships/hyperlink" Target="https://statiz.sporki.com/add/?m=draft_school01&amp;ps_school=50805" TargetMode="External"/><Relationship Id="rId9717" Type="http://schemas.openxmlformats.org/officeDocument/2006/relationships/hyperlink" Target="https://statiz.sporki.com/add/?m=draft_school02&amp;ps_school=" TargetMode="External"/><Relationship Id="rId10596" Type="http://schemas.openxmlformats.org/officeDocument/2006/relationships/hyperlink" Target="https://statiz.sporki.com/add/?m=draft_school02&amp;ps_school=60102" TargetMode="External"/><Relationship Id="rId11647" Type="http://schemas.openxmlformats.org/officeDocument/2006/relationships/hyperlink" Target="https://statiz.sporki.com/player/?m=playerinfo&amp;p_no=1149" TargetMode="External"/><Relationship Id="rId1706" Type="http://schemas.openxmlformats.org/officeDocument/2006/relationships/hyperlink" Target="https://statiz.sporki.com/add/?m=draft_school01&amp;ps_school=50116" TargetMode="External"/><Relationship Id="rId7268" Type="http://schemas.openxmlformats.org/officeDocument/2006/relationships/hyperlink" Target="https://statiz.sporki.com/add/?m=draft_school01&amp;ps_school=" TargetMode="External"/><Relationship Id="rId8319" Type="http://schemas.openxmlformats.org/officeDocument/2006/relationships/hyperlink" Target="https://statiz.sporki.com/add/?m=draft_school02&amp;ps_school=60113" TargetMode="External"/><Relationship Id="rId10249" Type="http://schemas.openxmlformats.org/officeDocument/2006/relationships/hyperlink" Target="https://statiz.sporki.com/player/?m=playerinfo&amp;p_no=1634" TargetMode="External"/><Relationship Id="rId14120" Type="http://schemas.openxmlformats.org/officeDocument/2006/relationships/hyperlink" Target="https://statiz.sporki.com/player/?m=playerinfo&amp;p_no=10534" TargetMode="External"/><Relationship Id="rId17690" Type="http://schemas.openxmlformats.org/officeDocument/2006/relationships/hyperlink" Target="https://statiz.sporki.com/add/?m=draft_school01&amp;ps_school=50302" TargetMode="External"/><Relationship Id="rId18741" Type="http://schemas.openxmlformats.org/officeDocument/2006/relationships/hyperlink" Target="https://statiz.sporki.com/add/?m=draft_school01&amp;ps_school=50106" TargetMode="External"/><Relationship Id="rId3878" Type="http://schemas.openxmlformats.org/officeDocument/2006/relationships/hyperlink" Target="https://statiz.sporki.com/add/?m=draft_school01&amp;ps_school=50501" TargetMode="External"/><Relationship Id="rId4929" Type="http://schemas.openxmlformats.org/officeDocument/2006/relationships/hyperlink" Target="https://statiz.sporki.com/add/?m=draft_school02&amp;ps_school=60103" TargetMode="External"/><Relationship Id="rId8800" Type="http://schemas.openxmlformats.org/officeDocument/2006/relationships/hyperlink" Target="https://statiz.sporki.com/player/?m=playerinfo&amp;p_no=10032" TargetMode="External"/><Relationship Id="rId16292" Type="http://schemas.openxmlformats.org/officeDocument/2006/relationships/hyperlink" Target="https://statiz.sporki.com/add/?m=draft_school01&amp;ps_school=50605" TargetMode="External"/><Relationship Id="rId17343" Type="http://schemas.openxmlformats.org/officeDocument/2006/relationships/hyperlink" Target="https://statiz.sporki.com/add/?m=draft_school01&amp;ps_school=50109" TargetMode="External"/><Relationship Id="rId799" Type="http://schemas.openxmlformats.org/officeDocument/2006/relationships/hyperlink" Target="https://statiz.sporki.com/player/?m=playerinfo&amp;p_no=15077" TargetMode="External"/><Relationship Id="rId6351" Type="http://schemas.openxmlformats.org/officeDocument/2006/relationships/hyperlink" Target="https://statiz.sporki.com/add/?m=draft_school02&amp;ps_school=" TargetMode="External"/><Relationship Id="rId7402" Type="http://schemas.openxmlformats.org/officeDocument/2006/relationships/hyperlink" Target="https://statiz.sporki.com/player/?m=playerinfo&amp;p_no=2278" TargetMode="External"/><Relationship Id="rId10730" Type="http://schemas.openxmlformats.org/officeDocument/2006/relationships/hyperlink" Target="https://statiz.sporki.com/add/?m=draft_school01&amp;ps_school=50127" TargetMode="External"/><Relationship Id="rId6004" Type="http://schemas.openxmlformats.org/officeDocument/2006/relationships/hyperlink" Target="https://statiz.sporki.com/player/?m=playerinfo&amp;p_no=10371" TargetMode="External"/><Relationship Id="rId9574" Type="http://schemas.openxmlformats.org/officeDocument/2006/relationships/hyperlink" Target="https://statiz.sporki.com/player/?m=playerinfo&amp;p_no=1773" TargetMode="External"/><Relationship Id="rId13953" Type="http://schemas.openxmlformats.org/officeDocument/2006/relationships/hyperlink" Target="https://statiz.sporki.com/player/?m=playerinfo&amp;p_no=10781" TargetMode="External"/><Relationship Id="rId19168" Type="http://schemas.openxmlformats.org/officeDocument/2006/relationships/hyperlink" Target="https://statiz.sporki.com/add/?m=draft_school01&amp;ps_school=50105" TargetMode="External"/><Relationship Id="rId2961" Type="http://schemas.openxmlformats.org/officeDocument/2006/relationships/hyperlink" Target="https://statiz.sporki.com/add/?m=draft_school02&amp;ps_school=" TargetMode="External"/><Relationship Id="rId8176" Type="http://schemas.openxmlformats.org/officeDocument/2006/relationships/hyperlink" Target="https://statiz.sporki.com/player/?m=playerinfo&amp;p_no=10395" TargetMode="External"/><Relationship Id="rId9227" Type="http://schemas.openxmlformats.org/officeDocument/2006/relationships/hyperlink" Target="https://statiz.sporki.com/add/?m=draft_school01&amp;ps_school=50110" TargetMode="External"/><Relationship Id="rId12555" Type="http://schemas.openxmlformats.org/officeDocument/2006/relationships/hyperlink" Target="https://statiz.sporki.com/player/?m=playerinfo&amp;p_no=14833" TargetMode="External"/><Relationship Id="rId13606" Type="http://schemas.openxmlformats.org/officeDocument/2006/relationships/hyperlink" Target="https://statiz.sporki.com/player/?m=playerinfo&amp;p_no=11342" TargetMode="External"/><Relationship Id="rId933" Type="http://schemas.openxmlformats.org/officeDocument/2006/relationships/hyperlink" Target="https://statiz.sporki.com/add/?m=draft_school02&amp;ps_school=60802" TargetMode="External"/><Relationship Id="rId1563" Type="http://schemas.openxmlformats.org/officeDocument/2006/relationships/hyperlink" Target="https://statiz.sporki.com/add/?m=draft_school02&amp;ps_school=" TargetMode="External"/><Relationship Id="rId2614" Type="http://schemas.openxmlformats.org/officeDocument/2006/relationships/hyperlink" Target="https://statiz.sporki.com/player/?m=playerinfo&amp;p_no=13144" TargetMode="External"/><Relationship Id="rId11157" Type="http://schemas.openxmlformats.org/officeDocument/2006/relationships/hyperlink" Target="https://statiz.sporki.com/add/?m=draft_school02&amp;ps_school=60101" TargetMode="External"/><Relationship Id="rId12208" Type="http://schemas.openxmlformats.org/officeDocument/2006/relationships/hyperlink" Target="https://statiz.sporki.com/player/?m=playerinfo&amp;p_no=15491" TargetMode="External"/><Relationship Id="rId15778" Type="http://schemas.openxmlformats.org/officeDocument/2006/relationships/hyperlink" Target="https://statiz.sporki.com/player/?m=playerinfo&amp;p_no=1416" TargetMode="External"/><Relationship Id="rId16829" Type="http://schemas.openxmlformats.org/officeDocument/2006/relationships/hyperlink" Target="https://statiz.sporki.com/add/?m=draft_school01&amp;ps_school=50116" TargetMode="External"/><Relationship Id="rId1216" Type="http://schemas.openxmlformats.org/officeDocument/2006/relationships/hyperlink" Target="https://statiz.sporki.com/player/?m=playerinfo&amp;p_no=14866" TargetMode="External"/><Relationship Id="rId4786" Type="http://schemas.openxmlformats.org/officeDocument/2006/relationships/hyperlink" Target="https://statiz.sporki.com/player/?m=playerinfo&amp;p_no=11137" TargetMode="External"/><Relationship Id="rId5837" Type="http://schemas.openxmlformats.org/officeDocument/2006/relationships/hyperlink" Target="https://statiz.sporki.com/add/?m=draft_school01&amp;ps_school=50807" TargetMode="External"/><Relationship Id="rId18251" Type="http://schemas.openxmlformats.org/officeDocument/2006/relationships/hyperlink" Target="https://statiz.sporki.com/add/?m=draft_school01&amp;ps_school=50106" TargetMode="External"/><Relationship Id="rId19302" Type="http://schemas.openxmlformats.org/officeDocument/2006/relationships/hyperlink" Target="https://statiz.sporki.com/add/?m=draft_school01&amp;ps_school=50110" TargetMode="External"/><Relationship Id="rId3388" Type="http://schemas.openxmlformats.org/officeDocument/2006/relationships/hyperlink" Target="https://statiz.sporki.com/player/?m=playerinfo&amp;p_no=12541" TargetMode="External"/><Relationship Id="rId4439" Type="http://schemas.openxmlformats.org/officeDocument/2006/relationships/hyperlink" Target="https://statiz.sporki.com/add/?m=draft_school01&amp;ps_school=50402" TargetMode="External"/><Relationship Id="rId8310" Type="http://schemas.openxmlformats.org/officeDocument/2006/relationships/hyperlink" Target="https://statiz.sporki.com/add/?m=draft_school02&amp;ps_school=60102" TargetMode="External"/><Relationship Id="rId10240" Type="http://schemas.openxmlformats.org/officeDocument/2006/relationships/hyperlink" Target="https://statiz.sporki.com/player/?m=playerinfo&amp;p_no=14890" TargetMode="External"/><Relationship Id="rId14861" Type="http://schemas.openxmlformats.org/officeDocument/2006/relationships/hyperlink" Target="https://statiz.sporki.com/player/?m=playerinfo&amp;p_no=11457" TargetMode="External"/><Relationship Id="rId15912" Type="http://schemas.openxmlformats.org/officeDocument/2006/relationships/hyperlink" Target="https://statiz.sporki.com/player/?m=playerinfo&amp;p_no=12994" TargetMode="External"/><Relationship Id="rId790" Type="http://schemas.openxmlformats.org/officeDocument/2006/relationships/hyperlink" Target="https://statiz.sporki.com/player/?m=playerinfo&amp;p_no=15109" TargetMode="External"/><Relationship Id="rId2471" Type="http://schemas.openxmlformats.org/officeDocument/2006/relationships/hyperlink" Target="https://statiz.sporki.com/add/?m=draft_school01&amp;ps_school=50202" TargetMode="External"/><Relationship Id="rId3522" Type="http://schemas.openxmlformats.org/officeDocument/2006/relationships/hyperlink" Target="https://statiz.sporki.com/add/?m=draft_school02&amp;ps_school=" TargetMode="External"/><Relationship Id="rId4920" Type="http://schemas.openxmlformats.org/officeDocument/2006/relationships/hyperlink" Target="https://statiz.sporki.com/add/?m=draft_school02&amp;ps_school=" TargetMode="External"/><Relationship Id="rId9084" Type="http://schemas.openxmlformats.org/officeDocument/2006/relationships/hyperlink" Target="https://statiz.sporki.com/add/?m=draft_school02&amp;ps_school=60204" TargetMode="External"/><Relationship Id="rId12065" Type="http://schemas.openxmlformats.org/officeDocument/2006/relationships/hyperlink" Target="https://statiz.sporki.com/add/?m=draft_school01&amp;ps_school=50701" TargetMode="External"/><Relationship Id="rId13116" Type="http://schemas.openxmlformats.org/officeDocument/2006/relationships/hyperlink" Target="https://statiz.sporki.com/player/?m=playerinfo&amp;p_no=13006" TargetMode="External"/><Relationship Id="rId13463" Type="http://schemas.openxmlformats.org/officeDocument/2006/relationships/hyperlink" Target="https://statiz.sporki.com/player/?m=playerinfo&amp;p_no=12520" TargetMode="External"/><Relationship Id="rId14514" Type="http://schemas.openxmlformats.org/officeDocument/2006/relationships/hyperlink" Target="https://statiz.sporki.com/player/?m=playerinfo&amp;p_no=10600" TargetMode="External"/><Relationship Id="rId443" Type="http://schemas.openxmlformats.org/officeDocument/2006/relationships/hyperlink" Target="https://statiz.sporki.com/add/?m=draft_school01&amp;ps_school=50107" TargetMode="External"/><Relationship Id="rId1073" Type="http://schemas.openxmlformats.org/officeDocument/2006/relationships/hyperlink" Target="https://statiz.sporki.com/add/?m=draft_school01&amp;ps_school=50402" TargetMode="External"/><Relationship Id="rId2124" Type="http://schemas.openxmlformats.org/officeDocument/2006/relationships/hyperlink" Target="https://statiz.sporki.com/add/?m=draft_school02&amp;ps_school=60804" TargetMode="External"/><Relationship Id="rId16686" Type="http://schemas.openxmlformats.org/officeDocument/2006/relationships/hyperlink" Target="https://statiz.sporki.com/add/?m=draft_school01&amp;ps_school=50501" TargetMode="External"/><Relationship Id="rId17737" Type="http://schemas.openxmlformats.org/officeDocument/2006/relationships/hyperlink" Target="https://statiz.sporki.com/add/?m=draft_school01&amp;ps_school=50107" TargetMode="External"/><Relationship Id="rId4296" Type="http://schemas.openxmlformats.org/officeDocument/2006/relationships/hyperlink" Target="https://statiz.sporki.com/add/?m=draft_school02&amp;ps_school=" TargetMode="External"/><Relationship Id="rId5694" Type="http://schemas.openxmlformats.org/officeDocument/2006/relationships/hyperlink" Target="https://statiz.sporki.com/add/?m=draft_school02&amp;ps_school=60102" TargetMode="External"/><Relationship Id="rId6745" Type="http://schemas.openxmlformats.org/officeDocument/2006/relationships/hyperlink" Target="https://statiz.sporki.com/player/?m=playerinfo&amp;p_no=10561" TargetMode="External"/><Relationship Id="rId15288" Type="http://schemas.openxmlformats.org/officeDocument/2006/relationships/hyperlink" Target="https://statiz.sporki.com/player/?m=playerinfo&amp;p_no=1833" TargetMode="External"/><Relationship Id="rId16339" Type="http://schemas.openxmlformats.org/officeDocument/2006/relationships/hyperlink" Target="https://statiz.sporki.com/add/?m=draft_school01&amp;ps_school=50107" TargetMode="External"/><Relationship Id="rId5347" Type="http://schemas.openxmlformats.org/officeDocument/2006/relationships/hyperlink" Target="https://statiz.sporki.com/player/?m=playerinfo&amp;p_no=10790" TargetMode="External"/><Relationship Id="rId9968" Type="http://schemas.openxmlformats.org/officeDocument/2006/relationships/hyperlink" Target="https://statiz.sporki.com/add/?m=draft_school01&amp;ps_school=50901" TargetMode="External"/><Relationship Id="rId11898" Type="http://schemas.openxmlformats.org/officeDocument/2006/relationships/hyperlink" Target="https://statiz.sporki.com/add/?m=draft_school02&amp;ps_school=60103" TargetMode="External"/><Relationship Id="rId12949" Type="http://schemas.openxmlformats.org/officeDocument/2006/relationships/hyperlink" Target="https://statiz.sporki.com/player/?m=playerinfo&amp;p_no=13128" TargetMode="External"/><Relationship Id="rId16820" Type="http://schemas.openxmlformats.org/officeDocument/2006/relationships/hyperlink" Target="https://statiz.sporki.com/add/?m=draft_school01&amp;ps_school=50103" TargetMode="External"/><Relationship Id="rId1957" Type="http://schemas.openxmlformats.org/officeDocument/2006/relationships/hyperlink" Target="https://statiz.sporki.com/player/?m=playerinfo&amp;p_no=14162" TargetMode="External"/><Relationship Id="rId14371" Type="http://schemas.openxmlformats.org/officeDocument/2006/relationships/hyperlink" Target="https://statiz.sporki.com/player/?m=playerinfo&amp;p_no=10253" TargetMode="External"/><Relationship Id="rId15422" Type="http://schemas.openxmlformats.org/officeDocument/2006/relationships/hyperlink" Target="https://statiz.sporki.com/player/?m=playerinfo&amp;p_no=1670" TargetMode="External"/><Relationship Id="rId4430" Type="http://schemas.openxmlformats.org/officeDocument/2006/relationships/hyperlink" Target="https://statiz.sporki.com/add/?m=draft_school01&amp;ps_school=50302" TargetMode="External"/><Relationship Id="rId14024" Type="http://schemas.openxmlformats.org/officeDocument/2006/relationships/hyperlink" Target="https://statiz.sporki.com/player/?m=playerinfo&amp;p_no=10405" TargetMode="External"/><Relationship Id="rId17594" Type="http://schemas.openxmlformats.org/officeDocument/2006/relationships/hyperlink" Target="https://statiz.sporki.com/add/?m=draft_school01&amp;ps_school=50208" TargetMode="External"/><Relationship Id="rId18992" Type="http://schemas.openxmlformats.org/officeDocument/2006/relationships/hyperlink" Target="https://statiz.sporki.com/add/?m=draft_school01&amp;ps_school=50802" TargetMode="External"/><Relationship Id="rId3032" Type="http://schemas.openxmlformats.org/officeDocument/2006/relationships/hyperlink" Target="https://statiz.sporki.com/add/?m=draft_school01&amp;ps_school=50116" TargetMode="External"/><Relationship Id="rId7653" Type="http://schemas.openxmlformats.org/officeDocument/2006/relationships/hyperlink" Target="https://statiz.sporki.com/add/?m=draft_school02&amp;ps_school=" TargetMode="External"/><Relationship Id="rId10981" Type="http://schemas.openxmlformats.org/officeDocument/2006/relationships/hyperlink" Target="https://statiz.sporki.com/player/?m=playerinfo&amp;p_no=1363" TargetMode="External"/><Relationship Id="rId16196" Type="http://schemas.openxmlformats.org/officeDocument/2006/relationships/hyperlink" Target="https://statiz.sporki.com/add/?m=draft_school01&amp;ps_school=50209" TargetMode="External"/><Relationship Id="rId17247" Type="http://schemas.openxmlformats.org/officeDocument/2006/relationships/hyperlink" Target="https://statiz.sporki.com/add/?m=draft_school01&amp;ps_school=50210" TargetMode="External"/><Relationship Id="rId18645" Type="http://schemas.openxmlformats.org/officeDocument/2006/relationships/hyperlink" Target="https://statiz.sporki.com/add/?m=draft_school01&amp;ps_school=50802" TargetMode="External"/><Relationship Id="rId6255" Type="http://schemas.openxmlformats.org/officeDocument/2006/relationships/hyperlink" Target="https://statiz.sporki.com/add/?m=draft_school02&amp;ps_school=" TargetMode="External"/><Relationship Id="rId7306" Type="http://schemas.openxmlformats.org/officeDocument/2006/relationships/hyperlink" Target="https://statiz.sporki.com/player/?m=playerinfo&amp;p_no=10295" TargetMode="External"/><Relationship Id="rId8704" Type="http://schemas.openxmlformats.org/officeDocument/2006/relationships/hyperlink" Target="https://statiz.sporki.com/player/?m=playerinfo&amp;p_no=2110" TargetMode="External"/><Relationship Id="rId10634" Type="http://schemas.openxmlformats.org/officeDocument/2006/relationships/hyperlink" Target="https://statiz.sporki.com/add/?m=draft_school01&amp;ps_school=50403" TargetMode="External"/><Relationship Id="rId13857" Type="http://schemas.openxmlformats.org/officeDocument/2006/relationships/hyperlink" Target="https://statiz.sporki.com/player/?m=playerinfo&amp;p_no=11124" TargetMode="External"/><Relationship Id="rId14908" Type="http://schemas.openxmlformats.org/officeDocument/2006/relationships/hyperlink" Target="https://statiz.sporki.com/player/?m=playerinfo&amp;p_no=10298" TargetMode="External"/><Relationship Id="rId2865" Type="http://schemas.openxmlformats.org/officeDocument/2006/relationships/hyperlink" Target="https://statiz.sporki.com/add/?m=draft_school02&amp;ps_school=60102" TargetMode="External"/><Relationship Id="rId3916" Type="http://schemas.openxmlformats.org/officeDocument/2006/relationships/hyperlink" Target="https://statiz.sporki.com/player/?m=playerinfo&amp;p_no=11345" TargetMode="External"/><Relationship Id="rId9478" Type="http://schemas.openxmlformats.org/officeDocument/2006/relationships/hyperlink" Target="https://statiz.sporki.com/player/?m=playerinfo&amp;p_no=1832" TargetMode="External"/><Relationship Id="rId12459" Type="http://schemas.openxmlformats.org/officeDocument/2006/relationships/hyperlink" Target="https://statiz.sporki.com/player/?m=playerinfo&amp;p_no=15142" TargetMode="External"/><Relationship Id="rId16330" Type="http://schemas.openxmlformats.org/officeDocument/2006/relationships/hyperlink" Target="https://statiz.sporki.com/add/?m=draft_school01&amp;ps_school=50107" TargetMode="External"/><Relationship Id="rId837" Type="http://schemas.openxmlformats.org/officeDocument/2006/relationships/hyperlink" Target="https://statiz.sporki.com/add/?m=draft_school02&amp;ps_school=" TargetMode="External"/><Relationship Id="rId1467" Type="http://schemas.openxmlformats.org/officeDocument/2006/relationships/hyperlink" Target="https://statiz.sporki.com/add/?m=draft_school02&amp;ps_school=" TargetMode="External"/><Relationship Id="rId2518" Type="http://schemas.openxmlformats.org/officeDocument/2006/relationships/hyperlink" Target="https://statiz.sporki.com/player/?m=playerinfo&amp;p_no=13076" TargetMode="External"/><Relationship Id="rId19553" Type="http://schemas.openxmlformats.org/officeDocument/2006/relationships/hyperlink" Target="https://statiz.sporki.com/add/?m=draft_school01&amp;ps_school=50116" TargetMode="External"/><Relationship Id="rId8561" Type="http://schemas.openxmlformats.org/officeDocument/2006/relationships/hyperlink" Target="https://statiz.sporki.com/add/?m=draft_school01&amp;ps_school=50501" TargetMode="External"/><Relationship Id="rId9612" Type="http://schemas.openxmlformats.org/officeDocument/2006/relationships/hyperlink" Target="https://statiz.sporki.com/add/?m=draft_school02&amp;ps_school=60803" TargetMode="External"/><Relationship Id="rId10491" Type="http://schemas.openxmlformats.org/officeDocument/2006/relationships/hyperlink" Target="https://statiz.sporki.com/add/?m=draft_school02&amp;ps_school=" TargetMode="External"/><Relationship Id="rId12940" Type="http://schemas.openxmlformats.org/officeDocument/2006/relationships/hyperlink" Target="https://statiz.sporki.com/player/?m=playerinfo&amp;p_no=13094" TargetMode="External"/><Relationship Id="rId18155" Type="http://schemas.openxmlformats.org/officeDocument/2006/relationships/hyperlink" Target="https://statiz.sporki.com/add/?m=draft_school01&amp;ps_school=50201" TargetMode="External"/><Relationship Id="rId19206" Type="http://schemas.openxmlformats.org/officeDocument/2006/relationships/hyperlink" Target="https://statiz.sporki.com/add/?m=draft_school01&amp;ps_school=50701" TargetMode="External"/><Relationship Id="rId1601" Type="http://schemas.openxmlformats.org/officeDocument/2006/relationships/hyperlink" Target="https://statiz.sporki.com/add/?m=draft_school01&amp;ps_school=50106" TargetMode="External"/><Relationship Id="rId7163" Type="http://schemas.openxmlformats.org/officeDocument/2006/relationships/hyperlink" Target="https://statiz.sporki.com/add/?m=draft_school01&amp;ps_school=50805" TargetMode="External"/><Relationship Id="rId8214" Type="http://schemas.openxmlformats.org/officeDocument/2006/relationships/hyperlink" Target="https://statiz.sporki.com/add/?m=draft_school02&amp;ps_school=60101" TargetMode="External"/><Relationship Id="rId10144" Type="http://schemas.openxmlformats.org/officeDocument/2006/relationships/hyperlink" Target="https://statiz.sporki.com/player/?m=playerinfo&amp;p_no=1703" TargetMode="External"/><Relationship Id="rId11542" Type="http://schemas.openxmlformats.org/officeDocument/2006/relationships/hyperlink" Target="https://statiz.sporki.com/player/?m=playerinfo&amp;p_no=1185" TargetMode="External"/><Relationship Id="rId14765" Type="http://schemas.openxmlformats.org/officeDocument/2006/relationships/hyperlink" Target="https://statiz.sporki.com/player/?m=playerinfo&amp;p_no=2322" TargetMode="External"/><Relationship Id="rId15816" Type="http://schemas.openxmlformats.org/officeDocument/2006/relationships/hyperlink" Target="https://statiz.sporki.com/player/?m=playerinfo&amp;p_no=1398" TargetMode="External"/><Relationship Id="rId694" Type="http://schemas.openxmlformats.org/officeDocument/2006/relationships/hyperlink" Target="https://statiz.sporki.com/player/?m=playerinfo&amp;p_no=15117" TargetMode="External"/><Relationship Id="rId2375" Type="http://schemas.openxmlformats.org/officeDocument/2006/relationships/hyperlink" Target="https://statiz.sporki.com/add/?m=draft_school01&amp;ps_school=50701" TargetMode="External"/><Relationship Id="rId3773" Type="http://schemas.openxmlformats.org/officeDocument/2006/relationships/hyperlink" Target="https://statiz.sporki.com/add/?m=draft_school01&amp;ps_school=50803" TargetMode="External"/><Relationship Id="rId4824" Type="http://schemas.openxmlformats.org/officeDocument/2006/relationships/hyperlink" Target="https://statiz.sporki.com/add/?m=draft_school02&amp;ps_school=" TargetMode="External"/><Relationship Id="rId13367" Type="http://schemas.openxmlformats.org/officeDocument/2006/relationships/hyperlink" Target="https://statiz.sporki.com/player/?m=playerinfo&amp;p_no=11410" TargetMode="External"/><Relationship Id="rId14418" Type="http://schemas.openxmlformats.org/officeDocument/2006/relationships/hyperlink" Target="https://statiz.sporki.com/player/?m=playerinfo&amp;p_no=2354" TargetMode="External"/><Relationship Id="rId17988" Type="http://schemas.openxmlformats.org/officeDocument/2006/relationships/hyperlink" Target="https://statiz.sporki.com/add/?m=draft_school01&amp;ps_school=50208" TargetMode="External"/><Relationship Id="rId347" Type="http://schemas.openxmlformats.org/officeDocument/2006/relationships/hyperlink" Target="https://statiz.sporki.com/add/?m=draft_school01&amp;ps_school=" TargetMode="External"/><Relationship Id="rId2028" Type="http://schemas.openxmlformats.org/officeDocument/2006/relationships/hyperlink" Target="https://statiz.sporki.com/add/?m=draft_school02&amp;ps_school=" TargetMode="External"/><Relationship Id="rId3426" Type="http://schemas.openxmlformats.org/officeDocument/2006/relationships/hyperlink" Target="https://statiz.sporki.com/add/?m=draft_school02&amp;ps_school=" TargetMode="External"/><Relationship Id="rId6996" Type="http://schemas.openxmlformats.org/officeDocument/2006/relationships/hyperlink" Target="https://statiz.sporki.com/add/?m=draft_school02&amp;ps_school=" TargetMode="External"/><Relationship Id="rId5598" Type="http://schemas.openxmlformats.org/officeDocument/2006/relationships/hyperlink" Target="https://statiz.sporki.com/add/?m=draft_school02&amp;ps_school=" TargetMode="External"/><Relationship Id="rId6649" Type="http://schemas.openxmlformats.org/officeDocument/2006/relationships/hyperlink" Target="https://statiz.sporki.com/player/?m=playerinfo&amp;p_no=2378" TargetMode="External"/><Relationship Id="rId12450" Type="http://schemas.openxmlformats.org/officeDocument/2006/relationships/hyperlink" Target="https://statiz.sporki.com/player/?m=playerinfo&amp;p_no=15135" TargetMode="External"/><Relationship Id="rId13501" Type="http://schemas.openxmlformats.org/officeDocument/2006/relationships/hyperlink" Target="https://statiz.sporki.com/player/?m=playerinfo&amp;p_no=11230" TargetMode="External"/><Relationship Id="rId19063" Type="http://schemas.openxmlformats.org/officeDocument/2006/relationships/hyperlink" Target="https://statiz.sporki.com/add/?m=draft_school01&amp;ps_school=50222" TargetMode="External"/><Relationship Id="rId8071" Type="http://schemas.openxmlformats.org/officeDocument/2006/relationships/hyperlink" Target="https://statiz.sporki.com/player/?m=playerinfo&amp;p_no=2097" TargetMode="External"/><Relationship Id="rId9122" Type="http://schemas.openxmlformats.org/officeDocument/2006/relationships/hyperlink" Target="https://statiz.sporki.com/add/?m=draft_school01&amp;ps_school=50802" TargetMode="External"/><Relationship Id="rId11052" Type="http://schemas.openxmlformats.org/officeDocument/2006/relationships/hyperlink" Target="https://statiz.sporki.com/add/?m=draft_school02&amp;ps_school=60703" TargetMode="External"/><Relationship Id="rId12103" Type="http://schemas.openxmlformats.org/officeDocument/2006/relationships/hyperlink" Target="https://statiz.sporki.com/player/?m=playerinfo&amp;p_no=1059" TargetMode="External"/><Relationship Id="rId15673" Type="http://schemas.openxmlformats.org/officeDocument/2006/relationships/hyperlink" Target="https://statiz.sporki.com/player/?m=playerinfo&amp;p_no=1441" TargetMode="External"/><Relationship Id="rId1111" Type="http://schemas.openxmlformats.org/officeDocument/2006/relationships/hyperlink" Target="https://statiz.sporki.com/player/?m=playerinfo&amp;p_no=14844" TargetMode="External"/><Relationship Id="rId4681" Type="http://schemas.openxmlformats.org/officeDocument/2006/relationships/hyperlink" Target="https://statiz.sporki.com/player/?m=playerinfo&amp;p_no=11181" TargetMode="External"/><Relationship Id="rId5732" Type="http://schemas.openxmlformats.org/officeDocument/2006/relationships/hyperlink" Target="https://statiz.sporki.com/add/?m=draft_school01&amp;ps_school=50708" TargetMode="External"/><Relationship Id="rId14275" Type="http://schemas.openxmlformats.org/officeDocument/2006/relationships/hyperlink" Target="https://statiz.sporki.com/player/?m=playerinfo&amp;p_no=10888" TargetMode="External"/><Relationship Id="rId15326" Type="http://schemas.openxmlformats.org/officeDocument/2006/relationships/hyperlink" Target="https://statiz.sporki.com/player/?m=playerinfo&amp;p_no=1804" TargetMode="External"/><Relationship Id="rId16724" Type="http://schemas.openxmlformats.org/officeDocument/2006/relationships/hyperlink" Target="https://statiz.sporki.com/add/?m=draft_school01&amp;ps_school=50803" TargetMode="External"/><Relationship Id="rId3283" Type="http://schemas.openxmlformats.org/officeDocument/2006/relationships/hyperlink" Target="https://statiz.sporki.com/player/?m=playerinfo&amp;p_no=12630" TargetMode="External"/><Relationship Id="rId4334" Type="http://schemas.openxmlformats.org/officeDocument/2006/relationships/hyperlink" Target="https://statiz.sporki.com/add/?m=draft_school01&amp;ps_school=" TargetMode="External"/><Relationship Id="rId18896" Type="http://schemas.openxmlformats.org/officeDocument/2006/relationships/hyperlink" Target="https://statiz.sporki.com/add/?m=draft_school01&amp;ps_school=50107" TargetMode="External"/><Relationship Id="rId8955" Type="http://schemas.openxmlformats.org/officeDocument/2006/relationships/hyperlink" Target="https://statiz.sporki.com/add/?m=draft_school02&amp;ps_school=60114" TargetMode="External"/><Relationship Id="rId10885" Type="http://schemas.openxmlformats.org/officeDocument/2006/relationships/hyperlink" Target="https://statiz.sporki.com/player/?m=playerinfo&amp;p_no=1399" TargetMode="External"/><Relationship Id="rId11936" Type="http://schemas.openxmlformats.org/officeDocument/2006/relationships/hyperlink" Target="https://statiz.sporki.com/add/?m=draft_school01&amp;ps_school=50812" TargetMode="External"/><Relationship Id="rId17498" Type="http://schemas.openxmlformats.org/officeDocument/2006/relationships/hyperlink" Target="https://statiz.sporki.com/add/?m=draft_school01&amp;ps_school=50705" TargetMode="External"/><Relationship Id="rId18549" Type="http://schemas.openxmlformats.org/officeDocument/2006/relationships/hyperlink" Target="https://statiz.sporki.com/add/?m=draft_school01&amp;ps_school=50602" TargetMode="External"/><Relationship Id="rId6159" Type="http://schemas.openxmlformats.org/officeDocument/2006/relationships/hyperlink" Target="https://statiz.sporki.com/add/?m=draft_school02&amp;ps_school=61001" TargetMode="External"/><Relationship Id="rId7557" Type="http://schemas.openxmlformats.org/officeDocument/2006/relationships/hyperlink" Target="https://statiz.sporki.com/add/?m=draft_school02&amp;ps_school=" TargetMode="External"/><Relationship Id="rId8608" Type="http://schemas.openxmlformats.org/officeDocument/2006/relationships/hyperlink" Target="https://statiz.sporki.com/player/?m=playerinfo&amp;p_no=13432" TargetMode="External"/><Relationship Id="rId10538" Type="http://schemas.openxmlformats.org/officeDocument/2006/relationships/hyperlink" Target="https://statiz.sporki.com/add/?m=draft_school01&amp;ps_school=50114" TargetMode="External"/><Relationship Id="rId13011" Type="http://schemas.openxmlformats.org/officeDocument/2006/relationships/hyperlink" Target="https://statiz.sporki.com/player/?m=playerinfo&amp;p_no=13155" TargetMode="External"/><Relationship Id="rId16581" Type="http://schemas.openxmlformats.org/officeDocument/2006/relationships/hyperlink" Target="https://statiz.sporki.com/add/?m=draft_school01&amp;ps_school=50111" TargetMode="External"/><Relationship Id="rId17632" Type="http://schemas.openxmlformats.org/officeDocument/2006/relationships/hyperlink" Target="https://statiz.sporki.com/add/?m=draft_school01&amp;ps_school=50114" TargetMode="External"/><Relationship Id="rId2769" Type="http://schemas.openxmlformats.org/officeDocument/2006/relationships/hyperlink" Target="https://statiz.sporki.com/add/?m=draft_school02&amp;ps_school=" TargetMode="External"/><Relationship Id="rId6640" Type="http://schemas.openxmlformats.org/officeDocument/2006/relationships/hyperlink" Target="https://statiz.sporki.com/player/?m=playerinfo&amp;p_no=2393" TargetMode="External"/><Relationship Id="rId15183" Type="http://schemas.openxmlformats.org/officeDocument/2006/relationships/hyperlink" Target="https://statiz.sporki.com/player/?m=playerinfo&amp;p_no=1874" TargetMode="External"/><Relationship Id="rId16234" Type="http://schemas.openxmlformats.org/officeDocument/2006/relationships/hyperlink" Target="https://statiz.sporki.com/add/?m=draft_school01&amp;ps_school=50110" TargetMode="External"/><Relationship Id="rId4191" Type="http://schemas.openxmlformats.org/officeDocument/2006/relationships/hyperlink" Target="https://statiz.sporki.com/add/?m=draft_school02&amp;ps_school=" TargetMode="External"/><Relationship Id="rId5242" Type="http://schemas.openxmlformats.org/officeDocument/2006/relationships/hyperlink" Target="https://statiz.sporki.com/player/?m=playerinfo&amp;p_no=10748" TargetMode="External"/><Relationship Id="rId9863" Type="http://schemas.openxmlformats.org/officeDocument/2006/relationships/hyperlink" Target="https://statiz.sporki.com/add/?m=draft_school01&amp;ps_school=50403" TargetMode="External"/><Relationship Id="rId19457" Type="http://schemas.openxmlformats.org/officeDocument/2006/relationships/hyperlink" Target="https://statiz.sporki.com/add/?m=draft_school01&amp;ps_school=50110" TargetMode="External"/><Relationship Id="rId77" Type="http://schemas.openxmlformats.org/officeDocument/2006/relationships/hyperlink" Target="https://statiz.sporki.com/add/?m=draft_school01&amp;ps_school=50802" TargetMode="External"/><Relationship Id="rId8465" Type="http://schemas.openxmlformats.org/officeDocument/2006/relationships/hyperlink" Target="https://statiz.sporki.com/add/?m=draft_school01&amp;ps_school=50110" TargetMode="External"/><Relationship Id="rId9516" Type="http://schemas.openxmlformats.org/officeDocument/2006/relationships/hyperlink" Target="https://statiz.sporki.com/add/?m=draft_school02&amp;ps_school=" TargetMode="External"/><Relationship Id="rId11793" Type="http://schemas.openxmlformats.org/officeDocument/2006/relationships/hyperlink" Target="https://statiz.sporki.com/add/?m=draft_school02&amp;ps_school=60109" TargetMode="External"/><Relationship Id="rId12844" Type="http://schemas.openxmlformats.org/officeDocument/2006/relationships/hyperlink" Target="https://statiz.sporki.com/player/?m=playerinfo&amp;p_no=14121" TargetMode="External"/><Relationship Id="rId18059" Type="http://schemas.openxmlformats.org/officeDocument/2006/relationships/hyperlink" Target="https://statiz.sporki.com/add/?m=draft_school01&amp;ps_school=50303" TargetMode="External"/><Relationship Id="rId1852" Type="http://schemas.openxmlformats.org/officeDocument/2006/relationships/hyperlink" Target="https://statiz.sporki.com/player/?m=playerinfo&amp;p_no=14134" TargetMode="External"/><Relationship Id="rId2903" Type="http://schemas.openxmlformats.org/officeDocument/2006/relationships/hyperlink" Target="https://statiz.sporki.com/add/?m=draft_school01&amp;ps_school=50106" TargetMode="External"/><Relationship Id="rId7067" Type="http://schemas.openxmlformats.org/officeDocument/2006/relationships/hyperlink" Target="https://statiz.sporki.com/add/?m=draft_school01&amp;ps_school=" TargetMode="External"/><Relationship Id="rId8118" Type="http://schemas.openxmlformats.org/officeDocument/2006/relationships/hyperlink" Target="https://statiz.sporki.com/add/?m=draft_school02&amp;ps_school=60802" TargetMode="External"/><Relationship Id="rId10048" Type="http://schemas.openxmlformats.org/officeDocument/2006/relationships/hyperlink" Target="https://statiz.sporki.com/player/?m=playerinfo&amp;p_no=10418" TargetMode="External"/><Relationship Id="rId10395" Type="http://schemas.openxmlformats.org/officeDocument/2006/relationships/hyperlink" Target="https://statiz.sporki.com/add/?m=draft_school02&amp;ps_school=60103" TargetMode="External"/><Relationship Id="rId11446" Type="http://schemas.openxmlformats.org/officeDocument/2006/relationships/hyperlink" Target="https://statiz.sporki.com/player/?m=playerinfo&amp;p_no=1217" TargetMode="External"/><Relationship Id="rId1505" Type="http://schemas.openxmlformats.org/officeDocument/2006/relationships/hyperlink" Target="https://statiz.sporki.com/add/?m=draft_school01&amp;ps_school=50114" TargetMode="External"/><Relationship Id="rId14669" Type="http://schemas.openxmlformats.org/officeDocument/2006/relationships/hyperlink" Target="https://statiz.sporki.com/player/?m=playerinfo&amp;p_no=10045" TargetMode="External"/><Relationship Id="rId18540" Type="http://schemas.openxmlformats.org/officeDocument/2006/relationships/hyperlink" Target="https://statiz.sporki.com/add/?m=draft_school01&amp;ps_school=50606" TargetMode="External"/><Relationship Id="rId3677" Type="http://schemas.openxmlformats.org/officeDocument/2006/relationships/hyperlink" Target="https://statiz.sporki.com/add/?m=draft_school01&amp;ps_school=50807" TargetMode="External"/><Relationship Id="rId4728" Type="http://schemas.openxmlformats.org/officeDocument/2006/relationships/hyperlink" Target="https://statiz.sporki.com/add/?m=draft_school02&amp;ps_school=60101" TargetMode="External"/><Relationship Id="rId16091" Type="http://schemas.openxmlformats.org/officeDocument/2006/relationships/hyperlink" Target="https://statiz.sporki.com/player/?m=playerinfo&amp;p_no=1050" TargetMode="External"/><Relationship Id="rId17142" Type="http://schemas.openxmlformats.org/officeDocument/2006/relationships/hyperlink" Target="https://statiz.sporki.com/add/?m=draft_school01&amp;ps_school=50802" TargetMode="External"/><Relationship Id="rId598" Type="http://schemas.openxmlformats.org/officeDocument/2006/relationships/hyperlink" Target="https://statiz.sporki.com/player/?m=playerinfo&amp;p_no=15092" TargetMode="External"/><Relationship Id="rId2279" Type="http://schemas.openxmlformats.org/officeDocument/2006/relationships/hyperlink" Target="https://statiz.sporki.com/add/?m=draft_school01&amp;ps_school=50116" TargetMode="External"/><Relationship Id="rId6150" Type="http://schemas.openxmlformats.org/officeDocument/2006/relationships/hyperlink" Target="https://statiz.sporki.com/add/?m=draft_school02&amp;ps_school=" TargetMode="External"/><Relationship Id="rId7201" Type="http://schemas.openxmlformats.org/officeDocument/2006/relationships/hyperlink" Target="https://statiz.sporki.com/player/?m=playerinfo&amp;p_no=10684" TargetMode="External"/><Relationship Id="rId2760" Type="http://schemas.openxmlformats.org/officeDocument/2006/relationships/hyperlink" Target="https://statiz.sporki.com/add/?m=draft_school02&amp;ps_school=60104" TargetMode="External"/><Relationship Id="rId3811" Type="http://schemas.openxmlformats.org/officeDocument/2006/relationships/hyperlink" Target="https://statiz.sporki.com/player/?m=playerinfo&amp;p_no=11383" TargetMode="External"/><Relationship Id="rId9373" Type="http://schemas.openxmlformats.org/officeDocument/2006/relationships/hyperlink" Target="https://statiz.sporki.com/player/?m=playerinfo&amp;p_no=1854" TargetMode="External"/><Relationship Id="rId12354" Type="http://schemas.openxmlformats.org/officeDocument/2006/relationships/hyperlink" Target="https://statiz.sporki.com/player/?m=playerinfo&amp;p_no=15028" TargetMode="External"/><Relationship Id="rId13405" Type="http://schemas.openxmlformats.org/officeDocument/2006/relationships/hyperlink" Target="https://statiz.sporki.com/player/?m=playerinfo&amp;p_no=14702" TargetMode="External"/><Relationship Id="rId13752" Type="http://schemas.openxmlformats.org/officeDocument/2006/relationships/hyperlink" Target="https://statiz.sporki.com/player/?m=playerinfo&amp;p_no=10878" TargetMode="External"/><Relationship Id="rId14803" Type="http://schemas.openxmlformats.org/officeDocument/2006/relationships/hyperlink" Target="https://statiz.sporki.com/player/?m=playerinfo&amp;p_no=2145" TargetMode="External"/><Relationship Id="rId732" Type="http://schemas.openxmlformats.org/officeDocument/2006/relationships/hyperlink" Target="https://statiz.sporki.com/add/?m=draft_school02&amp;ps_school=" TargetMode="External"/><Relationship Id="rId1362" Type="http://schemas.openxmlformats.org/officeDocument/2006/relationships/hyperlink" Target="https://statiz.sporki.com/add/?m=draft_school02&amp;ps_school=" TargetMode="External"/><Relationship Id="rId2413" Type="http://schemas.openxmlformats.org/officeDocument/2006/relationships/hyperlink" Target="https://statiz.sporki.com/player/?m=playerinfo&amp;p_no=13171" TargetMode="External"/><Relationship Id="rId9026" Type="http://schemas.openxmlformats.org/officeDocument/2006/relationships/hyperlink" Target="https://statiz.sporki.com/add/?m=draft_school01&amp;ps_school=50604" TargetMode="External"/><Relationship Id="rId12007" Type="http://schemas.openxmlformats.org/officeDocument/2006/relationships/hyperlink" Target="https://statiz.sporki.com/player/?m=playerinfo&amp;p_no=1088" TargetMode="External"/><Relationship Id="rId16975" Type="http://schemas.openxmlformats.org/officeDocument/2006/relationships/hyperlink" Target="https://statiz.sporki.com/add/?m=draft_school01&amp;ps_school=50901" TargetMode="External"/><Relationship Id="rId1015" Type="http://schemas.openxmlformats.org/officeDocument/2006/relationships/hyperlink" Target="https://statiz.sporki.com/player/?m=playerinfo&amp;p_no=14789" TargetMode="External"/><Relationship Id="rId4585" Type="http://schemas.openxmlformats.org/officeDocument/2006/relationships/hyperlink" Target="https://statiz.sporki.com/player/?m=playerinfo&amp;p_no=12942" TargetMode="External"/><Relationship Id="rId5983" Type="http://schemas.openxmlformats.org/officeDocument/2006/relationships/hyperlink" Target="https://statiz.sporki.com/player/?m=playerinfo&amp;p_no=11171" TargetMode="External"/><Relationship Id="rId14179" Type="http://schemas.openxmlformats.org/officeDocument/2006/relationships/hyperlink" Target="https://statiz.sporki.com/player/?m=playerinfo&amp;p_no=10557" TargetMode="External"/><Relationship Id="rId15577" Type="http://schemas.openxmlformats.org/officeDocument/2006/relationships/hyperlink" Target="https://statiz.sporki.com/player/?m=playerinfo&amp;p_no=1505" TargetMode="External"/><Relationship Id="rId16628" Type="http://schemas.openxmlformats.org/officeDocument/2006/relationships/hyperlink" Target="https://statiz.sporki.com/add/?m=draft_school01&amp;ps_school=50801" TargetMode="External"/><Relationship Id="rId3187" Type="http://schemas.openxmlformats.org/officeDocument/2006/relationships/hyperlink" Target="https://statiz.sporki.com/player/?m=playerinfo&amp;p_no=12561" TargetMode="External"/><Relationship Id="rId4238" Type="http://schemas.openxmlformats.org/officeDocument/2006/relationships/hyperlink" Target="https://statiz.sporki.com/add/?m=draft_school01&amp;ps_school=50207" TargetMode="External"/><Relationship Id="rId5636" Type="http://schemas.openxmlformats.org/officeDocument/2006/relationships/hyperlink" Target="https://statiz.sporki.com/add/?m=draft_school01&amp;ps_school=50807" TargetMode="External"/><Relationship Id="rId18050" Type="http://schemas.openxmlformats.org/officeDocument/2006/relationships/hyperlink" Target="https://statiz.sporki.com/add/?m=draft_school01&amp;ps_school=50101" TargetMode="External"/><Relationship Id="rId19101" Type="http://schemas.openxmlformats.org/officeDocument/2006/relationships/hyperlink" Target="https://statiz.sporki.com/add/?m=draft_school01&amp;ps_school=50402" TargetMode="External"/><Relationship Id="rId8859" Type="http://schemas.openxmlformats.org/officeDocument/2006/relationships/hyperlink" Target="https://statiz.sporki.com/add/?m=draft_school02&amp;ps_school=" TargetMode="External"/><Relationship Id="rId10789" Type="http://schemas.openxmlformats.org/officeDocument/2006/relationships/hyperlink" Target="https://statiz.sporki.com/player/?m=playerinfo&amp;p_no=1403" TargetMode="External"/><Relationship Id="rId14660" Type="http://schemas.openxmlformats.org/officeDocument/2006/relationships/hyperlink" Target="https://statiz.sporki.com/player/?m=playerinfo&amp;p_no=2219" TargetMode="External"/><Relationship Id="rId15711" Type="http://schemas.openxmlformats.org/officeDocument/2006/relationships/hyperlink" Target="https://statiz.sporki.com/player/?m=playerinfo&amp;p_no=1429" TargetMode="External"/><Relationship Id="rId13262" Type="http://schemas.openxmlformats.org/officeDocument/2006/relationships/hyperlink" Target="https://statiz.sporki.com/player/?m=playerinfo&amp;p_no=12579" TargetMode="External"/><Relationship Id="rId14313" Type="http://schemas.openxmlformats.org/officeDocument/2006/relationships/hyperlink" Target="https://statiz.sporki.com/player/?m=playerinfo&amp;p_no=10590" TargetMode="External"/><Relationship Id="rId17883" Type="http://schemas.openxmlformats.org/officeDocument/2006/relationships/hyperlink" Target="https://statiz.sporki.com/add/?m=draft_school01&amp;ps_school=50112" TargetMode="External"/><Relationship Id="rId2270" Type="http://schemas.openxmlformats.org/officeDocument/2006/relationships/hyperlink" Target="https://statiz.sporki.com/add/?m=draft_school01&amp;ps_school=50503" TargetMode="External"/><Relationship Id="rId3321" Type="http://schemas.openxmlformats.org/officeDocument/2006/relationships/hyperlink" Target="https://statiz.sporki.com/add/?m=draft_school02&amp;ps_school=60501" TargetMode="External"/><Relationship Id="rId6891" Type="http://schemas.openxmlformats.org/officeDocument/2006/relationships/hyperlink" Target="https://statiz.sporki.com/add/?m=draft_school02&amp;ps_school=60103" TargetMode="External"/><Relationship Id="rId7942" Type="http://schemas.openxmlformats.org/officeDocument/2006/relationships/hyperlink" Target="https://statiz.sporki.com/player/?m=playerinfo&amp;p_no=10444" TargetMode="External"/><Relationship Id="rId16485" Type="http://schemas.openxmlformats.org/officeDocument/2006/relationships/hyperlink" Target="https://statiz.sporki.com/add/?m=draft_school01&amp;ps_school=50706" TargetMode="External"/><Relationship Id="rId17536" Type="http://schemas.openxmlformats.org/officeDocument/2006/relationships/hyperlink" Target="https://statiz.sporki.com/add/?m=draft_school01&amp;ps_school=50403" TargetMode="External"/><Relationship Id="rId18934" Type="http://schemas.openxmlformats.org/officeDocument/2006/relationships/hyperlink" Target="https://statiz.sporki.com/add/?m=draft_school01&amp;ps_school=50126" TargetMode="External"/><Relationship Id="rId242" Type="http://schemas.openxmlformats.org/officeDocument/2006/relationships/hyperlink" Target="https://statiz.sporki.com/add/?m=draft_school01&amp;ps_school=50801" TargetMode="External"/><Relationship Id="rId5493" Type="http://schemas.openxmlformats.org/officeDocument/2006/relationships/hyperlink" Target="https://statiz.sporki.com/add/?m=draft_school02&amp;ps_school=" TargetMode="External"/><Relationship Id="rId6544" Type="http://schemas.openxmlformats.org/officeDocument/2006/relationships/hyperlink" Target="https://statiz.sporki.com/player/?m=playerinfo&amp;p_no=10716" TargetMode="External"/><Relationship Id="rId10923" Type="http://schemas.openxmlformats.org/officeDocument/2006/relationships/hyperlink" Target="https://statiz.sporki.com/add/?m=draft_school02&amp;ps_school=60113" TargetMode="External"/><Relationship Id="rId15087" Type="http://schemas.openxmlformats.org/officeDocument/2006/relationships/hyperlink" Target="https://statiz.sporki.com/player/?m=playerinfo&amp;p_no=1959" TargetMode="External"/><Relationship Id="rId16138" Type="http://schemas.openxmlformats.org/officeDocument/2006/relationships/hyperlink" Target="https://statiz.sporki.com/player/?m=playerinfo&amp;p_no=1066" TargetMode="External"/><Relationship Id="rId4095" Type="http://schemas.openxmlformats.org/officeDocument/2006/relationships/hyperlink" Target="https://statiz.sporki.com/add/?m=draft_school02&amp;ps_school=" TargetMode="External"/><Relationship Id="rId5146" Type="http://schemas.openxmlformats.org/officeDocument/2006/relationships/hyperlink" Target="https://statiz.sporki.com/player/?m=playerinfo&amp;p_no=11124" TargetMode="External"/><Relationship Id="rId8369" Type="http://schemas.openxmlformats.org/officeDocument/2006/relationships/hyperlink" Target="https://statiz.sporki.com/add/?m=draft_school01&amp;ps_school=50116" TargetMode="External"/><Relationship Id="rId9767" Type="http://schemas.openxmlformats.org/officeDocument/2006/relationships/hyperlink" Target="https://statiz.sporki.com/add/?m=draft_school01&amp;ps_school=50116" TargetMode="External"/><Relationship Id="rId11697" Type="http://schemas.openxmlformats.org/officeDocument/2006/relationships/hyperlink" Target="https://statiz.sporki.com/add/?m=draft_school02&amp;ps_school=" TargetMode="External"/><Relationship Id="rId12748" Type="http://schemas.openxmlformats.org/officeDocument/2006/relationships/hyperlink" Target="https://statiz.sporki.com/player/?m=playerinfo&amp;p_no=14731" TargetMode="External"/><Relationship Id="rId1756" Type="http://schemas.openxmlformats.org/officeDocument/2006/relationships/hyperlink" Target="https://statiz.sporki.com/player/?m=playerinfo&amp;p_no=14743" TargetMode="External"/><Relationship Id="rId2807" Type="http://schemas.openxmlformats.org/officeDocument/2006/relationships/hyperlink" Target="https://statiz.sporki.com/add/?m=draft_school01&amp;ps_school=50710" TargetMode="External"/><Relationship Id="rId10299" Type="http://schemas.openxmlformats.org/officeDocument/2006/relationships/hyperlink" Target="https://statiz.sporki.com/add/?m=draft_school02&amp;ps_school=60703" TargetMode="External"/><Relationship Id="rId14170" Type="http://schemas.openxmlformats.org/officeDocument/2006/relationships/hyperlink" Target="https://statiz.sporki.com/player/?m=playerinfo&amp;p_no=10459" TargetMode="External"/><Relationship Id="rId15221" Type="http://schemas.openxmlformats.org/officeDocument/2006/relationships/hyperlink" Target="https://statiz.sporki.com/player/?m=playerinfo&amp;p_no=1897" TargetMode="External"/><Relationship Id="rId18791" Type="http://schemas.openxmlformats.org/officeDocument/2006/relationships/hyperlink" Target="https://statiz.sporki.com/add/?m=draft_school01&amp;ps_school=50109" TargetMode="External"/><Relationship Id="rId1409" Type="http://schemas.openxmlformats.org/officeDocument/2006/relationships/hyperlink" Target="https://statiz.sporki.com/add/?m=draft_school01&amp;ps_school=50403" TargetMode="External"/><Relationship Id="rId4979" Type="http://schemas.openxmlformats.org/officeDocument/2006/relationships/hyperlink" Target="https://statiz.sporki.com/add/?m=draft_school01&amp;ps_school=" TargetMode="External"/><Relationship Id="rId8850" Type="http://schemas.openxmlformats.org/officeDocument/2006/relationships/hyperlink" Target="https://statiz.sporki.com/add/?m=draft_school02&amp;ps_school=60102" TargetMode="External"/><Relationship Id="rId9901" Type="http://schemas.openxmlformats.org/officeDocument/2006/relationships/hyperlink" Target="https://statiz.sporki.com/player/?m=playerinfo&amp;p_no=1753" TargetMode="External"/><Relationship Id="rId10780" Type="http://schemas.openxmlformats.org/officeDocument/2006/relationships/hyperlink" Target="https://statiz.sporki.com/player/?m=playerinfo&amp;p_no=1380" TargetMode="External"/><Relationship Id="rId17393" Type="http://schemas.openxmlformats.org/officeDocument/2006/relationships/hyperlink" Target="https://statiz.sporki.com/add/?m=draft_school01&amp;ps_school=50210" TargetMode="External"/><Relationship Id="rId18444" Type="http://schemas.openxmlformats.org/officeDocument/2006/relationships/hyperlink" Target="https://statiz.sporki.com/add/?m=draft_school01&amp;ps_school=50804" TargetMode="External"/><Relationship Id="rId7452" Type="http://schemas.openxmlformats.org/officeDocument/2006/relationships/hyperlink" Target="https://statiz.sporki.com/add/?m=draft_school02&amp;ps_school=60703" TargetMode="External"/><Relationship Id="rId8503" Type="http://schemas.openxmlformats.org/officeDocument/2006/relationships/hyperlink" Target="https://statiz.sporki.com/player/?m=playerinfo&amp;p_no=10446" TargetMode="External"/><Relationship Id="rId10433" Type="http://schemas.openxmlformats.org/officeDocument/2006/relationships/hyperlink" Target="https://statiz.sporki.com/add/?m=draft_school01&amp;ps_school=50209" TargetMode="External"/><Relationship Id="rId11831" Type="http://schemas.openxmlformats.org/officeDocument/2006/relationships/hyperlink" Target="https://statiz.sporki.com/add/?m=draft_school01&amp;ps_school=50112" TargetMode="External"/><Relationship Id="rId17046" Type="http://schemas.openxmlformats.org/officeDocument/2006/relationships/hyperlink" Target="https://statiz.sporki.com/add/?m=draft_school01&amp;ps_school=50106" TargetMode="External"/><Relationship Id="rId6054" Type="http://schemas.openxmlformats.org/officeDocument/2006/relationships/hyperlink" Target="https://statiz.sporki.com/add/?m=draft_school02&amp;ps_school=" TargetMode="External"/><Relationship Id="rId7105" Type="http://schemas.openxmlformats.org/officeDocument/2006/relationships/hyperlink" Target="https://statiz.sporki.com/player/?m=playerinfo&amp;p_no=10469" TargetMode="External"/><Relationship Id="rId983" Type="http://schemas.openxmlformats.org/officeDocument/2006/relationships/hyperlink" Target="https://statiz.sporki.com/add/?m=draft_school01&amp;ps_school=50805" TargetMode="External"/><Relationship Id="rId2664" Type="http://schemas.openxmlformats.org/officeDocument/2006/relationships/hyperlink" Target="https://statiz.sporki.com/add/?m=draft_school02&amp;ps_school=" TargetMode="External"/><Relationship Id="rId9277" Type="http://schemas.openxmlformats.org/officeDocument/2006/relationships/hyperlink" Target="https://statiz.sporki.com/player/?m=playerinfo&amp;p_no=1889" TargetMode="External"/><Relationship Id="rId12258" Type="http://schemas.openxmlformats.org/officeDocument/2006/relationships/hyperlink" Target="https://statiz.sporki.com/player/?m=playerinfo&amp;p_no=15536" TargetMode="External"/><Relationship Id="rId13656" Type="http://schemas.openxmlformats.org/officeDocument/2006/relationships/hyperlink" Target="https://statiz.sporki.com/player/?m=playerinfo&amp;p_no=13001" TargetMode="External"/><Relationship Id="rId14707" Type="http://schemas.openxmlformats.org/officeDocument/2006/relationships/hyperlink" Target="https://statiz.sporki.com/player/?m=playerinfo&amp;p_no=2382" TargetMode="External"/><Relationship Id="rId636" Type="http://schemas.openxmlformats.org/officeDocument/2006/relationships/hyperlink" Target="https://statiz.sporki.com/add/?m=draft_school02&amp;ps_school=" TargetMode="External"/><Relationship Id="rId1266" Type="http://schemas.openxmlformats.org/officeDocument/2006/relationships/hyperlink" Target="https://statiz.sporki.com/add/?m=draft_school02&amp;ps_school=" TargetMode="External"/><Relationship Id="rId2317" Type="http://schemas.openxmlformats.org/officeDocument/2006/relationships/hyperlink" Target="https://statiz.sporki.com/player/?m=playerinfo&amp;p_no=13134" TargetMode="External"/><Relationship Id="rId3715" Type="http://schemas.openxmlformats.org/officeDocument/2006/relationships/hyperlink" Target="https://statiz.sporki.com/player/?m=playerinfo&amp;p_no=13009" TargetMode="External"/><Relationship Id="rId13309" Type="http://schemas.openxmlformats.org/officeDocument/2006/relationships/hyperlink" Target="https://statiz.sporki.com/player/?m=playerinfo&amp;p_no=12514" TargetMode="External"/><Relationship Id="rId16879" Type="http://schemas.openxmlformats.org/officeDocument/2006/relationships/hyperlink" Target="https://statiz.sporki.com/add/?m=draft_school01&amp;ps_school=50111" TargetMode="External"/><Relationship Id="rId5887" Type="http://schemas.openxmlformats.org/officeDocument/2006/relationships/hyperlink" Target="https://statiz.sporki.com/player/?m=playerinfo&amp;p_no=10373" TargetMode="External"/><Relationship Id="rId6938" Type="http://schemas.openxmlformats.org/officeDocument/2006/relationships/hyperlink" Target="https://statiz.sporki.com/add/?m=draft_school01&amp;ps_school=50109" TargetMode="External"/><Relationship Id="rId19352" Type="http://schemas.openxmlformats.org/officeDocument/2006/relationships/hyperlink" Target="https://statiz.sporki.com/add/?m=draft_school01&amp;ps_school=50601" TargetMode="External"/><Relationship Id="rId4489" Type="http://schemas.openxmlformats.org/officeDocument/2006/relationships/hyperlink" Target="https://statiz.sporki.com/player/?m=playerinfo&amp;p_no=11364" TargetMode="External"/><Relationship Id="rId8360" Type="http://schemas.openxmlformats.org/officeDocument/2006/relationships/hyperlink" Target="https://statiz.sporki.com/add/?m=draft_school01&amp;ps_school=50110" TargetMode="External"/><Relationship Id="rId9411" Type="http://schemas.openxmlformats.org/officeDocument/2006/relationships/hyperlink" Target="https://statiz.sporki.com/add/?m=draft_school02&amp;ps_school=" TargetMode="External"/><Relationship Id="rId10290" Type="http://schemas.openxmlformats.org/officeDocument/2006/relationships/hyperlink" Target="https://statiz.sporki.com/add/?m=draft_school02&amp;ps_school=60802" TargetMode="External"/><Relationship Id="rId11341" Type="http://schemas.openxmlformats.org/officeDocument/2006/relationships/hyperlink" Target="https://statiz.sporki.com/player/?m=playerinfo&amp;p_no=1237" TargetMode="External"/><Relationship Id="rId15962" Type="http://schemas.openxmlformats.org/officeDocument/2006/relationships/hyperlink" Target="https://statiz.sporki.com/player/?m=playerinfo&amp;p_no=1195" TargetMode="External"/><Relationship Id="rId19005" Type="http://schemas.openxmlformats.org/officeDocument/2006/relationships/hyperlink" Target="https://statiz.sporki.com/add/?m=draft_school01&amp;ps_school=50115" TargetMode="External"/><Relationship Id="rId1400" Type="http://schemas.openxmlformats.org/officeDocument/2006/relationships/hyperlink" Target="https://statiz.sporki.com/add/?m=draft_school01&amp;ps_school=50802" TargetMode="External"/><Relationship Id="rId4970" Type="http://schemas.openxmlformats.org/officeDocument/2006/relationships/hyperlink" Target="https://statiz.sporki.com/add/?m=draft_school01&amp;ps_school=51001" TargetMode="External"/><Relationship Id="rId8013" Type="http://schemas.openxmlformats.org/officeDocument/2006/relationships/hyperlink" Target="https://statiz.sporki.com/add/?m=draft_school02&amp;ps_school=" TargetMode="External"/><Relationship Id="rId14564" Type="http://schemas.openxmlformats.org/officeDocument/2006/relationships/hyperlink" Target="https://statiz.sporki.com/player/?m=playerinfo&amp;p_no=2277" TargetMode="External"/><Relationship Id="rId15615" Type="http://schemas.openxmlformats.org/officeDocument/2006/relationships/hyperlink" Target="https://statiz.sporki.com/player/?m=playerinfo&amp;p_no=1522" TargetMode="External"/><Relationship Id="rId3572" Type="http://schemas.openxmlformats.org/officeDocument/2006/relationships/hyperlink" Target="https://statiz.sporki.com/add/?m=draft_school01&amp;ps_school=50801" TargetMode="External"/><Relationship Id="rId4623" Type="http://schemas.openxmlformats.org/officeDocument/2006/relationships/hyperlink" Target="https://statiz.sporki.com/add/?m=draft_school02&amp;ps_school=60203" TargetMode="External"/><Relationship Id="rId13166" Type="http://schemas.openxmlformats.org/officeDocument/2006/relationships/hyperlink" Target="https://statiz.sporki.com/player/?m=playerinfo&amp;p_no=12947" TargetMode="External"/><Relationship Id="rId14217" Type="http://schemas.openxmlformats.org/officeDocument/2006/relationships/hyperlink" Target="https://statiz.sporki.com/player/?m=playerinfo&amp;p_no=10855" TargetMode="External"/><Relationship Id="rId493" Type="http://schemas.openxmlformats.org/officeDocument/2006/relationships/hyperlink" Target="https://statiz.sporki.com/player/?m=playerinfo&amp;p_no=15045" TargetMode="External"/><Relationship Id="rId2174" Type="http://schemas.openxmlformats.org/officeDocument/2006/relationships/hyperlink" Target="https://statiz.sporki.com/add/?m=draft_school01&amp;ps_school=" TargetMode="External"/><Relationship Id="rId3225" Type="http://schemas.openxmlformats.org/officeDocument/2006/relationships/hyperlink" Target="https://statiz.sporki.com/add/?m=draft_school02&amp;ps_school=" TargetMode="External"/><Relationship Id="rId6795" Type="http://schemas.openxmlformats.org/officeDocument/2006/relationships/hyperlink" Target="https://statiz.sporki.com/add/?m=draft_school02&amp;ps_school=60602" TargetMode="External"/><Relationship Id="rId16389" Type="http://schemas.openxmlformats.org/officeDocument/2006/relationships/hyperlink" Target="https://statiz.sporki.com/add/?m=draft_school01&amp;ps_school=50103" TargetMode="External"/><Relationship Id="rId17787" Type="http://schemas.openxmlformats.org/officeDocument/2006/relationships/hyperlink" Target="https://statiz.sporki.com/add/?m=draft_school01&amp;ps_school=50113" TargetMode="External"/><Relationship Id="rId18838" Type="http://schemas.openxmlformats.org/officeDocument/2006/relationships/hyperlink" Target="https://statiz.sporki.com/add/?m=draft_school01&amp;ps_school=50806" TargetMode="External"/><Relationship Id="rId146" Type="http://schemas.openxmlformats.org/officeDocument/2006/relationships/hyperlink" Target="https://statiz.sporki.com/add/?m=draft_school01&amp;ps_school=50802" TargetMode="External"/><Relationship Id="rId5397" Type="http://schemas.openxmlformats.org/officeDocument/2006/relationships/hyperlink" Target="https://statiz.sporki.com/add/?m=draft_school02&amp;ps_school=" TargetMode="External"/><Relationship Id="rId6448" Type="http://schemas.openxmlformats.org/officeDocument/2006/relationships/hyperlink" Target="https://statiz.sporki.com/player/?m=playerinfo&amp;p_no=2396" TargetMode="External"/><Relationship Id="rId7846" Type="http://schemas.openxmlformats.org/officeDocument/2006/relationships/hyperlink" Target="https://statiz.sporki.com/player/?m=playerinfo&amp;p_no=10139" TargetMode="External"/><Relationship Id="rId10827" Type="http://schemas.openxmlformats.org/officeDocument/2006/relationships/hyperlink" Target="https://statiz.sporki.com/add/?m=draft_school02&amp;ps_school=60109" TargetMode="External"/><Relationship Id="rId12999" Type="http://schemas.openxmlformats.org/officeDocument/2006/relationships/hyperlink" Target="https://statiz.sporki.com/player/?m=playerinfo&amp;p_no=13133" TargetMode="External"/><Relationship Id="rId13300" Type="http://schemas.openxmlformats.org/officeDocument/2006/relationships/hyperlink" Target="https://statiz.sporki.com/player/?m=playerinfo&amp;p_no=12564" TargetMode="External"/><Relationship Id="rId16870" Type="http://schemas.openxmlformats.org/officeDocument/2006/relationships/hyperlink" Target="https://statiz.sporki.com/add/?m=draft_school01&amp;ps_school=50111" TargetMode="External"/><Relationship Id="rId17921" Type="http://schemas.openxmlformats.org/officeDocument/2006/relationships/hyperlink" Target="https://statiz.sporki.com/add/?m=draft_school01&amp;ps_school=50107" TargetMode="External"/><Relationship Id="rId15472" Type="http://schemas.openxmlformats.org/officeDocument/2006/relationships/hyperlink" Target="https://statiz.sporki.com/player/?m=playerinfo&amp;p_no=1725" TargetMode="External"/><Relationship Id="rId16523" Type="http://schemas.openxmlformats.org/officeDocument/2006/relationships/hyperlink" Target="https://statiz.sporki.com/add/?m=draft_school01&amp;ps_school=50101" TargetMode="External"/><Relationship Id="rId4480" Type="http://schemas.openxmlformats.org/officeDocument/2006/relationships/hyperlink" Target="https://statiz.sporki.com/player/?m=playerinfo&amp;p_no=11071" TargetMode="External"/><Relationship Id="rId5531" Type="http://schemas.openxmlformats.org/officeDocument/2006/relationships/hyperlink" Target="https://statiz.sporki.com/add/?m=draft_school01&amp;ps_school=50113" TargetMode="External"/><Relationship Id="rId14074" Type="http://schemas.openxmlformats.org/officeDocument/2006/relationships/hyperlink" Target="https://statiz.sporki.com/player/?m=playerinfo&amp;p_no=10535" TargetMode="External"/><Relationship Id="rId15125" Type="http://schemas.openxmlformats.org/officeDocument/2006/relationships/hyperlink" Target="https://statiz.sporki.com/player/?m=playerinfo&amp;p_no=1916" TargetMode="External"/><Relationship Id="rId18695" Type="http://schemas.openxmlformats.org/officeDocument/2006/relationships/hyperlink" Target="https://statiz.sporki.com/add/?m=draft_school01&amp;ps_school=50106" TargetMode="External"/><Relationship Id="rId3082" Type="http://schemas.openxmlformats.org/officeDocument/2006/relationships/hyperlink" Target="https://statiz.sporki.com/player/?m=playerinfo&amp;p_no=12952" TargetMode="External"/><Relationship Id="rId4133" Type="http://schemas.openxmlformats.org/officeDocument/2006/relationships/hyperlink" Target="https://statiz.sporki.com/add/?m=draft_school01&amp;ps_school=50207" TargetMode="External"/><Relationship Id="rId8754" Type="http://schemas.openxmlformats.org/officeDocument/2006/relationships/hyperlink" Target="https://statiz.sporki.com/add/?m=draft_school02&amp;ps_school=60114" TargetMode="External"/><Relationship Id="rId9805" Type="http://schemas.openxmlformats.org/officeDocument/2006/relationships/hyperlink" Target="https://statiz.sporki.com/player/?m=playerinfo&amp;p_no=12722" TargetMode="External"/><Relationship Id="rId17297" Type="http://schemas.openxmlformats.org/officeDocument/2006/relationships/hyperlink" Target="https://statiz.sporki.com/add/?m=draft_school01&amp;ps_school=50109" TargetMode="External"/><Relationship Id="rId18348" Type="http://schemas.openxmlformats.org/officeDocument/2006/relationships/hyperlink" Target="https://statiz.sporki.com/add/?m=draft_school01&amp;ps_school=50601" TargetMode="External"/><Relationship Id="rId19" Type="http://schemas.openxmlformats.org/officeDocument/2006/relationships/hyperlink" Target="https://statiz.sporki.com/player/?m=playerinfo&amp;p_no=15484" TargetMode="External"/><Relationship Id="rId7356" Type="http://schemas.openxmlformats.org/officeDocument/2006/relationships/hyperlink" Target="https://statiz.sporki.com/add/?m=draft_school02&amp;ps_school=" TargetMode="External"/><Relationship Id="rId8407" Type="http://schemas.openxmlformats.org/officeDocument/2006/relationships/hyperlink" Target="https://statiz.sporki.com/player/?m=playerinfo&amp;p_no=10349" TargetMode="External"/><Relationship Id="rId10337" Type="http://schemas.openxmlformats.org/officeDocument/2006/relationships/hyperlink" Target="https://statiz.sporki.com/add/?m=draft_school01&amp;ps_school=" TargetMode="External"/><Relationship Id="rId10684" Type="http://schemas.openxmlformats.org/officeDocument/2006/relationships/hyperlink" Target="https://statiz.sporki.com/player/?m=playerinfo&amp;p_no=1489" TargetMode="External"/><Relationship Id="rId11735" Type="http://schemas.openxmlformats.org/officeDocument/2006/relationships/hyperlink" Target="https://statiz.sporki.com/add/?m=draft_school01&amp;ps_school=50114" TargetMode="External"/><Relationship Id="rId7009" Type="http://schemas.openxmlformats.org/officeDocument/2006/relationships/hyperlink" Target="https://statiz.sporki.com/player/?m=playerinfo&amp;p_no=10654" TargetMode="External"/><Relationship Id="rId14958" Type="http://schemas.openxmlformats.org/officeDocument/2006/relationships/hyperlink" Target="https://statiz.sporki.com/player/?m=playerinfo&amp;p_no=2187" TargetMode="External"/><Relationship Id="rId3966" Type="http://schemas.openxmlformats.org/officeDocument/2006/relationships/hyperlink" Target="https://statiz.sporki.com/add/?m=draft_school02&amp;ps_school=60804" TargetMode="External"/><Relationship Id="rId16380" Type="http://schemas.openxmlformats.org/officeDocument/2006/relationships/hyperlink" Target="https://statiz.sporki.com/add/?m=draft_school01&amp;ps_school=50221" TargetMode="External"/><Relationship Id="rId17431" Type="http://schemas.openxmlformats.org/officeDocument/2006/relationships/hyperlink" Target="https://statiz.sporki.com/add/?m=draft_school01&amp;ps_school=50113" TargetMode="External"/><Relationship Id="rId3" Type="http://schemas.openxmlformats.org/officeDocument/2006/relationships/hyperlink" Target="https://statiz.sporki.com/add/?m=draft_school02&amp;ps_school=" TargetMode="External"/><Relationship Id="rId887" Type="http://schemas.openxmlformats.org/officeDocument/2006/relationships/hyperlink" Target="https://statiz.sporki.com/add/?m=draft_school01&amp;ps_school=" TargetMode="External"/><Relationship Id="rId2568" Type="http://schemas.openxmlformats.org/officeDocument/2006/relationships/hyperlink" Target="https://statiz.sporki.com/add/?m=draft_school02&amp;ps_school=60114" TargetMode="External"/><Relationship Id="rId3619" Type="http://schemas.openxmlformats.org/officeDocument/2006/relationships/hyperlink" Target="https://statiz.sporki.com/player/?m=playerinfo&amp;p_no=11361" TargetMode="External"/><Relationship Id="rId5041" Type="http://schemas.openxmlformats.org/officeDocument/2006/relationships/hyperlink" Target="https://statiz.sporki.com/player/?m=playerinfo&amp;p_no=11315" TargetMode="External"/><Relationship Id="rId12990" Type="http://schemas.openxmlformats.org/officeDocument/2006/relationships/hyperlink" Target="https://statiz.sporki.com/player/?m=playerinfo&amp;p_no=13099" TargetMode="External"/><Relationship Id="rId16033" Type="http://schemas.openxmlformats.org/officeDocument/2006/relationships/hyperlink" Target="https://statiz.sporki.com/player/?m=playerinfo&amp;p_no=1182" TargetMode="External"/><Relationship Id="rId9662" Type="http://schemas.openxmlformats.org/officeDocument/2006/relationships/hyperlink" Target="https://statiz.sporki.com/add/?m=draft_school01&amp;ps_school=50401" TargetMode="External"/><Relationship Id="rId11592" Type="http://schemas.openxmlformats.org/officeDocument/2006/relationships/hyperlink" Target="https://statiz.sporki.com/add/?m=draft_school02&amp;ps_school=60109" TargetMode="External"/><Relationship Id="rId12643" Type="http://schemas.openxmlformats.org/officeDocument/2006/relationships/hyperlink" Target="https://statiz.sporki.com/player/?m=playerinfo&amp;p_no=14605" TargetMode="External"/><Relationship Id="rId19256" Type="http://schemas.openxmlformats.org/officeDocument/2006/relationships/hyperlink" Target="https://statiz.sporki.com/add/?m=draft_school01&amp;ps_school=50127" TargetMode="External"/><Relationship Id="rId1651" Type="http://schemas.openxmlformats.org/officeDocument/2006/relationships/hyperlink" Target="https://statiz.sporki.com/player/?m=playerinfo&amp;p_no=14690" TargetMode="External"/><Relationship Id="rId2702" Type="http://schemas.openxmlformats.org/officeDocument/2006/relationships/hyperlink" Target="https://statiz.sporki.com/add/?m=draft_school01&amp;ps_school=50210" TargetMode="External"/><Relationship Id="rId8264" Type="http://schemas.openxmlformats.org/officeDocument/2006/relationships/hyperlink" Target="https://statiz.sporki.com/add/?m=draft_school01&amp;ps_school=" TargetMode="External"/><Relationship Id="rId9315" Type="http://schemas.openxmlformats.org/officeDocument/2006/relationships/hyperlink" Target="https://statiz.sporki.com/add/?m=draft_school02&amp;ps_school=60501" TargetMode="External"/><Relationship Id="rId10194" Type="http://schemas.openxmlformats.org/officeDocument/2006/relationships/hyperlink" Target="https://statiz.sporki.com/add/?m=draft_school02&amp;ps_school=" TargetMode="External"/><Relationship Id="rId11245" Type="http://schemas.openxmlformats.org/officeDocument/2006/relationships/hyperlink" Target="https://statiz.sporki.com/player/?m=playerinfo&amp;p_no=1277" TargetMode="External"/><Relationship Id="rId1304" Type="http://schemas.openxmlformats.org/officeDocument/2006/relationships/hyperlink" Target="https://statiz.sporki.com/add/?m=draft_school01&amp;ps_school=51117" TargetMode="External"/><Relationship Id="rId4874" Type="http://schemas.openxmlformats.org/officeDocument/2006/relationships/hyperlink" Target="https://statiz.sporki.com/add/?m=draft_school01&amp;ps_school=50802" TargetMode="External"/><Relationship Id="rId14468" Type="http://schemas.openxmlformats.org/officeDocument/2006/relationships/hyperlink" Target="https://statiz.sporki.com/player/?m=playerinfo&amp;p_no=10541" TargetMode="External"/><Relationship Id="rId15866" Type="http://schemas.openxmlformats.org/officeDocument/2006/relationships/hyperlink" Target="https://statiz.sporki.com/player/?m=playerinfo&amp;p_no=1271" TargetMode="External"/><Relationship Id="rId16917" Type="http://schemas.openxmlformats.org/officeDocument/2006/relationships/hyperlink" Target="https://statiz.sporki.com/add/?m=draft_school01&amp;ps_school=50501" TargetMode="External"/><Relationship Id="rId3476" Type="http://schemas.openxmlformats.org/officeDocument/2006/relationships/hyperlink" Target="https://statiz.sporki.com/add/?m=draft_school01&amp;ps_school=50403" TargetMode="External"/><Relationship Id="rId4527" Type="http://schemas.openxmlformats.org/officeDocument/2006/relationships/hyperlink" Target="https://statiz.sporki.com/add/?m=draft_school02&amp;ps_school=" TargetMode="External"/><Relationship Id="rId5925" Type="http://schemas.openxmlformats.org/officeDocument/2006/relationships/hyperlink" Target="https://statiz.sporki.com/add/?m=draft_school02&amp;ps_school=" TargetMode="External"/><Relationship Id="rId15519" Type="http://schemas.openxmlformats.org/officeDocument/2006/relationships/hyperlink" Target="https://statiz.sporki.com/player/?m=playerinfo&amp;p_no=1630" TargetMode="External"/><Relationship Id="rId10" Type="http://schemas.openxmlformats.org/officeDocument/2006/relationships/hyperlink" Target="https://statiz.sporki.com/player/?m=playerinfo&amp;p_no=15450" TargetMode="External"/><Relationship Id="rId397" Type="http://schemas.openxmlformats.org/officeDocument/2006/relationships/hyperlink" Target="https://statiz.sporki.com/player/?m=playerinfo&amp;p_no=15642" TargetMode="External"/><Relationship Id="rId2078" Type="http://schemas.openxmlformats.org/officeDocument/2006/relationships/hyperlink" Target="https://statiz.sporki.com/add/?m=draft_school01&amp;ps_school=50901" TargetMode="External"/><Relationship Id="rId3129" Type="http://schemas.openxmlformats.org/officeDocument/2006/relationships/hyperlink" Target="https://statiz.sporki.com/add/?m=draft_school02&amp;ps_school=60103" TargetMode="External"/><Relationship Id="rId7000" Type="http://schemas.openxmlformats.org/officeDocument/2006/relationships/hyperlink" Target="https://statiz.sporki.com/player/?m=playerinfo&amp;p_no=2364" TargetMode="External"/><Relationship Id="rId6699" Type="http://schemas.openxmlformats.org/officeDocument/2006/relationships/hyperlink" Target="https://statiz.sporki.com/add/?m=draft_school02&amp;ps_school=" TargetMode="External"/><Relationship Id="rId9172" Type="http://schemas.openxmlformats.org/officeDocument/2006/relationships/hyperlink" Target="https://statiz.sporki.com/player/?m=playerinfo&amp;p_no=1919" TargetMode="External"/><Relationship Id="rId13551" Type="http://schemas.openxmlformats.org/officeDocument/2006/relationships/hyperlink" Target="https://statiz.sporki.com/player/?m=playerinfo&amp;p_no=13182" TargetMode="External"/><Relationship Id="rId14602" Type="http://schemas.openxmlformats.org/officeDocument/2006/relationships/hyperlink" Target="https://statiz.sporki.com/player/?m=playerinfo&amp;p_no=10221" TargetMode="External"/><Relationship Id="rId3610" Type="http://schemas.openxmlformats.org/officeDocument/2006/relationships/hyperlink" Target="https://statiz.sporki.com/player/?m=playerinfo&amp;p_no=13003" TargetMode="External"/><Relationship Id="rId12153" Type="http://schemas.openxmlformats.org/officeDocument/2006/relationships/hyperlink" Target="https://statiz.sporki.com/player/?m=playerinfo&amp;p_no=15473" TargetMode="External"/><Relationship Id="rId13204" Type="http://schemas.openxmlformats.org/officeDocument/2006/relationships/hyperlink" Target="https://statiz.sporki.com/player/?m=playerinfo&amp;p_no=12561" TargetMode="External"/><Relationship Id="rId16774" Type="http://schemas.openxmlformats.org/officeDocument/2006/relationships/hyperlink" Target="https://statiz.sporki.com/add/?m=draft_school01&amp;ps_school=50604" TargetMode="External"/><Relationship Id="rId17825" Type="http://schemas.openxmlformats.org/officeDocument/2006/relationships/hyperlink" Target="https://statiz.sporki.com/add/?m=draft_school01&amp;ps_school=50112" TargetMode="External"/><Relationship Id="rId531" Type="http://schemas.openxmlformats.org/officeDocument/2006/relationships/hyperlink" Target="https://statiz.sporki.com/add/?m=draft_school02&amp;ps_school=" TargetMode="External"/><Relationship Id="rId1161" Type="http://schemas.openxmlformats.org/officeDocument/2006/relationships/hyperlink" Target="https://statiz.sporki.com/add/?m=draft_school02&amp;ps_school=" TargetMode="External"/><Relationship Id="rId2212" Type="http://schemas.openxmlformats.org/officeDocument/2006/relationships/hyperlink" Target="https://statiz.sporki.com/player/?m=playerinfo&amp;p_no=13933" TargetMode="External"/><Relationship Id="rId5782" Type="http://schemas.openxmlformats.org/officeDocument/2006/relationships/hyperlink" Target="https://statiz.sporki.com/player/?m=playerinfo&amp;p_no=10095" TargetMode="External"/><Relationship Id="rId6833" Type="http://schemas.openxmlformats.org/officeDocument/2006/relationships/hyperlink" Target="https://statiz.sporki.com/add/?m=draft_school01&amp;ps_school=" TargetMode="External"/><Relationship Id="rId15376" Type="http://schemas.openxmlformats.org/officeDocument/2006/relationships/hyperlink" Target="https://statiz.sporki.com/player/?m=playerinfo&amp;p_no=1726" TargetMode="External"/><Relationship Id="rId16427" Type="http://schemas.openxmlformats.org/officeDocument/2006/relationships/hyperlink" Target="https://statiz.sporki.com/add/?m=draft_school01&amp;ps_school=50120" TargetMode="External"/><Relationship Id="rId4384" Type="http://schemas.openxmlformats.org/officeDocument/2006/relationships/hyperlink" Target="https://statiz.sporki.com/player/?m=playerinfo&amp;p_no=11482" TargetMode="External"/><Relationship Id="rId5435" Type="http://schemas.openxmlformats.org/officeDocument/2006/relationships/hyperlink" Target="https://statiz.sporki.com/add/?m=draft_school01&amp;ps_school=50110" TargetMode="External"/><Relationship Id="rId15029" Type="http://schemas.openxmlformats.org/officeDocument/2006/relationships/hyperlink" Target="https://statiz.sporki.com/player/?m=playerinfo&amp;p_no=2217" TargetMode="External"/><Relationship Id="rId18599" Type="http://schemas.openxmlformats.org/officeDocument/2006/relationships/hyperlink" Target="https://statiz.sporki.com/add/?m=draft_school01&amp;ps_school=50813" TargetMode="External"/><Relationship Id="rId4037" Type="http://schemas.openxmlformats.org/officeDocument/2006/relationships/hyperlink" Target="https://statiz.sporki.com/add/?m=draft_school01&amp;ps_school=50705" TargetMode="External"/><Relationship Id="rId8658" Type="http://schemas.openxmlformats.org/officeDocument/2006/relationships/hyperlink" Target="https://statiz.sporki.com/add/?m=draft_school02&amp;ps_school=60203" TargetMode="External"/><Relationship Id="rId9709" Type="http://schemas.openxmlformats.org/officeDocument/2006/relationships/hyperlink" Target="https://statiz.sporki.com/player/?m=playerinfo&amp;p_no=11438" TargetMode="External"/><Relationship Id="rId11986" Type="http://schemas.openxmlformats.org/officeDocument/2006/relationships/hyperlink" Target="https://statiz.sporki.com/player/?m=playerinfo&amp;p_no=1057" TargetMode="External"/><Relationship Id="rId10588" Type="http://schemas.openxmlformats.org/officeDocument/2006/relationships/hyperlink" Target="https://statiz.sporki.com/player/?m=playerinfo&amp;p_no=1478" TargetMode="External"/><Relationship Id="rId11639" Type="http://schemas.openxmlformats.org/officeDocument/2006/relationships/hyperlink" Target="https://statiz.sporki.com/add/?m=draft_school01&amp;ps_school=50711" TargetMode="External"/><Relationship Id="rId15510" Type="http://schemas.openxmlformats.org/officeDocument/2006/relationships/hyperlink" Target="https://statiz.sporki.com/player/?m=playerinfo&amp;p_no=1710" TargetMode="External"/><Relationship Id="rId3120" Type="http://schemas.openxmlformats.org/officeDocument/2006/relationships/hyperlink" Target="https://statiz.sporki.com/add/?m=draft_school02&amp;ps_school=60802" TargetMode="External"/><Relationship Id="rId13061" Type="http://schemas.openxmlformats.org/officeDocument/2006/relationships/hyperlink" Target="https://statiz.sporki.com/player/?m=playerinfo&amp;p_no=12852" TargetMode="External"/><Relationship Id="rId14112" Type="http://schemas.openxmlformats.org/officeDocument/2006/relationships/hyperlink" Target="https://statiz.sporki.com/player/?m=playerinfo&amp;p_no=10186" TargetMode="External"/><Relationship Id="rId17682" Type="http://schemas.openxmlformats.org/officeDocument/2006/relationships/hyperlink" Target="https://statiz.sporki.com/add/?m=draft_school01&amp;ps_school=50114" TargetMode="External"/><Relationship Id="rId18733" Type="http://schemas.openxmlformats.org/officeDocument/2006/relationships/hyperlink" Target="https://statiz.sporki.com/add/?m=draft_school01&amp;ps_school=50108" TargetMode="External"/><Relationship Id="rId6690" Type="http://schemas.openxmlformats.org/officeDocument/2006/relationships/hyperlink" Target="https://statiz.sporki.com/add/?m=draft_school02&amp;ps_school=" TargetMode="External"/><Relationship Id="rId7741" Type="http://schemas.openxmlformats.org/officeDocument/2006/relationships/hyperlink" Target="https://statiz.sporki.com/player/?m=playerinfo&amp;p_no=2197" TargetMode="External"/><Relationship Id="rId10722" Type="http://schemas.openxmlformats.org/officeDocument/2006/relationships/hyperlink" Target="https://statiz.sporki.com/add/?m=draft_school02&amp;ps_school=" TargetMode="External"/><Relationship Id="rId16284" Type="http://schemas.openxmlformats.org/officeDocument/2006/relationships/hyperlink" Target="https://statiz.sporki.com/add/?m=draft_school01&amp;ps_school=50106" TargetMode="External"/><Relationship Id="rId17335" Type="http://schemas.openxmlformats.org/officeDocument/2006/relationships/hyperlink" Target="https://statiz.sporki.com/add/?m=draft_school01&amp;ps_school=50502" TargetMode="External"/><Relationship Id="rId5292" Type="http://schemas.openxmlformats.org/officeDocument/2006/relationships/hyperlink" Target="https://statiz.sporki.com/add/?m=draft_school02&amp;ps_school=" TargetMode="External"/><Relationship Id="rId6343" Type="http://schemas.openxmlformats.org/officeDocument/2006/relationships/hyperlink" Target="https://statiz.sporki.com/player/?m=playerinfo&amp;p_no=10545" TargetMode="External"/><Relationship Id="rId2953" Type="http://schemas.openxmlformats.org/officeDocument/2006/relationships/hyperlink" Target="https://statiz.sporki.com/player/?m=playerinfo&amp;p_no=12940" TargetMode="External"/><Relationship Id="rId9566" Type="http://schemas.openxmlformats.org/officeDocument/2006/relationships/hyperlink" Target="https://statiz.sporki.com/add/?m=draft_school01&amp;ps_school=50702" TargetMode="External"/><Relationship Id="rId11496" Type="http://schemas.openxmlformats.org/officeDocument/2006/relationships/hyperlink" Target="https://statiz.sporki.com/add/?m=draft_school02&amp;ps_school=" TargetMode="External"/><Relationship Id="rId12547" Type="http://schemas.openxmlformats.org/officeDocument/2006/relationships/hyperlink" Target="https://statiz.sporki.com/player/?m=playerinfo&amp;p_no=14866" TargetMode="External"/><Relationship Id="rId12894" Type="http://schemas.openxmlformats.org/officeDocument/2006/relationships/hyperlink" Target="https://statiz.sporki.com/player/?m=playerinfo&amp;p_no=14200" TargetMode="External"/><Relationship Id="rId13945" Type="http://schemas.openxmlformats.org/officeDocument/2006/relationships/hyperlink" Target="https://statiz.sporki.com/player/?m=playerinfo&amp;p_no=10698" TargetMode="External"/><Relationship Id="rId925" Type="http://schemas.openxmlformats.org/officeDocument/2006/relationships/hyperlink" Target="https://statiz.sporki.com/player/?m=playerinfo&amp;p_no=15135" TargetMode="External"/><Relationship Id="rId1555" Type="http://schemas.openxmlformats.org/officeDocument/2006/relationships/hyperlink" Target="https://statiz.sporki.com/player/?m=playerinfo&amp;p_no=14693" TargetMode="External"/><Relationship Id="rId2606" Type="http://schemas.openxmlformats.org/officeDocument/2006/relationships/hyperlink" Target="https://statiz.sporki.com/add/?m=draft_school01&amp;ps_school=50901" TargetMode="External"/><Relationship Id="rId8168" Type="http://schemas.openxmlformats.org/officeDocument/2006/relationships/hyperlink" Target="https://statiz.sporki.com/add/?m=draft_school01&amp;ps_school=50705" TargetMode="External"/><Relationship Id="rId9219" Type="http://schemas.openxmlformats.org/officeDocument/2006/relationships/hyperlink" Target="https://statiz.sporki.com/add/?m=draft_school02&amp;ps_school=60104" TargetMode="External"/><Relationship Id="rId10098" Type="http://schemas.openxmlformats.org/officeDocument/2006/relationships/hyperlink" Target="https://statiz.sporki.com/add/?m=draft_school02&amp;ps_school=60109" TargetMode="External"/><Relationship Id="rId11149" Type="http://schemas.openxmlformats.org/officeDocument/2006/relationships/hyperlink" Target="https://statiz.sporki.com/player/?m=playerinfo&amp;p_no=1301" TargetMode="External"/><Relationship Id="rId15020" Type="http://schemas.openxmlformats.org/officeDocument/2006/relationships/hyperlink" Target="https://statiz.sporki.com/player/?m=playerinfo&amp;p_no=1971" TargetMode="External"/><Relationship Id="rId1208" Type="http://schemas.openxmlformats.org/officeDocument/2006/relationships/hyperlink" Target="https://statiz.sporki.com/add/?m=draft_school01&amp;ps_school=50801" TargetMode="External"/><Relationship Id="rId18590" Type="http://schemas.openxmlformats.org/officeDocument/2006/relationships/hyperlink" Target="https://statiz.sporki.com/add/?m=draft_school01&amp;ps_school=50101" TargetMode="External"/><Relationship Id="rId19641" Type="http://schemas.openxmlformats.org/officeDocument/2006/relationships/hyperlink" Target="https://statiz.sporki.com/add/?m=draft_school01&amp;ps_school=50701" TargetMode="External"/><Relationship Id="rId4778" Type="http://schemas.openxmlformats.org/officeDocument/2006/relationships/hyperlink" Target="https://statiz.sporki.com/add/?m=draft_school01&amp;ps_school=50601" TargetMode="External"/><Relationship Id="rId5829" Type="http://schemas.openxmlformats.org/officeDocument/2006/relationships/hyperlink" Target="https://statiz.sporki.com/add/?m=draft_school02&amp;ps_school=" TargetMode="External"/><Relationship Id="rId7251" Type="http://schemas.openxmlformats.org/officeDocument/2006/relationships/hyperlink" Target="https://statiz.sporki.com/add/?m=draft_school02&amp;ps_school=" TargetMode="External"/><Relationship Id="rId9700" Type="http://schemas.openxmlformats.org/officeDocument/2006/relationships/hyperlink" Target="https://statiz.sporki.com/player/?m=playerinfo&amp;p_no=1813" TargetMode="External"/><Relationship Id="rId11630" Type="http://schemas.openxmlformats.org/officeDocument/2006/relationships/hyperlink" Target="https://statiz.sporki.com/add/?m=draft_school01&amp;ps_school=50209" TargetMode="External"/><Relationship Id="rId17192" Type="http://schemas.openxmlformats.org/officeDocument/2006/relationships/hyperlink" Target="https://statiz.sporki.com/add/?m=draft_school01&amp;ps_school=50604" TargetMode="External"/><Relationship Id="rId18243" Type="http://schemas.openxmlformats.org/officeDocument/2006/relationships/hyperlink" Target="https://statiz.sporki.com/add/?m=draft_school01&amp;ps_school=50107" TargetMode="External"/><Relationship Id="rId8302" Type="http://schemas.openxmlformats.org/officeDocument/2006/relationships/hyperlink" Target="https://statiz.sporki.com/player/?m=playerinfo&amp;p_no=10488" TargetMode="External"/><Relationship Id="rId10232" Type="http://schemas.openxmlformats.org/officeDocument/2006/relationships/hyperlink" Target="https://statiz.sporki.com/add/?m=draft_school01&amp;ps_school=50711" TargetMode="External"/><Relationship Id="rId14853" Type="http://schemas.openxmlformats.org/officeDocument/2006/relationships/hyperlink" Target="https://statiz.sporki.com/player/?m=playerinfo&amp;p_no=2299" TargetMode="External"/><Relationship Id="rId15904" Type="http://schemas.openxmlformats.org/officeDocument/2006/relationships/hyperlink" Target="https://statiz.sporki.com/player/?m=playerinfo&amp;p_no=1273" TargetMode="External"/><Relationship Id="rId3861" Type="http://schemas.openxmlformats.org/officeDocument/2006/relationships/hyperlink" Target="https://statiz.sporki.com/add/?m=draft_school02&amp;ps_school=60109" TargetMode="External"/><Relationship Id="rId4912" Type="http://schemas.openxmlformats.org/officeDocument/2006/relationships/hyperlink" Target="https://statiz.sporki.com/player/?m=playerinfo&amp;p_no=10914" TargetMode="External"/><Relationship Id="rId13455" Type="http://schemas.openxmlformats.org/officeDocument/2006/relationships/hyperlink" Target="https://statiz.sporki.com/player/?m=playerinfo&amp;p_no=11395" TargetMode="External"/><Relationship Id="rId14506" Type="http://schemas.openxmlformats.org/officeDocument/2006/relationships/hyperlink" Target="https://statiz.sporki.com/player/?m=playerinfo&amp;p_no=2313" TargetMode="External"/><Relationship Id="rId782" Type="http://schemas.openxmlformats.org/officeDocument/2006/relationships/hyperlink" Target="https://statiz.sporki.com/add/?m=draft_school01&amp;ps_school=50116" TargetMode="External"/><Relationship Id="rId2463" Type="http://schemas.openxmlformats.org/officeDocument/2006/relationships/hyperlink" Target="https://statiz.sporki.com/add/?m=draft_school02&amp;ps_school=" TargetMode="External"/><Relationship Id="rId3514" Type="http://schemas.openxmlformats.org/officeDocument/2006/relationships/hyperlink" Target="https://statiz.sporki.com/player/?m=playerinfo&amp;p_no=12515" TargetMode="External"/><Relationship Id="rId9076" Type="http://schemas.openxmlformats.org/officeDocument/2006/relationships/hyperlink" Target="https://statiz.sporki.com/player/?m=playerinfo&amp;p_no=10510" TargetMode="External"/><Relationship Id="rId12057" Type="http://schemas.openxmlformats.org/officeDocument/2006/relationships/hyperlink" Target="https://statiz.sporki.com/add/?m=draft_school02&amp;ps_school=60111" TargetMode="External"/><Relationship Id="rId13108" Type="http://schemas.openxmlformats.org/officeDocument/2006/relationships/hyperlink" Target="https://statiz.sporki.com/player/?m=playerinfo&amp;p_no=12912" TargetMode="External"/><Relationship Id="rId16678" Type="http://schemas.openxmlformats.org/officeDocument/2006/relationships/hyperlink" Target="https://statiz.sporki.com/add/?m=draft_school01&amp;ps_school=50111" TargetMode="External"/><Relationship Id="rId435" Type="http://schemas.openxmlformats.org/officeDocument/2006/relationships/hyperlink" Target="https://statiz.sporki.com/add/?m=draft_school02&amp;ps_school=60109" TargetMode="External"/><Relationship Id="rId1065" Type="http://schemas.openxmlformats.org/officeDocument/2006/relationships/hyperlink" Target="https://statiz.sporki.com/add/?m=draft_school02&amp;ps_school=" TargetMode="External"/><Relationship Id="rId2116" Type="http://schemas.openxmlformats.org/officeDocument/2006/relationships/hyperlink" Target="https://statiz.sporki.com/player/?m=playerinfo&amp;p_no=14190" TargetMode="External"/><Relationship Id="rId5686" Type="http://schemas.openxmlformats.org/officeDocument/2006/relationships/hyperlink" Target="https://statiz.sporki.com/player/?m=playerinfo&amp;p_no=2435" TargetMode="External"/><Relationship Id="rId6737" Type="http://schemas.openxmlformats.org/officeDocument/2006/relationships/hyperlink" Target="https://statiz.sporki.com/add/?m=draft_school01&amp;ps_school=50601" TargetMode="External"/><Relationship Id="rId17729" Type="http://schemas.openxmlformats.org/officeDocument/2006/relationships/hyperlink" Target="https://statiz.sporki.com/add/?m=draft_school01&amp;ps_school=50702" TargetMode="External"/><Relationship Id="rId19151" Type="http://schemas.openxmlformats.org/officeDocument/2006/relationships/hyperlink" Target="https://statiz.sporki.com/add/?m=draft_school01&amp;ps_school=50106" TargetMode="External"/><Relationship Id="rId4288" Type="http://schemas.openxmlformats.org/officeDocument/2006/relationships/hyperlink" Target="https://statiz.sporki.com/player/?m=playerinfo&amp;p_no=12703" TargetMode="External"/><Relationship Id="rId5339" Type="http://schemas.openxmlformats.org/officeDocument/2006/relationships/hyperlink" Target="https://statiz.sporki.com/add/?m=draft_school01&amp;ps_school=50202" TargetMode="External"/><Relationship Id="rId9210" Type="http://schemas.openxmlformats.org/officeDocument/2006/relationships/hyperlink" Target="https://statiz.sporki.com/add/?m=draft_school02&amp;ps_school=" TargetMode="External"/><Relationship Id="rId11140" Type="http://schemas.openxmlformats.org/officeDocument/2006/relationships/hyperlink" Target="https://statiz.sporki.com/player/?m=playerinfo&amp;p_no=1307" TargetMode="External"/><Relationship Id="rId15761" Type="http://schemas.openxmlformats.org/officeDocument/2006/relationships/hyperlink" Target="https://statiz.sporki.com/player/?m=playerinfo&amp;p_no=1394" TargetMode="External"/><Relationship Id="rId16812" Type="http://schemas.openxmlformats.org/officeDocument/2006/relationships/hyperlink" Target="https://statiz.sporki.com/add/?m=draft_school01&amp;ps_school=50215" TargetMode="External"/><Relationship Id="rId1949" Type="http://schemas.openxmlformats.org/officeDocument/2006/relationships/hyperlink" Target="https://statiz.sporki.com/add/?m=draft_school01&amp;ps_school=50403" TargetMode="External"/><Relationship Id="rId5820" Type="http://schemas.openxmlformats.org/officeDocument/2006/relationships/hyperlink" Target="https://statiz.sporki.com/add/?m=draft_school02&amp;ps_school=60702" TargetMode="External"/><Relationship Id="rId14363" Type="http://schemas.openxmlformats.org/officeDocument/2006/relationships/hyperlink" Target="https://statiz.sporki.com/player/?m=playerinfo&amp;p_no=2374" TargetMode="External"/><Relationship Id="rId15414" Type="http://schemas.openxmlformats.org/officeDocument/2006/relationships/hyperlink" Target="https://statiz.sporki.com/player/?m=playerinfo&amp;p_no=1646" TargetMode="External"/><Relationship Id="rId18984" Type="http://schemas.openxmlformats.org/officeDocument/2006/relationships/hyperlink" Target="https://statiz.sporki.com/add/?m=draft_school01&amp;ps_school=50110" TargetMode="External"/><Relationship Id="rId292" Type="http://schemas.openxmlformats.org/officeDocument/2006/relationships/hyperlink" Target="https://statiz.sporki.com/player/?m=playerinfo&amp;p_no=15506" TargetMode="External"/><Relationship Id="rId3371" Type="http://schemas.openxmlformats.org/officeDocument/2006/relationships/hyperlink" Target="https://statiz.sporki.com/add/?m=draft_school01&amp;ps_school=50801" TargetMode="External"/><Relationship Id="rId4422" Type="http://schemas.openxmlformats.org/officeDocument/2006/relationships/hyperlink" Target="https://statiz.sporki.com/add/?m=draft_school02&amp;ps_school=60109" TargetMode="External"/><Relationship Id="rId7992" Type="http://schemas.openxmlformats.org/officeDocument/2006/relationships/hyperlink" Target="https://statiz.sporki.com/add/?m=draft_school02&amp;ps_school=" TargetMode="External"/><Relationship Id="rId14016" Type="http://schemas.openxmlformats.org/officeDocument/2006/relationships/hyperlink" Target="https://statiz.sporki.com/player/?m=playerinfo&amp;p_no=10801" TargetMode="External"/><Relationship Id="rId17586" Type="http://schemas.openxmlformats.org/officeDocument/2006/relationships/hyperlink" Target="https://statiz.sporki.com/add/?m=draft_school01&amp;ps_school=50706" TargetMode="External"/><Relationship Id="rId18637" Type="http://schemas.openxmlformats.org/officeDocument/2006/relationships/hyperlink" Target="https://statiz.sporki.com/add/?m=draft_school01&amp;ps_school=50104" TargetMode="External"/><Relationship Id="rId3024" Type="http://schemas.openxmlformats.org/officeDocument/2006/relationships/hyperlink" Target="https://statiz.sporki.com/add/?m=draft_school02&amp;ps_school=60205" TargetMode="External"/><Relationship Id="rId6594" Type="http://schemas.openxmlformats.org/officeDocument/2006/relationships/hyperlink" Target="https://statiz.sporki.com/add/?m=draft_school02&amp;ps_school=" TargetMode="External"/><Relationship Id="rId7645" Type="http://schemas.openxmlformats.org/officeDocument/2006/relationships/hyperlink" Target="https://statiz.sporki.com/player/?m=playerinfo&amp;p_no=10438" TargetMode="External"/><Relationship Id="rId10973" Type="http://schemas.openxmlformats.org/officeDocument/2006/relationships/hyperlink" Target="https://statiz.sporki.com/add/?m=draft_school01&amp;ps_school=50112" TargetMode="External"/><Relationship Id="rId16188" Type="http://schemas.openxmlformats.org/officeDocument/2006/relationships/hyperlink" Target="https://statiz.sporki.com/player/?m=playerinfo&amp;p_no=11476" TargetMode="External"/><Relationship Id="rId17239" Type="http://schemas.openxmlformats.org/officeDocument/2006/relationships/hyperlink" Target="https://statiz.sporki.com/add/?m=draft_school01&amp;ps_school=50105" TargetMode="External"/><Relationship Id="rId5196" Type="http://schemas.openxmlformats.org/officeDocument/2006/relationships/hyperlink" Target="https://statiz.sporki.com/add/?m=draft_school02&amp;ps_school=" TargetMode="External"/><Relationship Id="rId6247" Type="http://schemas.openxmlformats.org/officeDocument/2006/relationships/hyperlink" Target="https://statiz.sporki.com/player/?m=playerinfo&amp;p_no=10087" TargetMode="External"/><Relationship Id="rId10626" Type="http://schemas.openxmlformats.org/officeDocument/2006/relationships/hyperlink" Target="https://statiz.sporki.com/add/?m=draft_school02&amp;ps_school=60802" TargetMode="External"/><Relationship Id="rId12798" Type="http://schemas.openxmlformats.org/officeDocument/2006/relationships/hyperlink" Target="https://statiz.sporki.com/player/?m=playerinfo&amp;p_no=14109" TargetMode="External"/><Relationship Id="rId13849" Type="http://schemas.openxmlformats.org/officeDocument/2006/relationships/hyperlink" Target="https://statiz.sporki.com/player/?m=playerinfo&amp;p_no=10897" TargetMode="External"/><Relationship Id="rId17720" Type="http://schemas.openxmlformats.org/officeDocument/2006/relationships/hyperlink" Target="https://statiz.sporki.com/add/?m=draft_school01&amp;ps_school=50107" TargetMode="External"/><Relationship Id="rId1459" Type="http://schemas.openxmlformats.org/officeDocument/2006/relationships/hyperlink" Target="https://statiz.sporki.com/player/?m=playerinfo&amp;p_no=14623" TargetMode="External"/><Relationship Id="rId2857" Type="http://schemas.openxmlformats.org/officeDocument/2006/relationships/hyperlink" Target="https://statiz.sporki.com/player/?m=playerinfo&amp;p_no=12871" TargetMode="External"/><Relationship Id="rId3908" Type="http://schemas.openxmlformats.org/officeDocument/2006/relationships/hyperlink" Target="https://statiz.sporki.com/add/?m=draft_school01&amp;ps_school=" TargetMode="External"/><Relationship Id="rId5330" Type="http://schemas.openxmlformats.org/officeDocument/2006/relationships/hyperlink" Target="https://statiz.sporki.com/add/?m=draft_school01&amp;ps_school=50107" TargetMode="External"/><Relationship Id="rId15271" Type="http://schemas.openxmlformats.org/officeDocument/2006/relationships/hyperlink" Target="https://statiz.sporki.com/player/?m=playerinfo&amp;p_no=1850" TargetMode="External"/><Relationship Id="rId16322" Type="http://schemas.openxmlformats.org/officeDocument/2006/relationships/hyperlink" Target="https://statiz.sporki.com/add/?m=draft_school01&amp;ps_school=50202" TargetMode="External"/><Relationship Id="rId829" Type="http://schemas.openxmlformats.org/officeDocument/2006/relationships/hyperlink" Target="https://statiz.sporki.com/player/?m=playerinfo&amp;p_no=15150" TargetMode="External"/><Relationship Id="rId9951" Type="http://schemas.openxmlformats.org/officeDocument/2006/relationships/hyperlink" Target="https://statiz.sporki.com/add/?m=draft_school02&amp;ps_school=" TargetMode="External"/><Relationship Id="rId11881" Type="http://schemas.openxmlformats.org/officeDocument/2006/relationships/hyperlink" Target="https://statiz.sporki.com/player/?m=playerinfo&amp;p_no=1063" TargetMode="External"/><Relationship Id="rId12932" Type="http://schemas.openxmlformats.org/officeDocument/2006/relationships/hyperlink" Target="https://statiz.sporki.com/player/?m=playerinfo&amp;p_no=13147" TargetMode="External"/><Relationship Id="rId18494" Type="http://schemas.openxmlformats.org/officeDocument/2006/relationships/hyperlink" Target="https://statiz.sporki.com/add/?m=draft_school01&amp;ps_school=50402" TargetMode="External"/><Relationship Id="rId19545" Type="http://schemas.openxmlformats.org/officeDocument/2006/relationships/hyperlink" Target="https://statiz.sporki.com/add/?m=draft_school01&amp;ps_school=50122" TargetMode="External"/><Relationship Id="rId1940" Type="http://schemas.openxmlformats.org/officeDocument/2006/relationships/hyperlink" Target="https://statiz.sporki.com/add/?m=draft_school01&amp;ps_school=50108" TargetMode="External"/><Relationship Id="rId8553" Type="http://schemas.openxmlformats.org/officeDocument/2006/relationships/hyperlink" Target="https://statiz.sporki.com/add/?m=draft_school02&amp;ps_school=" TargetMode="External"/><Relationship Id="rId9604" Type="http://schemas.openxmlformats.org/officeDocument/2006/relationships/hyperlink" Target="https://statiz.sporki.com/player/?m=playerinfo&amp;p_no=1743" TargetMode="External"/><Relationship Id="rId10483" Type="http://schemas.openxmlformats.org/officeDocument/2006/relationships/hyperlink" Target="https://statiz.sporki.com/player/?m=playerinfo&amp;p_no=1553" TargetMode="External"/><Relationship Id="rId11534" Type="http://schemas.openxmlformats.org/officeDocument/2006/relationships/hyperlink" Target="https://statiz.sporki.com/add/?m=draft_school01&amp;ps_school=" TargetMode="External"/><Relationship Id="rId17096" Type="http://schemas.openxmlformats.org/officeDocument/2006/relationships/hyperlink" Target="https://statiz.sporki.com/add/?m=draft_school01&amp;ps_school=51119" TargetMode="External"/><Relationship Id="rId18147" Type="http://schemas.openxmlformats.org/officeDocument/2006/relationships/hyperlink" Target="https://statiz.sporki.com/add/?m=draft_school01&amp;ps_school=50403" TargetMode="External"/><Relationship Id="rId7155" Type="http://schemas.openxmlformats.org/officeDocument/2006/relationships/hyperlink" Target="https://statiz.sporki.com/add/?m=draft_school02&amp;ps_school=" TargetMode="External"/><Relationship Id="rId8206" Type="http://schemas.openxmlformats.org/officeDocument/2006/relationships/hyperlink" Target="https://statiz.sporki.com/player/?m=playerinfo&amp;p_no=2069" TargetMode="External"/><Relationship Id="rId10136" Type="http://schemas.openxmlformats.org/officeDocument/2006/relationships/hyperlink" Target="https://statiz.sporki.com/add/?m=draft_school01&amp;ps_school=50602" TargetMode="External"/><Relationship Id="rId14757" Type="http://schemas.openxmlformats.org/officeDocument/2006/relationships/hyperlink" Target="https://statiz.sporki.com/player/?m=playerinfo&amp;p_no=10139" TargetMode="External"/><Relationship Id="rId3765" Type="http://schemas.openxmlformats.org/officeDocument/2006/relationships/hyperlink" Target="https://statiz.sporki.com/add/?m=draft_school02&amp;ps_school=60113" TargetMode="External"/><Relationship Id="rId4816" Type="http://schemas.openxmlformats.org/officeDocument/2006/relationships/hyperlink" Target="https://statiz.sporki.com/player/?m=playerinfo&amp;p_no=10910" TargetMode="External"/><Relationship Id="rId13359" Type="http://schemas.openxmlformats.org/officeDocument/2006/relationships/hyperlink" Target="https://statiz.sporki.com/player/?m=playerinfo&amp;p_no=11489" TargetMode="External"/><Relationship Id="rId15808" Type="http://schemas.openxmlformats.org/officeDocument/2006/relationships/hyperlink" Target="https://statiz.sporki.com/player/?m=playerinfo&amp;p_no=1818" TargetMode="External"/><Relationship Id="rId17230" Type="http://schemas.openxmlformats.org/officeDocument/2006/relationships/hyperlink" Target="https://statiz.sporki.com/add/?m=draft_school01&amp;ps_school=50804" TargetMode="External"/><Relationship Id="rId686" Type="http://schemas.openxmlformats.org/officeDocument/2006/relationships/hyperlink" Target="https://statiz.sporki.com/add/?m=draft_school01&amp;ps_school=50504" TargetMode="External"/><Relationship Id="rId2367" Type="http://schemas.openxmlformats.org/officeDocument/2006/relationships/hyperlink" Target="https://statiz.sporki.com/add/?m=draft_school02&amp;ps_school=" TargetMode="External"/><Relationship Id="rId3418" Type="http://schemas.openxmlformats.org/officeDocument/2006/relationships/hyperlink" Target="https://statiz.sporki.com/player/?m=playerinfo&amp;p_no=12542" TargetMode="External"/><Relationship Id="rId339" Type="http://schemas.openxmlformats.org/officeDocument/2006/relationships/hyperlink" Target="https://statiz.sporki.com/add/?m=draft_school02&amp;ps_school=" TargetMode="External"/><Relationship Id="rId6988" Type="http://schemas.openxmlformats.org/officeDocument/2006/relationships/hyperlink" Target="https://statiz.sporki.com/player/?m=playerinfo&amp;p_no=10765" TargetMode="External"/><Relationship Id="rId9461" Type="http://schemas.openxmlformats.org/officeDocument/2006/relationships/hyperlink" Target="https://statiz.sporki.com/add/?m=draft_school01&amp;ps_school=50702" TargetMode="External"/><Relationship Id="rId13840" Type="http://schemas.openxmlformats.org/officeDocument/2006/relationships/hyperlink" Target="https://statiz.sporki.com/player/?m=playerinfo&amp;p_no=10807" TargetMode="External"/><Relationship Id="rId19055" Type="http://schemas.openxmlformats.org/officeDocument/2006/relationships/hyperlink" Target="https://statiz.sporki.com/add/?m=draft_school01&amp;ps_school=50114" TargetMode="External"/><Relationship Id="rId8063" Type="http://schemas.openxmlformats.org/officeDocument/2006/relationships/hyperlink" Target="https://statiz.sporki.com/add/?m=draft_school01&amp;ps_school=50501" TargetMode="External"/><Relationship Id="rId9114" Type="http://schemas.openxmlformats.org/officeDocument/2006/relationships/hyperlink" Target="https://statiz.sporki.com/add/?m=draft_school02&amp;ps_school=60109" TargetMode="External"/><Relationship Id="rId11391" Type="http://schemas.openxmlformats.org/officeDocument/2006/relationships/hyperlink" Target="https://statiz.sporki.com/add/?m=draft_school02&amp;ps_school=" TargetMode="External"/><Relationship Id="rId12442" Type="http://schemas.openxmlformats.org/officeDocument/2006/relationships/hyperlink" Target="https://statiz.sporki.com/player/?m=playerinfo&amp;p_no=15122" TargetMode="External"/><Relationship Id="rId820" Type="http://schemas.openxmlformats.org/officeDocument/2006/relationships/hyperlink" Target="https://statiz.sporki.com/player/?m=playerinfo&amp;p_no=15144" TargetMode="External"/><Relationship Id="rId1450" Type="http://schemas.openxmlformats.org/officeDocument/2006/relationships/hyperlink" Target="https://statiz.sporki.com/player/?m=playerinfo&amp;p_no=14597" TargetMode="External"/><Relationship Id="rId2501" Type="http://schemas.openxmlformats.org/officeDocument/2006/relationships/hyperlink" Target="https://statiz.sporki.com/add/?m=draft_school01&amp;ps_school=50103" TargetMode="External"/><Relationship Id="rId11044" Type="http://schemas.openxmlformats.org/officeDocument/2006/relationships/hyperlink" Target="https://statiz.sporki.com/player/?m=playerinfo&amp;p_no=1345" TargetMode="External"/><Relationship Id="rId15665" Type="http://schemas.openxmlformats.org/officeDocument/2006/relationships/hyperlink" Target="https://statiz.sporki.com/player/?m=playerinfo&amp;p_no=1427" TargetMode="External"/><Relationship Id="rId16716" Type="http://schemas.openxmlformats.org/officeDocument/2006/relationships/hyperlink" Target="https://statiz.sporki.com/add/?m=draft_school01&amp;ps_school=50401" TargetMode="External"/><Relationship Id="rId1103" Type="http://schemas.openxmlformats.org/officeDocument/2006/relationships/hyperlink" Target="https://statiz.sporki.com/add/?m=draft_school01&amp;ps_school=50209" TargetMode="External"/><Relationship Id="rId4673" Type="http://schemas.openxmlformats.org/officeDocument/2006/relationships/hyperlink" Target="https://statiz.sporki.com/add/?m=draft_school01&amp;ps_school=" TargetMode="External"/><Relationship Id="rId5724" Type="http://schemas.openxmlformats.org/officeDocument/2006/relationships/hyperlink" Target="https://statiz.sporki.com/add/?m=draft_school02&amp;ps_school=60301" TargetMode="External"/><Relationship Id="rId14267" Type="http://schemas.openxmlformats.org/officeDocument/2006/relationships/hyperlink" Target="https://statiz.sporki.com/player/?m=playerinfo&amp;p_no=10690" TargetMode="External"/><Relationship Id="rId15318" Type="http://schemas.openxmlformats.org/officeDocument/2006/relationships/hyperlink" Target="https://statiz.sporki.com/player/?m=playerinfo&amp;p_no=11238" TargetMode="External"/><Relationship Id="rId18888" Type="http://schemas.openxmlformats.org/officeDocument/2006/relationships/hyperlink" Target="https://statiz.sporki.com/add/?m=draft_school01&amp;ps_school=50403" TargetMode="External"/><Relationship Id="rId3275" Type="http://schemas.openxmlformats.org/officeDocument/2006/relationships/hyperlink" Target="https://statiz.sporki.com/add/?m=draft_school01&amp;ps_school=50604" TargetMode="External"/><Relationship Id="rId4326" Type="http://schemas.openxmlformats.org/officeDocument/2006/relationships/hyperlink" Target="https://statiz.sporki.com/add/?m=draft_school02&amp;ps_school=" TargetMode="External"/><Relationship Id="rId7896" Type="http://schemas.openxmlformats.org/officeDocument/2006/relationships/hyperlink" Target="https://statiz.sporki.com/add/?m=draft_school02&amp;ps_school=60103" TargetMode="External"/><Relationship Id="rId8947" Type="http://schemas.openxmlformats.org/officeDocument/2006/relationships/hyperlink" Target="https://statiz.sporki.com/player/?m=playerinfo&amp;p_no=1991" TargetMode="External"/><Relationship Id="rId196" Type="http://schemas.openxmlformats.org/officeDocument/2006/relationships/hyperlink" Target="https://statiz.sporki.com/player/?m=playerinfo&amp;p_no=15479" TargetMode="External"/><Relationship Id="rId6498" Type="http://schemas.openxmlformats.org/officeDocument/2006/relationships/hyperlink" Target="https://statiz.sporki.com/add/?m=draft_school02&amp;ps_school=" TargetMode="External"/><Relationship Id="rId7549" Type="http://schemas.openxmlformats.org/officeDocument/2006/relationships/hyperlink" Target="https://statiz.sporki.com/player/?m=playerinfo&amp;p_no=2264" TargetMode="External"/><Relationship Id="rId10877" Type="http://schemas.openxmlformats.org/officeDocument/2006/relationships/hyperlink" Target="https://statiz.sporki.com/add/?m=draft_school01&amp;ps_school=50403" TargetMode="External"/><Relationship Id="rId11928" Type="http://schemas.openxmlformats.org/officeDocument/2006/relationships/hyperlink" Target="https://statiz.sporki.com/add/?m=draft_school02&amp;ps_school=60103" TargetMode="External"/><Relationship Id="rId13350" Type="http://schemas.openxmlformats.org/officeDocument/2006/relationships/hyperlink" Target="https://statiz.sporki.com/player/?m=playerinfo&amp;p_no=11379" TargetMode="External"/><Relationship Id="rId14401" Type="http://schemas.openxmlformats.org/officeDocument/2006/relationships/hyperlink" Target="https://statiz.sporki.com/player/?m=playerinfo&amp;p_no=2401" TargetMode="External"/><Relationship Id="rId17971" Type="http://schemas.openxmlformats.org/officeDocument/2006/relationships/hyperlink" Target="https://statiz.sporki.com/add/?m=draft_school01&amp;ps_school=50102" TargetMode="External"/><Relationship Id="rId330" Type="http://schemas.openxmlformats.org/officeDocument/2006/relationships/hyperlink" Target="https://statiz.sporki.com/add/?m=draft_school02&amp;ps_school=" TargetMode="External"/><Relationship Id="rId2011" Type="http://schemas.openxmlformats.org/officeDocument/2006/relationships/hyperlink" Target="https://statiz.sporki.com/player/?m=playerinfo&amp;p_no=14212" TargetMode="External"/><Relationship Id="rId13003" Type="http://schemas.openxmlformats.org/officeDocument/2006/relationships/hyperlink" Target="https://statiz.sporki.com/player/?m=playerinfo&amp;p_no=13165" TargetMode="External"/><Relationship Id="rId16573" Type="http://schemas.openxmlformats.org/officeDocument/2006/relationships/hyperlink" Target="https://statiz.sporki.com/add/?m=draft_school01&amp;ps_school=51110" TargetMode="External"/><Relationship Id="rId17624" Type="http://schemas.openxmlformats.org/officeDocument/2006/relationships/hyperlink" Target="https://statiz.sporki.com/add/?m=draft_school01&amp;ps_school=50301" TargetMode="External"/><Relationship Id="rId4183" Type="http://schemas.openxmlformats.org/officeDocument/2006/relationships/hyperlink" Target="https://statiz.sporki.com/player/?m=playerinfo&amp;p_no=12527" TargetMode="External"/><Relationship Id="rId5581" Type="http://schemas.openxmlformats.org/officeDocument/2006/relationships/hyperlink" Target="https://statiz.sporki.com/player/?m=playerinfo&amp;p_no=10185" TargetMode="External"/><Relationship Id="rId6632" Type="http://schemas.openxmlformats.org/officeDocument/2006/relationships/hyperlink" Target="https://statiz.sporki.com/add/?m=draft_school01&amp;ps_school=" TargetMode="External"/><Relationship Id="rId15175" Type="http://schemas.openxmlformats.org/officeDocument/2006/relationships/hyperlink" Target="https://statiz.sporki.com/player/?m=playerinfo&amp;p_no=1906" TargetMode="External"/><Relationship Id="rId16226" Type="http://schemas.openxmlformats.org/officeDocument/2006/relationships/hyperlink" Target="https://statiz.sporki.com/add/?m=draft_school01&amp;ps_school=50111" TargetMode="External"/><Relationship Id="rId5234" Type="http://schemas.openxmlformats.org/officeDocument/2006/relationships/hyperlink" Target="https://statiz.sporki.com/add/?m=draft_school01&amp;ps_school=50602" TargetMode="External"/><Relationship Id="rId9855" Type="http://schemas.openxmlformats.org/officeDocument/2006/relationships/hyperlink" Target="https://statiz.sporki.com/add/?m=draft_school02&amp;ps_school=60204" TargetMode="External"/><Relationship Id="rId11785" Type="http://schemas.openxmlformats.org/officeDocument/2006/relationships/hyperlink" Target="https://statiz.sporki.com/player/?m=playerinfo&amp;p_no=1080" TargetMode="External"/><Relationship Id="rId12836" Type="http://schemas.openxmlformats.org/officeDocument/2006/relationships/hyperlink" Target="https://statiz.sporki.com/player/?m=playerinfo&amp;p_no=14184" TargetMode="External"/><Relationship Id="rId18398" Type="http://schemas.openxmlformats.org/officeDocument/2006/relationships/hyperlink" Target="https://statiz.sporki.com/add/?m=draft_school01&amp;ps_school=50103" TargetMode="External"/><Relationship Id="rId19449" Type="http://schemas.openxmlformats.org/officeDocument/2006/relationships/hyperlink" Target="https://statiz.sporki.com/add/?m=draft_school01&amp;ps_school=50501" TargetMode="External"/><Relationship Id="rId69" Type="http://schemas.openxmlformats.org/officeDocument/2006/relationships/hyperlink" Target="https://statiz.sporki.com/add/?m=draft_school02&amp;ps_school=" TargetMode="External"/><Relationship Id="rId1844" Type="http://schemas.openxmlformats.org/officeDocument/2006/relationships/hyperlink" Target="https://statiz.sporki.com/add/?m=draft_school01&amp;ps_school=50703" TargetMode="External"/><Relationship Id="rId8457" Type="http://schemas.openxmlformats.org/officeDocument/2006/relationships/hyperlink" Target="https://statiz.sporki.com/add/?m=draft_school02&amp;ps_school=60101" TargetMode="External"/><Relationship Id="rId9508" Type="http://schemas.openxmlformats.org/officeDocument/2006/relationships/hyperlink" Target="https://statiz.sporki.com/player/?m=playerinfo&amp;p_no=1855" TargetMode="External"/><Relationship Id="rId10387" Type="http://schemas.openxmlformats.org/officeDocument/2006/relationships/hyperlink" Target="https://statiz.sporki.com/player/?m=playerinfo&amp;p_no=1548" TargetMode="External"/><Relationship Id="rId11438" Type="http://schemas.openxmlformats.org/officeDocument/2006/relationships/hyperlink" Target="https://statiz.sporki.com/add/?m=draft_school01&amp;ps_school=50401" TargetMode="External"/><Relationship Id="rId7059" Type="http://schemas.openxmlformats.org/officeDocument/2006/relationships/hyperlink" Target="https://statiz.sporki.com/add/?m=draft_school02&amp;ps_school=" TargetMode="External"/><Relationship Id="rId3669" Type="http://schemas.openxmlformats.org/officeDocument/2006/relationships/hyperlink" Target="https://statiz.sporki.com/add/?m=draft_school02&amp;ps_school=" TargetMode="External"/><Relationship Id="rId7540" Type="http://schemas.openxmlformats.org/officeDocument/2006/relationships/hyperlink" Target="https://statiz.sporki.com/player/?m=playerinfo&amp;p_no=10489" TargetMode="External"/><Relationship Id="rId16083" Type="http://schemas.openxmlformats.org/officeDocument/2006/relationships/hyperlink" Target="https://statiz.sporki.com/player/?m=playerinfo&amp;p_no=1124" TargetMode="External"/><Relationship Id="rId17134" Type="http://schemas.openxmlformats.org/officeDocument/2006/relationships/hyperlink" Target="https://statiz.sporki.com/add/?m=draft_school01&amp;ps_school=50105" TargetMode="External"/><Relationship Id="rId17481" Type="http://schemas.openxmlformats.org/officeDocument/2006/relationships/hyperlink" Target="https://statiz.sporki.com/add/?m=draft_school01&amp;ps_school=50403" TargetMode="External"/><Relationship Id="rId18532" Type="http://schemas.openxmlformats.org/officeDocument/2006/relationships/hyperlink" Target="https://statiz.sporki.com/add/?m=draft_school01&amp;ps_school=50110" TargetMode="External"/><Relationship Id="rId5091" Type="http://schemas.openxmlformats.org/officeDocument/2006/relationships/hyperlink" Target="https://statiz.sporki.com/add/?m=draft_school02&amp;ps_school=60104" TargetMode="External"/><Relationship Id="rId6142" Type="http://schemas.openxmlformats.org/officeDocument/2006/relationships/hyperlink" Target="https://statiz.sporki.com/player/?m=playerinfo&amp;p_no=10342" TargetMode="External"/><Relationship Id="rId10521" Type="http://schemas.openxmlformats.org/officeDocument/2006/relationships/hyperlink" Target="https://statiz.sporki.com/add/?m=draft_school02&amp;ps_school=" TargetMode="External"/><Relationship Id="rId12693" Type="http://schemas.openxmlformats.org/officeDocument/2006/relationships/hyperlink" Target="https://statiz.sporki.com/player/?m=playerinfo&amp;p_no=14718" TargetMode="External"/><Relationship Id="rId13744" Type="http://schemas.openxmlformats.org/officeDocument/2006/relationships/hyperlink" Target="https://statiz.sporki.com/player/?m=playerinfo&amp;p_no=10851" TargetMode="External"/><Relationship Id="rId2752" Type="http://schemas.openxmlformats.org/officeDocument/2006/relationships/hyperlink" Target="https://statiz.sporki.com/player/?m=playerinfo&amp;p_no=12920" TargetMode="External"/><Relationship Id="rId3803" Type="http://schemas.openxmlformats.org/officeDocument/2006/relationships/hyperlink" Target="https://statiz.sporki.com/add/?m=draft_school01&amp;ps_school=50501" TargetMode="External"/><Relationship Id="rId9365" Type="http://schemas.openxmlformats.org/officeDocument/2006/relationships/hyperlink" Target="https://statiz.sporki.com/add/?m=draft_school01&amp;ps_school=50110" TargetMode="External"/><Relationship Id="rId11295" Type="http://schemas.openxmlformats.org/officeDocument/2006/relationships/hyperlink" Target="https://statiz.sporki.com/add/?m=draft_school02&amp;ps_school=60803" TargetMode="External"/><Relationship Id="rId12346" Type="http://schemas.openxmlformats.org/officeDocument/2006/relationships/hyperlink" Target="https://statiz.sporki.com/player/?m=playerinfo&amp;p_no=15038" TargetMode="External"/><Relationship Id="rId16967" Type="http://schemas.openxmlformats.org/officeDocument/2006/relationships/hyperlink" Target="https://statiz.sporki.com/add/?m=draft_school01&amp;ps_school=50210" TargetMode="External"/><Relationship Id="rId724" Type="http://schemas.openxmlformats.org/officeDocument/2006/relationships/hyperlink" Target="https://statiz.sporki.com/player/?m=playerinfo&amp;p_no=15118" TargetMode="External"/><Relationship Id="rId1354" Type="http://schemas.openxmlformats.org/officeDocument/2006/relationships/hyperlink" Target="https://statiz.sporki.com/player/?m=playerinfo&amp;p_no=14837" TargetMode="External"/><Relationship Id="rId2405" Type="http://schemas.openxmlformats.org/officeDocument/2006/relationships/hyperlink" Target="https://statiz.sporki.com/add/?m=draft_school01&amp;ps_school=50602" TargetMode="External"/><Relationship Id="rId5975" Type="http://schemas.openxmlformats.org/officeDocument/2006/relationships/hyperlink" Target="https://statiz.sporki.com/add/?m=draft_school01&amp;ps_school=50403" TargetMode="External"/><Relationship Id="rId9018" Type="http://schemas.openxmlformats.org/officeDocument/2006/relationships/hyperlink" Target="https://statiz.sporki.com/add/?m=draft_school02&amp;ps_school=60802" TargetMode="External"/><Relationship Id="rId15569" Type="http://schemas.openxmlformats.org/officeDocument/2006/relationships/hyperlink" Target="https://statiz.sporki.com/player/?m=playerinfo&amp;p_no=1761" TargetMode="External"/><Relationship Id="rId19440" Type="http://schemas.openxmlformats.org/officeDocument/2006/relationships/hyperlink" Target="https://statiz.sporki.com/add/?m=draft_school01&amp;ps_school=50608" TargetMode="External"/><Relationship Id="rId60" Type="http://schemas.openxmlformats.org/officeDocument/2006/relationships/hyperlink" Target="https://statiz.sporki.com/add/?m=draft_school02&amp;ps_school=" TargetMode="External"/><Relationship Id="rId1007" Type="http://schemas.openxmlformats.org/officeDocument/2006/relationships/hyperlink" Target="https://statiz.sporki.com/add/?m=draft_school01&amp;ps_school=50402" TargetMode="External"/><Relationship Id="rId4577" Type="http://schemas.openxmlformats.org/officeDocument/2006/relationships/hyperlink" Target="https://statiz.sporki.com/add/?m=draft_school01&amp;ps_school=50116" TargetMode="External"/><Relationship Id="rId5628" Type="http://schemas.openxmlformats.org/officeDocument/2006/relationships/hyperlink" Target="https://statiz.sporki.com/add/?m=draft_school02&amp;ps_school=60404" TargetMode="External"/><Relationship Id="rId18042" Type="http://schemas.openxmlformats.org/officeDocument/2006/relationships/hyperlink" Target="https://statiz.sporki.com/add/?m=draft_school01&amp;ps_school=50403" TargetMode="External"/><Relationship Id="rId3179" Type="http://schemas.openxmlformats.org/officeDocument/2006/relationships/hyperlink" Target="https://statiz.sporki.com/add/?m=draft_school01&amp;ps_school=50107" TargetMode="External"/><Relationship Id="rId7050" Type="http://schemas.openxmlformats.org/officeDocument/2006/relationships/hyperlink" Target="https://statiz.sporki.com/add/?m=draft_school02&amp;ps_school=" TargetMode="External"/><Relationship Id="rId8101" Type="http://schemas.openxmlformats.org/officeDocument/2006/relationships/hyperlink" Target="https://statiz.sporki.com/player/?m=playerinfo&amp;p_no=2080" TargetMode="External"/><Relationship Id="rId10031" Type="http://schemas.openxmlformats.org/officeDocument/2006/relationships/hyperlink" Target="https://statiz.sporki.com/add/?m=draft_school01&amp;ps_school=50209" TargetMode="External"/><Relationship Id="rId14652" Type="http://schemas.openxmlformats.org/officeDocument/2006/relationships/hyperlink" Target="https://statiz.sporki.com/player/?m=playerinfo&amp;p_no=2257" TargetMode="External"/><Relationship Id="rId15703" Type="http://schemas.openxmlformats.org/officeDocument/2006/relationships/hyperlink" Target="https://statiz.sporki.com/player/?m=playerinfo&amp;p_no=1489" TargetMode="External"/><Relationship Id="rId581" Type="http://schemas.openxmlformats.org/officeDocument/2006/relationships/hyperlink" Target="https://statiz.sporki.com/add/?m=draft_school01&amp;ps_school=50207" TargetMode="External"/><Relationship Id="rId2262" Type="http://schemas.openxmlformats.org/officeDocument/2006/relationships/hyperlink" Target="https://statiz.sporki.com/add/?m=draft_school02&amp;ps_school=60108" TargetMode="External"/><Relationship Id="rId3660" Type="http://schemas.openxmlformats.org/officeDocument/2006/relationships/hyperlink" Target="https://statiz.sporki.com/add/?m=draft_school02&amp;ps_school=" TargetMode="External"/><Relationship Id="rId4711" Type="http://schemas.openxmlformats.org/officeDocument/2006/relationships/hyperlink" Target="https://statiz.sporki.com/player/?m=playerinfo&amp;p_no=12993" TargetMode="External"/><Relationship Id="rId13254" Type="http://schemas.openxmlformats.org/officeDocument/2006/relationships/hyperlink" Target="https://statiz.sporki.com/player/?m=playerinfo&amp;p_no=12622" TargetMode="External"/><Relationship Id="rId14305" Type="http://schemas.openxmlformats.org/officeDocument/2006/relationships/hyperlink" Target="https://statiz.sporki.com/player/?m=playerinfo&amp;p_no=10077" TargetMode="External"/><Relationship Id="rId17875" Type="http://schemas.openxmlformats.org/officeDocument/2006/relationships/hyperlink" Target="https://statiz.sporki.com/add/?m=draft_school01&amp;ps_school=50805" TargetMode="External"/><Relationship Id="rId18926" Type="http://schemas.openxmlformats.org/officeDocument/2006/relationships/hyperlink" Target="https://statiz.sporki.com/add/?m=draft_school01&amp;ps_school=50102" TargetMode="External"/><Relationship Id="rId234" Type="http://schemas.openxmlformats.org/officeDocument/2006/relationships/hyperlink" Target="https://statiz.sporki.com/add/?m=draft_school02&amp;ps_school=" TargetMode="External"/><Relationship Id="rId3313" Type="http://schemas.openxmlformats.org/officeDocument/2006/relationships/hyperlink" Target="https://statiz.sporki.com/player/?m=playerinfo&amp;p_no=12631" TargetMode="External"/><Relationship Id="rId6883" Type="http://schemas.openxmlformats.org/officeDocument/2006/relationships/hyperlink" Target="https://statiz.sporki.com/player/?m=playerinfo&amp;p_no=2339" TargetMode="External"/><Relationship Id="rId7934" Type="http://schemas.openxmlformats.org/officeDocument/2006/relationships/hyperlink" Target="https://statiz.sporki.com/add/?m=draft_school01&amp;ps_school=50807" TargetMode="External"/><Relationship Id="rId16477" Type="http://schemas.openxmlformats.org/officeDocument/2006/relationships/hyperlink" Target="https://statiz.sporki.com/add/?m=draft_school01&amp;ps_school=50208" TargetMode="External"/><Relationship Id="rId17528" Type="http://schemas.openxmlformats.org/officeDocument/2006/relationships/hyperlink" Target="https://statiz.sporki.com/add/?m=draft_school01&amp;ps_school=50601" TargetMode="External"/><Relationship Id="rId5485" Type="http://schemas.openxmlformats.org/officeDocument/2006/relationships/hyperlink" Target="https://statiz.sporki.com/player/?m=playerinfo&amp;p_no=10223" TargetMode="External"/><Relationship Id="rId6536" Type="http://schemas.openxmlformats.org/officeDocument/2006/relationships/hyperlink" Target="https://statiz.sporki.com/add/?m=draft_school01&amp;ps_school=50904" TargetMode="External"/><Relationship Id="rId10915" Type="http://schemas.openxmlformats.org/officeDocument/2006/relationships/hyperlink" Target="https://statiz.sporki.com/player/?m=playerinfo&amp;p_no=1375" TargetMode="External"/><Relationship Id="rId15079" Type="http://schemas.openxmlformats.org/officeDocument/2006/relationships/hyperlink" Target="https://statiz.sporki.com/player/?m=playerinfo&amp;p_no=2163" TargetMode="External"/><Relationship Id="rId4087" Type="http://schemas.openxmlformats.org/officeDocument/2006/relationships/hyperlink" Target="https://statiz.sporki.com/player/?m=playerinfo&amp;p_no=11259" TargetMode="External"/><Relationship Id="rId5138" Type="http://schemas.openxmlformats.org/officeDocument/2006/relationships/hyperlink" Target="https://statiz.sporki.com/add/?m=draft_school01&amp;ps_school=50110" TargetMode="External"/><Relationship Id="rId9759" Type="http://schemas.openxmlformats.org/officeDocument/2006/relationships/hyperlink" Target="https://statiz.sporki.com/add/?m=draft_school02&amp;ps_school=" TargetMode="External"/><Relationship Id="rId1748" Type="http://schemas.openxmlformats.org/officeDocument/2006/relationships/hyperlink" Target="https://statiz.sporki.com/add/?m=draft_school01&amp;ps_school=51114" TargetMode="External"/><Relationship Id="rId11689" Type="http://schemas.openxmlformats.org/officeDocument/2006/relationships/hyperlink" Target="https://statiz.sporki.com/player/?m=playerinfo&amp;p_no=1166" TargetMode="External"/><Relationship Id="rId14162" Type="http://schemas.openxmlformats.org/officeDocument/2006/relationships/hyperlink" Target="https://statiz.sporki.com/player/?m=playerinfo&amp;p_no=10725" TargetMode="External"/><Relationship Id="rId15560" Type="http://schemas.openxmlformats.org/officeDocument/2006/relationships/hyperlink" Target="https://statiz.sporki.com/player/?m=playerinfo&amp;p_no=1706" TargetMode="External"/><Relationship Id="rId16611" Type="http://schemas.openxmlformats.org/officeDocument/2006/relationships/hyperlink" Target="https://statiz.sporki.com/add/?m=draft_school01&amp;ps_school=50108" TargetMode="External"/><Relationship Id="rId3170" Type="http://schemas.openxmlformats.org/officeDocument/2006/relationships/hyperlink" Target="https://statiz.sporki.com/add/?m=draft_school01&amp;ps_school=50805" TargetMode="External"/><Relationship Id="rId4221" Type="http://schemas.openxmlformats.org/officeDocument/2006/relationships/hyperlink" Target="https://statiz.sporki.com/add/?m=draft_school02&amp;ps_school=60101" TargetMode="External"/><Relationship Id="rId15213" Type="http://schemas.openxmlformats.org/officeDocument/2006/relationships/hyperlink" Target="https://statiz.sporki.com/player/?m=playerinfo&amp;p_no=1901" TargetMode="External"/><Relationship Id="rId18783" Type="http://schemas.openxmlformats.org/officeDocument/2006/relationships/hyperlink" Target="https://statiz.sporki.com/add/?m=draft_school01&amp;ps_school=50802" TargetMode="External"/><Relationship Id="rId6393" Type="http://schemas.openxmlformats.org/officeDocument/2006/relationships/hyperlink" Target="https://statiz.sporki.com/add/?m=draft_school02&amp;ps_school=60108" TargetMode="External"/><Relationship Id="rId7791" Type="http://schemas.openxmlformats.org/officeDocument/2006/relationships/hyperlink" Target="https://statiz.sporki.com/add/?m=draft_school02&amp;ps_school=60703" TargetMode="External"/><Relationship Id="rId8842" Type="http://schemas.openxmlformats.org/officeDocument/2006/relationships/hyperlink" Target="https://statiz.sporki.com/player/?m=playerinfo&amp;p_no=1951" TargetMode="External"/><Relationship Id="rId10772" Type="http://schemas.openxmlformats.org/officeDocument/2006/relationships/hyperlink" Target="https://statiz.sporki.com/add/?m=draft_school01&amp;ps_school=50609" TargetMode="External"/><Relationship Id="rId11823" Type="http://schemas.openxmlformats.org/officeDocument/2006/relationships/hyperlink" Target="https://statiz.sporki.com/add/?m=draft_school02&amp;ps_school=" TargetMode="External"/><Relationship Id="rId17385" Type="http://schemas.openxmlformats.org/officeDocument/2006/relationships/hyperlink" Target="https://statiz.sporki.com/add/?m=draft_school01&amp;ps_school=50209" TargetMode="External"/><Relationship Id="rId18436" Type="http://schemas.openxmlformats.org/officeDocument/2006/relationships/hyperlink" Target="https://statiz.sporki.com/add/?m=draft_school01&amp;ps_school=50112" TargetMode="External"/><Relationship Id="rId6046" Type="http://schemas.openxmlformats.org/officeDocument/2006/relationships/hyperlink" Target="https://statiz.sporki.com/player/?m=playerinfo&amp;p_no=10643" TargetMode="External"/><Relationship Id="rId7444" Type="http://schemas.openxmlformats.org/officeDocument/2006/relationships/hyperlink" Target="https://statiz.sporki.com/player/?m=playerinfo&amp;p_no=10553" TargetMode="External"/><Relationship Id="rId10425" Type="http://schemas.openxmlformats.org/officeDocument/2006/relationships/hyperlink" Target="https://statiz.sporki.com/add/?m=draft_school02&amp;ps_school=" TargetMode="External"/><Relationship Id="rId13995" Type="http://schemas.openxmlformats.org/officeDocument/2006/relationships/hyperlink" Target="https://statiz.sporki.com/player/?m=playerinfo&amp;p_no=10922" TargetMode="External"/><Relationship Id="rId17038" Type="http://schemas.openxmlformats.org/officeDocument/2006/relationships/hyperlink" Target="https://statiz.sporki.com/add/?m=draft_school01&amp;ps_school=50901" TargetMode="External"/><Relationship Id="rId12597" Type="http://schemas.openxmlformats.org/officeDocument/2006/relationships/hyperlink" Target="https://statiz.sporki.com/player/?m=playerinfo&amp;p_no=14819" TargetMode="External"/><Relationship Id="rId13648" Type="http://schemas.openxmlformats.org/officeDocument/2006/relationships/hyperlink" Target="https://statiz.sporki.com/player/?m=playerinfo&amp;p_no=11128" TargetMode="External"/><Relationship Id="rId975" Type="http://schemas.openxmlformats.org/officeDocument/2006/relationships/hyperlink" Target="https://statiz.sporki.com/add/?m=draft_school02&amp;ps_school=" TargetMode="External"/><Relationship Id="rId2656" Type="http://schemas.openxmlformats.org/officeDocument/2006/relationships/hyperlink" Target="https://statiz.sporki.com/player/?m=playerinfo&amp;p_no=13068" TargetMode="External"/><Relationship Id="rId3707" Type="http://schemas.openxmlformats.org/officeDocument/2006/relationships/hyperlink" Target="https://statiz.sporki.com/add/?m=draft_school01&amp;ps_school=50302" TargetMode="External"/><Relationship Id="rId9269" Type="http://schemas.openxmlformats.org/officeDocument/2006/relationships/hyperlink" Target="https://statiz.sporki.com/add/?m=draft_school01&amp;ps_school=50701" TargetMode="External"/><Relationship Id="rId11199" Type="http://schemas.openxmlformats.org/officeDocument/2006/relationships/hyperlink" Target="https://statiz.sporki.com/add/?m=draft_school02&amp;ps_school=60101" TargetMode="External"/><Relationship Id="rId15070" Type="http://schemas.openxmlformats.org/officeDocument/2006/relationships/hyperlink" Target="https://statiz.sporki.com/player/?m=playerinfo&amp;p_no=1965" TargetMode="External"/><Relationship Id="rId16121" Type="http://schemas.openxmlformats.org/officeDocument/2006/relationships/hyperlink" Target="https://statiz.sporki.com/player/?m=playerinfo&amp;p_no=1129" TargetMode="External"/><Relationship Id="rId628" Type="http://schemas.openxmlformats.org/officeDocument/2006/relationships/hyperlink" Target="https://statiz.sporki.com/player/?m=playerinfo&amp;p_no=15093" TargetMode="External"/><Relationship Id="rId1258" Type="http://schemas.openxmlformats.org/officeDocument/2006/relationships/hyperlink" Target="https://statiz.sporki.com/player/?m=playerinfo&amp;p_no=14884" TargetMode="External"/><Relationship Id="rId2309" Type="http://schemas.openxmlformats.org/officeDocument/2006/relationships/hyperlink" Target="https://statiz.sporki.com/add/?m=draft_school01&amp;ps_school=50105" TargetMode="External"/><Relationship Id="rId5879" Type="http://schemas.openxmlformats.org/officeDocument/2006/relationships/hyperlink" Target="https://statiz.sporki.com/add/?m=draft_school01&amp;ps_school=50111" TargetMode="External"/><Relationship Id="rId9750" Type="http://schemas.openxmlformats.org/officeDocument/2006/relationships/hyperlink" Target="https://statiz.sporki.com/add/?m=draft_school02&amp;ps_school=" TargetMode="External"/><Relationship Id="rId18293" Type="http://schemas.openxmlformats.org/officeDocument/2006/relationships/hyperlink" Target="https://statiz.sporki.com/add/?m=draft_school01&amp;ps_school=50813" TargetMode="External"/><Relationship Id="rId19344" Type="http://schemas.openxmlformats.org/officeDocument/2006/relationships/hyperlink" Target="https://statiz.sporki.com/add/?m=draft_school01&amp;ps_school=50501" TargetMode="External"/><Relationship Id="rId8352" Type="http://schemas.openxmlformats.org/officeDocument/2006/relationships/hyperlink" Target="https://statiz.sporki.com/add/?m=draft_school02&amp;ps_school=60103" TargetMode="External"/><Relationship Id="rId9403" Type="http://schemas.openxmlformats.org/officeDocument/2006/relationships/hyperlink" Target="https://statiz.sporki.com/player/?m=playerinfo&amp;p_no=1787" TargetMode="External"/><Relationship Id="rId11680" Type="http://schemas.openxmlformats.org/officeDocument/2006/relationships/hyperlink" Target="https://statiz.sporki.com/player/?m=playerinfo&amp;p_no=1163" TargetMode="External"/><Relationship Id="rId12731" Type="http://schemas.openxmlformats.org/officeDocument/2006/relationships/hyperlink" Target="https://statiz.sporki.com/player/?m=playerinfo&amp;p_no=14825" TargetMode="External"/><Relationship Id="rId8005" Type="http://schemas.openxmlformats.org/officeDocument/2006/relationships/hyperlink" Target="https://statiz.sporki.com/player/?m=playerinfo&amp;p_no=2137" TargetMode="External"/><Relationship Id="rId10282" Type="http://schemas.openxmlformats.org/officeDocument/2006/relationships/hyperlink" Target="https://statiz.sporki.com/player/?m=playerinfo&amp;p_no=1761" TargetMode="External"/><Relationship Id="rId11333" Type="http://schemas.openxmlformats.org/officeDocument/2006/relationships/hyperlink" Target="https://statiz.sporki.com/add/?m=draft_school01&amp;ps_school=50711" TargetMode="External"/><Relationship Id="rId15954" Type="http://schemas.openxmlformats.org/officeDocument/2006/relationships/hyperlink" Target="https://statiz.sporki.com/player/?m=playerinfo&amp;p_no=1332" TargetMode="External"/><Relationship Id="rId4962" Type="http://schemas.openxmlformats.org/officeDocument/2006/relationships/hyperlink" Target="https://statiz.sporki.com/add/?m=draft_school02&amp;ps_school=" TargetMode="External"/><Relationship Id="rId14556" Type="http://schemas.openxmlformats.org/officeDocument/2006/relationships/hyperlink" Target="https://statiz.sporki.com/player/?m=playerinfo&amp;p_no=2302" TargetMode="External"/><Relationship Id="rId15607" Type="http://schemas.openxmlformats.org/officeDocument/2006/relationships/hyperlink" Target="https://statiz.sporki.com/player/?m=playerinfo&amp;p_no=1581" TargetMode="External"/><Relationship Id="rId3564" Type="http://schemas.openxmlformats.org/officeDocument/2006/relationships/hyperlink" Target="https://statiz.sporki.com/add/?m=draft_school02&amp;ps_school=60804" TargetMode="External"/><Relationship Id="rId4615" Type="http://schemas.openxmlformats.org/officeDocument/2006/relationships/hyperlink" Target="https://statiz.sporki.com/player/?m=playerinfo&amp;p_no=11117" TargetMode="External"/><Relationship Id="rId13158" Type="http://schemas.openxmlformats.org/officeDocument/2006/relationships/hyperlink" Target="https://statiz.sporki.com/player/?m=playerinfo&amp;p_no=12877" TargetMode="External"/><Relationship Id="rId14209" Type="http://schemas.openxmlformats.org/officeDocument/2006/relationships/hyperlink" Target="https://statiz.sporki.com/player/?m=playerinfo&amp;p_no=2427" TargetMode="External"/><Relationship Id="rId17779" Type="http://schemas.openxmlformats.org/officeDocument/2006/relationships/hyperlink" Target="https://statiz.sporki.com/add/?m=draft_school01&amp;ps_school=50604" TargetMode="External"/><Relationship Id="rId485" Type="http://schemas.openxmlformats.org/officeDocument/2006/relationships/hyperlink" Target="https://statiz.sporki.com/add/?m=draft_school01&amp;ps_school=50807" TargetMode="External"/><Relationship Id="rId2166" Type="http://schemas.openxmlformats.org/officeDocument/2006/relationships/hyperlink" Target="https://statiz.sporki.com/add/?m=draft_school02&amp;ps_school=" TargetMode="External"/><Relationship Id="rId3217" Type="http://schemas.openxmlformats.org/officeDocument/2006/relationships/hyperlink" Target="https://statiz.sporki.com/player/?m=playerinfo&amp;p_no=12565" TargetMode="External"/><Relationship Id="rId6787" Type="http://schemas.openxmlformats.org/officeDocument/2006/relationships/hyperlink" Target="https://statiz.sporki.com/player/?m=playerinfo&amp;p_no=10832" TargetMode="External"/><Relationship Id="rId7838" Type="http://schemas.openxmlformats.org/officeDocument/2006/relationships/hyperlink" Target="https://statiz.sporki.com/add/?m=draft_school01&amp;ps_school=50114" TargetMode="External"/><Relationship Id="rId138" Type="http://schemas.openxmlformats.org/officeDocument/2006/relationships/hyperlink" Target="https://statiz.sporki.com/add/?m=draft_school02&amp;ps_school=60502" TargetMode="External"/><Relationship Id="rId5389" Type="http://schemas.openxmlformats.org/officeDocument/2006/relationships/hyperlink" Target="https://statiz.sporki.com/player/?m=playerinfo&amp;p_no=10679" TargetMode="External"/><Relationship Id="rId9260" Type="http://schemas.openxmlformats.org/officeDocument/2006/relationships/hyperlink" Target="https://statiz.sporki.com/add/?m=draft_school01&amp;ps_school=50701" TargetMode="External"/><Relationship Id="rId10819" Type="http://schemas.openxmlformats.org/officeDocument/2006/relationships/hyperlink" Target="https://statiz.sporki.com/player/?m=playerinfo&amp;p_no=10597" TargetMode="External"/><Relationship Id="rId11190" Type="http://schemas.openxmlformats.org/officeDocument/2006/relationships/hyperlink" Target="https://statiz.sporki.com/add/?m=draft_school02&amp;ps_school=60113" TargetMode="External"/><Relationship Id="rId12241" Type="http://schemas.openxmlformats.org/officeDocument/2006/relationships/hyperlink" Target="https://statiz.sporki.com/player/?m=playerinfo&amp;p_no=15431" TargetMode="External"/><Relationship Id="rId2300" Type="http://schemas.openxmlformats.org/officeDocument/2006/relationships/hyperlink" Target="https://statiz.sporki.com/add/?m=draft_school01&amp;ps_school=50803" TargetMode="External"/><Relationship Id="rId16862" Type="http://schemas.openxmlformats.org/officeDocument/2006/relationships/hyperlink" Target="https://statiz.sporki.com/add/?m=draft_school01&amp;ps_school=50202" TargetMode="External"/><Relationship Id="rId17913" Type="http://schemas.openxmlformats.org/officeDocument/2006/relationships/hyperlink" Target="https://statiz.sporki.com/add/?m=draft_school01&amp;ps_school=50108" TargetMode="External"/><Relationship Id="rId1999" Type="http://schemas.openxmlformats.org/officeDocument/2006/relationships/hyperlink" Target="https://statiz.sporki.com/player/?m=playerinfo&amp;p_no=14110" TargetMode="External"/><Relationship Id="rId4472" Type="http://schemas.openxmlformats.org/officeDocument/2006/relationships/hyperlink" Target="https://statiz.sporki.com/add/?m=draft_school01&amp;ps_school=50901" TargetMode="External"/><Relationship Id="rId5870" Type="http://schemas.openxmlformats.org/officeDocument/2006/relationships/hyperlink" Target="https://statiz.sporki.com/add/?m=draft_school01&amp;ps_school=50208" TargetMode="External"/><Relationship Id="rId6921" Type="http://schemas.openxmlformats.org/officeDocument/2006/relationships/hyperlink" Target="https://statiz.sporki.com/add/?m=draft_school02&amp;ps_school=60704" TargetMode="External"/><Relationship Id="rId15464" Type="http://schemas.openxmlformats.org/officeDocument/2006/relationships/hyperlink" Target="https://statiz.sporki.com/player/?m=playerinfo&amp;p_no=1844" TargetMode="External"/><Relationship Id="rId16515" Type="http://schemas.openxmlformats.org/officeDocument/2006/relationships/hyperlink" Target="https://statiz.sporki.com/add/?m=draft_school01&amp;ps_school=50601" TargetMode="External"/><Relationship Id="rId3074" Type="http://schemas.openxmlformats.org/officeDocument/2006/relationships/hyperlink" Target="https://statiz.sporki.com/add/?m=draft_school01&amp;ps_school=" TargetMode="External"/><Relationship Id="rId4125" Type="http://schemas.openxmlformats.org/officeDocument/2006/relationships/hyperlink" Target="https://statiz.sporki.com/add/?m=draft_school02&amp;ps_school=60104" TargetMode="External"/><Relationship Id="rId5523" Type="http://schemas.openxmlformats.org/officeDocument/2006/relationships/hyperlink" Target="https://statiz.sporki.com/add/?m=draft_school02&amp;ps_school=" TargetMode="External"/><Relationship Id="rId14066" Type="http://schemas.openxmlformats.org/officeDocument/2006/relationships/hyperlink" Target="https://statiz.sporki.com/player/?m=playerinfo&amp;p_no=10581" TargetMode="External"/><Relationship Id="rId15117" Type="http://schemas.openxmlformats.org/officeDocument/2006/relationships/hyperlink" Target="https://statiz.sporki.com/player/?m=playerinfo&amp;p_no=10102" TargetMode="External"/><Relationship Id="rId18687" Type="http://schemas.openxmlformats.org/officeDocument/2006/relationships/hyperlink" Target="https://statiz.sporki.com/add/?m=draft_school01&amp;ps_school=50112" TargetMode="External"/><Relationship Id="rId7695" Type="http://schemas.openxmlformats.org/officeDocument/2006/relationships/hyperlink" Target="https://statiz.sporki.com/add/?m=draft_school02&amp;ps_school=60803" TargetMode="External"/><Relationship Id="rId8746" Type="http://schemas.openxmlformats.org/officeDocument/2006/relationships/hyperlink" Target="https://statiz.sporki.com/player/?m=playerinfo&amp;p_no=2222" TargetMode="External"/><Relationship Id="rId10676" Type="http://schemas.openxmlformats.org/officeDocument/2006/relationships/hyperlink" Target="https://statiz.sporki.com/add/?m=draft_school01&amp;ps_school=" TargetMode="External"/><Relationship Id="rId11727" Type="http://schemas.openxmlformats.org/officeDocument/2006/relationships/hyperlink" Target="https://statiz.sporki.com/add/?m=draft_school02&amp;ps_school=" TargetMode="External"/><Relationship Id="rId17289" Type="http://schemas.openxmlformats.org/officeDocument/2006/relationships/hyperlink" Target="https://statiz.sporki.com/add/?m=draft_school01&amp;ps_school=50705" TargetMode="External"/><Relationship Id="rId6297" Type="http://schemas.openxmlformats.org/officeDocument/2006/relationships/hyperlink" Target="https://statiz.sporki.com/add/?m=draft_school02&amp;ps_school=" TargetMode="External"/><Relationship Id="rId7348" Type="http://schemas.openxmlformats.org/officeDocument/2006/relationships/hyperlink" Target="https://statiz.sporki.com/player/?m=playerinfo&amp;p_no=2261" TargetMode="External"/><Relationship Id="rId10329" Type="http://schemas.openxmlformats.org/officeDocument/2006/relationships/hyperlink" Target="https://statiz.sporki.com/add/?m=draft_school02&amp;ps_school=60108" TargetMode="External"/><Relationship Id="rId13899" Type="http://schemas.openxmlformats.org/officeDocument/2006/relationships/hyperlink" Target="https://statiz.sporki.com/player/?m=playerinfo&amp;p_no=10803" TargetMode="External"/><Relationship Id="rId14200" Type="http://schemas.openxmlformats.org/officeDocument/2006/relationships/hyperlink" Target="https://statiz.sporki.com/player/?m=playerinfo&amp;p_no=2420" TargetMode="External"/><Relationship Id="rId3958" Type="http://schemas.openxmlformats.org/officeDocument/2006/relationships/hyperlink" Target="https://statiz.sporki.com/player/?m=playerinfo&amp;p_no=11416" TargetMode="External"/><Relationship Id="rId16372" Type="http://schemas.openxmlformats.org/officeDocument/2006/relationships/hyperlink" Target="https://statiz.sporki.com/add/?m=draft_school01&amp;ps_school=50403" TargetMode="External"/><Relationship Id="rId17423" Type="http://schemas.openxmlformats.org/officeDocument/2006/relationships/hyperlink" Target="https://statiz.sporki.com/add/?m=draft_school01&amp;ps_school=50111" TargetMode="External"/><Relationship Id="rId17770" Type="http://schemas.openxmlformats.org/officeDocument/2006/relationships/hyperlink" Target="https://statiz.sporki.com/add/?m=draft_school01&amp;ps_school=50105" TargetMode="External"/><Relationship Id="rId18821" Type="http://schemas.openxmlformats.org/officeDocument/2006/relationships/hyperlink" Target="https://statiz.sporki.com/add/?m=draft_school01&amp;ps_school=50805" TargetMode="External"/><Relationship Id="rId879" Type="http://schemas.openxmlformats.org/officeDocument/2006/relationships/hyperlink" Target="https://statiz.sporki.com/add/?m=draft_school02&amp;ps_school=61125" TargetMode="External"/><Relationship Id="rId5380" Type="http://schemas.openxmlformats.org/officeDocument/2006/relationships/hyperlink" Target="https://statiz.sporki.com/player/?m=playerinfo&amp;p_no=10715" TargetMode="External"/><Relationship Id="rId6431" Type="http://schemas.openxmlformats.org/officeDocument/2006/relationships/hyperlink" Target="https://statiz.sporki.com/add/?m=draft_school01&amp;ps_school=50801" TargetMode="External"/><Relationship Id="rId10810" Type="http://schemas.openxmlformats.org/officeDocument/2006/relationships/hyperlink" Target="https://statiz.sporki.com/player/?m=playerinfo&amp;p_no=1407" TargetMode="External"/><Relationship Id="rId16025" Type="http://schemas.openxmlformats.org/officeDocument/2006/relationships/hyperlink" Target="https://statiz.sporki.com/player/?m=playerinfo&amp;p_no=1142" TargetMode="External"/><Relationship Id="rId5033" Type="http://schemas.openxmlformats.org/officeDocument/2006/relationships/hyperlink" Target="https://statiz.sporki.com/add/?m=draft_school01&amp;ps_school=" TargetMode="External"/><Relationship Id="rId12982" Type="http://schemas.openxmlformats.org/officeDocument/2006/relationships/hyperlink" Target="https://statiz.sporki.com/player/?m=playerinfo&amp;p_no=13152" TargetMode="External"/><Relationship Id="rId19595" Type="http://schemas.openxmlformats.org/officeDocument/2006/relationships/hyperlink" Target="https://statiz.sporki.com/add/?m=draft_school01&amp;ps_school=50804" TargetMode="External"/><Relationship Id="rId1990" Type="http://schemas.openxmlformats.org/officeDocument/2006/relationships/hyperlink" Target="https://statiz.sporki.com/player/?m=playerinfo&amp;p_no=14117" TargetMode="External"/><Relationship Id="rId8256" Type="http://schemas.openxmlformats.org/officeDocument/2006/relationships/hyperlink" Target="https://statiz.sporki.com/add/?m=draft_school02&amp;ps_school=" TargetMode="External"/><Relationship Id="rId9654" Type="http://schemas.openxmlformats.org/officeDocument/2006/relationships/hyperlink" Target="https://statiz.sporki.com/add/?m=draft_school02&amp;ps_school=60703" TargetMode="External"/><Relationship Id="rId11584" Type="http://schemas.openxmlformats.org/officeDocument/2006/relationships/hyperlink" Target="https://statiz.sporki.com/player/?m=playerinfo&amp;p_no=1143" TargetMode="External"/><Relationship Id="rId12635" Type="http://schemas.openxmlformats.org/officeDocument/2006/relationships/hyperlink" Target="https://statiz.sporki.com/player/?m=playerinfo&amp;p_no=14598" TargetMode="External"/><Relationship Id="rId18197" Type="http://schemas.openxmlformats.org/officeDocument/2006/relationships/hyperlink" Target="https://statiz.sporki.com/add/?m=draft_school01&amp;ps_school=50701" TargetMode="External"/><Relationship Id="rId19248" Type="http://schemas.openxmlformats.org/officeDocument/2006/relationships/hyperlink" Target="https://statiz.sporki.com/add/?m=draft_school01&amp;ps_school=50805" TargetMode="External"/><Relationship Id="rId1643" Type="http://schemas.openxmlformats.org/officeDocument/2006/relationships/hyperlink" Target="https://statiz.sporki.com/add/?m=draft_school01&amp;ps_school=50801" TargetMode="External"/><Relationship Id="rId9307" Type="http://schemas.openxmlformats.org/officeDocument/2006/relationships/hyperlink" Target="https://statiz.sporki.com/player/?m=playerinfo&amp;p_no=1837" TargetMode="External"/><Relationship Id="rId10186" Type="http://schemas.openxmlformats.org/officeDocument/2006/relationships/hyperlink" Target="https://statiz.sporki.com/player/?m=playerinfo&amp;p_no=1637" TargetMode="External"/><Relationship Id="rId11237" Type="http://schemas.openxmlformats.org/officeDocument/2006/relationships/hyperlink" Target="https://statiz.sporki.com/add/?m=draft_school01&amp;ps_school=" TargetMode="External"/><Relationship Id="rId15858" Type="http://schemas.openxmlformats.org/officeDocument/2006/relationships/hyperlink" Target="https://statiz.sporki.com/player/?m=playerinfo&amp;p_no=1301" TargetMode="External"/><Relationship Id="rId16909" Type="http://schemas.openxmlformats.org/officeDocument/2006/relationships/hyperlink" Target="https://statiz.sporki.com/add/?m=draft_school01&amp;ps_school=50809" TargetMode="External"/><Relationship Id="rId4866" Type="http://schemas.openxmlformats.org/officeDocument/2006/relationships/hyperlink" Target="https://statiz.sporki.com/add/?m=draft_school02&amp;ps_school=60104" TargetMode="External"/><Relationship Id="rId5917" Type="http://schemas.openxmlformats.org/officeDocument/2006/relationships/hyperlink" Target="https://statiz.sporki.com/player/?m=playerinfo&amp;p_no=10033" TargetMode="External"/><Relationship Id="rId17280" Type="http://schemas.openxmlformats.org/officeDocument/2006/relationships/hyperlink" Target="https://statiz.sporki.com/add/?m=draft_school01&amp;ps_school=50606" TargetMode="External"/><Relationship Id="rId18331" Type="http://schemas.openxmlformats.org/officeDocument/2006/relationships/hyperlink" Target="https://statiz.sporki.com/add/?m=draft_school01&amp;ps_school=50203" TargetMode="External"/><Relationship Id="rId3468" Type="http://schemas.openxmlformats.org/officeDocument/2006/relationships/hyperlink" Target="https://statiz.sporki.com/add/?m=draft_school02&amp;ps_school=60109" TargetMode="External"/><Relationship Id="rId4519" Type="http://schemas.openxmlformats.org/officeDocument/2006/relationships/hyperlink" Target="https://statiz.sporki.com/player/?m=playerinfo&amp;p_no=11128" TargetMode="External"/><Relationship Id="rId10320" Type="http://schemas.openxmlformats.org/officeDocument/2006/relationships/hyperlink" Target="https://statiz.sporki.com/add/?m=draft_school02&amp;ps_school=60111" TargetMode="External"/><Relationship Id="rId389" Type="http://schemas.openxmlformats.org/officeDocument/2006/relationships/hyperlink" Target="https://statiz.sporki.com/add/?m=draft_school01&amp;ps_school=" TargetMode="External"/><Relationship Id="rId13890" Type="http://schemas.openxmlformats.org/officeDocument/2006/relationships/hyperlink" Target="https://statiz.sporki.com/player/?m=playerinfo&amp;p_no=10771" TargetMode="External"/><Relationship Id="rId14941" Type="http://schemas.openxmlformats.org/officeDocument/2006/relationships/hyperlink" Target="https://statiz.sporki.com/player/?m=playerinfo&amp;p_no=2180" TargetMode="External"/><Relationship Id="rId870" Type="http://schemas.openxmlformats.org/officeDocument/2006/relationships/hyperlink" Target="https://statiz.sporki.com/add/?m=draft_school02&amp;ps_school=61130" TargetMode="External"/><Relationship Id="rId2551" Type="http://schemas.openxmlformats.org/officeDocument/2006/relationships/hyperlink" Target="https://statiz.sporki.com/player/?m=playerinfo&amp;p_no=13153" TargetMode="External"/><Relationship Id="rId9164" Type="http://schemas.openxmlformats.org/officeDocument/2006/relationships/hyperlink" Target="https://statiz.sporki.com/add/?m=draft_school01&amp;ps_school=" TargetMode="External"/><Relationship Id="rId11094" Type="http://schemas.openxmlformats.org/officeDocument/2006/relationships/hyperlink" Target="https://statiz.sporki.com/add/?m=draft_school02&amp;ps_school=" TargetMode="External"/><Relationship Id="rId12492" Type="http://schemas.openxmlformats.org/officeDocument/2006/relationships/hyperlink" Target="https://statiz.sporki.com/player/?m=playerinfo&amp;p_no=14782" TargetMode="External"/><Relationship Id="rId13543" Type="http://schemas.openxmlformats.org/officeDocument/2006/relationships/hyperlink" Target="https://statiz.sporki.com/player/?m=playerinfo&amp;p_no=11339" TargetMode="External"/><Relationship Id="rId523" Type="http://schemas.openxmlformats.org/officeDocument/2006/relationships/hyperlink" Target="https://statiz.sporki.com/player/?m=playerinfo&amp;p_no=15046" TargetMode="External"/><Relationship Id="rId1153" Type="http://schemas.openxmlformats.org/officeDocument/2006/relationships/hyperlink" Target="https://statiz.sporki.com/player/?m=playerinfo&amp;p_no=14795" TargetMode="External"/><Relationship Id="rId2204" Type="http://schemas.openxmlformats.org/officeDocument/2006/relationships/hyperlink" Target="https://statiz.sporki.com/add/?m=draft_school01&amp;ps_school=" TargetMode="External"/><Relationship Id="rId3602" Type="http://schemas.openxmlformats.org/officeDocument/2006/relationships/hyperlink" Target="https://statiz.sporki.com/add/?m=draft_school01&amp;ps_school=50605" TargetMode="External"/><Relationship Id="rId12145" Type="http://schemas.openxmlformats.org/officeDocument/2006/relationships/hyperlink" Target="https://statiz.sporki.com/player/?m=playerinfo&amp;p_no=15450" TargetMode="External"/><Relationship Id="rId16766" Type="http://schemas.openxmlformats.org/officeDocument/2006/relationships/hyperlink" Target="https://statiz.sporki.com/add/?m=draft_school01&amp;ps_school=50110" TargetMode="External"/><Relationship Id="rId17817" Type="http://schemas.openxmlformats.org/officeDocument/2006/relationships/hyperlink" Target="https://statiz.sporki.com/add/?m=draft_school01&amp;ps_school=50403" TargetMode="External"/><Relationship Id="rId5774" Type="http://schemas.openxmlformats.org/officeDocument/2006/relationships/hyperlink" Target="https://statiz.sporki.com/add/?m=draft_school01&amp;ps_school=50108" TargetMode="External"/><Relationship Id="rId6825" Type="http://schemas.openxmlformats.org/officeDocument/2006/relationships/hyperlink" Target="https://statiz.sporki.com/add/?m=draft_school02&amp;ps_school=61002" TargetMode="External"/><Relationship Id="rId15368" Type="http://schemas.openxmlformats.org/officeDocument/2006/relationships/hyperlink" Target="https://statiz.sporki.com/player/?m=playerinfo&amp;p_no=1733" TargetMode="External"/><Relationship Id="rId16419" Type="http://schemas.openxmlformats.org/officeDocument/2006/relationships/hyperlink" Target="https://statiz.sporki.com/add/?m=draft_school01&amp;ps_school=50701" TargetMode="External"/><Relationship Id="rId4376" Type="http://schemas.openxmlformats.org/officeDocument/2006/relationships/hyperlink" Target="https://statiz.sporki.com/add/?m=draft_school01&amp;ps_school=" TargetMode="External"/><Relationship Id="rId5427" Type="http://schemas.openxmlformats.org/officeDocument/2006/relationships/hyperlink" Target="https://statiz.sporki.com/add/?m=draft_school02&amp;ps_school=60114" TargetMode="External"/><Relationship Id="rId8997" Type="http://schemas.openxmlformats.org/officeDocument/2006/relationships/hyperlink" Target="https://statiz.sporki.com/add/?m=draft_school02&amp;ps_school=60108" TargetMode="External"/><Relationship Id="rId4029" Type="http://schemas.openxmlformats.org/officeDocument/2006/relationships/hyperlink" Target="https://statiz.sporki.com/add/?m=draft_school02&amp;ps_school=" TargetMode="External"/><Relationship Id="rId7599" Type="http://schemas.openxmlformats.org/officeDocument/2006/relationships/hyperlink" Target="https://statiz.sporki.com/add/?m=draft_school02&amp;ps_school=" TargetMode="External"/><Relationship Id="rId11978" Type="http://schemas.openxmlformats.org/officeDocument/2006/relationships/hyperlink" Target="https://statiz.sporki.com/add/?m=draft_school01&amp;ps_school=50202" TargetMode="External"/><Relationship Id="rId14451" Type="http://schemas.openxmlformats.org/officeDocument/2006/relationships/hyperlink" Target="https://statiz.sporki.com/player/?m=playerinfo&amp;p_no=10368" TargetMode="External"/><Relationship Id="rId16900" Type="http://schemas.openxmlformats.org/officeDocument/2006/relationships/hyperlink" Target="https://statiz.sporki.com/add/?m=draft_school01&amp;ps_school=50118" TargetMode="External"/><Relationship Id="rId4510" Type="http://schemas.openxmlformats.org/officeDocument/2006/relationships/hyperlink" Target="https://statiz.sporki.com/player/?m=playerinfo&amp;p_no=11089" TargetMode="External"/><Relationship Id="rId13053" Type="http://schemas.openxmlformats.org/officeDocument/2006/relationships/hyperlink" Target="https://statiz.sporki.com/player/?m=playerinfo&amp;p_no=13236" TargetMode="External"/><Relationship Id="rId14104" Type="http://schemas.openxmlformats.org/officeDocument/2006/relationships/hyperlink" Target="https://statiz.sporki.com/player/?m=playerinfo&amp;p_no=10373" TargetMode="External"/><Relationship Id="rId15502" Type="http://schemas.openxmlformats.org/officeDocument/2006/relationships/hyperlink" Target="https://statiz.sporki.com/player/?m=playerinfo&amp;p_no=1571" TargetMode="External"/><Relationship Id="rId380" Type="http://schemas.openxmlformats.org/officeDocument/2006/relationships/hyperlink" Target="https://statiz.sporki.com/add/?m=draft_school01&amp;ps_school=" TargetMode="External"/><Relationship Id="rId2061" Type="http://schemas.openxmlformats.org/officeDocument/2006/relationships/hyperlink" Target="https://statiz.sporki.com/add/?m=draft_school02&amp;ps_school=" TargetMode="External"/><Relationship Id="rId3112" Type="http://schemas.openxmlformats.org/officeDocument/2006/relationships/hyperlink" Target="https://statiz.sporki.com/player/?m=playerinfo&amp;p_no=12954" TargetMode="External"/><Relationship Id="rId6682" Type="http://schemas.openxmlformats.org/officeDocument/2006/relationships/hyperlink" Target="https://statiz.sporki.com/player/?m=playerinfo&amp;p_no=10187" TargetMode="External"/><Relationship Id="rId17674" Type="http://schemas.openxmlformats.org/officeDocument/2006/relationships/hyperlink" Target="https://statiz.sporki.com/add/?m=draft_school01&amp;ps_school=50101" TargetMode="External"/><Relationship Id="rId18725" Type="http://schemas.openxmlformats.org/officeDocument/2006/relationships/hyperlink" Target="https://statiz.sporki.com/add/?m=draft_school01&amp;ps_school=50403" TargetMode="External"/><Relationship Id="rId5284" Type="http://schemas.openxmlformats.org/officeDocument/2006/relationships/hyperlink" Target="https://statiz.sporki.com/player/?m=playerinfo&amp;p_no=11294" TargetMode="External"/><Relationship Id="rId6335" Type="http://schemas.openxmlformats.org/officeDocument/2006/relationships/hyperlink" Target="https://statiz.sporki.com/add/?m=draft_school01&amp;ps_school=50708" TargetMode="External"/><Relationship Id="rId7733" Type="http://schemas.openxmlformats.org/officeDocument/2006/relationships/hyperlink" Target="https://statiz.sporki.com/add/?m=draft_school01&amp;ps_school=" TargetMode="External"/><Relationship Id="rId10714" Type="http://schemas.openxmlformats.org/officeDocument/2006/relationships/hyperlink" Target="https://statiz.sporki.com/player/?m=playerinfo&amp;p_no=11430" TargetMode="External"/><Relationship Id="rId16276" Type="http://schemas.openxmlformats.org/officeDocument/2006/relationships/hyperlink" Target="https://statiz.sporki.com/add/?m=draft_school01&amp;ps_school=50208" TargetMode="External"/><Relationship Id="rId17327" Type="http://schemas.openxmlformats.org/officeDocument/2006/relationships/hyperlink" Target="https://statiz.sporki.com/add/?m=draft_school01&amp;ps_school=50705" TargetMode="External"/><Relationship Id="rId12886" Type="http://schemas.openxmlformats.org/officeDocument/2006/relationships/hyperlink" Target="https://statiz.sporki.com/player/?m=playerinfo&amp;p_no=13937" TargetMode="External"/><Relationship Id="rId13937" Type="http://schemas.openxmlformats.org/officeDocument/2006/relationships/hyperlink" Target="https://statiz.sporki.com/player/?m=playerinfo&amp;p_no=10641" TargetMode="External"/><Relationship Id="rId19499" Type="http://schemas.openxmlformats.org/officeDocument/2006/relationships/hyperlink" Target="https://statiz.sporki.com/add/?m=draft_school01&amp;ps_school=50110" TargetMode="External"/><Relationship Id="rId1894" Type="http://schemas.openxmlformats.org/officeDocument/2006/relationships/hyperlink" Target="https://statiz.sporki.com/player/?m=playerinfo&amp;p_no=14171" TargetMode="External"/><Relationship Id="rId2945" Type="http://schemas.openxmlformats.org/officeDocument/2006/relationships/hyperlink" Target="https://statiz.sporki.com/add/?m=draft_school01&amp;ps_school=50113" TargetMode="External"/><Relationship Id="rId9558" Type="http://schemas.openxmlformats.org/officeDocument/2006/relationships/hyperlink" Target="https://statiz.sporki.com/add/?m=draft_school02&amp;ps_school=60203" TargetMode="External"/><Relationship Id="rId11488" Type="http://schemas.openxmlformats.org/officeDocument/2006/relationships/hyperlink" Target="https://statiz.sporki.com/player/?m=playerinfo&amp;p_no=1214" TargetMode="External"/><Relationship Id="rId12539" Type="http://schemas.openxmlformats.org/officeDocument/2006/relationships/hyperlink" Target="https://statiz.sporki.com/player/?m=playerinfo&amp;p_no=14875" TargetMode="External"/><Relationship Id="rId16410" Type="http://schemas.openxmlformats.org/officeDocument/2006/relationships/hyperlink" Target="https://statiz.sporki.com/add/?m=draft_school01&amp;ps_school=50805" TargetMode="External"/><Relationship Id="rId917" Type="http://schemas.openxmlformats.org/officeDocument/2006/relationships/hyperlink" Target="https://statiz.sporki.com/add/?m=draft_school01&amp;ps_school=50111" TargetMode="External"/><Relationship Id="rId1547" Type="http://schemas.openxmlformats.org/officeDocument/2006/relationships/hyperlink" Target="https://statiz.sporki.com/add/?m=draft_school01&amp;ps_school=50803" TargetMode="External"/><Relationship Id="rId15012" Type="http://schemas.openxmlformats.org/officeDocument/2006/relationships/hyperlink" Target="https://statiz.sporki.com/player/?m=playerinfo&amp;p_no=1993" TargetMode="External"/><Relationship Id="rId18582" Type="http://schemas.openxmlformats.org/officeDocument/2006/relationships/hyperlink" Target="https://statiz.sporki.com/add/?m=draft_school01&amp;ps_school=50703" TargetMode="External"/><Relationship Id="rId19633" Type="http://schemas.openxmlformats.org/officeDocument/2006/relationships/hyperlink" Target="https://statiz.sporki.com/add/?m=draft_school01&amp;ps_school=50701" TargetMode="External"/><Relationship Id="rId4020" Type="http://schemas.openxmlformats.org/officeDocument/2006/relationships/hyperlink" Target="https://statiz.sporki.com/add/?m=draft_school02&amp;ps_school=" TargetMode="External"/><Relationship Id="rId7590" Type="http://schemas.openxmlformats.org/officeDocument/2006/relationships/hyperlink" Target="https://statiz.sporki.com/add/?m=draft_school02&amp;ps_school=" TargetMode="External"/><Relationship Id="rId8641" Type="http://schemas.openxmlformats.org/officeDocument/2006/relationships/hyperlink" Target="https://statiz.sporki.com/player/?m=playerinfo&amp;p_no=2007" TargetMode="External"/><Relationship Id="rId17184" Type="http://schemas.openxmlformats.org/officeDocument/2006/relationships/hyperlink" Target="https://statiz.sporki.com/add/?m=draft_school01&amp;ps_school=50601" TargetMode="External"/><Relationship Id="rId18235" Type="http://schemas.openxmlformats.org/officeDocument/2006/relationships/hyperlink" Target="https://statiz.sporki.com/add/?m=draft_school01&amp;ps_school=50116" TargetMode="External"/><Relationship Id="rId6192" Type="http://schemas.openxmlformats.org/officeDocument/2006/relationships/hyperlink" Target="https://statiz.sporki.com/add/?m=draft_school02&amp;ps_school=" TargetMode="External"/><Relationship Id="rId7243" Type="http://schemas.openxmlformats.org/officeDocument/2006/relationships/hyperlink" Target="https://statiz.sporki.com/player/?m=playerinfo&amp;p_no=2302" TargetMode="External"/><Relationship Id="rId10571" Type="http://schemas.openxmlformats.org/officeDocument/2006/relationships/hyperlink" Target="https://statiz.sporki.com/add/?m=draft_school01&amp;ps_school=50706" TargetMode="External"/><Relationship Id="rId11622" Type="http://schemas.openxmlformats.org/officeDocument/2006/relationships/hyperlink" Target="https://statiz.sporki.com/add/?m=draft_school02&amp;ps_school=60108" TargetMode="External"/><Relationship Id="rId10224" Type="http://schemas.openxmlformats.org/officeDocument/2006/relationships/hyperlink" Target="https://statiz.sporki.com/add/?m=draft_school02&amp;ps_school=" TargetMode="External"/><Relationship Id="rId13794" Type="http://schemas.openxmlformats.org/officeDocument/2006/relationships/hyperlink" Target="https://statiz.sporki.com/player/?m=playerinfo&amp;p_no=10870" TargetMode="External"/><Relationship Id="rId14845" Type="http://schemas.openxmlformats.org/officeDocument/2006/relationships/hyperlink" Target="https://statiz.sporki.com/player/?m=playerinfo&amp;p_no=2159" TargetMode="External"/><Relationship Id="rId3853" Type="http://schemas.openxmlformats.org/officeDocument/2006/relationships/hyperlink" Target="https://statiz.sporki.com/player/?m=playerinfo&amp;p_no=11386" TargetMode="External"/><Relationship Id="rId4904" Type="http://schemas.openxmlformats.org/officeDocument/2006/relationships/hyperlink" Target="https://statiz.sporki.com/add/?m=draft_school01&amp;ps_school=50901" TargetMode="External"/><Relationship Id="rId9068" Type="http://schemas.openxmlformats.org/officeDocument/2006/relationships/hyperlink" Target="https://statiz.sporki.com/add/?m=draft_school01&amp;ps_school=50403" TargetMode="External"/><Relationship Id="rId12396" Type="http://schemas.openxmlformats.org/officeDocument/2006/relationships/hyperlink" Target="https://statiz.sporki.com/player/?m=playerinfo&amp;p_no=15053" TargetMode="External"/><Relationship Id="rId13447" Type="http://schemas.openxmlformats.org/officeDocument/2006/relationships/hyperlink" Target="https://statiz.sporki.com/player/?m=playerinfo&amp;p_no=11345" TargetMode="External"/><Relationship Id="rId774" Type="http://schemas.openxmlformats.org/officeDocument/2006/relationships/hyperlink" Target="https://statiz.sporki.com/add/?m=draft_school02&amp;ps_school=" TargetMode="External"/><Relationship Id="rId1057" Type="http://schemas.openxmlformats.org/officeDocument/2006/relationships/hyperlink" Target="https://statiz.sporki.com/player/?m=playerinfo&amp;p_no=14805" TargetMode="External"/><Relationship Id="rId2455" Type="http://schemas.openxmlformats.org/officeDocument/2006/relationships/hyperlink" Target="https://statiz.sporki.com/player/?m=playerinfo&amp;p_no=13096" TargetMode="External"/><Relationship Id="rId3506" Type="http://schemas.openxmlformats.org/officeDocument/2006/relationships/hyperlink" Target="https://statiz.sporki.com/add/?m=draft_school01&amp;ps_school=" TargetMode="External"/><Relationship Id="rId12049" Type="http://schemas.openxmlformats.org/officeDocument/2006/relationships/hyperlink" Target="https://statiz.sporki.com/player/?m=playerinfo&amp;p_no=1079" TargetMode="External"/><Relationship Id="rId19490" Type="http://schemas.openxmlformats.org/officeDocument/2006/relationships/hyperlink" Target="https://statiz.sporki.com/add/?m=draft_school01&amp;ps_school=51100" TargetMode="External"/><Relationship Id="rId427" Type="http://schemas.openxmlformats.org/officeDocument/2006/relationships/hyperlink" Target="https://statiz.sporki.com/player/?m=playerinfo&amp;p_no=15621" TargetMode="External"/><Relationship Id="rId2108" Type="http://schemas.openxmlformats.org/officeDocument/2006/relationships/hyperlink" Target="https://statiz.sporki.com/add/?m=draft_school01&amp;ps_school=50209" TargetMode="External"/><Relationship Id="rId5678" Type="http://schemas.openxmlformats.org/officeDocument/2006/relationships/hyperlink" Target="https://statiz.sporki.com/add/?m=draft_school01&amp;ps_school=" TargetMode="External"/><Relationship Id="rId6729" Type="http://schemas.openxmlformats.org/officeDocument/2006/relationships/hyperlink" Target="https://statiz.sporki.com/add/?m=draft_school02&amp;ps_school=" TargetMode="External"/><Relationship Id="rId12530" Type="http://schemas.openxmlformats.org/officeDocument/2006/relationships/hyperlink" Target="https://statiz.sporki.com/player/?m=playerinfo&amp;p_no=14824" TargetMode="External"/><Relationship Id="rId18092" Type="http://schemas.openxmlformats.org/officeDocument/2006/relationships/hyperlink" Target="https://statiz.sporki.com/add/?m=draft_school01&amp;ps_school=50604" TargetMode="External"/><Relationship Id="rId19143" Type="http://schemas.openxmlformats.org/officeDocument/2006/relationships/hyperlink" Target="https://statiz.sporki.com/add/?m=draft_school01&amp;ps_school=50711" TargetMode="External"/><Relationship Id="rId8151" Type="http://schemas.openxmlformats.org/officeDocument/2006/relationships/hyperlink" Target="https://statiz.sporki.com/add/?m=draft_school02&amp;ps_school=60703" TargetMode="External"/><Relationship Id="rId9202" Type="http://schemas.openxmlformats.org/officeDocument/2006/relationships/hyperlink" Target="https://statiz.sporki.com/player/?m=playerinfo&amp;p_no=11445" TargetMode="External"/><Relationship Id="rId10081" Type="http://schemas.openxmlformats.org/officeDocument/2006/relationships/hyperlink" Target="https://statiz.sporki.com/player/?m=playerinfo&amp;p_no=1571" TargetMode="External"/><Relationship Id="rId11132" Type="http://schemas.openxmlformats.org/officeDocument/2006/relationships/hyperlink" Target="https://statiz.sporki.com/add/?m=draft_school01&amp;ps_school=50711" TargetMode="External"/><Relationship Id="rId4761" Type="http://schemas.openxmlformats.org/officeDocument/2006/relationships/hyperlink" Target="https://statiz.sporki.com/add/?m=draft_school02&amp;ps_school=60101" TargetMode="External"/><Relationship Id="rId15753" Type="http://schemas.openxmlformats.org/officeDocument/2006/relationships/hyperlink" Target="https://statiz.sporki.com/player/?m=playerinfo&amp;p_no=1385" TargetMode="External"/><Relationship Id="rId16804" Type="http://schemas.openxmlformats.org/officeDocument/2006/relationships/hyperlink" Target="https://statiz.sporki.com/add/?m=draft_school01&amp;ps_school=50802" TargetMode="External"/><Relationship Id="rId3363" Type="http://schemas.openxmlformats.org/officeDocument/2006/relationships/hyperlink" Target="https://statiz.sporki.com/add/?m=draft_school02&amp;ps_school=60803" TargetMode="External"/><Relationship Id="rId4414" Type="http://schemas.openxmlformats.org/officeDocument/2006/relationships/hyperlink" Target="https://statiz.sporki.com/player/?m=playerinfo&amp;p_no=12649" TargetMode="External"/><Relationship Id="rId5812" Type="http://schemas.openxmlformats.org/officeDocument/2006/relationships/hyperlink" Target="https://statiz.sporki.com/player/?m=playerinfo&amp;p_no=10387" TargetMode="External"/><Relationship Id="rId14008" Type="http://schemas.openxmlformats.org/officeDocument/2006/relationships/hyperlink" Target="https://statiz.sporki.com/player/?m=playerinfo&amp;p_no=10002" TargetMode="External"/><Relationship Id="rId14355" Type="http://schemas.openxmlformats.org/officeDocument/2006/relationships/hyperlink" Target="https://statiz.sporki.com/player/?m=playerinfo&amp;p_no=2393" TargetMode="External"/><Relationship Id="rId15406" Type="http://schemas.openxmlformats.org/officeDocument/2006/relationships/hyperlink" Target="https://statiz.sporki.com/player/?m=playerinfo&amp;p_no=10123" TargetMode="External"/><Relationship Id="rId18976" Type="http://schemas.openxmlformats.org/officeDocument/2006/relationships/hyperlink" Target="https://statiz.sporki.com/add/?m=draft_school01&amp;ps_school=50202" TargetMode="External"/><Relationship Id="rId284" Type="http://schemas.openxmlformats.org/officeDocument/2006/relationships/hyperlink" Target="https://statiz.sporki.com/add/?m=draft_school01&amp;ps_school=50109" TargetMode="External"/><Relationship Id="rId3016" Type="http://schemas.openxmlformats.org/officeDocument/2006/relationships/hyperlink" Target="https://statiz.sporki.com/player/?m=playerinfo&amp;p_no=13274" TargetMode="External"/><Relationship Id="rId7984" Type="http://schemas.openxmlformats.org/officeDocument/2006/relationships/hyperlink" Target="https://statiz.sporki.com/player/?m=playerinfo&amp;p_no=2145" TargetMode="External"/><Relationship Id="rId10965" Type="http://schemas.openxmlformats.org/officeDocument/2006/relationships/hyperlink" Target="https://statiz.sporki.com/add/?m=draft_school02&amp;ps_school=60103" TargetMode="External"/><Relationship Id="rId17578" Type="http://schemas.openxmlformats.org/officeDocument/2006/relationships/hyperlink" Target="https://statiz.sporki.com/add/?m=draft_school01&amp;ps_school=50103" TargetMode="External"/><Relationship Id="rId18629" Type="http://schemas.openxmlformats.org/officeDocument/2006/relationships/hyperlink" Target="https://statiz.sporki.com/add/?m=draft_school01&amp;ps_school=50110" TargetMode="External"/><Relationship Id="rId5188" Type="http://schemas.openxmlformats.org/officeDocument/2006/relationships/hyperlink" Target="https://statiz.sporki.com/player/?m=playerinfo&amp;p_no=10722" TargetMode="External"/><Relationship Id="rId6586" Type="http://schemas.openxmlformats.org/officeDocument/2006/relationships/hyperlink" Target="https://statiz.sporki.com/player/?m=playerinfo&amp;p_no=10456" TargetMode="External"/><Relationship Id="rId7637" Type="http://schemas.openxmlformats.org/officeDocument/2006/relationships/hyperlink" Target="https://statiz.sporki.com/add/?m=draft_school01&amp;ps_school=" TargetMode="External"/><Relationship Id="rId10618" Type="http://schemas.openxmlformats.org/officeDocument/2006/relationships/hyperlink" Target="https://statiz.sporki.com/player/?m=playerinfo&amp;p_no=1488" TargetMode="External"/><Relationship Id="rId6239" Type="http://schemas.openxmlformats.org/officeDocument/2006/relationships/hyperlink" Target="https://statiz.sporki.com/add/?m=draft_school01&amp;ps_school=50114" TargetMode="External"/><Relationship Id="rId12040" Type="http://schemas.openxmlformats.org/officeDocument/2006/relationships/hyperlink" Target="https://statiz.sporki.com/player/?m=playerinfo&amp;p_no=1051" TargetMode="External"/><Relationship Id="rId16661" Type="http://schemas.openxmlformats.org/officeDocument/2006/relationships/hyperlink" Target="https://statiz.sporki.com/add/?m=draft_school01&amp;ps_school=50114" TargetMode="External"/><Relationship Id="rId1798" Type="http://schemas.openxmlformats.org/officeDocument/2006/relationships/hyperlink" Target="https://statiz.sporki.com/player/?m=playerinfo&amp;p_no=14661" TargetMode="External"/><Relationship Id="rId2849" Type="http://schemas.openxmlformats.org/officeDocument/2006/relationships/hyperlink" Target="https://statiz.sporki.com/add/?m=draft_school01&amp;ps_school=50210" TargetMode="External"/><Relationship Id="rId6720" Type="http://schemas.openxmlformats.org/officeDocument/2006/relationships/hyperlink" Target="https://statiz.sporki.com/add/?m=draft_school02&amp;ps_school=" TargetMode="External"/><Relationship Id="rId15263" Type="http://schemas.openxmlformats.org/officeDocument/2006/relationships/hyperlink" Target="https://statiz.sporki.com/player/?m=playerinfo&amp;p_no=1792" TargetMode="External"/><Relationship Id="rId16314" Type="http://schemas.openxmlformats.org/officeDocument/2006/relationships/hyperlink" Target="https://statiz.sporki.com/add/?m=draft_school01&amp;ps_school=50606" TargetMode="External"/><Relationship Id="rId17712" Type="http://schemas.openxmlformats.org/officeDocument/2006/relationships/hyperlink" Target="https://statiz.sporki.com/add/?m=draft_school01&amp;ps_school=51001" TargetMode="External"/><Relationship Id="rId4271" Type="http://schemas.openxmlformats.org/officeDocument/2006/relationships/hyperlink" Target="https://statiz.sporki.com/add/?m=draft_school01&amp;ps_school=50114" TargetMode="External"/><Relationship Id="rId5322" Type="http://schemas.openxmlformats.org/officeDocument/2006/relationships/hyperlink" Target="https://statiz.sporki.com/add/?m=draft_school02&amp;ps_school=60104" TargetMode="External"/><Relationship Id="rId8892" Type="http://schemas.openxmlformats.org/officeDocument/2006/relationships/hyperlink" Target="https://statiz.sporki.com/add/?m=draft_school02&amp;ps_school=60204" TargetMode="External"/><Relationship Id="rId7494" Type="http://schemas.openxmlformats.org/officeDocument/2006/relationships/hyperlink" Target="https://statiz.sporki.com/add/?m=draft_school02&amp;ps_school=" TargetMode="External"/><Relationship Id="rId8545" Type="http://schemas.openxmlformats.org/officeDocument/2006/relationships/hyperlink" Target="https://statiz.sporki.com/player/?m=playerinfo&amp;p_no=2026" TargetMode="External"/><Relationship Id="rId9943" Type="http://schemas.openxmlformats.org/officeDocument/2006/relationships/hyperlink" Target="https://statiz.sporki.com/player/?m=playerinfo&amp;p_no=10613" TargetMode="External"/><Relationship Id="rId11873" Type="http://schemas.openxmlformats.org/officeDocument/2006/relationships/hyperlink" Target="https://statiz.sporki.com/add/?m=draft_school01&amp;ps_school=50114" TargetMode="External"/><Relationship Id="rId12924" Type="http://schemas.openxmlformats.org/officeDocument/2006/relationships/hyperlink" Target="https://statiz.sporki.com/player/?m=playerinfo&amp;p_no=13135" TargetMode="External"/><Relationship Id="rId17088" Type="http://schemas.openxmlformats.org/officeDocument/2006/relationships/hyperlink" Target="https://statiz.sporki.com/add/?m=draft_school01&amp;ps_school=50601" TargetMode="External"/><Relationship Id="rId18139" Type="http://schemas.openxmlformats.org/officeDocument/2006/relationships/hyperlink" Target="https://statiz.sporki.com/add/?m=draft_school01&amp;ps_school=50812" TargetMode="External"/><Relationship Id="rId18486" Type="http://schemas.openxmlformats.org/officeDocument/2006/relationships/hyperlink" Target="https://statiz.sporki.com/add/?m=draft_school01&amp;ps_school=50701" TargetMode="External"/><Relationship Id="rId19537" Type="http://schemas.openxmlformats.org/officeDocument/2006/relationships/hyperlink" Target="https://statiz.sporki.com/add/?m=draft_school01&amp;ps_school=50112" TargetMode="External"/><Relationship Id="rId1932" Type="http://schemas.openxmlformats.org/officeDocument/2006/relationships/hyperlink" Target="https://statiz.sporki.com/add/?m=draft_school02&amp;ps_school=" TargetMode="External"/><Relationship Id="rId6096" Type="http://schemas.openxmlformats.org/officeDocument/2006/relationships/hyperlink" Target="https://statiz.sporki.com/add/?m=draft_school02&amp;ps_school=" TargetMode="External"/><Relationship Id="rId7147" Type="http://schemas.openxmlformats.org/officeDocument/2006/relationships/hyperlink" Target="https://statiz.sporki.com/player/?m=playerinfo&amp;p_no=10490" TargetMode="External"/><Relationship Id="rId10475" Type="http://schemas.openxmlformats.org/officeDocument/2006/relationships/hyperlink" Target="https://statiz.sporki.com/add/?m=draft_school01&amp;ps_school=50703" TargetMode="External"/><Relationship Id="rId11526" Type="http://schemas.openxmlformats.org/officeDocument/2006/relationships/hyperlink" Target="https://statiz.sporki.com/add/?m=draft_school02&amp;ps_school=" TargetMode="External"/><Relationship Id="rId10128" Type="http://schemas.openxmlformats.org/officeDocument/2006/relationships/hyperlink" Target="https://statiz.sporki.com/add/?m=draft_school02&amp;ps_school=60802" TargetMode="External"/><Relationship Id="rId13698" Type="http://schemas.openxmlformats.org/officeDocument/2006/relationships/hyperlink" Target="https://statiz.sporki.com/player/?m=playerinfo&amp;p_no=11158" TargetMode="External"/><Relationship Id="rId14749" Type="http://schemas.openxmlformats.org/officeDocument/2006/relationships/hyperlink" Target="https://statiz.sporki.com/player/?m=playerinfo&amp;p_no=10239" TargetMode="External"/><Relationship Id="rId18620" Type="http://schemas.openxmlformats.org/officeDocument/2006/relationships/hyperlink" Target="https://statiz.sporki.com/add/?m=draft_school01&amp;ps_school=50805" TargetMode="External"/><Relationship Id="rId3757" Type="http://schemas.openxmlformats.org/officeDocument/2006/relationships/hyperlink" Target="https://statiz.sporki.com/player/?m=playerinfo&amp;p_no=12978" TargetMode="External"/><Relationship Id="rId4808" Type="http://schemas.openxmlformats.org/officeDocument/2006/relationships/hyperlink" Target="https://statiz.sporki.com/add/?m=draft_school01&amp;ps_school=50101" TargetMode="External"/><Relationship Id="rId16171" Type="http://schemas.openxmlformats.org/officeDocument/2006/relationships/hyperlink" Target="https://statiz.sporki.com/player/?m=playerinfo&amp;p_no=12726" TargetMode="External"/><Relationship Id="rId17222" Type="http://schemas.openxmlformats.org/officeDocument/2006/relationships/hyperlink" Target="https://statiz.sporki.com/add/?m=draft_school01&amp;ps_school=50602" TargetMode="External"/><Relationship Id="rId678" Type="http://schemas.openxmlformats.org/officeDocument/2006/relationships/hyperlink" Target="https://statiz.sporki.com/add/?m=draft_school02&amp;ps_school=" TargetMode="External"/><Relationship Id="rId2359" Type="http://schemas.openxmlformats.org/officeDocument/2006/relationships/hyperlink" Target="https://statiz.sporki.com/player/?m=playerinfo&amp;p_no=13082" TargetMode="External"/><Relationship Id="rId6230" Type="http://schemas.openxmlformats.org/officeDocument/2006/relationships/hyperlink" Target="https://statiz.sporki.com/add/?m=draft_school01&amp;ps_school=50703" TargetMode="External"/><Relationship Id="rId19394" Type="http://schemas.openxmlformats.org/officeDocument/2006/relationships/hyperlink" Target="https://statiz.sporki.com/add/?m=draft_school01&amp;ps_school=50604" TargetMode="External"/><Relationship Id="rId9453" Type="http://schemas.openxmlformats.org/officeDocument/2006/relationships/hyperlink" Target="https://statiz.sporki.com/add/?m=draft_school02&amp;ps_school=60203" TargetMode="External"/><Relationship Id="rId11383" Type="http://schemas.openxmlformats.org/officeDocument/2006/relationships/hyperlink" Target="https://statiz.sporki.com/player/?m=playerinfo&amp;p_no=1430" TargetMode="External"/><Relationship Id="rId12781" Type="http://schemas.openxmlformats.org/officeDocument/2006/relationships/hyperlink" Target="https://statiz.sporki.com/player/?m=playerinfo&amp;p_no=14147" TargetMode="External"/><Relationship Id="rId13832" Type="http://schemas.openxmlformats.org/officeDocument/2006/relationships/hyperlink" Target="https://statiz.sporki.com/player/?m=playerinfo&amp;p_no=10822" TargetMode="External"/><Relationship Id="rId19047" Type="http://schemas.openxmlformats.org/officeDocument/2006/relationships/hyperlink" Target="https://statiz.sporki.com/add/?m=draft_school01&amp;ps_school=50609" TargetMode="External"/><Relationship Id="rId812" Type="http://schemas.openxmlformats.org/officeDocument/2006/relationships/hyperlink" Target="https://statiz.sporki.com/add/?m=draft_school01&amp;ps_school=51123" TargetMode="External"/><Relationship Id="rId1442" Type="http://schemas.openxmlformats.org/officeDocument/2006/relationships/hyperlink" Target="https://statiz.sporki.com/add/?m=draft_school01&amp;ps_school=50901" TargetMode="External"/><Relationship Id="rId2840" Type="http://schemas.openxmlformats.org/officeDocument/2006/relationships/hyperlink" Target="https://statiz.sporki.com/add/?m=draft_school01&amp;ps_school=50117" TargetMode="External"/><Relationship Id="rId8055" Type="http://schemas.openxmlformats.org/officeDocument/2006/relationships/hyperlink" Target="https://statiz.sporki.com/add/?m=draft_school02&amp;ps_school=60111" TargetMode="External"/><Relationship Id="rId9106" Type="http://schemas.openxmlformats.org/officeDocument/2006/relationships/hyperlink" Target="https://statiz.sporki.com/player/?m=playerinfo&amp;p_no=1905" TargetMode="External"/><Relationship Id="rId11036" Type="http://schemas.openxmlformats.org/officeDocument/2006/relationships/hyperlink" Target="https://statiz.sporki.com/add/?m=draft_school01&amp;ps_school=50703" TargetMode="External"/><Relationship Id="rId12434" Type="http://schemas.openxmlformats.org/officeDocument/2006/relationships/hyperlink" Target="https://statiz.sporki.com/player/?m=playerinfo&amp;p_no=15004" TargetMode="External"/><Relationship Id="rId15657" Type="http://schemas.openxmlformats.org/officeDocument/2006/relationships/hyperlink" Target="https://statiz.sporki.com/player/?m=playerinfo&amp;p_no=1461" TargetMode="External"/><Relationship Id="rId16708" Type="http://schemas.openxmlformats.org/officeDocument/2006/relationships/hyperlink" Target="https://statiz.sporki.com/add/?m=draft_school01&amp;ps_school=50101" TargetMode="External"/><Relationship Id="rId3267" Type="http://schemas.openxmlformats.org/officeDocument/2006/relationships/hyperlink" Target="https://statiz.sporki.com/add/?m=draft_school02&amp;ps_school=60804" TargetMode="External"/><Relationship Id="rId4665" Type="http://schemas.openxmlformats.org/officeDocument/2006/relationships/hyperlink" Target="https://statiz.sporki.com/add/?m=draft_school02&amp;ps_school=" TargetMode="External"/><Relationship Id="rId5716" Type="http://schemas.openxmlformats.org/officeDocument/2006/relationships/hyperlink" Target="https://statiz.sporki.com/player/?m=playerinfo&amp;p_no=10688" TargetMode="External"/><Relationship Id="rId14259" Type="http://schemas.openxmlformats.org/officeDocument/2006/relationships/hyperlink" Target="https://statiz.sporki.com/player/?m=playerinfo&amp;p_no=10089" TargetMode="External"/><Relationship Id="rId18130" Type="http://schemas.openxmlformats.org/officeDocument/2006/relationships/hyperlink" Target="https://statiz.sporki.com/add/?m=draft_school01&amp;ps_school=50207" TargetMode="External"/><Relationship Id="rId188" Type="http://schemas.openxmlformats.org/officeDocument/2006/relationships/hyperlink" Target="https://statiz.sporki.com/add/?m=draft_school01&amp;ps_school=50113" TargetMode="External"/><Relationship Id="rId4318" Type="http://schemas.openxmlformats.org/officeDocument/2006/relationships/hyperlink" Target="https://statiz.sporki.com/player/?m=playerinfo&amp;p_no=12647" TargetMode="External"/><Relationship Id="rId7888" Type="http://schemas.openxmlformats.org/officeDocument/2006/relationships/hyperlink" Target="https://statiz.sporki.com/player/?m=playerinfo&amp;p_no=2317" TargetMode="External"/><Relationship Id="rId8939" Type="http://schemas.openxmlformats.org/officeDocument/2006/relationships/hyperlink" Target="https://statiz.sporki.com/add/?m=draft_school01&amp;ps_school=50703" TargetMode="External"/><Relationship Id="rId10869" Type="http://schemas.openxmlformats.org/officeDocument/2006/relationships/hyperlink" Target="https://statiz.sporki.com/add/?m=draft_school02&amp;ps_school=60203" TargetMode="External"/><Relationship Id="rId14740" Type="http://schemas.openxmlformats.org/officeDocument/2006/relationships/hyperlink" Target="https://statiz.sporki.com/player/?m=playerinfo&amp;p_no=10558" TargetMode="External"/><Relationship Id="rId12291" Type="http://schemas.openxmlformats.org/officeDocument/2006/relationships/hyperlink" Target="https://statiz.sporki.com/player/?m=playerinfo&amp;p_no=15624" TargetMode="External"/><Relationship Id="rId13342" Type="http://schemas.openxmlformats.org/officeDocument/2006/relationships/hyperlink" Target="https://statiz.sporki.com/player/?m=playerinfo&amp;p_no=12981" TargetMode="External"/><Relationship Id="rId2350" Type="http://schemas.openxmlformats.org/officeDocument/2006/relationships/hyperlink" Target="https://statiz.sporki.com/player/?m=playerinfo&amp;p_no=13115" TargetMode="External"/><Relationship Id="rId3401" Type="http://schemas.openxmlformats.org/officeDocument/2006/relationships/hyperlink" Target="https://statiz.sporki.com/add/?m=draft_school01&amp;ps_school=50108" TargetMode="External"/><Relationship Id="rId6971" Type="http://schemas.openxmlformats.org/officeDocument/2006/relationships/hyperlink" Target="https://statiz.sporki.com/add/?m=draft_school01&amp;ps_school=50104" TargetMode="External"/><Relationship Id="rId17963" Type="http://schemas.openxmlformats.org/officeDocument/2006/relationships/hyperlink" Target="https://statiz.sporki.com/add/?m=draft_school01&amp;ps_school=50203" TargetMode="External"/><Relationship Id="rId322" Type="http://schemas.openxmlformats.org/officeDocument/2006/relationships/hyperlink" Target="https://statiz.sporki.com/player/?m=playerinfo&amp;p_no=15527" TargetMode="External"/><Relationship Id="rId2003" Type="http://schemas.openxmlformats.org/officeDocument/2006/relationships/hyperlink" Target="https://statiz.sporki.com/add/?m=draft_school01&amp;ps_school=50208" TargetMode="External"/><Relationship Id="rId5573" Type="http://schemas.openxmlformats.org/officeDocument/2006/relationships/hyperlink" Target="https://statiz.sporki.com/add/?m=draft_school01&amp;ps_school=50606" TargetMode="External"/><Relationship Id="rId6624" Type="http://schemas.openxmlformats.org/officeDocument/2006/relationships/hyperlink" Target="https://statiz.sporki.com/add/?m=draft_school02&amp;ps_school=" TargetMode="External"/><Relationship Id="rId15167" Type="http://schemas.openxmlformats.org/officeDocument/2006/relationships/hyperlink" Target="https://statiz.sporki.com/player/?m=playerinfo&amp;p_no=10510" TargetMode="External"/><Relationship Id="rId16218" Type="http://schemas.openxmlformats.org/officeDocument/2006/relationships/hyperlink" Target="https://statiz.sporki.com/add/?m=draft_school01&amp;ps_school=50802" TargetMode="External"/><Relationship Id="rId16565" Type="http://schemas.openxmlformats.org/officeDocument/2006/relationships/hyperlink" Target="https://statiz.sporki.com/add/?m=draft_school01&amp;ps_school=50212" TargetMode="External"/><Relationship Id="rId17616" Type="http://schemas.openxmlformats.org/officeDocument/2006/relationships/hyperlink" Target="https://statiz.sporki.com/add/?m=draft_school01&amp;ps_school=50204" TargetMode="External"/><Relationship Id="rId4175" Type="http://schemas.openxmlformats.org/officeDocument/2006/relationships/hyperlink" Target="https://statiz.sporki.com/add/?m=draft_school01&amp;ps_school=50209" TargetMode="External"/><Relationship Id="rId5226" Type="http://schemas.openxmlformats.org/officeDocument/2006/relationships/hyperlink" Target="https://statiz.sporki.com/add/?m=draft_school02&amp;ps_school=61001" TargetMode="External"/><Relationship Id="rId7398" Type="http://schemas.openxmlformats.org/officeDocument/2006/relationships/hyperlink" Target="https://statiz.sporki.com/add/?m=draft_school02&amp;ps_school=60803" TargetMode="External"/><Relationship Id="rId8796" Type="http://schemas.openxmlformats.org/officeDocument/2006/relationships/hyperlink" Target="https://statiz.sporki.com/add/?m=draft_school02&amp;ps_school=60108" TargetMode="External"/><Relationship Id="rId9847" Type="http://schemas.openxmlformats.org/officeDocument/2006/relationships/hyperlink" Target="https://statiz.sporki.com/player/?m=playerinfo&amp;p_no=1660" TargetMode="External"/><Relationship Id="rId11777" Type="http://schemas.openxmlformats.org/officeDocument/2006/relationships/hyperlink" Target="https://statiz.sporki.com/add/?m=draft_school01&amp;ps_school=50105" TargetMode="External"/><Relationship Id="rId12828" Type="http://schemas.openxmlformats.org/officeDocument/2006/relationships/hyperlink" Target="https://statiz.sporki.com/player/?m=playerinfo&amp;p_no=14111" TargetMode="External"/><Relationship Id="rId1836" Type="http://schemas.openxmlformats.org/officeDocument/2006/relationships/hyperlink" Target="https://statiz.sporki.com/add/?m=draft_school02&amp;ps_school=60804" TargetMode="External"/><Relationship Id="rId8449" Type="http://schemas.openxmlformats.org/officeDocument/2006/relationships/hyperlink" Target="https://statiz.sporki.com/player/?m=playerinfo&amp;p_no=2187" TargetMode="External"/><Relationship Id="rId10379" Type="http://schemas.openxmlformats.org/officeDocument/2006/relationships/hyperlink" Target="https://statiz.sporki.com/add/?m=draft_school01&amp;ps_school=50607" TargetMode="External"/><Relationship Id="rId14250" Type="http://schemas.openxmlformats.org/officeDocument/2006/relationships/hyperlink" Target="https://statiz.sporki.com/player/?m=playerinfo&amp;p_no=10785" TargetMode="External"/><Relationship Id="rId15301" Type="http://schemas.openxmlformats.org/officeDocument/2006/relationships/hyperlink" Target="https://statiz.sporki.com/player/?m=playerinfo&amp;p_no=1832" TargetMode="External"/><Relationship Id="rId18871" Type="http://schemas.openxmlformats.org/officeDocument/2006/relationships/hyperlink" Target="https://statiz.sporki.com/add/?m=draft_school01&amp;ps_school=50604" TargetMode="External"/><Relationship Id="rId8930" Type="http://schemas.openxmlformats.org/officeDocument/2006/relationships/hyperlink" Target="https://statiz.sporki.com/add/?m=draft_school01&amp;ps_school=50121" TargetMode="External"/><Relationship Id="rId17473" Type="http://schemas.openxmlformats.org/officeDocument/2006/relationships/hyperlink" Target="https://statiz.sporki.com/add/?m=draft_school01&amp;ps_school=50402" TargetMode="External"/><Relationship Id="rId18524" Type="http://schemas.openxmlformats.org/officeDocument/2006/relationships/hyperlink" Target="https://statiz.sporki.com/add/?m=draft_school01&amp;ps_school=50402" TargetMode="External"/><Relationship Id="rId6481" Type="http://schemas.openxmlformats.org/officeDocument/2006/relationships/hyperlink" Target="https://statiz.sporki.com/player/?m=playerinfo&amp;p_no=10576" TargetMode="External"/><Relationship Id="rId7532" Type="http://schemas.openxmlformats.org/officeDocument/2006/relationships/hyperlink" Target="https://statiz.sporki.com/add/?m=draft_school01&amp;ps_school=" TargetMode="External"/><Relationship Id="rId10860" Type="http://schemas.openxmlformats.org/officeDocument/2006/relationships/hyperlink" Target="https://statiz.sporki.com/add/?m=draft_school02&amp;ps_school=60803" TargetMode="External"/><Relationship Id="rId11911" Type="http://schemas.openxmlformats.org/officeDocument/2006/relationships/hyperlink" Target="https://statiz.sporki.com/player/?m=playerinfo&amp;p_no=1121" TargetMode="External"/><Relationship Id="rId16075" Type="http://schemas.openxmlformats.org/officeDocument/2006/relationships/hyperlink" Target="https://statiz.sporki.com/player/?m=playerinfo&amp;p_no=1058" TargetMode="External"/><Relationship Id="rId17126" Type="http://schemas.openxmlformats.org/officeDocument/2006/relationships/hyperlink" Target="https://statiz.sporki.com/add/?m=draft_school01&amp;ps_school=50107" TargetMode="External"/><Relationship Id="rId5083" Type="http://schemas.openxmlformats.org/officeDocument/2006/relationships/hyperlink" Target="https://statiz.sporki.com/player/?m=playerinfo&amp;p_no=10940" TargetMode="External"/><Relationship Id="rId6134" Type="http://schemas.openxmlformats.org/officeDocument/2006/relationships/hyperlink" Target="https://statiz.sporki.com/add/?m=draft_school01&amp;ps_school=50111" TargetMode="External"/><Relationship Id="rId10513" Type="http://schemas.openxmlformats.org/officeDocument/2006/relationships/hyperlink" Target="https://statiz.sporki.com/player/?m=playerinfo&amp;p_no=1506" TargetMode="External"/><Relationship Id="rId19298" Type="http://schemas.openxmlformats.org/officeDocument/2006/relationships/hyperlink" Target="https://statiz.sporki.com/add/?m=draft_school01&amp;ps_school=50403" TargetMode="External"/><Relationship Id="rId9357" Type="http://schemas.openxmlformats.org/officeDocument/2006/relationships/hyperlink" Target="https://statiz.sporki.com/add/?m=draft_school02&amp;ps_school=60803" TargetMode="External"/><Relationship Id="rId12685" Type="http://schemas.openxmlformats.org/officeDocument/2006/relationships/hyperlink" Target="https://statiz.sporki.com/player/?m=playerinfo&amp;p_no=14659" TargetMode="External"/><Relationship Id="rId13736" Type="http://schemas.openxmlformats.org/officeDocument/2006/relationships/hyperlink" Target="https://statiz.sporki.com/player/?m=playerinfo&amp;p_no=10783" TargetMode="External"/><Relationship Id="rId1346" Type="http://schemas.openxmlformats.org/officeDocument/2006/relationships/hyperlink" Target="https://statiz.sporki.com/add/?m=draft_school01&amp;ps_school=50111" TargetMode="External"/><Relationship Id="rId1693" Type="http://schemas.openxmlformats.org/officeDocument/2006/relationships/hyperlink" Target="https://statiz.sporki.com/player/?m=playerinfo&amp;p_no=14687" TargetMode="External"/><Relationship Id="rId2744" Type="http://schemas.openxmlformats.org/officeDocument/2006/relationships/hyperlink" Target="https://statiz.sporki.com/add/?m=draft_school01&amp;ps_school=50211" TargetMode="External"/><Relationship Id="rId11287" Type="http://schemas.openxmlformats.org/officeDocument/2006/relationships/hyperlink" Target="https://statiz.sporki.com/player/?m=playerinfo&amp;p_no=1273" TargetMode="External"/><Relationship Id="rId12338" Type="http://schemas.openxmlformats.org/officeDocument/2006/relationships/hyperlink" Target="https://statiz.sporki.com/player/?m=playerinfo&amp;p_no=15070" TargetMode="External"/><Relationship Id="rId16959" Type="http://schemas.openxmlformats.org/officeDocument/2006/relationships/hyperlink" Target="https://statiz.sporki.com/add/?m=draft_school01&amp;ps_school=50208" TargetMode="External"/><Relationship Id="rId716" Type="http://schemas.openxmlformats.org/officeDocument/2006/relationships/hyperlink" Target="https://statiz.sporki.com/add/?m=draft_school01&amp;ps_school=50502" TargetMode="External"/><Relationship Id="rId5967" Type="http://schemas.openxmlformats.org/officeDocument/2006/relationships/hyperlink" Target="https://statiz.sporki.com/add/?m=draft_school02&amp;ps_school=" TargetMode="External"/><Relationship Id="rId18381" Type="http://schemas.openxmlformats.org/officeDocument/2006/relationships/hyperlink" Target="https://statiz.sporki.com/add/?m=draft_school01&amp;ps_school=50904" TargetMode="External"/><Relationship Id="rId19432" Type="http://schemas.openxmlformats.org/officeDocument/2006/relationships/hyperlink" Target="https://statiz.sporki.com/add/?m=draft_school01&amp;ps_school=50209" TargetMode="External"/><Relationship Id="rId52" Type="http://schemas.openxmlformats.org/officeDocument/2006/relationships/hyperlink" Target="https://statiz.sporki.com/player/?m=playerinfo&amp;p_no=15497" TargetMode="External"/><Relationship Id="rId4569" Type="http://schemas.openxmlformats.org/officeDocument/2006/relationships/hyperlink" Target="https://statiz.sporki.com/add/?m=draft_school02&amp;ps_school=" TargetMode="External"/><Relationship Id="rId8440" Type="http://schemas.openxmlformats.org/officeDocument/2006/relationships/hyperlink" Target="https://statiz.sporki.com/player/?m=playerinfo&amp;p_no=10219" TargetMode="External"/><Relationship Id="rId10370" Type="http://schemas.openxmlformats.org/officeDocument/2006/relationships/hyperlink" Target="https://statiz.sporki.com/add/?m=draft_school01&amp;ps_school=50807" TargetMode="External"/><Relationship Id="rId11421" Type="http://schemas.openxmlformats.org/officeDocument/2006/relationships/hyperlink" Target="https://statiz.sporki.com/add/?m=draft_school02&amp;ps_school=" TargetMode="External"/><Relationship Id="rId18034" Type="http://schemas.openxmlformats.org/officeDocument/2006/relationships/hyperlink" Target="https://statiz.sporki.com/add/?m=draft_school01&amp;ps_school=50116" TargetMode="External"/><Relationship Id="rId7042" Type="http://schemas.openxmlformats.org/officeDocument/2006/relationships/hyperlink" Target="https://statiz.sporki.com/player/?m=playerinfo&amp;p_no=11132" TargetMode="External"/><Relationship Id="rId10023" Type="http://schemas.openxmlformats.org/officeDocument/2006/relationships/hyperlink" Target="https://statiz.sporki.com/add/?m=draft_school02&amp;ps_school=60803" TargetMode="External"/><Relationship Id="rId13593" Type="http://schemas.openxmlformats.org/officeDocument/2006/relationships/hyperlink" Target="https://statiz.sporki.com/player/?m=playerinfo&amp;p_no=11201" TargetMode="External"/><Relationship Id="rId14991" Type="http://schemas.openxmlformats.org/officeDocument/2006/relationships/hyperlink" Target="https://statiz.sporki.com/player/?m=playerinfo&amp;p_no=2052" TargetMode="External"/><Relationship Id="rId3652" Type="http://schemas.openxmlformats.org/officeDocument/2006/relationships/hyperlink" Target="https://statiz.sporki.com/player/?m=playerinfo&amp;p_no=11489" TargetMode="External"/><Relationship Id="rId4703" Type="http://schemas.openxmlformats.org/officeDocument/2006/relationships/hyperlink" Target="https://statiz.sporki.com/add/?m=draft_school01&amp;ps_school=50502" TargetMode="External"/><Relationship Id="rId12195" Type="http://schemas.openxmlformats.org/officeDocument/2006/relationships/hyperlink" Target="https://statiz.sporki.com/player/?m=playerinfo&amp;p_no=15455" TargetMode="External"/><Relationship Id="rId13246" Type="http://schemas.openxmlformats.org/officeDocument/2006/relationships/hyperlink" Target="https://statiz.sporki.com/player/?m=playerinfo&amp;p_no=12631" TargetMode="External"/><Relationship Id="rId14644" Type="http://schemas.openxmlformats.org/officeDocument/2006/relationships/hyperlink" Target="https://statiz.sporki.com/player/?m=playerinfo&amp;p_no=2250" TargetMode="External"/><Relationship Id="rId573" Type="http://schemas.openxmlformats.org/officeDocument/2006/relationships/hyperlink" Target="https://statiz.sporki.com/add/?m=draft_school02&amp;ps_school=" TargetMode="External"/><Relationship Id="rId2254" Type="http://schemas.openxmlformats.org/officeDocument/2006/relationships/hyperlink" Target="https://statiz.sporki.com/player/?m=playerinfo&amp;p_no=14219" TargetMode="External"/><Relationship Id="rId3305" Type="http://schemas.openxmlformats.org/officeDocument/2006/relationships/hyperlink" Target="https://statiz.sporki.com/add/?m=draft_school01&amp;ps_school=51001" TargetMode="External"/><Relationship Id="rId17867" Type="http://schemas.openxmlformats.org/officeDocument/2006/relationships/hyperlink" Target="https://statiz.sporki.com/add/?m=draft_school01&amp;ps_school=50116" TargetMode="External"/><Relationship Id="rId18918" Type="http://schemas.openxmlformats.org/officeDocument/2006/relationships/hyperlink" Target="https://statiz.sporki.com/add/?m=draft_school01&amp;ps_school=50110" TargetMode="External"/><Relationship Id="rId226" Type="http://schemas.openxmlformats.org/officeDocument/2006/relationships/hyperlink" Target="https://statiz.sporki.com/player/?m=playerinfo&amp;p_no=15480" TargetMode="External"/><Relationship Id="rId5477" Type="http://schemas.openxmlformats.org/officeDocument/2006/relationships/hyperlink" Target="https://statiz.sporki.com/add/?m=draft_school01&amp;ps_school=50403" TargetMode="External"/><Relationship Id="rId6875" Type="http://schemas.openxmlformats.org/officeDocument/2006/relationships/hyperlink" Target="https://statiz.sporki.com/add/?m=draft_school01&amp;ps_school=" TargetMode="External"/><Relationship Id="rId7926" Type="http://schemas.openxmlformats.org/officeDocument/2006/relationships/hyperlink" Target="https://statiz.sporki.com/add/?m=draft_school02&amp;ps_school=60104" TargetMode="External"/><Relationship Id="rId10907" Type="http://schemas.openxmlformats.org/officeDocument/2006/relationships/hyperlink" Target="https://statiz.sporki.com/add/?m=draft_school01&amp;ps_school=" TargetMode="External"/><Relationship Id="rId16469" Type="http://schemas.openxmlformats.org/officeDocument/2006/relationships/hyperlink" Target="https://statiz.sporki.com/add/?m=draft_school01&amp;ps_school=50107" TargetMode="External"/><Relationship Id="rId4079" Type="http://schemas.openxmlformats.org/officeDocument/2006/relationships/hyperlink" Target="https://statiz.sporki.com/add/?m=draft_school01&amp;ps_school=50601" TargetMode="External"/><Relationship Id="rId6528" Type="http://schemas.openxmlformats.org/officeDocument/2006/relationships/hyperlink" Target="https://statiz.sporki.com/add/?m=draft_school02&amp;ps_school=60702" TargetMode="External"/><Relationship Id="rId9001" Type="http://schemas.openxmlformats.org/officeDocument/2006/relationships/hyperlink" Target="https://statiz.sporki.com/player/?m=playerinfo&amp;p_no=1947" TargetMode="External"/><Relationship Id="rId16950" Type="http://schemas.openxmlformats.org/officeDocument/2006/relationships/hyperlink" Target="https://statiz.sporki.com/add/?m=draft_school01&amp;ps_school=50107" TargetMode="External"/><Relationship Id="rId15552" Type="http://schemas.openxmlformats.org/officeDocument/2006/relationships/hyperlink" Target="https://statiz.sporki.com/player/?m=playerinfo&amp;p_no=10194" TargetMode="External"/><Relationship Id="rId16603" Type="http://schemas.openxmlformats.org/officeDocument/2006/relationships/hyperlink" Target="https://statiz.sporki.com/add/?m=draft_school01&amp;ps_school=50207" TargetMode="External"/><Relationship Id="rId4560" Type="http://schemas.openxmlformats.org/officeDocument/2006/relationships/hyperlink" Target="https://statiz.sporki.com/add/?m=draft_school02&amp;ps_school=60111" TargetMode="External"/><Relationship Id="rId5611" Type="http://schemas.openxmlformats.org/officeDocument/2006/relationships/hyperlink" Target="https://statiz.sporki.com/player/?m=playerinfo&amp;p_no=10391" TargetMode="External"/><Relationship Id="rId14154" Type="http://schemas.openxmlformats.org/officeDocument/2006/relationships/hyperlink" Target="https://statiz.sporki.com/player/?m=playerinfo&amp;p_no=10304" TargetMode="External"/><Relationship Id="rId15205" Type="http://schemas.openxmlformats.org/officeDocument/2006/relationships/hyperlink" Target="https://statiz.sporki.com/player/?m=playerinfo&amp;p_no=1998" TargetMode="External"/><Relationship Id="rId3162" Type="http://schemas.openxmlformats.org/officeDocument/2006/relationships/hyperlink" Target="https://statiz.sporki.com/add/?m=draft_school02&amp;ps_school=" TargetMode="External"/><Relationship Id="rId4213" Type="http://schemas.openxmlformats.org/officeDocument/2006/relationships/hyperlink" Target="https://statiz.sporki.com/player/?m=playerinfo&amp;p_no=11223" TargetMode="External"/><Relationship Id="rId7783" Type="http://schemas.openxmlformats.org/officeDocument/2006/relationships/hyperlink" Target="https://statiz.sporki.com/player/?m=playerinfo&amp;p_no=2407" TargetMode="External"/><Relationship Id="rId8834" Type="http://schemas.openxmlformats.org/officeDocument/2006/relationships/hyperlink" Target="https://statiz.sporki.com/add/?m=draft_school01&amp;ps_school=50115" TargetMode="External"/><Relationship Id="rId17377" Type="http://schemas.openxmlformats.org/officeDocument/2006/relationships/hyperlink" Target="https://statiz.sporki.com/add/?m=draft_school01&amp;ps_school=50103" TargetMode="External"/><Relationship Id="rId18428" Type="http://schemas.openxmlformats.org/officeDocument/2006/relationships/hyperlink" Target="https://statiz.sporki.com/add/?m=draft_school01&amp;ps_school=50116" TargetMode="External"/><Relationship Id="rId18775" Type="http://schemas.openxmlformats.org/officeDocument/2006/relationships/hyperlink" Target="https://statiz.sporki.com/add/?m=draft_school01&amp;ps_school=50901" TargetMode="External"/><Relationship Id="rId6385" Type="http://schemas.openxmlformats.org/officeDocument/2006/relationships/hyperlink" Target="https://statiz.sporki.com/player/?m=playerinfo&amp;p_no=10538" TargetMode="External"/><Relationship Id="rId7436" Type="http://schemas.openxmlformats.org/officeDocument/2006/relationships/hyperlink" Target="https://statiz.sporki.com/add/?m=draft_school01&amp;ps_school=50107" TargetMode="External"/><Relationship Id="rId10764" Type="http://schemas.openxmlformats.org/officeDocument/2006/relationships/hyperlink" Target="https://statiz.sporki.com/add/?m=draft_school02&amp;ps_school=" TargetMode="External"/><Relationship Id="rId11815" Type="http://schemas.openxmlformats.org/officeDocument/2006/relationships/hyperlink" Target="https://statiz.sporki.com/player/?m=playerinfo&amp;p_no=1036" TargetMode="External"/><Relationship Id="rId6038" Type="http://schemas.openxmlformats.org/officeDocument/2006/relationships/hyperlink" Target="https://statiz.sporki.com/add/?m=draft_school01&amp;ps_school=50802" TargetMode="External"/><Relationship Id="rId10417" Type="http://schemas.openxmlformats.org/officeDocument/2006/relationships/hyperlink" Target="https://statiz.sporki.com/player/?m=playerinfo&amp;p_no=1605" TargetMode="External"/><Relationship Id="rId13987" Type="http://schemas.openxmlformats.org/officeDocument/2006/relationships/hyperlink" Target="https://statiz.sporki.com/player/?m=playerinfo&amp;p_no=10079" TargetMode="External"/><Relationship Id="rId2995" Type="http://schemas.openxmlformats.org/officeDocument/2006/relationships/hyperlink" Target="https://statiz.sporki.com/player/?m=playerinfo&amp;p_no=12881" TargetMode="External"/><Relationship Id="rId12589" Type="http://schemas.openxmlformats.org/officeDocument/2006/relationships/hyperlink" Target="https://statiz.sporki.com/player/?m=playerinfo&amp;p_no=14885" TargetMode="External"/><Relationship Id="rId16460" Type="http://schemas.openxmlformats.org/officeDocument/2006/relationships/hyperlink" Target="https://statiz.sporki.com/add/?m=draft_school01&amp;ps_school=50220" TargetMode="External"/><Relationship Id="rId17511" Type="http://schemas.openxmlformats.org/officeDocument/2006/relationships/hyperlink" Target="https://statiz.sporki.com/add/?m=draft_school01&amp;ps_school=50604" TargetMode="External"/><Relationship Id="rId967" Type="http://schemas.openxmlformats.org/officeDocument/2006/relationships/hyperlink" Target="https://statiz.sporki.com/player/?m=playerinfo&amp;p_no=14803" TargetMode="External"/><Relationship Id="rId1597" Type="http://schemas.openxmlformats.org/officeDocument/2006/relationships/hyperlink" Target="https://statiz.sporki.com/player/?m=playerinfo&amp;p_no=14680" TargetMode="External"/><Relationship Id="rId2648" Type="http://schemas.openxmlformats.org/officeDocument/2006/relationships/hyperlink" Target="https://statiz.sporki.com/add/?m=draft_school01&amp;ps_school=" TargetMode="External"/><Relationship Id="rId15062" Type="http://schemas.openxmlformats.org/officeDocument/2006/relationships/hyperlink" Target="https://statiz.sporki.com/player/?m=playerinfo&amp;p_no=2215" TargetMode="External"/><Relationship Id="rId16113" Type="http://schemas.openxmlformats.org/officeDocument/2006/relationships/hyperlink" Target="https://statiz.sporki.com/player/?m=playerinfo&amp;p_no=1002" TargetMode="External"/><Relationship Id="rId4070" Type="http://schemas.openxmlformats.org/officeDocument/2006/relationships/hyperlink" Target="https://statiz.sporki.com/add/?m=draft_school01&amp;ps_school=50601" TargetMode="External"/><Relationship Id="rId5121" Type="http://schemas.openxmlformats.org/officeDocument/2006/relationships/hyperlink" Target="https://statiz.sporki.com/add/?m=draft_school02&amp;ps_school=" TargetMode="External"/><Relationship Id="rId8691" Type="http://schemas.openxmlformats.org/officeDocument/2006/relationships/hyperlink" Target="https://statiz.sporki.com/add/?m=draft_school02&amp;ps_school=" TargetMode="External"/><Relationship Id="rId9742" Type="http://schemas.openxmlformats.org/officeDocument/2006/relationships/hyperlink" Target="https://statiz.sporki.com/player/?m=playerinfo&amp;p_no=1749" TargetMode="External"/><Relationship Id="rId11672" Type="http://schemas.openxmlformats.org/officeDocument/2006/relationships/hyperlink" Target="https://statiz.sporki.com/add/?m=draft_school01&amp;ps_school=50116" TargetMode="External"/><Relationship Id="rId18285" Type="http://schemas.openxmlformats.org/officeDocument/2006/relationships/hyperlink" Target="https://statiz.sporki.com/add/?m=draft_school01&amp;ps_school=50116" TargetMode="External"/><Relationship Id="rId19336" Type="http://schemas.openxmlformats.org/officeDocument/2006/relationships/hyperlink" Target="https://statiz.sporki.com/add/?m=draft_school01&amp;ps_school=50703" TargetMode="External"/><Relationship Id="rId1731" Type="http://schemas.openxmlformats.org/officeDocument/2006/relationships/hyperlink" Target="https://statiz.sporki.com/add/?m=draft_school02&amp;ps_school=" TargetMode="External"/><Relationship Id="rId7293" Type="http://schemas.openxmlformats.org/officeDocument/2006/relationships/hyperlink" Target="https://statiz.sporki.com/add/?m=draft_school02&amp;ps_school=60101" TargetMode="External"/><Relationship Id="rId8344" Type="http://schemas.openxmlformats.org/officeDocument/2006/relationships/hyperlink" Target="https://statiz.sporki.com/player/?m=playerinfo&amp;p_no=2024" TargetMode="External"/><Relationship Id="rId10274" Type="http://schemas.openxmlformats.org/officeDocument/2006/relationships/hyperlink" Target="https://statiz.sporki.com/add/?m=draft_school01&amp;ps_school=" TargetMode="External"/><Relationship Id="rId11325" Type="http://schemas.openxmlformats.org/officeDocument/2006/relationships/hyperlink" Target="https://statiz.sporki.com/add/?m=draft_school02&amp;ps_school=60109" TargetMode="External"/><Relationship Id="rId12723" Type="http://schemas.openxmlformats.org/officeDocument/2006/relationships/hyperlink" Target="https://statiz.sporki.com/player/?m=playerinfo&amp;p_no=14629" TargetMode="External"/><Relationship Id="rId14895" Type="http://schemas.openxmlformats.org/officeDocument/2006/relationships/hyperlink" Target="https://statiz.sporki.com/player/?m=playerinfo&amp;p_no=2101" TargetMode="External"/><Relationship Id="rId15946" Type="http://schemas.openxmlformats.org/officeDocument/2006/relationships/hyperlink" Target="https://statiz.sporki.com/player/?m=playerinfo&amp;p_no=1211" TargetMode="External"/><Relationship Id="rId3556" Type="http://schemas.openxmlformats.org/officeDocument/2006/relationships/hyperlink" Target="https://statiz.sporki.com/player/?m=playerinfo&amp;p_no=13183" TargetMode="External"/><Relationship Id="rId4954" Type="http://schemas.openxmlformats.org/officeDocument/2006/relationships/hyperlink" Target="https://statiz.sporki.com/player/?m=playerinfo&amp;p_no=10819" TargetMode="External"/><Relationship Id="rId12099" Type="http://schemas.openxmlformats.org/officeDocument/2006/relationships/hyperlink" Target="https://statiz.sporki.com/add/?m=draft_school02&amp;ps_school=60103" TargetMode="External"/><Relationship Id="rId13497" Type="http://schemas.openxmlformats.org/officeDocument/2006/relationships/hyperlink" Target="https://statiz.sporki.com/player/?m=playerinfo&amp;p_no=11248" TargetMode="External"/><Relationship Id="rId14548" Type="http://schemas.openxmlformats.org/officeDocument/2006/relationships/hyperlink" Target="https://statiz.sporki.com/player/?m=playerinfo&amp;p_no=10693" TargetMode="External"/><Relationship Id="rId477" Type="http://schemas.openxmlformats.org/officeDocument/2006/relationships/hyperlink" Target="https://statiz.sporki.com/add/?m=draft_school02&amp;ps_school=" TargetMode="External"/><Relationship Id="rId2158" Type="http://schemas.openxmlformats.org/officeDocument/2006/relationships/hyperlink" Target="https://statiz.sporki.com/player/?m=playerinfo&amp;p_no=14653" TargetMode="External"/><Relationship Id="rId3209" Type="http://schemas.openxmlformats.org/officeDocument/2006/relationships/hyperlink" Target="https://statiz.sporki.com/add/?m=draft_school01&amp;ps_school=50301" TargetMode="External"/><Relationship Id="rId4607" Type="http://schemas.openxmlformats.org/officeDocument/2006/relationships/hyperlink" Target="https://statiz.sporki.com/add/?m=draft_school01&amp;ps_school=50802" TargetMode="External"/><Relationship Id="rId17021" Type="http://schemas.openxmlformats.org/officeDocument/2006/relationships/hyperlink" Target="https://statiz.sporki.com/add/?m=draft_school01&amp;ps_school=50101" TargetMode="External"/><Relationship Id="rId6779" Type="http://schemas.openxmlformats.org/officeDocument/2006/relationships/hyperlink" Target="https://statiz.sporki.com/add/?m=draft_school01&amp;ps_school=50113" TargetMode="External"/><Relationship Id="rId12580" Type="http://schemas.openxmlformats.org/officeDocument/2006/relationships/hyperlink" Target="https://statiz.sporki.com/player/?m=playerinfo&amp;p_no=14756" TargetMode="External"/><Relationship Id="rId13631" Type="http://schemas.openxmlformats.org/officeDocument/2006/relationships/hyperlink" Target="https://statiz.sporki.com/player/?m=playerinfo&amp;p_no=11099" TargetMode="External"/><Relationship Id="rId19193" Type="http://schemas.openxmlformats.org/officeDocument/2006/relationships/hyperlink" Target="https://statiz.sporki.com/add/?m=draft_school01&amp;ps_school=50608" TargetMode="External"/><Relationship Id="rId9252" Type="http://schemas.openxmlformats.org/officeDocument/2006/relationships/hyperlink" Target="https://statiz.sporki.com/add/?m=draft_school02&amp;ps_school=" TargetMode="External"/><Relationship Id="rId11182" Type="http://schemas.openxmlformats.org/officeDocument/2006/relationships/hyperlink" Target="https://statiz.sporki.com/player/?m=playerinfo&amp;p_no=1329" TargetMode="External"/><Relationship Id="rId12233" Type="http://schemas.openxmlformats.org/officeDocument/2006/relationships/hyperlink" Target="https://statiz.sporki.com/player/?m=playerinfo&amp;p_no=15440" TargetMode="External"/><Relationship Id="rId611" Type="http://schemas.openxmlformats.org/officeDocument/2006/relationships/hyperlink" Target="https://statiz.sporki.com/add/?m=draft_school01&amp;ps_school=50504" TargetMode="External"/><Relationship Id="rId1241" Type="http://schemas.openxmlformats.org/officeDocument/2006/relationships/hyperlink" Target="https://statiz.sporki.com/add/?m=draft_school01&amp;ps_school=50219" TargetMode="External"/><Relationship Id="rId5862" Type="http://schemas.openxmlformats.org/officeDocument/2006/relationships/hyperlink" Target="https://statiz.sporki.com/add/?m=draft_school02&amp;ps_school=" TargetMode="External"/><Relationship Id="rId6913" Type="http://schemas.openxmlformats.org/officeDocument/2006/relationships/hyperlink" Target="https://statiz.sporki.com/player/?m=playerinfo&amp;p_no=2328" TargetMode="External"/><Relationship Id="rId15456" Type="http://schemas.openxmlformats.org/officeDocument/2006/relationships/hyperlink" Target="https://statiz.sporki.com/player/?m=playerinfo&amp;p_no=10613" TargetMode="External"/><Relationship Id="rId16507" Type="http://schemas.openxmlformats.org/officeDocument/2006/relationships/hyperlink" Target="https://statiz.sporki.com/add/?m=draft_school01&amp;ps_school=50209" TargetMode="External"/><Relationship Id="rId16854" Type="http://schemas.openxmlformats.org/officeDocument/2006/relationships/hyperlink" Target="https://statiz.sporki.com/add/?m=draft_school01&amp;ps_school=50116" TargetMode="External"/><Relationship Id="rId17905" Type="http://schemas.openxmlformats.org/officeDocument/2006/relationships/hyperlink" Target="https://statiz.sporki.com/add/?m=draft_school01&amp;ps_school=50705" TargetMode="External"/><Relationship Id="rId4464" Type="http://schemas.openxmlformats.org/officeDocument/2006/relationships/hyperlink" Target="https://statiz.sporki.com/add/?m=draft_school02&amp;ps_school=60801" TargetMode="External"/><Relationship Id="rId5515" Type="http://schemas.openxmlformats.org/officeDocument/2006/relationships/hyperlink" Target="https://statiz.sporki.com/player/?m=playerinfo&amp;p_no=10522" TargetMode="External"/><Relationship Id="rId14058" Type="http://schemas.openxmlformats.org/officeDocument/2006/relationships/hyperlink" Target="https://statiz.sporki.com/player/?m=playerinfo&amp;p_no=10320" TargetMode="External"/><Relationship Id="rId15109" Type="http://schemas.openxmlformats.org/officeDocument/2006/relationships/hyperlink" Target="https://statiz.sporki.com/player/?m=playerinfo&amp;p_no=2048" TargetMode="External"/><Relationship Id="rId3066" Type="http://schemas.openxmlformats.org/officeDocument/2006/relationships/hyperlink" Target="https://statiz.sporki.com/add/?m=draft_school02&amp;ps_school=" TargetMode="External"/><Relationship Id="rId4117" Type="http://schemas.openxmlformats.org/officeDocument/2006/relationships/hyperlink" Target="https://statiz.sporki.com/player/?m=playerinfo&amp;p_no=11257" TargetMode="External"/><Relationship Id="rId7687" Type="http://schemas.openxmlformats.org/officeDocument/2006/relationships/hyperlink" Target="https://statiz.sporki.com/player/?m=playerinfo&amp;p_no=10112" TargetMode="External"/><Relationship Id="rId18679" Type="http://schemas.openxmlformats.org/officeDocument/2006/relationships/hyperlink" Target="https://statiz.sporki.com/add/?m=draft_school01&amp;ps_school=50116" TargetMode="External"/><Relationship Id="rId6289" Type="http://schemas.openxmlformats.org/officeDocument/2006/relationships/hyperlink" Target="https://statiz.sporki.com/player/?m=playerinfo&amp;p_no=10126" TargetMode="External"/><Relationship Id="rId8738" Type="http://schemas.openxmlformats.org/officeDocument/2006/relationships/hyperlink" Target="https://statiz.sporki.com/add/?m=draft_school01&amp;ps_school=50116" TargetMode="External"/><Relationship Id="rId10668" Type="http://schemas.openxmlformats.org/officeDocument/2006/relationships/hyperlink" Target="https://statiz.sporki.com/add/?m=draft_school02&amp;ps_school=60203" TargetMode="External"/><Relationship Id="rId11719" Type="http://schemas.openxmlformats.org/officeDocument/2006/relationships/hyperlink" Target="https://statiz.sporki.com/player/?m=playerinfo&amp;p_no=1131" TargetMode="External"/><Relationship Id="rId12090" Type="http://schemas.openxmlformats.org/officeDocument/2006/relationships/hyperlink" Target="https://statiz.sporki.com/add/?m=draft_school02&amp;ps_school=60104" TargetMode="External"/><Relationship Id="rId13141" Type="http://schemas.openxmlformats.org/officeDocument/2006/relationships/hyperlink" Target="https://statiz.sporki.com/player/?m=playerinfo&amp;p_no=12887" TargetMode="External"/><Relationship Id="rId17762" Type="http://schemas.openxmlformats.org/officeDocument/2006/relationships/hyperlink" Target="https://statiz.sporki.com/add/?m=draft_school01&amp;ps_school=50805" TargetMode="External"/><Relationship Id="rId18813" Type="http://schemas.openxmlformats.org/officeDocument/2006/relationships/hyperlink" Target="https://statiz.sporki.com/add/?m=draft_school01&amp;ps_school=50402" TargetMode="External"/><Relationship Id="rId2899" Type="http://schemas.openxmlformats.org/officeDocument/2006/relationships/hyperlink" Target="https://statiz.sporki.com/player/?m=playerinfo&amp;p_no=12912" TargetMode="External"/><Relationship Id="rId3200" Type="http://schemas.openxmlformats.org/officeDocument/2006/relationships/hyperlink" Target="https://statiz.sporki.com/add/?m=draft_school01&amp;ps_school=50606" TargetMode="External"/><Relationship Id="rId6770" Type="http://schemas.openxmlformats.org/officeDocument/2006/relationships/hyperlink" Target="https://statiz.sporki.com/add/?m=draft_school01&amp;ps_school=50202" TargetMode="External"/><Relationship Id="rId7821" Type="http://schemas.openxmlformats.org/officeDocument/2006/relationships/hyperlink" Target="https://statiz.sporki.com/add/?m=draft_school02&amp;ps_school=" TargetMode="External"/><Relationship Id="rId16364" Type="http://schemas.openxmlformats.org/officeDocument/2006/relationships/hyperlink" Target="https://statiz.sporki.com/add/?m=draft_school01&amp;ps_school=50803" TargetMode="External"/><Relationship Id="rId17415" Type="http://schemas.openxmlformats.org/officeDocument/2006/relationships/hyperlink" Target="https://statiz.sporki.com/add/?m=draft_school01&amp;ps_school=50209" TargetMode="External"/><Relationship Id="rId121" Type="http://schemas.openxmlformats.org/officeDocument/2006/relationships/hyperlink" Target="https://statiz.sporki.com/player/?m=playerinfo&amp;p_no=15425" TargetMode="External"/><Relationship Id="rId5372" Type="http://schemas.openxmlformats.org/officeDocument/2006/relationships/hyperlink" Target="https://statiz.sporki.com/add/?m=draft_school01&amp;ps_school=" TargetMode="External"/><Relationship Id="rId6423" Type="http://schemas.openxmlformats.org/officeDocument/2006/relationships/hyperlink" Target="https://statiz.sporki.com/add/?m=draft_school02&amp;ps_school=" TargetMode="External"/><Relationship Id="rId9993" Type="http://schemas.openxmlformats.org/officeDocument/2006/relationships/hyperlink" Target="https://statiz.sporki.com/add/?m=draft_school02&amp;ps_school=60503" TargetMode="External"/><Relationship Id="rId10802" Type="http://schemas.openxmlformats.org/officeDocument/2006/relationships/hyperlink" Target="https://statiz.sporki.com/add/?m=draft_school01&amp;ps_school=50706" TargetMode="External"/><Relationship Id="rId16017" Type="http://schemas.openxmlformats.org/officeDocument/2006/relationships/hyperlink" Target="https://statiz.sporki.com/player/?m=playerinfo&amp;p_no=1180" TargetMode="External"/><Relationship Id="rId19587" Type="http://schemas.openxmlformats.org/officeDocument/2006/relationships/hyperlink" Target="https://statiz.sporki.com/add/?m=draft_school01&amp;ps_school=50110" TargetMode="External"/><Relationship Id="rId5025" Type="http://schemas.openxmlformats.org/officeDocument/2006/relationships/hyperlink" Target="https://statiz.sporki.com/add/?m=draft_school02&amp;ps_school=" TargetMode="External"/><Relationship Id="rId8595" Type="http://schemas.openxmlformats.org/officeDocument/2006/relationships/hyperlink" Target="https://statiz.sporki.com/add/?m=draft_school02&amp;ps_school=60104" TargetMode="External"/><Relationship Id="rId9646" Type="http://schemas.openxmlformats.org/officeDocument/2006/relationships/hyperlink" Target="https://statiz.sporki.com/player/?m=playerinfo&amp;p_no=1921" TargetMode="External"/><Relationship Id="rId12974" Type="http://schemas.openxmlformats.org/officeDocument/2006/relationships/hyperlink" Target="https://statiz.sporki.com/player/?m=playerinfo&amp;p_no=13140" TargetMode="External"/><Relationship Id="rId18189" Type="http://schemas.openxmlformats.org/officeDocument/2006/relationships/hyperlink" Target="https://statiz.sporki.com/add/?m=draft_school01&amp;ps_school=50303" TargetMode="External"/><Relationship Id="rId1635" Type="http://schemas.openxmlformats.org/officeDocument/2006/relationships/hyperlink" Target="https://statiz.sporki.com/add/?m=draft_school02&amp;ps_school=" TargetMode="External"/><Relationship Id="rId1982" Type="http://schemas.openxmlformats.org/officeDocument/2006/relationships/hyperlink" Target="https://statiz.sporki.com/add/?m=draft_school01&amp;ps_school=50502" TargetMode="External"/><Relationship Id="rId7197" Type="http://schemas.openxmlformats.org/officeDocument/2006/relationships/hyperlink" Target="https://statiz.sporki.com/add/?m=draft_school02&amp;ps_school=61002" TargetMode="External"/><Relationship Id="rId8248" Type="http://schemas.openxmlformats.org/officeDocument/2006/relationships/hyperlink" Target="https://statiz.sporki.com/player/?m=playerinfo&amp;p_no=2071" TargetMode="External"/><Relationship Id="rId10178" Type="http://schemas.openxmlformats.org/officeDocument/2006/relationships/hyperlink" Target="https://statiz.sporki.com/add/?m=draft_school01&amp;ps_school=50502" TargetMode="External"/><Relationship Id="rId11576" Type="http://schemas.openxmlformats.org/officeDocument/2006/relationships/hyperlink" Target="https://statiz.sporki.com/add/?m=draft_school01&amp;ps_school=50111" TargetMode="External"/><Relationship Id="rId12627" Type="http://schemas.openxmlformats.org/officeDocument/2006/relationships/hyperlink" Target="https://statiz.sporki.com/player/?m=playerinfo&amp;p_no=14573" TargetMode="External"/><Relationship Id="rId11229" Type="http://schemas.openxmlformats.org/officeDocument/2006/relationships/hyperlink" Target="https://statiz.sporki.com/add/?m=draft_school02&amp;ps_school=60104" TargetMode="External"/><Relationship Id="rId14799" Type="http://schemas.openxmlformats.org/officeDocument/2006/relationships/hyperlink" Target="https://statiz.sporki.com/player/?m=playerinfo&amp;p_no=2135" TargetMode="External"/><Relationship Id="rId15100" Type="http://schemas.openxmlformats.org/officeDocument/2006/relationships/hyperlink" Target="https://statiz.sporki.com/player/?m=playerinfo&amp;p_no=2070" TargetMode="External"/><Relationship Id="rId18670" Type="http://schemas.openxmlformats.org/officeDocument/2006/relationships/hyperlink" Target="https://statiz.sporki.com/add/?m=draft_school01&amp;ps_school=50401" TargetMode="External"/><Relationship Id="rId4858" Type="http://schemas.openxmlformats.org/officeDocument/2006/relationships/hyperlink" Target="https://statiz.sporki.com/player/?m=playerinfo&amp;p_no=10857" TargetMode="External"/><Relationship Id="rId5909" Type="http://schemas.openxmlformats.org/officeDocument/2006/relationships/hyperlink" Target="https://statiz.sporki.com/add/?m=draft_school01&amp;ps_school=50807" TargetMode="External"/><Relationship Id="rId11710" Type="http://schemas.openxmlformats.org/officeDocument/2006/relationships/hyperlink" Target="https://statiz.sporki.com/player/?m=playerinfo&amp;p_no=1096" TargetMode="External"/><Relationship Id="rId17272" Type="http://schemas.openxmlformats.org/officeDocument/2006/relationships/hyperlink" Target="https://statiz.sporki.com/add/?m=draft_school01&amp;ps_school=50602" TargetMode="External"/><Relationship Id="rId18323" Type="http://schemas.openxmlformats.org/officeDocument/2006/relationships/hyperlink" Target="https://statiz.sporki.com/add/?m=draft_school01&amp;ps_school=50116" TargetMode="External"/><Relationship Id="rId6280" Type="http://schemas.openxmlformats.org/officeDocument/2006/relationships/hyperlink" Target="https://statiz.sporki.com/player/?m=playerinfo&amp;p_no=2431" TargetMode="External"/><Relationship Id="rId7331" Type="http://schemas.openxmlformats.org/officeDocument/2006/relationships/hyperlink" Target="https://statiz.sporki.com/add/?m=draft_school01&amp;ps_school=50209" TargetMode="External"/><Relationship Id="rId10312" Type="http://schemas.openxmlformats.org/officeDocument/2006/relationships/hyperlink" Target="https://statiz.sporki.com/player/?m=playerinfo&amp;p_no=1496" TargetMode="External"/><Relationship Id="rId13882" Type="http://schemas.openxmlformats.org/officeDocument/2006/relationships/hyperlink" Target="https://statiz.sporki.com/player/?m=playerinfo&amp;p_no=10651" TargetMode="External"/><Relationship Id="rId2890" Type="http://schemas.openxmlformats.org/officeDocument/2006/relationships/hyperlink" Target="https://statiz.sporki.com/player/?m=playerinfo&amp;p_no=13194" TargetMode="External"/><Relationship Id="rId3941" Type="http://schemas.openxmlformats.org/officeDocument/2006/relationships/hyperlink" Target="https://statiz.sporki.com/add/?m=draft_school01&amp;ps_school=" TargetMode="External"/><Relationship Id="rId12484" Type="http://schemas.openxmlformats.org/officeDocument/2006/relationships/hyperlink" Target="https://statiz.sporki.com/player/?m=playerinfo&amp;p_no=14807" TargetMode="External"/><Relationship Id="rId13535" Type="http://schemas.openxmlformats.org/officeDocument/2006/relationships/hyperlink" Target="https://statiz.sporki.com/player/?m=playerinfo&amp;p_no=11254" TargetMode="External"/><Relationship Id="rId14933" Type="http://schemas.openxmlformats.org/officeDocument/2006/relationships/hyperlink" Target="https://statiz.sporki.com/player/?m=playerinfo&amp;p_no=2078" TargetMode="External"/><Relationship Id="rId19097" Type="http://schemas.openxmlformats.org/officeDocument/2006/relationships/hyperlink" Target="https://statiz.sporki.com/add/?m=draft_school01&amp;ps_school=50115" TargetMode="External"/><Relationship Id="rId862" Type="http://schemas.openxmlformats.org/officeDocument/2006/relationships/hyperlink" Target="https://statiz.sporki.com/player/?m=playerinfo&amp;p_no=15011" TargetMode="External"/><Relationship Id="rId1492" Type="http://schemas.openxmlformats.org/officeDocument/2006/relationships/hyperlink" Target="https://statiz.sporki.com/player/?m=playerinfo&amp;p_no=14614" TargetMode="External"/><Relationship Id="rId2543" Type="http://schemas.openxmlformats.org/officeDocument/2006/relationships/hyperlink" Target="https://statiz.sporki.com/add/?m=draft_school01&amp;ps_school=50807" TargetMode="External"/><Relationship Id="rId9156" Type="http://schemas.openxmlformats.org/officeDocument/2006/relationships/hyperlink" Target="https://statiz.sporki.com/add/?m=draft_school02&amp;ps_school=60703" TargetMode="External"/><Relationship Id="rId11086" Type="http://schemas.openxmlformats.org/officeDocument/2006/relationships/hyperlink" Target="https://statiz.sporki.com/player/?m=playerinfo&amp;p_no=1275" TargetMode="External"/><Relationship Id="rId12137" Type="http://schemas.openxmlformats.org/officeDocument/2006/relationships/hyperlink" Target="https://statiz.sporki.com/add/?m=draft_school01&amp;ps_school=" TargetMode="External"/><Relationship Id="rId515" Type="http://schemas.openxmlformats.org/officeDocument/2006/relationships/hyperlink" Target="https://statiz.sporki.com/add/?m=draft_school01&amp;ps_school=50212" TargetMode="External"/><Relationship Id="rId1145" Type="http://schemas.openxmlformats.org/officeDocument/2006/relationships/hyperlink" Target="https://statiz.sporki.com/add/?m=draft_school01&amp;ps_school=50108" TargetMode="External"/><Relationship Id="rId5766" Type="http://schemas.openxmlformats.org/officeDocument/2006/relationships/hyperlink" Target="https://statiz.sporki.com/add/?m=draft_school02&amp;ps_school=60106" TargetMode="External"/><Relationship Id="rId16758" Type="http://schemas.openxmlformats.org/officeDocument/2006/relationships/hyperlink" Target="https://statiz.sporki.com/add/?m=draft_school01&amp;ps_school=50807" TargetMode="External"/><Relationship Id="rId17809" Type="http://schemas.openxmlformats.org/officeDocument/2006/relationships/hyperlink" Target="https://statiz.sporki.com/add/?m=draft_school01&amp;ps_school=50107" TargetMode="External"/><Relationship Id="rId18180" Type="http://schemas.openxmlformats.org/officeDocument/2006/relationships/hyperlink" Target="https://statiz.sporki.com/add/?m=draft_school01&amp;ps_school=50805" TargetMode="External"/><Relationship Id="rId4368" Type="http://schemas.openxmlformats.org/officeDocument/2006/relationships/hyperlink" Target="https://statiz.sporki.com/add/?m=draft_school02&amp;ps_school=" TargetMode="External"/><Relationship Id="rId5419" Type="http://schemas.openxmlformats.org/officeDocument/2006/relationships/hyperlink" Target="https://statiz.sporki.com/player/?m=playerinfo&amp;p_no=10719" TargetMode="External"/><Relationship Id="rId6817" Type="http://schemas.openxmlformats.org/officeDocument/2006/relationships/hyperlink" Target="https://statiz.sporki.com/player/?m=playerinfo&amp;p_no=10588" TargetMode="External"/><Relationship Id="rId19231" Type="http://schemas.openxmlformats.org/officeDocument/2006/relationships/hyperlink" Target="https://statiz.sporki.com/add/?m=draft_school01&amp;ps_school=50403" TargetMode="External"/><Relationship Id="rId8989" Type="http://schemas.openxmlformats.org/officeDocument/2006/relationships/hyperlink" Target="https://statiz.sporki.com/player/?m=playerinfo&amp;p_no=2168" TargetMode="External"/><Relationship Id="rId11220" Type="http://schemas.openxmlformats.org/officeDocument/2006/relationships/hyperlink" Target="https://statiz.sporki.com/add/?m=draft_school02&amp;ps_school=60109" TargetMode="External"/><Relationship Id="rId14790" Type="http://schemas.openxmlformats.org/officeDocument/2006/relationships/hyperlink" Target="https://statiz.sporki.com/player/?m=playerinfo&amp;p_no=10518" TargetMode="External"/><Relationship Id="rId15841" Type="http://schemas.openxmlformats.org/officeDocument/2006/relationships/hyperlink" Target="https://statiz.sporki.com/player/?m=playerinfo&amp;p_no=1305" TargetMode="External"/><Relationship Id="rId5900" Type="http://schemas.openxmlformats.org/officeDocument/2006/relationships/hyperlink" Target="https://statiz.sporki.com/add/?m=draft_school01&amp;ps_school=50604" TargetMode="External"/><Relationship Id="rId13392" Type="http://schemas.openxmlformats.org/officeDocument/2006/relationships/hyperlink" Target="https://statiz.sporki.com/player/?m=playerinfo&amp;p_no=12651" TargetMode="External"/><Relationship Id="rId14443" Type="http://schemas.openxmlformats.org/officeDocument/2006/relationships/hyperlink" Target="https://statiz.sporki.com/player/?m=playerinfo&amp;p_no=10577" TargetMode="External"/><Relationship Id="rId3451" Type="http://schemas.openxmlformats.org/officeDocument/2006/relationships/hyperlink" Target="https://statiz.sporki.com/player/?m=playerinfo&amp;p_no=12581" TargetMode="External"/><Relationship Id="rId4502" Type="http://schemas.openxmlformats.org/officeDocument/2006/relationships/hyperlink" Target="https://statiz.sporki.com/add/?m=draft_school01&amp;ps_school=50110" TargetMode="External"/><Relationship Id="rId13045" Type="http://schemas.openxmlformats.org/officeDocument/2006/relationships/hyperlink" Target="https://statiz.sporki.com/player/?m=playerinfo&amp;p_no=13225" TargetMode="External"/><Relationship Id="rId17666" Type="http://schemas.openxmlformats.org/officeDocument/2006/relationships/hyperlink" Target="https://statiz.sporki.com/add/?m=draft_school01&amp;ps_school=50208" TargetMode="External"/><Relationship Id="rId18717" Type="http://schemas.openxmlformats.org/officeDocument/2006/relationships/hyperlink" Target="https://statiz.sporki.com/add/?m=draft_school01&amp;ps_school=50110" TargetMode="External"/><Relationship Id="rId372" Type="http://schemas.openxmlformats.org/officeDocument/2006/relationships/hyperlink" Target="https://statiz.sporki.com/add/?m=draft_school02&amp;ps_school=" TargetMode="External"/><Relationship Id="rId2053" Type="http://schemas.openxmlformats.org/officeDocument/2006/relationships/hyperlink" Target="https://statiz.sporki.com/player/?m=playerinfo&amp;p_no=14713" TargetMode="External"/><Relationship Id="rId3104" Type="http://schemas.openxmlformats.org/officeDocument/2006/relationships/hyperlink" Target="https://statiz.sporki.com/add/?m=draft_school01&amp;ps_school=" TargetMode="External"/><Relationship Id="rId6674" Type="http://schemas.openxmlformats.org/officeDocument/2006/relationships/hyperlink" Target="https://statiz.sporki.com/add/?m=draft_school01&amp;ps_school=50113" TargetMode="External"/><Relationship Id="rId7725" Type="http://schemas.openxmlformats.org/officeDocument/2006/relationships/hyperlink" Target="https://statiz.sporki.com/add/?m=draft_school02&amp;ps_school=" TargetMode="External"/><Relationship Id="rId16268" Type="http://schemas.openxmlformats.org/officeDocument/2006/relationships/hyperlink" Target="https://statiz.sporki.com/add/?m=draft_school01&amp;ps_school=50701" TargetMode="External"/><Relationship Id="rId17319" Type="http://schemas.openxmlformats.org/officeDocument/2006/relationships/hyperlink" Target="https://statiz.sporki.com/add/?m=draft_school01&amp;ps_school=50116" TargetMode="External"/><Relationship Id="rId5276" Type="http://schemas.openxmlformats.org/officeDocument/2006/relationships/hyperlink" Target="https://statiz.sporki.com/add/?m=draft_school01&amp;ps_school=50101" TargetMode="External"/><Relationship Id="rId6327" Type="http://schemas.openxmlformats.org/officeDocument/2006/relationships/hyperlink" Target="https://statiz.sporki.com/add/?m=draft_school02&amp;ps_school=60103" TargetMode="External"/><Relationship Id="rId9897" Type="http://schemas.openxmlformats.org/officeDocument/2006/relationships/hyperlink" Target="https://statiz.sporki.com/add/?m=draft_school02&amp;ps_school=60102" TargetMode="External"/><Relationship Id="rId10706" Type="http://schemas.openxmlformats.org/officeDocument/2006/relationships/hyperlink" Target="https://statiz.sporki.com/add/?m=draft_school01&amp;ps_school=50805" TargetMode="External"/><Relationship Id="rId8499" Type="http://schemas.openxmlformats.org/officeDocument/2006/relationships/hyperlink" Target="https://statiz.sporki.com/add/?m=draft_school02&amp;ps_school=60104" TargetMode="External"/><Relationship Id="rId12878" Type="http://schemas.openxmlformats.org/officeDocument/2006/relationships/hyperlink" Target="https://statiz.sporki.com/player/?m=playerinfo&amp;p_no=14227" TargetMode="External"/><Relationship Id="rId13929" Type="http://schemas.openxmlformats.org/officeDocument/2006/relationships/hyperlink" Target="https://statiz.sporki.com/player/?m=playerinfo&amp;p_no=13187" TargetMode="External"/><Relationship Id="rId17800" Type="http://schemas.openxmlformats.org/officeDocument/2006/relationships/hyperlink" Target="https://statiz.sporki.com/add/?m=draft_school01&amp;ps_school=50110" TargetMode="External"/><Relationship Id="rId1886" Type="http://schemas.openxmlformats.org/officeDocument/2006/relationships/hyperlink" Target="https://statiz.sporki.com/add/?m=draft_school01&amp;ps_school=50111" TargetMode="External"/><Relationship Id="rId2937" Type="http://schemas.openxmlformats.org/officeDocument/2006/relationships/hyperlink" Target="https://statiz.sporki.com/add/?m=draft_school02&amp;ps_school=" TargetMode="External"/><Relationship Id="rId15351" Type="http://schemas.openxmlformats.org/officeDocument/2006/relationships/hyperlink" Target="https://statiz.sporki.com/player/?m=playerinfo&amp;p_no=1748" TargetMode="External"/><Relationship Id="rId16402" Type="http://schemas.openxmlformats.org/officeDocument/2006/relationships/hyperlink" Target="https://statiz.sporki.com/add/?m=draft_school01&amp;ps_school=50804" TargetMode="External"/><Relationship Id="rId909" Type="http://schemas.openxmlformats.org/officeDocument/2006/relationships/hyperlink" Target="https://statiz.sporki.com/add/?m=draft_school02&amp;ps_school=60902" TargetMode="External"/><Relationship Id="rId1539" Type="http://schemas.openxmlformats.org/officeDocument/2006/relationships/hyperlink" Target="https://statiz.sporki.com/add/?m=draft_school02&amp;ps_school=60101" TargetMode="External"/><Relationship Id="rId5410" Type="http://schemas.openxmlformats.org/officeDocument/2006/relationships/hyperlink" Target="https://statiz.sporki.com/player/?m=playerinfo&amp;p_no=10698" TargetMode="External"/><Relationship Id="rId8980" Type="http://schemas.openxmlformats.org/officeDocument/2006/relationships/hyperlink" Target="https://statiz.sporki.com/player/?m=playerinfo&amp;p_no=2015" TargetMode="External"/><Relationship Id="rId11961" Type="http://schemas.openxmlformats.org/officeDocument/2006/relationships/hyperlink" Target="https://statiz.sporki.com/add/?m=draft_school02&amp;ps_school=60204" TargetMode="External"/><Relationship Id="rId15004" Type="http://schemas.openxmlformats.org/officeDocument/2006/relationships/hyperlink" Target="https://statiz.sporki.com/player/?m=playerinfo&amp;p_no=2012" TargetMode="External"/><Relationship Id="rId18574" Type="http://schemas.openxmlformats.org/officeDocument/2006/relationships/hyperlink" Target="https://statiz.sporki.com/add/?m=draft_school01&amp;ps_school=50202" TargetMode="External"/><Relationship Id="rId19625" Type="http://schemas.openxmlformats.org/officeDocument/2006/relationships/hyperlink" Target="https://statiz.sporki.com/add/?m=draft_school01&amp;ps_school=50209" TargetMode="External"/><Relationship Id="rId4012" Type="http://schemas.openxmlformats.org/officeDocument/2006/relationships/hyperlink" Target="https://statiz.sporki.com/player/?m=playerinfo&amp;p_no=11263" TargetMode="External"/><Relationship Id="rId7582" Type="http://schemas.openxmlformats.org/officeDocument/2006/relationships/hyperlink" Target="https://statiz.sporki.com/player/?m=playerinfo&amp;p_no=10045" TargetMode="External"/><Relationship Id="rId8633" Type="http://schemas.openxmlformats.org/officeDocument/2006/relationships/hyperlink" Target="https://statiz.sporki.com/add/?m=draft_school01&amp;ps_school=50103" TargetMode="External"/><Relationship Id="rId10563" Type="http://schemas.openxmlformats.org/officeDocument/2006/relationships/hyperlink" Target="https://statiz.sporki.com/add/?m=draft_school02&amp;ps_school=60204" TargetMode="External"/><Relationship Id="rId11614" Type="http://schemas.openxmlformats.org/officeDocument/2006/relationships/hyperlink" Target="https://statiz.sporki.com/player/?m=playerinfo&amp;p_no=1157" TargetMode="External"/><Relationship Id="rId17176" Type="http://schemas.openxmlformats.org/officeDocument/2006/relationships/hyperlink" Target="https://statiz.sporki.com/add/?m=draft_school01&amp;ps_school=50109" TargetMode="External"/><Relationship Id="rId18227" Type="http://schemas.openxmlformats.org/officeDocument/2006/relationships/hyperlink" Target="https://statiz.sporki.com/add/?m=draft_school01&amp;ps_school=50402" TargetMode="External"/><Relationship Id="rId6184" Type="http://schemas.openxmlformats.org/officeDocument/2006/relationships/hyperlink" Target="https://statiz.sporki.com/player/?m=playerinfo&amp;p_no=2423" TargetMode="External"/><Relationship Id="rId7235" Type="http://schemas.openxmlformats.org/officeDocument/2006/relationships/hyperlink" Target="https://statiz.sporki.com/add/?m=draft_school01&amp;ps_school=" TargetMode="External"/><Relationship Id="rId10216" Type="http://schemas.openxmlformats.org/officeDocument/2006/relationships/hyperlink" Target="https://statiz.sporki.com/player/?m=playerinfo&amp;p_no=1656" TargetMode="External"/><Relationship Id="rId2794" Type="http://schemas.openxmlformats.org/officeDocument/2006/relationships/hyperlink" Target="https://statiz.sporki.com/player/?m=playerinfo&amp;p_no=12934" TargetMode="External"/><Relationship Id="rId3845" Type="http://schemas.openxmlformats.org/officeDocument/2006/relationships/hyperlink" Target="https://statiz.sporki.com/add/?m=draft_school01&amp;ps_school=50105" TargetMode="External"/><Relationship Id="rId12388" Type="http://schemas.openxmlformats.org/officeDocument/2006/relationships/hyperlink" Target="https://statiz.sporki.com/player/?m=playerinfo&amp;p_no=15075" TargetMode="External"/><Relationship Id="rId13786" Type="http://schemas.openxmlformats.org/officeDocument/2006/relationships/hyperlink" Target="https://statiz.sporki.com/player/?m=playerinfo&amp;p_no=10904" TargetMode="External"/><Relationship Id="rId14837" Type="http://schemas.openxmlformats.org/officeDocument/2006/relationships/hyperlink" Target="https://statiz.sporki.com/player/?m=playerinfo&amp;p_no=2104" TargetMode="External"/><Relationship Id="rId766" Type="http://schemas.openxmlformats.org/officeDocument/2006/relationships/hyperlink" Target="https://statiz.sporki.com/player/?m=playerinfo&amp;p_no=15043" TargetMode="External"/><Relationship Id="rId1396" Type="http://schemas.openxmlformats.org/officeDocument/2006/relationships/hyperlink" Target="https://statiz.sporki.com/player/?m=playerinfo&amp;p_no=14572" TargetMode="External"/><Relationship Id="rId2447" Type="http://schemas.openxmlformats.org/officeDocument/2006/relationships/hyperlink" Target="https://statiz.sporki.com/add/?m=draft_school01&amp;ps_school=50114" TargetMode="External"/><Relationship Id="rId13439" Type="http://schemas.openxmlformats.org/officeDocument/2006/relationships/hyperlink" Target="https://statiz.sporki.com/player/?m=playerinfo&amp;p_no=11548" TargetMode="External"/><Relationship Id="rId17310" Type="http://schemas.openxmlformats.org/officeDocument/2006/relationships/hyperlink" Target="https://statiz.sporki.com/add/?m=draft_school01&amp;ps_school=50605" TargetMode="External"/><Relationship Id="rId419" Type="http://schemas.openxmlformats.org/officeDocument/2006/relationships/hyperlink" Target="https://statiz.sporki.com/add/?m=draft_school01&amp;ps_school=50710" TargetMode="External"/><Relationship Id="rId1049" Type="http://schemas.openxmlformats.org/officeDocument/2006/relationships/hyperlink" Target="https://statiz.sporki.com/add/?m=draft_school01&amp;ps_school=50501" TargetMode="External"/><Relationship Id="rId13920" Type="http://schemas.openxmlformats.org/officeDocument/2006/relationships/hyperlink" Target="https://statiz.sporki.com/player/?m=playerinfo&amp;p_no=10685" TargetMode="External"/><Relationship Id="rId19482" Type="http://schemas.openxmlformats.org/officeDocument/2006/relationships/hyperlink" Target="https://statiz.sporki.com/add/?m=draft_school01&amp;ps_school=50602" TargetMode="External"/><Relationship Id="rId7092" Type="http://schemas.openxmlformats.org/officeDocument/2006/relationships/hyperlink" Target="https://statiz.sporki.com/add/?m=draft_school02&amp;ps_school=" TargetMode="External"/><Relationship Id="rId8143" Type="http://schemas.openxmlformats.org/officeDocument/2006/relationships/hyperlink" Target="https://statiz.sporki.com/player/?m=playerinfo&amp;p_no=10663" TargetMode="External"/><Relationship Id="rId8490" Type="http://schemas.openxmlformats.org/officeDocument/2006/relationships/hyperlink" Target="https://statiz.sporki.com/add/?m=draft_school02&amp;ps_school=60204" TargetMode="External"/><Relationship Id="rId9541" Type="http://schemas.openxmlformats.org/officeDocument/2006/relationships/hyperlink" Target="https://statiz.sporki.com/player/?m=playerinfo&amp;p_no=1762" TargetMode="External"/><Relationship Id="rId11471" Type="http://schemas.openxmlformats.org/officeDocument/2006/relationships/hyperlink" Target="https://statiz.sporki.com/add/?m=draft_school01&amp;ps_school=50802" TargetMode="External"/><Relationship Id="rId12522" Type="http://schemas.openxmlformats.org/officeDocument/2006/relationships/hyperlink" Target="https://statiz.sporki.com/player/?m=playerinfo&amp;p_no=14843" TargetMode="External"/><Relationship Id="rId18084" Type="http://schemas.openxmlformats.org/officeDocument/2006/relationships/hyperlink" Target="https://statiz.sporki.com/add/?m=draft_school01&amp;ps_school=50208" TargetMode="External"/><Relationship Id="rId19135" Type="http://schemas.openxmlformats.org/officeDocument/2006/relationships/hyperlink" Target="https://statiz.sporki.com/add/?m=draft_school01&amp;ps_school=50114" TargetMode="External"/><Relationship Id="rId900" Type="http://schemas.openxmlformats.org/officeDocument/2006/relationships/hyperlink" Target="https://statiz.sporki.com/add/?m=draft_school02&amp;ps_school=60104" TargetMode="External"/><Relationship Id="rId1530" Type="http://schemas.openxmlformats.org/officeDocument/2006/relationships/hyperlink" Target="https://statiz.sporki.com/add/?m=draft_school02&amp;ps_school=60203" TargetMode="External"/><Relationship Id="rId10073" Type="http://schemas.openxmlformats.org/officeDocument/2006/relationships/hyperlink" Target="https://statiz.sporki.com/add/?m=draft_school01&amp;ps_school=50114" TargetMode="External"/><Relationship Id="rId11124" Type="http://schemas.openxmlformats.org/officeDocument/2006/relationships/hyperlink" Target="https://statiz.sporki.com/add/?m=draft_school02&amp;ps_school=60803" TargetMode="External"/><Relationship Id="rId14694" Type="http://schemas.openxmlformats.org/officeDocument/2006/relationships/hyperlink" Target="https://statiz.sporki.com/player/?m=playerinfo&amp;p_no=10796" TargetMode="External"/><Relationship Id="rId15745" Type="http://schemas.openxmlformats.org/officeDocument/2006/relationships/hyperlink" Target="https://statiz.sporki.com/player/?m=playerinfo&amp;p_no=1407" TargetMode="External"/><Relationship Id="rId4753" Type="http://schemas.openxmlformats.org/officeDocument/2006/relationships/hyperlink" Target="https://statiz.sporki.com/player/?m=playerinfo&amp;p_no=11185" TargetMode="External"/><Relationship Id="rId5804" Type="http://schemas.openxmlformats.org/officeDocument/2006/relationships/hyperlink" Target="https://statiz.sporki.com/add/?m=draft_school01&amp;ps_school=50114" TargetMode="External"/><Relationship Id="rId13296" Type="http://schemas.openxmlformats.org/officeDocument/2006/relationships/hyperlink" Target="https://statiz.sporki.com/player/?m=playerinfo&amp;p_no=12636" TargetMode="External"/><Relationship Id="rId14347" Type="http://schemas.openxmlformats.org/officeDocument/2006/relationships/hyperlink" Target="https://statiz.sporki.com/player/?m=playerinfo&amp;p_no=10401" TargetMode="External"/><Relationship Id="rId3355" Type="http://schemas.openxmlformats.org/officeDocument/2006/relationships/hyperlink" Target="https://statiz.sporki.com/player/?m=playerinfo&amp;p_no=12585" TargetMode="External"/><Relationship Id="rId4406" Type="http://schemas.openxmlformats.org/officeDocument/2006/relationships/hyperlink" Target="https://statiz.sporki.com/add/?m=draft_school01&amp;ps_school=50207" TargetMode="External"/><Relationship Id="rId7976" Type="http://schemas.openxmlformats.org/officeDocument/2006/relationships/hyperlink" Target="https://statiz.sporki.com/add/?m=draft_school01&amp;ps_school=" TargetMode="External"/><Relationship Id="rId18968" Type="http://schemas.openxmlformats.org/officeDocument/2006/relationships/hyperlink" Target="https://statiz.sporki.com/add/?m=draft_school01&amp;ps_school=50711" TargetMode="External"/><Relationship Id="rId276" Type="http://schemas.openxmlformats.org/officeDocument/2006/relationships/hyperlink" Target="https://statiz.sporki.com/add/?m=draft_school02&amp;ps_school=60607" TargetMode="External"/><Relationship Id="rId3008" Type="http://schemas.openxmlformats.org/officeDocument/2006/relationships/hyperlink" Target="https://statiz.sporki.com/add/?m=draft_school01&amp;ps_school=50805" TargetMode="External"/><Relationship Id="rId6578" Type="http://schemas.openxmlformats.org/officeDocument/2006/relationships/hyperlink" Target="https://statiz.sporki.com/add/?m=draft_school01&amp;ps_school=50208" TargetMode="External"/><Relationship Id="rId7629" Type="http://schemas.openxmlformats.org/officeDocument/2006/relationships/hyperlink" Target="https://statiz.sporki.com/add/?m=draft_school02&amp;ps_school=60103" TargetMode="External"/><Relationship Id="rId10957" Type="http://schemas.openxmlformats.org/officeDocument/2006/relationships/hyperlink" Target="https://statiz.sporki.com/player/?m=playerinfo&amp;p_no=1364" TargetMode="External"/><Relationship Id="rId9051" Type="http://schemas.openxmlformats.org/officeDocument/2006/relationships/hyperlink" Target="https://statiz.sporki.com/add/?m=draft_school02&amp;ps_school=60109" TargetMode="External"/><Relationship Id="rId13430" Type="http://schemas.openxmlformats.org/officeDocument/2006/relationships/hyperlink" Target="https://statiz.sporki.com/player/?m=playerinfo&amp;p_no=13276" TargetMode="External"/><Relationship Id="rId1040" Type="http://schemas.openxmlformats.org/officeDocument/2006/relationships/hyperlink" Target="https://statiz.sporki.com/add/?m=draft_school01&amp;ps_school=50108" TargetMode="External"/><Relationship Id="rId12032" Type="http://schemas.openxmlformats.org/officeDocument/2006/relationships/hyperlink" Target="https://statiz.sporki.com/add/?m=draft_school01&amp;ps_school=50711" TargetMode="External"/><Relationship Id="rId16653" Type="http://schemas.openxmlformats.org/officeDocument/2006/relationships/hyperlink" Target="https://statiz.sporki.com/add/?m=draft_school01&amp;ps_school=50802" TargetMode="External"/><Relationship Id="rId17704" Type="http://schemas.openxmlformats.org/officeDocument/2006/relationships/hyperlink" Target="https://statiz.sporki.com/add/?m=draft_school01&amp;ps_school=50602" TargetMode="External"/><Relationship Id="rId410" Type="http://schemas.openxmlformats.org/officeDocument/2006/relationships/hyperlink" Target="https://statiz.sporki.com/add/?m=draft_school01&amp;ps_school=50116" TargetMode="External"/><Relationship Id="rId5661" Type="http://schemas.openxmlformats.org/officeDocument/2006/relationships/hyperlink" Target="https://statiz.sporki.com/add/?m=draft_school02&amp;ps_school=" TargetMode="External"/><Relationship Id="rId6712" Type="http://schemas.openxmlformats.org/officeDocument/2006/relationships/hyperlink" Target="https://statiz.sporki.com/player/?m=playerinfo&amp;p_no=10300" TargetMode="External"/><Relationship Id="rId15255" Type="http://schemas.openxmlformats.org/officeDocument/2006/relationships/hyperlink" Target="https://statiz.sporki.com/player/?m=playerinfo&amp;p_no=1819" TargetMode="External"/><Relationship Id="rId16306" Type="http://schemas.openxmlformats.org/officeDocument/2006/relationships/hyperlink" Target="https://statiz.sporki.com/add/?m=draft_school01&amp;ps_school=50105" TargetMode="External"/><Relationship Id="rId4263" Type="http://schemas.openxmlformats.org/officeDocument/2006/relationships/hyperlink" Target="https://statiz.sporki.com/add/?m=draft_school02&amp;ps_school=" TargetMode="External"/><Relationship Id="rId5314" Type="http://schemas.openxmlformats.org/officeDocument/2006/relationships/hyperlink" Target="https://statiz.sporki.com/player/?m=playerinfo&amp;p_no=10704" TargetMode="External"/><Relationship Id="rId8884" Type="http://schemas.openxmlformats.org/officeDocument/2006/relationships/hyperlink" Target="https://statiz.sporki.com/player/?m=playerinfo&amp;p_no=10377" TargetMode="External"/><Relationship Id="rId9935" Type="http://schemas.openxmlformats.org/officeDocument/2006/relationships/hyperlink" Target="https://statiz.sporki.com/add/?m=draft_school01&amp;ps_school=50104" TargetMode="External"/><Relationship Id="rId18478" Type="http://schemas.openxmlformats.org/officeDocument/2006/relationships/hyperlink" Target="https://statiz.sporki.com/add/?m=draft_school01&amp;ps_school=50202" TargetMode="External"/><Relationship Id="rId19529" Type="http://schemas.openxmlformats.org/officeDocument/2006/relationships/hyperlink" Target="https://statiz.sporki.com/add/?m=draft_school01&amp;ps_school=50701" TargetMode="External"/><Relationship Id="rId1924" Type="http://schemas.openxmlformats.org/officeDocument/2006/relationships/hyperlink" Target="https://statiz.sporki.com/player/?m=playerinfo&amp;p_no=14172" TargetMode="External"/><Relationship Id="rId7486" Type="http://schemas.openxmlformats.org/officeDocument/2006/relationships/hyperlink" Target="https://statiz.sporki.com/player/?m=playerinfo&amp;p_no=2247" TargetMode="External"/><Relationship Id="rId8537" Type="http://schemas.openxmlformats.org/officeDocument/2006/relationships/hyperlink" Target="https://statiz.sporki.com/add/?m=draft_school01&amp;ps_school=" TargetMode="External"/><Relationship Id="rId10467" Type="http://schemas.openxmlformats.org/officeDocument/2006/relationships/hyperlink" Target="https://statiz.sporki.com/add/?m=draft_school02&amp;ps_school=" TargetMode="External"/><Relationship Id="rId11865" Type="http://schemas.openxmlformats.org/officeDocument/2006/relationships/hyperlink" Target="https://statiz.sporki.com/add/?m=draft_school02&amp;ps_school=60101" TargetMode="External"/><Relationship Id="rId12916" Type="http://schemas.openxmlformats.org/officeDocument/2006/relationships/hyperlink" Target="https://statiz.sporki.com/player/?m=playerinfo&amp;p_no=13168" TargetMode="External"/><Relationship Id="rId6088" Type="http://schemas.openxmlformats.org/officeDocument/2006/relationships/hyperlink" Target="https://statiz.sporki.com/player/?m=playerinfo&amp;p_no=10268" TargetMode="External"/><Relationship Id="rId7139" Type="http://schemas.openxmlformats.org/officeDocument/2006/relationships/hyperlink" Target="https://statiz.sporki.com/add/?m=draft_school01&amp;ps_school=50403" TargetMode="External"/><Relationship Id="rId11518" Type="http://schemas.openxmlformats.org/officeDocument/2006/relationships/hyperlink" Target="https://statiz.sporki.com/player/?m=playerinfo&amp;p_no=1218" TargetMode="External"/><Relationship Id="rId2698" Type="http://schemas.openxmlformats.org/officeDocument/2006/relationships/hyperlink" Target="https://statiz.sporki.com/player/?m=playerinfo&amp;p_no=13192" TargetMode="External"/><Relationship Id="rId17561" Type="http://schemas.openxmlformats.org/officeDocument/2006/relationships/hyperlink" Target="https://statiz.sporki.com/add/?m=draft_school01&amp;ps_school=50403" TargetMode="External"/><Relationship Id="rId18612" Type="http://schemas.openxmlformats.org/officeDocument/2006/relationships/hyperlink" Target="https://statiz.sporki.com/add/?m=draft_school01&amp;ps_school=50105" TargetMode="External"/><Relationship Id="rId3749" Type="http://schemas.openxmlformats.org/officeDocument/2006/relationships/hyperlink" Target="https://statiz.sporki.com/add/?m=draft_school01&amp;ps_school=50207" TargetMode="External"/><Relationship Id="rId5171" Type="http://schemas.openxmlformats.org/officeDocument/2006/relationships/hyperlink" Target="https://statiz.sporki.com/add/?m=draft_school01&amp;ps_school=50802" TargetMode="External"/><Relationship Id="rId6222" Type="http://schemas.openxmlformats.org/officeDocument/2006/relationships/hyperlink" Target="https://statiz.sporki.com/add/?m=draft_school02&amp;ps_school=" TargetMode="External"/><Relationship Id="rId7620" Type="http://schemas.openxmlformats.org/officeDocument/2006/relationships/hyperlink" Target="https://statiz.sporki.com/add/?m=draft_school02&amp;ps_school=" TargetMode="External"/><Relationship Id="rId10601" Type="http://schemas.openxmlformats.org/officeDocument/2006/relationships/hyperlink" Target="https://statiz.sporki.com/add/?m=draft_school01&amp;ps_school=50127" TargetMode="External"/><Relationship Id="rId16163" Type="http://schemas.openxmlformats.org/officeDocument/2006/relationships/hyperlink" Target="https://statiz.sporki.com/player/?m=playerinfo&amp;p_no=1116" TargetMode="External"/><Relationship Id="rId17214" Type="http://schemas.openxmlformats.org/officeDocument/2006/relationships/hyperlink" Target="https://statiz.sporki.com/add/?m=draft_school01&amp;ps_school=50102" TargetMode="External"/><Relationship Id="rId9792" Type="http://schemas.openxmlformats.org/officeDocument/2006/relationships/hyperlink" Target="https://statiz.sporki.com/add/?m=draft_school02&amp;ps_school=60204" TargetMode="External"/><Relationship Id="rId12773" Type="http://schemas.openxmlformats.org/officeDocument/2006/relationships/hyperlink" Target="https://statiz.sporki.com/player/?m=playerinfo&amp;p_no=14171" TargetMode="External"/><Relationship Id="rId13824" Type="http://schemas.openxmlformats.org/officeDocument/2006/relationships/hyperlink" Target="https://statiz.sporki.com/player/?m=playerinfo&amp;p_no=10782" TargetMode="External"/><Relationship Id="rId19386" Type="http://schemas.openxmlformats.org/officeDocument/2006/relationships/hyperlink" Target="https://statiz.sporki.com/add/?m=draft_school01&amp;ps_school=50209" TargetMode="External"/><Relationship Id="rId1781" Type="http://schemas.openxmlformats.org/officeDocument/2006/relationships/hyperlink" Target="https://statiz.sporki.com/add/?m=draft_school01&amp;ps_school=50211" TargetMode="External"/><Relationship Id="rId2832" Type="http://schemas.openxmlformats.org/officeDocument/2006/relationships/hyperlink" Target="https://statiz.sporki.com/add/?m=draft_school02&amp;ps_school=" TargetMode="External"/><Relationship Id="rId8394" Type="http://schemas.openxmlformats.org/officeDocument/2006/relationships/hyperlink" Target="https://statiz.sporki.com/add/?m=draft_school02&amp;ps_school=60109" TargetMode="External"/><Relationship Id="rId9445" Type="http://schemas.openxmlformats.org/officeDocument/2006/relationships/hyperlink" Target="https://statiz.sporki.com/player/?m=playerinfo&amp;p_no=1788" TargetMode="External"/><Relationship Id="rId11375" Type="http://schemas.openxmlformats.org/officeDocument/2006/relationships/hyperlink" Target="https://statiz.sporki.com/add/?m=draft_school01&amp;ps_school=50301" TargetMode="External"/><Relationship Id="rId12426" Type="http://schemas.openxmlformats.org/officeDocument/2006/relationships/hyperlink" Target="https://statiz.sporki.com/player/?m=playerinfo&amp;p_no=14999" TargetMode="External"/><Relationship Id="rId19039" Type="http://schemas.openxmlformats.org/officeDocument/2006/relationships/hyperlink" Target="https://statiz.sporki.com/add/?m=draft_school01&amp;ps_school=50107" TargetMode="External"/><Relationship Id="rId804" Type="http://schemas.openxmlformats.org/officeDocument/2006/relationships/hyperlink" Target="https://statiz.sporki.com/add/?m=draft_school02&amp;ps_school=" TargetMode="External"/><Relationship Id="rId1434" Type="http://schemas.openxmlformats.org/officeDocument/2006/relationships/hyperlink" Target="https://statiz.sporki.com/add/?m=draft_school02&amp;ps_school=" TargetMode="External"/><Relationship Id="rId8047" Type="http://schemas.openxmlformats.org/officeDocument/2006/relationships/hyperlink" Target="https://statiz.sporki.com/player/?m=playerinfo&amp;p_no=10596" TargetMode="External"/><Relationship Id="rId11028" Type="http://schemas.openxmlformats.org/officeDocument/2006/relationships/hyperlink" Target="https://statiz.sporki.com/add/?m=draft_school02&amp;ps_school=60109" TargetMode="External"/><Relationship Id="rId14598" Type="http://schemas.openxmlformats.org/officeDocument/2006/relationships/hyperlink" Target="https://statiz.sporki.com/player/?m=playerinfo&amp;p_no=10084" TargetMode="External"/><Relationship Id="rId15996" Type="http://schemas.openxmlformats.org/officeDocument/2006/relationships/hyperlink" Target="https://statiz.sporki.com/player/?m=playerinfo&amp;p_no=1146" TargetMode="External"/><Relationship Id="rId4657" Type="http://schemas.openxmlformats.org/officeDocument/2006/relationships/hyperlink" Target="https://statiz.sporki.com/player/?m=playerinfo&amp;p_no=11155" TargetMode="External"/><Relationship Id="rId5708" Type="http://schemas.openxmlformats.org/officeDocument/2006/relationships/hyperlink" Target="https://statiz.sporki.com/add/?m=draft_school01&amp;ps_school=50501" TargetMode="External"/><Relationship Id="rId15649" Type="http://schemas.openxmlformats.org/officeDocument/2006/relationships/hyperlink" Target="https://statiz.sporki.com/player/?m=playerinfo&amp;p_no=1702" TargetMode="External"/><Relationship Id="rId17071" Type="http://schemas.openxmlformats.org/officeDocument/2006/relationships/hyperlink" Target="https://statiz.sporki.com/add/?m=draft_school01&amp;ps_school=50601" TargetMode="External"/><Relationship Id="rId18122" Type="http://schemas.openxmlformats.org/officeDocument/2006/relationships/hyperlink" Target="https://statiz.sporki.com/add/?m=draft_school01&amp;ps_school=50301" TargetMode="External"/><Relationship Id="rId19520" Type="http://schemas.openxmlformats.org/officeDocument/2006/relationships/hyperlink" Target="https://statiz.sporki.com/add/?m=draft_school01&amp;ps_school=50209" TargetMode="External"/><Relationship Id="rId3259" Type="http://schemas.openxmlformats.org/officeDocument/2006/relationships/hyperlink" Target="https://statiz.sporki.com/player/?m=playerinfo&amp;p_no=12592" TargetMode="External"/><Relationship Id="rId7130" Type="http://schemas.openxmlformats.org/officeDocument/2006/relationships/hyperlink" Target="https://statiz.sporki.com/add/?m=draft_school01&amp;ps_school=50116" TargetMode="External"/><Relationship Id="rId10111" Type="http://schemas.openxmlformats.org/officeDocument/2006/relationships/hyperlink" Target="https://statiz.sporki.com/player/?m=playerinfo&amp;p_no=1572" TargetMode="External"/><Relationship Id="rId13681" Type="http://schemas.openxmlformats.org/officeDocument/2006/relationships/hyperlink" Target="https://statiz.sporki.com/player/?m=playerinfo&amp;p_no=13244" TargetMode="External"/><Relationship Id="rId14732" Type="http://schemas.openxmlformats.org/officeDocument/2006/relationships/hyperlink" Target="https://statiz.sporki.com/player/?m=playerinfo&amp;p_no=2210" TargetMode="External"/><Relationship Id="rId3740" Type="http://schemas.openxmlformats.org/officeDocument/2006/relationships/hyperlink" Target="https://statiz.sporki.com/add/?m=draft_school01&amp;ps_school=50501" TargetMode="External"/><Relationship Id="rId12283" Type="http://schemas.openxmlformats.org/officeDocument/2006/relationships/hyperlink" Target="https://statiz.sporki.com/player/?m=playerinfo&amp;p_no=16012" TargetMode="External"/><Relationship Id="rId13334" Type="http://schemas.openxmlformats.org/officeDocument/2006/relationships/hyperlink" Target="https://statiz.sporki.com/player/?m=playerinfo&amp;p_no=12989" TargetMode="External"/><Relationship Id="rId17955" Type="http://schemas.openxmlformats.org/officeDocument/2006/relationships/hyperlink" Target="https://statiz.sporki.com/add/?m=draft_school01&amp;ps_school=50210" TargetMode="External"/><Relationship Id="rId661" Type="http://schemas.openxmlformats.org/officeDocument/2006/relationships/hyperlink" Target="https://statiz.sporki.com/player/?m=playerinfo&amp;p_no=15084" TargetMode="External"/><Relationship Id="rId1291" Type="http://schemas.openxmlformats.org/officeDocument/2006/relationships/hyperlink" Target="https://statiz.sporki.com/player/?m=playerinfo&amp;p_no=14988" TargetMode="External"/><Relationship Id="rId2342" Type="http://schemas.openxmlformats.org/officeDocument/2006/relationships/hyperlink" Target="https://statiz.sporki.com/add/?m=draft_school01&amp;ps_school=50807" TargetMode="External"/><Relationship Id="rId6963" Type="http://schemas.openxmlformats.org/officeDocument/2006/relationships/hyperlink" Target="https://statiz.sporki.com/add/?m=draft_school02&amp;ps_school=" TargetMode="External"/><Relationship Id="rId16557" Type="http://schemas.openxmlformats.org/officeDocument/2006/relationships/hyperlink" Target="https://statiz.sporki.com/add/?m=draft_school01&amp;ps_school=50107" TargetMode="External"/><Relationship Id="rId17608" Type="http://schemas.openxmlformats.org/officeDocument/2006/relationships/hyperlink" Target="https://statiz.sporki.com/add/?m=draft_school01&amp;ps_school=50116" TargetMode="External"/><Relationship Id="rId314" Type="http://schemas.openxmlformats.org/officeDocument/2006/relationships/hyperlink" Target="https://statiz.sporki.com/add/?m=draft_school01&amp;ps_school=50103" TargetMode="External"/><Relationship Id="rId5565" Type="http://schemas.openxmlformats.org/officeDocument/2006/relationships/hyperlink" Target="https://statiz.sporki.com/add/?m=draft_school02&amp;ps_school=60104" TargetMode="External"/><Relationship Id="rId6616" Type="http://schemas.openxmlformats.org/officeDocument/2006/relationships/hyperlink" Target="https://statiz.sporki.com/player/?m=playerinfo&amp;p_no=10401" TargetMode="External"/><Relationship Id="rId15159" Type="http://schemas.openxmlformats.org/officeDocument/2006/relationships/hyperlink" Target="https://statiz.sporki.com/player/?m=playerinfo&amp;p_no=1969" TargetMode="External"/><Relationship Id="rId19030" Type="http://schemas.openxmlformats.org/officeDocument/2006/relationships/hyperlink" Target="https://statiz.sporki.com/add/?m=draft_school01&amp;ps_school=50501" TargetMode="External"/><Relationship Id="rId4167" Type="http://schemas.openxmlformats.org/officeDocument/2006/relationships/hyperlink" Target="https://statiz.sporki.com/add/?m=draft_school02&amp;ps_school=" TargetMode="External"/><Relationship Id="rId5218" Type="http://schemas.openxmlformats.org/officeDocument/2006/relationships/hyperlink" Target="https://statiz.sporki.com/player/?m=playerinfo&amp;p_no=10717" TargetMode="External"/><Relationship Id="rId8788" Type="http://schemas.openxmlformats.org/officeDocument/2006/relationships/hyperlink" Target="https://statiz.sporki.com/player/?m=playerinfo&amp;p_no=14889" TargetMode="External"/><Relationship Id="rId9839" Type="http://schemas.openxmlformats.org/officeDocument/2006/relationships/hyperlink" Target="https://statiz.sporki.com/add/?m=draft_school01&amp;ps_school=50209" TargetMode="External"/><Relationship Id="rId11769" Type="http://schemas.openxmlformats.org/officeDocument/2006/relationships/hyperlink" Target="https://statiz.sporki.com/add/?m=draft_school02&amp;ps_school=" TargetMode="External"/><Relationship Id="rId13191" Type="http://schemas.openxmlformats.org/officeDocument/2006/relationships/hyperlink" Target="https://statiz.sporki.com/player/?m=playerinfo&amp;p_no=12533" TargetMode="External"/><Relationship Id="rId15640" Type="http://schemas.openxmlformats.org/officeDocument/2006/relationships/hyperlink" Target="https://statiz.sporki.com/player/?m=playerinfo&amp;p_no=1523" TargetMode="External"/><Relationship Id="rId1828" Type="http://schemas.openxmlformats.org/officeDocument/2006/relationships/hyperlink" Target="https://statiz.sporki.com/player/?m=playerinfo&amp;p_no=14636" TargetMode="External"/><Relationship Id="rId3250" Type="http://schemas.openxmlformats.org/officeDocument/2006/relationships/hyperlink" Target="https://statiz.sporki.com/player/?m=playerinfo&amp;p_no=12613" TargetMode="External"/><Relationship Id="rId14242" Type="http://schemas.openxmlformats.org/officeDocument/2006/relationships/hyperlink" Target="https://statiz.sporki.com/player/?m=playerinfo&amp;p_no=10660" TargetMode="External"/><Relationship Id="rId18863" Type="http://schemas.openxmlformats.org/officeDocument/2006/relationships/hyperlink" Target="https://statiz.sporki.com/add/?m=draft_school01&amp;ps_school=50813" TargetMode="External"/><Relationship Id="rId171" Type="http://schemas.openxmlformats.org/officeDocument/2006/relationships/hyperlink" Target="https://statiz.sporki.com/add/?m=draft_school02&amp;ps_school=" TargetMode="External"/><Relationship Id="rId4301" Type="http://schemas.openxmlformats.org/officeDocument/2006/relationships/hyperlink" Target="https://statiz.sporki.com/add/?m=draft_school01&amp;ps_school=50801" TargetMode="External"/><Relationship Id="rId7871" Type="http://schemas.openxmlformats.org/officeDocument/2006/relationships/hyperlink" Target="https://statiz.sporki.com/add/?m=draft_school01&amp;ps_school=50904" TargetMode="External"/><Relationship Id="rId8922" Type="http://schemas.openxmlformats.org/officeDocument/2006/relationships/hyperlink" Target="https://statiz.sporki.com/add/?m=draft_school02&amp;ps_school=" TargetMode="External"/><Relationship Id="rId10852" Type="http://schemas.openxmlformats.org/officeDocument/2006/relationships/hyperlink" Target="https://statiz.sporki.com/player/?m=playerinfo&amp;p_no=1383" TargetMode="External"/><Relationship Id="rId11903" Type="http://schemas.openxmlformats.org/officeDocument/2006/relationships/hyperlink" Target="https://statiz.sporki.com/add/?m=draft_school01&amp;ps_school=50807" TargetMode="External"/><Relationship Id="rId17465" Type="http://schemas.openxmlformats.org/officeDocument/2006/relationships/hyperlink" Target="https://statiz.sporki.com/add/?m=draft_school01&amp;ps_school=50111" TargetMode="External"/><Relationship Id="rId18516" Type="http://schemas.openxmlformats.org/officeDocument/2006/relationships/hyperlink" Target="https://statiz.sporki.com/add/?m=draft_school01&amp;ps_school=50501" TargetMode="External"/><Relationship Id="rId6473" Type="http://schemas.openxmlformats.org/officeDocument/2006/relationships/hyperlink" Target="https://statiz.sporki.com/add/?m=draft_school01&amp;ps_school=50701" TargetMode="External"/><Relationship Id="rId7524" Type="http://schemas.openxmlformats.org/officeDocument/2006/relationships/hyperlink" Target="https://statiz.sporki.com/add/?m=draft_school02&amp;ps_school=" TargetMode="External"/><Relationship Id="rId10505" Type="http://schemas.openxmlformats.org/officeDocument/2006/relationships/hyperlink" Target="https://statiz.sporki.com/add/?m=draft_school01&amp;ps_school=50609" TargetMode="External"/><Relationship Id="rId16067" Type="http://schemas.openxmlformats.org/officeDocument/2006/relationships/hyperlink" Target="https://statiz.sporki.com/player/?m=playerinfo&amp;p_no=15155" TargetMode="External"/><Relationship Id="rId17118" Type="http://schemas.openxmlformats.org/officeDocument/2006/relationships/hyperlink" Target="https://statiz.sporki.com/add/?m=draft_school01&amp;ps_school=50210" TargetMode="External"/><Relationship Id="rId5075" Type="http://schemas.openxmlformats.org/officeDocument/2006/relationships/hyperlink" Target="https://statiz.sporki.com/add/?m=draft_school01&amp;ps_school=50204" TargetMode="External"/><Relationship Id="rId6126" Type="http://schemas.openxmlformats.org/officeDocument/2006/relationships/hyperlink" Target="https://statiz.sporki.com/add/?m=draft_school02&amp;ps_school=" TargetMode="External"/><Relationship Id="rId9696" Type="http://schemas.openxmlformats.org/officeDocument/2006/relationships/hyperlink" Target="https://statiz.sporki.com/add/?m=draft_school02&amp;ps_school=60108" TargetMode="External"/><Relationship Id="rId12677" Type="http://schemas.openxmlformats.org/officeDocument/2006/relationships/hyperlink" Target="https://statiz.sporki.com/player/?m=playerinfo&amp;p_no=14730" TargetMode="External"/><Relationship Id="rId1685" Type="http://schemas.openxmlformats.org/officeDocument/2006/relationships/hyperlink" Target="https://statiz.sporki.com/add/?m=draft_school01&amp;ps_school=50211" TargetMode="External"/><Relationship Id="rId2736" Type="http://schemas.openxmlformats.org/officeDocument/2006/relationships/hyperlink" Target="https://statiz.sporki.com/add/?m=draft_school02&amp;ps_school=60109" TargetMode="External"/><Relationship Id="rId8298" Type="http://schemas.openxmlformats.org/officeDocument/2006/relationships/hyperlink" Target="https://statiz.sporki.com/add/?m=draft_school02&amp;ps_school=60109" TargetMode="External"/><Relationship Id="rId9349" Type="http://schemas.openxmlformats.org/officeDocument/2006/relationships/hyperlink" Target="https://statiz.sporki.com/player/?m=playerinfo&amp;p_no=10402" TargetMode="External"/><Relationship Id="rId11279" Type="http://schemas.openxmlformats.org/officeDocument/2006/relationships/hyperlink" Target="https://statiz.sporki.com/add/?m=draft_school01&amp;ps_school=50109" TargetMode="External"/><Relationship Id="rId13728" Type="http://schemas.openxmlformats.org/officeDocument/2006/relationships/hyperlink" Target="https://statiz.sporki.com/player/?m=playerinfo&amp;p_no=11268" TargetMode="External"/><Relationship Id="rId15150" Type="http://schemas.openxmlformats.org/officeDocument/2006/relationships/hyperlink" Target="https://statiz.sporki.com/player/?m=playerinfo&amp;p_no=1986" TargetMode="External"/><Relationship Id="rId16201" Type="http://schemas.openxmlformats.org/officeDocument/2006/relationships/hyperlink" Target="https://statiz.sporki.com/add/?m=draft_school01&amp;ps_school=50111" TargetMode="External"/><Relationship Id="rId708" Type="http://schemas.openxmlformats.org/officeDocument/2006/relationships/hyperlink" Target="https://statiz.sporki.com/add/?m=draft_school02&amp;ps_school=" TargetMode="External"/><Relationship Id="rId1338" Type="http://schemas.openxmlformats.org/officeDocument/2006/relationships/hyperlink" Target="https://statiz.sporki.com/add/?m=draft_school02&amp;ps_school=61121" TargetMode="External"/><Relationship Id="rId5959" Type="http://schemas.openxmlformats.org/officeDocument/2006/relationships/hyperlink" Target="https://statiz.sporki.com/player/?m=playerinfo&amp;p_no=10384" TargetMode="External"/><Relationship Id="rId7381" Type="http://schemas.openxmlformats.org/officeDocument/2006/relationships/hyperlink" Target="https://statiz.sporki.com/player/?m=playerinfo&amp;p_no=10221" TargetMode="External"/><Relationship Id="rId8432" Type="http://schemas.openxmlformats.org/officeDocument/2006/relationships/hyperlink" Target="https://statiz.sporki.com/add/?m=draft_school01&amp;ps_school=50110" TargetMode="External"/><Relationship Id="rId9830" Type="http://schemas.openxmlformats.org/officeDocument/2006/relationships/hyperlink" Target="https://statiz.sporki.com/add/?m=draft_school01&amp;ps_school=50208" TargetMode="External"/><Relationship Id="rId11760" Type="http://schemas.openxmlformats.org/officeDocument/2006/relationships/hyperlink" Target="https://statiz.sporki.com/add/?m=draft_school02&amp;ps_school=60113" TargetMode="External"/><Relationship Id="rId12811" Type="http://schemas.openxmlformats.org/officeDocument/2006/relationships/hyperlink" Target="https://statiz.sporki.com/player/?m=playerinfo&amp;p_no=14150" TargetMode="External"/><Relationship Id="rId18373" Type="http://schemas.openxmlformats.org/officeDocument/2006/relationships/hyperlink" Target="https://statiz.sporki.com/add/?m=draft_school01&amp;ps_school=50102" TargetMode="External"/><Relationship Id="rId19424" Type="http://schemas.openxmlformats.org/officeDocument/2006/relationships/hyperlink" Target="https://statiz.sporki.com/add/?m=draft_school01&amp;ps_school=50807" TargetMode="External"/><Relationship Id="rId44" Type="http://schemas.openxmlformats.org/officeDocument/2006/relationships/hyperlink" Target="https://statiz.sporki.com/add/?m=draft_school01&amp;ps_school=50402" TargetMode="External"/><Relationship Id="rId7034" Type="http://schemas.openxmlformats.org/officeDocument/2006/relationships/hyperlink" Target="https://statiz.sporki.com/add/?m=draft_school01&amp;ps_school=50105" TargetMode="External"/><Relationship Id="rId10362" Type="http://schemas.openxmlformats.org/officeDocument/2006/relationships/hyperlink" Target="https://statiz.sporki.com/add/?m=draft_school02&amp;ps_school=60109" TargetMode="External"/><Relationship Id="rId11413" Type="http://schemas.openxmlformats.org/officeDocument/2006/relationships/hyperlink" Target="https://statiz.sporki.com/player/?m=playerinfo&amp;p_no=1211" TargetMode="External"/><Relationship Id="rId14983" Type="http://schemas.openxmlformats.org/officeDocument/2006/relationships/hyperlink" Target="https://statiz.sporki.com/player/?m=playerinfo&amp;p_no=2041" TargetMode="External"/><Relationship Id="rId18026" Type="http://schemas.openxmlformats.org/officeDocument/2006/relationships/hyperlink" Target="https://statiz.sporki.com/add/?m=draft_school01&amp;ps_school=50202" TargetMode="External"/><Relationship Id="rId3991" Type="http://schemas.openxmlformats.org/officeDocument/2006/relationships/hyperlink" Target="https://statiz.sporki.com/player/?m=playerinfo&amp;p_no=14203" TargetMode="External"/><Relationship Id="rId10015" Type="http://schemas.openxmlformats.org/officeDocument/2006/relationships/hyperlink" Target="https://statiz.sporki.com/player/?m=playerinfo&amp;p_no=11434" TargetMode="External"/><Relationship Id="rId13585" Type="http://schemas.openxmlformats.org/officeDocument/2006/relationships/hyperlink" Target="https://statiz.sporki.com/player/?m=playerinfo&amp;p_no=11216" TargetMode="External"/><Relationship Id="rId14636" Type="http://schemas.openxmlformats.org/officeDocument/2006/relationships/hyperlink" Target="https://statiz.sporki.com/player/?m=playerinfo&amp;p_no=2254" TargetMode="External"/><Relationship Id="rId2593" Type="http://schemas.openxmlformats.org/officeDocument/2006/relationships/hyperlink" Target="https://statiz.sporki.com/player/?m=playerinfo&amp;p_no=13177" TargetMode="External"/><Relationship Id="rId3644" Type="http://schemas.openxmlformats.org/officeDocument/2006/relationships/hyperlink" Target="https://statiz.sporki.com/add/?m=draft_school01&amp;ps_school=50210" TargetMode="External"/><Relationship Id="rId12187" Type="http://schemas.openxmlformats.org/officeDocument/2006/relationships/hyperlink" Target="https://statiz.sporki.com/player/?m=playerinfo&amp;p_no=15477" TargetMode="External"/><Relationship Id="rId13238" Type="http://schemas.openxmlformats.org/officeDocument/2006/relationships/hyperlink" Target="https://statiz.sporki.com/player/?m=playerinfo&amp;p_no=12593" TargetMode="External"/><Relationship Id="rId17859" Type="http://schemas.openxmlformats.org/officeDocument/2006/relationships/hyperlink" Target="https://statiz.sporki.com/add/?m=draft_school01&amp;ps_school=50107" TargetMode="External"/><Relationship Id="rId565" Type="http://schemas.openxmlformats.org/officeDocument/2006/relationships/hyperlink" Target="https://statiz.sporki.com/player/?m=playerinfo&amp;p_no=15059" TargetMode="External"/><Relationship Id="rId1195" Type="http://schemas.openxmlformats.org/officeDocument/2006/relationships/hyperlink" Target="https://statiz.sporki.com/player/?m=playerinfo&amp;p_no=14823" TargetMode="External"/><Relationship Id="rId2246" Type="http://schemas.openxmlformats.org/officeDocument/2006/relationships/hyperlink" Target="https://statiz.sporki.com/add/?m=draft_school01&amp;ps_school=" TargetMode="External"/><Relationship Id="rId6867" Type="http://schemas.openxmlformats.org/officeDocument/2006/relationships/hyperlink" Target="https://statiz.sporki.com/add/?m=draft_school02&amp;ps_school=" TargetMode="External"/><Relationship Id="rId7918" Type="http://schemas.openxmlformats.org/officeDocument/2006/relationships/hyperlink" Target="https://statiz.sporki.com/player/?m=playerinfo&amp;p_no=2162" TargetMode="External"/><Relationship Id="rId19281" Type="http://schemas.openxmlformats.org/officeDocument/2006/relationships/hyperlink" Target="https://statiz.sporki.com/add/?m=draft_school01&amp;ps_school=50202" TargetMode="External"/><Relationship Id="rId218" Type="http://schemas.openxmlformats.org/officeDocument/2006/relationships/hyperlink" Target="https://statiz.sporki.com/add/?m=draft_school01&amp;ps_school=50901" TargetMode="External"/><Relationship Id="rId5469" Type="http://schemas.openxmlformats.org/officeDocument/2006/relationships/hyperlink" Target="https://statiz.sporki.com/add/?m=draft_school02&amp;ps_school=60103" TargetMode="External"/><Relationship Id="rId9340" Type="http://schemas.openxmlformats.org/officeDocument/2006/relationships/hyperlink" Target="https://statiz.sporki.com/player/?m=playerinfo&amp;p_no=1819" TargetMode="External"/><Relationship Id="rId11270" Type="http://schemas.openxmlformats.org/officeDocument/2006/relationships/hyperlink" Target="https://statiz.sporki.com/add/?m=draft_school01&amp;ps_school=50121" TargetMode="External"/><Relationship Id="rId12321" Type="http://schemas.openxmlformats.org/officeDocument/2006/relationships/hyperlink" Target="https://statiz.sporki.com/player/?m=playerinfo&amp;p_no=15091" TargetMode="External"/><Relationship Id="rId15891" Type="http://schemas.openxmlformats.org/officeDocument/2006/relationships/hyperlink" Target="https://statiz.sporki.com/player/?m=playerinfo&amp;p_no=1326" TargetMode="External"/><Relationship Id="rId16942" Type="http://schemas.openxmlformats.org/officeDocument/2006/relationships/hyperlink" Target="https://statiz.sporki.com/add/?m=draft_school01&amp;ps_school=50807" TargetMode="External"/><Relationship Id="rId5950" Type="http://schemas.openxmlformats.org/officeDocument/2006/relationships/hyperlink" Target="https://statiz.sporki.com/player/?m=playerinfo&amp;p_no=10190" TargetMode="External"/><Relationship Id="rId14493" Type="http://schemas.openxmlformats.org/officeDocument/2006/relationships/hyperlink" Target="https://statiz.sporki.com/player/?m=playerinfo&amp;p_no=2326" TargetMode="External"/><Relationship Id="rId15544" Type="http://schemas.openxmlformats.org/officeDocument/2006/relationships/hyperlink" Target="https://statiz.sporki.com/player/?m=playerinfo&amp;p_no=1604" TargetMode="External"/><Relationship Id="rId4552" Type="http://schemas.openxmlformats.org/officeDocument/2006/relationships/hyperlink" Target="https://statiz.sporki.com/player/?m=playerinfo&amp;p_no=11121" TargetMode="External"/><Relationship Id="rId5603" Type="http://schemas.openxmlformats.org/officeDocument/2006/relationships/hyperlink" Target="https://statiz.sporki.com/add/?m=draft_school01&amp;ps_school=50109" TargetMode="External"/><Relationship Id="rId13095" Type="http://schemas.openxmlformats.org/officeDocument/2006/relationships/hyperlink" Target="https://statiz.sporki.com/player/?m=playerinfo&amp;p_no=12866" TargetMode="External"/><Relationship Id="rId14146" Type="http://schemas.openxmlformats.org/officeDocument/2006/relationships/hyperlink" Target="https://statiz.sporki.com/player/?m=playerinfo&amp;p_no=11327" TargetMode="External"/><Relationship Id="rId18767" Type="http://schemas.openxmlformats.org/officeDocument/2006/relationships/hyperlink" Target="https://statiz.sporki.com/add/?m=draft_school01&amp;ps_school=50403" TargetMode="External"/><Relationship Id="rId3154" Type="http://schemas.openxmlformats.org/officeDocument/2006/relationships/hyperlink" Target="https://statiz.sporki.com/player/?m=playerinfo&amp;p_no=12532" TargetMode="External"/><Relationship Id="rId4205" Type="http://schemas.openxmlformats.org/officeDocument/2006/relationships/hyperlink" Target="https://statiz.sporki.com/add/?m=draft_school01&amp;ps_school=50106" TargetMode="External"/><Relationship Id="rId7775" Type="http://schemas.openxmlformats.org/officeDocument/2006/relationships/hyperlink" Target="https://statiz.sporki.com/add/?m=draft_school01&amp;ps_school=" TargetMode="External"/><Relationship Id="rId8826" Type="http://schemas.openxmlformats.org/officeDocument/2006/relationships/hyperlink" Target="https://statiz.sporki.com/add/?m=draft_school02&amp;ps_school=60103" TargetMode="External"/><Relationship Id="rId10756" Type="http://schemas.openxmlformats.org/officeDocument/2006/relationships/hyperlink" Target="https://statiz.sporki.com/player/?m=playerinfo&amp;p_no=1502" TargetMode="External"/><Relationship Id="rId17369" Type="http://schemas.openxmlformats.org/officeDocument/2006/relationships/hyperlink" Target="https://statiz.sporki.com/add/?m=draft_school01&amp;ps_school=50103" TargetMode="External"/><Relationship Id="rId6377" Type="http://schemas.openxmlformats.org/officeDocument/2006/relationships/hyperlink" Target="https://statiz.sporki.com/add/?m=draft_school01&amp;ps_school=50101" TargetMode="External"/><Relationship Id="rId7428" Type="http://schemas.openxmlformats.org/officeDocument/2006/relationships/hyperlink" Target="https://statiz.sporki.com/add/?m=draft_school02&amp;ps_school=60604" TargetMode="External"/><Relationship Id="rId10409" Type="http://schemas.openxmlformats.org/officeDocument/2006/relationships/hyperlink" Target="https://statiz.sporki.com/add/?m=draft_school01&amp;ps_school=" TargetMode="External"/><Relationship Id="rId11807" Type="http://schemas.openxmlformats.org/officeDocument/2006/relationships/hyperlink" Target="https://statiz.sporki.com/add/?m=draft_school01&amp;ps_school=50904" TargetMode="External"/><Relationship Id="rId2987" Type="http://schemas.openxmlformats.org/officeDocument/2006/relationships/hyperlink" Target="https://statiz.sporki.com/add/?m=draft_school01&amp;ps_school=50301" TargetMode="External"/><Relationship Id="rId13979" Type="http://schemas.openxmlformats.org/officeDocument/2006/relationships/hyperlink" Target="https://statiz.sporki.com/player/?m=playerinfo&amp;p_no=10527" TargetMode="External"/><Relationship Id="rId17850" Type="http://schemas.openxmlformats.org/officeDocument/2006/relationships/hyperlink" Target="https://statiz.sporki.com/add/?m=draft_school01&amp;ps_school=50107" TargetMode="External"/><Relationship Id="rId18901" Type="http://schemas.openxmlformats.org/officeDocument/2006/relationships/hyperlink" Target="https://statiz.sporki.com/add/?m=draft_school01&amp;ps_school=50402" TargetMode="External"/><Relationship Id="rId959" Type="http://schemas.openxmlformats.org/officeDocument/2006/relationships/hyperlink" Target="https://statiz.sporki.com/add/?m=draft_school01&amp;ps_school=50602" TargetMode="External"/><Relationship Id="rId1589" Type="http://schemas.openxmlformats.org/officeDocument/2006/relationships/hyperlink" Target="https://statiz.sporki.com/add/?m=draft_school01&amp;ps_school=50710" TargetMode="External"/><Relationship Id="rId5460" Type="http://schemas.openxmlformats.org/officeDocument/2006/relationships/hyperlink" Target="https://statiz.sporki.com/add/?m=draft_school02&amp;ps_school=60111" TargetMode="External"/><Relationship Id="rId6511" Type="http://schemas.openxmlformats.org/officeDocument/2006/relationships/hyperlink" Target="https://statiz.sporki.com/player/?m=playerinfo&amp;p_no=10279" TargetMode="External"/><Relationship Id="rId15054" Type="http://schemas.openxmlformats.org/officeDocument/2006/relationships/hyperlink" Target="https://statiz.sporki.com/player/?m=playerinfo&amp;p_no=2297" TargetMode="External"/><Relationship Id="rId16452" Type="http://schemas.openxmlformats.org/officeDocument/2006/relationships/hyperlink" Target="https://statiz.sporki.com/add/?m=draft_school01&amp;ps_school=50103" TargetMode="External"/><Relationship Id="rId17503" Type="http://schemas.openxmlformats.org/officeDocument/2006/relationships/hyperlink" Target="https://statiz.sporki.com/add/?m=draft_school01&amp;ps_school=50108" TargetMode="External"/><Relationship Id="rId4062" Type="http://schemas.openxmlformats.org/officeDocument/2006/relationships/hyperlink" Target="https://statiz.sporki.com/add/?m=draft_school02&amp;ps_school=" TargetMode="External"/><Relationship Id="rId5113" Type="http://schemas.openxmlformats.org/officeDocument/2006/relationships/hyperlink" Target="https://statiz.sporki.com/player/?m=playerinfo&amp;p_no=10861" TargetMode="External"/><Relationship Id="rId16105" Type="http://schemas.openxmlformats.org/officeDocument/2006/relationships/hyperlink" Target="https://statiz.sporki.com/player/?m=playerinfo&amp;p_no=1072" TargetMode="External"/><Relationship Id="rId8683" Type="http://schemas.openxmlformats.org/officeDocument/2006/relationships/hyperlink" Target="https://statiz.sporki.com/player/?m=playerinfo&amp;p_no=2033" TargetMode="External"/><Relationship Id="rId9734" Type="http://schemas.openxmlformats.org/officeDocument/2006/relationships/hyperlink" Target="https://statiz.sporki.com/add/?m=draft_school01&amp;ps_school=50802" TargetMode="External"/><Relationship Id="rId11664" Type="http://schemas.openxmlformats.org/officeDocument/2006/relationships/hyperlink" Target="https://statiz.sporki.com/add/?m=draft_school02&amp;ps_school=60703" TargetMode="External"/><Relationship Id="rId12715" Type="http://schemas.openxmlformats.org/officeDocument/2006/relationships/hyperlink" Target="https://statiz.sporki.com/player/?m=playerinfo&amp;p_no=14592" TargetMode="External"/><Relationship Id="rId18277" Type="http://schemas.openxmlformats.org/officeDocument/2006/relationships/hyperlink" Target="https://statiz.sporki.com/add/?m=draft_school01&amp;ps_school=50301" TargetMode="External"/><Relationship Id="rId19328" Type="http://schemas.openxmlformats.org/officeDocument/2006/relationships/hyperlink" Target="https://statiz.sporki.com/add/?m=draft_school01&amp;ps_school=50116" TargetMode="External"/><Relationship Id="rId1723" Type="http://schemas.openxmlformats.org/officeDocument/2006/relationships/hyperlink" Target="https://statiz.sporki.com/player/?m=playerinfo&amp;p_no=14596" TargetMode="External"/><Relationship Id="rId7285" Type="http://schemas.openxmlformats.org/officeDocument/2006/relationships/hyperlink" Target="https://statiz.sporki.com/player/?m=playerinfo&amp;p_no=10252" TargetMode="External"/><Relationship Id="rId8336" Type="http://schemas.openxmlformats.org/officeDocument/2006/relationships/hyperlink" Target="https://statiz.sporki.com/add/?m=draft_school01&amp;ps_school=50802" TargetMode="External"/><Relationship Id="rId10266" Type="http://schemas.openxmlformats.org/officeDocument/2006/relationships/hyperlink" Target="https://statiz.sporki.com/add/?m=draft_school02&amp;ps_school=" TargetMode="External"/><Relationship Id="rId11317" Type="http://schemas.openxmlformats.org/officeDocument/2006/relationships/hyperlink" Target="https://statiz.sporki.com/player/?m=playerinfo&amp;p_no=1254" TargetMode="External"/><Relationship Id="rId14887" Type="http://schemas.openxmlformats.org/officeDocument/2006/relationships/hyperlink" Target="https://statiz.sporki.com/player/?m=playerinfo&amp;p_no=10348" TargetMode="External"/><Relationship Id="rId3895" Type="http://schemas.openxmlformats.org/officeDocument/2006/relationships/hyperlink" Target="https://statiz.sporki.com/player/?m=playerinfo&amp;p_no=11305" TargetMode="External"/><Relationship Id="rId4946" Type="http://schemas.openxmlformats.org/officeDocument/2006/relationships/hyperlink" Target="https://statiz.sporki.com/add/?m=draft_school01&amp;ps_school=50208" TargetMode="External"/><Relationship Id="rId13489" Type="http://schemas.openxmlformats.org/officeDocument/2006/relationships/hyperlink" Target="https://statiz.sporki.com/player/?m=playerinfo&amp;p_no=11255" TargetMode="External"/><Relationship Id="rId15938" Type="http://schemas.openxmlformats.org/officeDocument/2006/relationships/hyperlink" Target="https://statiz.sporki.com/player/?m=playerinfo&amp;p_no=1334" TargetMode="External"/><Relationship Id="rId17360" Type="http://schemas.openxmlformats.org/officeDocument/2006/relationships/hyperlink" Target="https://statiz.sporki.com/add/?m=draft_school01&amp;ps_school=50202" TargetMode="External"/><Relationship Id="rId18411" Type="http://schemas.openxmlformats.org/officeDocument/2006/relationships/hyperlink" Target="https://statiz.sporki.com/add/?m=draft_school01&amp;ps_school=50111" TargetMode="External"/><Relationship Id="rId2497" Type="http://schemas.openxmlformats.org/officeDocument/2006/relationships/hyperlink" Target="https://statiz.sporki.com/player/?m=playerinfo&amp;p_no=13140" TargetMode="External"/><Relationship Id="rId3548" Type="http://schemas.openxmlformats.org/officeDocument/2006/relationships/hyperlink" Target="https://statiz.sporki.com/add/?m=draft_school01&amp;ps_school=" TargetMode="External"/><Relationship Id="rId17013" Type="http://schemas.openxmlformats.org/officeDocument/2006/relationships/hyperlink" Target="https://statiz.sporki.com/add/?m=draft_school01&amp;ps_school=50703" TargetMode="External"/><Relationship Id="rId469" Type="http://schemas.openxmlformats.org/officeDocument/2006/relationships/hyperlink" Target="https://statiz.sporki.com/player/?m=playerinfo&amp;p_no=15631" TargetMode="External"/><Relationship Id="rId1099" Type="http://schemas.openxmlformats.org/officeDocument/2006/relationships/hyperlink" Target="https://statiz.sporki.com/player/?m=playerinfo&amp;p_no=14855" TargetMode="External"/><Relationship Id="rId6021" Type="http://schemas.openxmlformats.org/officeDocument/2006/relationships/hyperlink" Target="https://statiz.sporki.com/add/?m=draft_school02&amp;ps_school=" TargetMode="External"/><Relationship Id="rId9591" Type="http://schemas.openxmlformats.org/officeDocument/2006/relationships/hyperlink" Target="https://statiz.sporki.com/add/?m=draft_school02&amp;ps_school=60102" TargetMode="External"/><Relationship Id="rId10400" Type="http://schemas.openxmlformats.org/officeDocument/2006/relationships/hyperlink" Target="https://statiz.sporki.com/add/?m=draft_school01&amp;ps_school=50113" TargetMode="External"/><Relationship Id="rId13970" Type="http://schemas.openxmlformats.org/officeDocument/2006/relationships/hyperlink" Target="https://statiz.sporki.com/player/?m=playerinfo&amp;p_no=10223" TargetMode="External"/><Relationship Id="rId19185" Type="http://schemas.openxmlformats.org/officeDocument/2006/relationships/hyperlink" Target="https://statiz.sporki.com/add/?m=draft_school01&amp;ps_school=50608" TargetMode="External"/><Relationship Id="rId8193" Type="http://schemas.openxmlformats.org/officeDocument/2006/relationships/hyperlink" Target="https://statiz.sporki.com/add/?m=draft_school02&amp;ps_school=60103" TargetMode="External"/><Relationship Id="rId9244" Type="http://schemas.openxmlformats.org/officeDocument/2006/relationships/hyperlink" Target="https://statiz.sporki.com/player/?m=playerinfo&amp;p_no=10264" TargetMode="External"/><Relationship Id="rId12572" Type="http://schemas.openxmlformats.org/officeDocument/2006/relationships/hyperlink" Target="https://statiz.sporki.com/player/?m=playerinfo&amp;p_no=14988" TargetMode="External"/><Relationship Id="rId13623" Type="http://schemas.openxmlformats.org/officeDocument/2006/relationships/hyperlink" Target="https://statiz.sporki.com/player/?m=playerinfo&amp;p_no=11115" TargetMode="External"/><Relationship Id="rId950" Type="http://schemas.openxmlformats.org/officeDocument/2006/relationships/hyperlink" Target="https://statiz.sporki.com/add/?m=draft_school01&amp;ps_school=50209" TargetMode="External"/><Relationship Id="rId1580" Type="http://schemas.openxmlformats.org/officeDocument/2006/relationships/hyperlink" Target="https://statiz.sporki.com/add/?m=draft_school01&amp;ps_school=50111" TargetMode="External"/><Relationship Id="rId2631" Type="http://schemas.openxmlformats.org/officeDocument/2006/relationships/hyperlink" Target="https://statiz.sporki.com/add/?m=draft_school02&amp;ps_school=" TargetMode="External"/><Relationship Id="rId11174" Type="http://schemas.openxmlformats.org/officeDocument/2006/relationships/hyperlink" Target="https://statiz.sporki.com/add/?m=draft_school01&amp;ps_school=50608" TargetMode="External"/><Relationship Id="rId12225" Type="http://schemas.openxmlformats.org/officeDocument/2006/relationships/hyperlink" Target="https://statiz.sporki.com/player/?m=playerinfo&amp;p_no=15458" TargetMode="External"/><Relationship Id="rId15795" Type="http://schemas.openxmlformats.org/officeDocument/2006/relationships/hyperlink" Target="https://statiz.sporki.com/player/?m=playerinfo&amp;p_no=1357" TargetMode="External"/><Relationship Id="rId16846" Type="http://schemas.openxmlformats.org/officeDocument/2006/relationships/hyperlink" Target="https://statiz.sporki.com/add/?m=draft_school01&amp;ps_school=50901" TargetMode="External"/><Relationship Id="rId603" Type="http://schemas.openxmlformats.org/officeDocument/2006/relationships/hyperlink" Target="https://statiz.sporki.com/add/?m=draft_school02&amp;ps_school=" TargetMode="External"/><Relationship Id="rId1233" Type="http://schemas.openxmlformats.org/officeDocument/2006/relationships/hyperlink" Target="https://statiz.sporki.com/add/?m=draft_school02&amp;ps_school=" TargetMode="External"/><Relationship Id="rId5854" Type="http://schemas.openxmlformats.org/officeDocument/2006/relationships/hyperlink" Target="https://statiz.sporki.com/player/?m=playerinfo&amp;p_no=10283" TargetMode="External"/><Relationship Id="rId6905" Type="http://schemas.openxmlformats.org/officeDocument/2006/relationships/hyperlink" Target="https://statiz.sporki.com/add/?m=draft_school01&amp;ps_school=50112" TargetMode="External"/><Relationship Id="rId14397" Type="http://schemas.openxmlformats.org/officeDocument/2006/relationships/hyperlink" Target="https://statiz.sporki.com/player/?m=playerinfo&amp;p_no=10400" TargetMode="External"/><Relationship Id="rId15448" Type="http://schemas.openxmlformats.org/officeDocument/2006/relationships/hyperlink" Target="https://statiz.sporki.com/player/?m=playerinfo&amp;p_no=1675" TargetMode="External"/><Relationship Id="rId4456" Type="http://schemas.openxmlformats.org/officeDocument/2006/relationships/hyperlink" Target="https://statiz.sporki.com/player/?m=playerinfo&amp;p_no=11111" TargetMode="External"/><Relationship Id="rId5507" Type="http://schemas.openxmlformats.org/officeDocument/2006/relationships/hyperlink" Target="https://statiz.sporki.com/add/?m=draft_school01&amp;ps_school=50604" TargetMode="External"/><Relationship Id="rId3058" Type="http://schemas.openxmlformats.org/officeDocument/2006/relationships/hyperlink" Target="https://statiz.sporki.com/player/?m=playerinfo&amp;p_no=12995" TargetMode="External"/><Relationship Id="rId4109" Type="http://schemas.openxmlformats.org/officeDocument/2006/relationships/hyperlink" Target="https://statiz.sporki.com/add/?m=draft_school01&amp;ps_school=50107" TargetMode="External"/><Relationship Id="rId7679" Type="http://schemas.openxmlformats.org/officeDocument/2006/relationships/hyperlink" Target="https://statiz.sporki.com/add/?m=draft_school01&amp;ps_school=50602" TargetMode="External"/><Relationship Id="rId13480" Type="http://schemas.openxmlformats.org/officeDocument/2006/relationships/hyperlink" Target="https://statiz.sporki.com/player/?m=playerinfo&amp;p_no=11310" TargetMode="External"/><Relationship Id="rId12082" Type="http://schemas.openxmlformats.org/officeDocument/2006/relationships/hyperlink" Target="https://statiz.sporki.com/player/?m=playerinfo&amp;p_no=1076" TargetMode="External"/><Relationship Id="rId13133" Type="http://schemas.openxmlformats.org/officeDocument/2006/relationships/hyperlink" Target="https://statiz.sporki.com/player/?m=playerinfo&amp;p_no=12886" TargetMode="External"/><Relationship Id="rId14531" Type="http://schemas.openxmlformats.org/officeDocument/2006/relationships/hyperlink" Target="https://statiz.sporki.com/player/?m=playerinfo&amp;p_no=2274" TargetMode="External"/><Relationship Id="rId460" Type="http://schemas.openxmlformats.org/officeDocument/2006/relationships/hyperlink" Target="https://statiz.sporki.com/player/?m=playerinfo&amp;p_no=15632" TargetMode="External"/><Relationship Id="rId1090" Type="http://schemas.openxmlformats.org/officeDocument/2006/relationships/hyperlink" Target="https://statiz.sporki.com/player/?m=playerinfo&amp;p_no=14768" TargetMode="External"/><Relationship Id="rId2141" Type="http://schemas.openxmlformats.org/officeDocument/2006/relationships/hyperlink" Target="https://statiz.sporki.com/add/?m=draft_school01&amp;ps_school=50101" TargetMode="External"/><Relationship Id="rId17754" Type="http://schemas.openxmlformats.org/officeDocument/2006/relationships/hyperlink" Target="https://statiz.sporki.com/add/?m=draft_school01&amp;ps_school=50902" TargetMode="External"/><Relationship Id="rId18805" Type="http://schemas.openxmlformats.org/officeDocument/2006/relationships/hyperlink" Target="https://statiz.sporki.com/add/?m=draft_school01&amp;ps_school=50701" TargetMode="External"/><Relationship Id="rId113" Type="http://schemas.openxmlformats.org/officeDocument/2006/relationships/hyperlink" Target="https://statiz.sporki.com/add/?m=draft_school01&amp;ps_school=50111" TargetMode="External"/><Relationship Id="rId6762" Type="http://schemas.openxmlformats.org/officeDocument/2006/relationships/hyperlink" Target="https://statiz.sporki.com/add/?m=draft_school02&amp;ps_school=60804" TargetMode="External"/><Relationship Id="rId7813" Type="http://schemas.openxmlformats.org/officeDocument/2006/relationships/hyperlink" Target="https://statiz.sporki.com/player/?m=playerinfo&amp;p_no=2346" TargetMode="External"/><Relationship Id="rId16356" Type="http://schemas.openxmlformats.org/officeDocument/2006/relationships/hyperlink" Target="https://statiz.sporki.com/add/?m=draft_school01&amp;ps_school=50701" TargetMode="External"/><Relationship Id="rId17407" Type="http://schemas.openxmlformats.org/officeDocument/2006/relationships/hyperlink" Target="https://statiz.sporki.com/add/?m=draft_school01&amp;ps_school=50105" TargetMode="External"/><Relationship Id="rId5017" Type="http://schemas.openxmlformats.org/officeDocument/2006/relationships/hyperlink" Target="https://statiz.sporki.com/player/?m=playerinfo&amp;p_no=11125" TargetMode="External"/><Relationship Id="rId5364" Type="http://schemas.openxmlformats.org/officeDocument/2006/relationships/hyperlink" Target="https://statiz.sporki.com/add/?m=draft_school02&amp;ps_school=60704" TargetMode="External"/><Relationship Id="rId6415" Type="http://schemas.openxmlformats.org/officeDocument/2006/relationships/hyperlink" Target="https://statiz.sporki.com/player/?m=playerinfo&amp;p_no=10025" TargetMode="External"/><Relationship Id="rId9985" Type="http://schemas.openxmlformats.org/officeDocument/2006/relationships/hyperlink" Target="https://statiz.sporki.com/player/?m=playerinfo&amp;p_no=1766" TargetMode="External"/><Relationship Id="rId12966" Type="http://schemas.openxmlformats.org/officeDocument/2006/relationships/hyperlink" Target="https://statiz.sporki.com/player/?m=playerinfo&amp;p_no=13173" TargetMode="External"/><Relationship Id="rId16009" Type="http://schemas.openxmlformats.org/officeDocument/2006/relationships/hyperlink" Target="https://statiz.sporki.com/player/?m=playerinfo&amp;p_no=1155" TargetMode="External"/><Relationship Id="rId19579" Type="http://schemas.openxmlformats.org/officeDocument/2006/relationships/hyperlink" Target="https://statiz.sporki.com/add/?m=draft_school01&amp;ps_school=50110" TargetMode="External"/><Relationship Id="rId1974" Type="http://schemas.openxmlformats.org/officeDocument/2006/relationships/hyperlink" Target="https://statiz.sporki.com/add/?m=draft_school02&amp;ps_school=60501" TargetMode="External"/><Relationship Id="rId8587" Type="http://schemas.openxmlformats.org/officeDocument/2006/relationships/hyperlink" Target="https://statiz.sporki.com/player/?m=playerinfo&amp;p_no=2012" TargetMode="External"/><Relationship Id="rId9638" Type="http://schemas.openxmlformats.org/officeDocument/2006/relationships/hyperlink" Target="https://statiz.sporki.com/add/?m=draft_school01&amp;ps_school=50602" TargetMode="External"/><Relationship Id="rId11568" Type="http://schemas.openxmlformats.org/officeDocument/2006/relationships/hyperlink" Target="https://statiz.sporki.com/add/?m=draft_school02&amp;ps_school=60104" TargetMode="External"/><Relationship Id="rId12619" Type="http://schemas.openxmlformats.org/officeDocument/2006/relationships/hyperlink" Target="https://statiz.sporki.com/player/?m=playerinfo&amp;p_no=14613" TargetMode="External"/><Relationship Id="rId1627" Type="http://schemas.openxmlformats.org/officeDocument/2006/relationships/hyperlink" Target="https://statiz.sporki.com/player/?m=playerinfo&amp;p_no=14667" TargetMode="External"/><Relationship Id="rId7189" Type="http://schemas.openxmlformats.org/officeDocument/2006/relationships/hyperlink" Target="https://statiz.sporki.com/player/?m=playerinfo&amp;p_no=2306" TargetMode="External"/><Relationship Id="rId14041" Type="http://schemas.openxmlformats.org/officeDocument/2006/relationships/hyperlink" Target="https://statiz.sporki.com/player/?m=playerinfo&amp;p_no=13278" TargetMode="External"/><Relationship Id="rId3799" Type="http://schemas.openxmlformats.org/officeDocument/2006/relationships/hyperlink" Target="https://statiz.sporki.com/player/?m=playerinfo&amp;p_no=11350" TargetMode="External"/><Relationship Id="rId4100" Type="http://schemas.openxmlformats.org/officeDocument/2006/relationships/hyperlink" Target="https://statiz.sporki.com/add/?m=draft_school01&amp;ps_school=50108" TargetMode="External"/><Relationship Id="rId7670" Type="http://schemas.openxmlformats.org/officeDocument/2006/relationships/hyperlink" Target="https://statiz.sporki.com/add/?m=draft_school01&amp;ps_school=50104" TargetMode="External"/><Relationship Id="rId8721" Type="http://schemas.openxmlformats.org/officeDocument/2006/relationships/hyperlink" Target="https://statiz.sporki.com/add/?m=draft_school02&amp;ps_school=60108" TargetMode="External"/><Relationship Id="rId17264" Type="http://schemas.openxmlformats.org/officeDocument/2006/relationships/hyperlink" Target="https://statiz.sporki.com/add/?m=draft_school01&amp;ps_school=50202" TargetMode="External"/><Relationship Id="rId18662" Type="http://schemas.openxmlformats.org/officeDocument/2006/relationships/hyperlink" Target="https://statiz.sporki.com/add/?m=draft_school01&amp;ps_school=50114" TargetMode="External"/><Relationship Id="rId6272" Type="http://schemas.openxmlformats.org/officeDocument/2006/relationships/hyperlink" Target="https://statiz.sporki.com/add/?m=draft_school01&amp;ps_school=50102" TargetMode="External"/><Relationship Id="rId7323" Type="http://schemas.openxmlformats.org/officeDocument/2006/relationships/hyperlink" Target="https://statiz.sporki.com/add/?m=draft_school02&amp;ps_school=60102" TargetMode="External"/><Relationship Id="rId10651" Type="http://schemas.openxmlformats.org/officeDocument/2006/relationships/hyperlink" Target="https://statiz.sporki.com/player/?m=playerinfo&amp;p_no=1451" TargetMode="External"/><Relationship Id="rId11702" Type="http://schemas.openxmlformats.org/officeDocument/2006/relationships/hyperlink" Target="https://statiz.sporki.com/add/?m=draft_school01&amp;ps_school=" TargetMode="External"/><Relationship Id="rId18315" Type="http://schemas.openxmlformats.org/officeDocument/2006/relationships/hyperlink" Target="https://statiz.sporki.com/add/?m=draft_school01&amp;ps_school=50501" TargetMode="External"/><Relationship Id="rId9495" Type="http://schemas.openxmlformats.org/officeDocument/2006/relationships/hyperlink" Target="https://statiz.sporki.com/add/?m=draft_school02&amp;ps_school=" TargetMode="External"/><Relationship Id="rId10304" Type="http://schemas.openxmlformats.org/officeDocument/2006/relationships/hyperlink" Target="https://statiz.sporki.com/add/?m=draft_school01&amp;ps_school=50209" TargetMode="External"/><Relationship Id="rId13874" Type="http://schemas.openxmlformats.org/officeDocument/2006/relationships/hyperlink" Target="https://statiz.sporki.com/player/?m=playerinfo&amp;p_no=10676" TargetMode="External"/><Relationship Id="rId14925" Type="http://schemas.openxmlformats.org/officeDocument/2006/relationships/hyperlink" Target="https://statiz.sporki.com/player/?m=playerinfo&amp;p_no=2065" TargetMode="External"/><Relationship Id="rId2882" Type="http://schemas.openxmlformats.org/officeDocument/2006/relationships/hyperlink" Target="https://statiz.sporki.com/add/?m=draft_school01&amp;ps_school=50808" TargetMode="External"/><Relationship Id="rId3933" Type="http://schemas.openxmlformats.org/officeDocument/2006/relationships/hyperlink" Target="https://statiz.sporki.com/add/?m=draft_school02&amp;ps_school=" TargetMode="External"/><Relationship Id="rId8097" Type="http://schemas.openxmlformats.org/officeDocument/2006/relationships/hyperlink" Target="https://statiz.sporki.com/add/?m=draft_school02&amp;ps_school=60111" TargetMode="External"/><Relationship Id="rId9148" Type="http://schemas.openxmlformats.org/officeDocument/2006/relationships/hyperlink" Target="https://statiz.sporki.com/player/?m=playerinfo&amp;p_no=1898" TargetMode="External"/><Relationship Id="rId12476" Type="http://schemas.openxmlformats.org/officeDocument/2006/relationships/hyperlink" Target="https://statiz.sporki.com/player/?m=playerinfo&amp;p_no=14792" TargetMode="External"/><Relationship Id="rId13527" Type="http://schemas.openxmlformats.org/officeDocument/2006/relationships/hyperlink" Target="https://statiz.sporki.com/player/?m=playerinfo&amp;p_no=11244" TargetMode="External"/><Relationship Id="rId19089" Type="http://schemas.openxmlformats.org/officeDocument/2006/relationships/hyperlink" Target="https://statiz.sporki.com/add/?m=draft_school01&amp;ps_school=50107" TargetMode="External"/><Relationship Id="rId854" Type="http://schemas.openxmlformats.org/officeDocument/2006/relationships/hyperlink" Target="https://statiz.sporki.com/add/?m=draft_school01&amp;ps_school=" TargetMode="External"/><Relationship Id="rId1484" Type="http://schemas.openxmlformats.org/officeDocument/2006/relationships/hyperlink" Target="https://statiz.sporki.com/add/?m=draft_school01&amp;ps_school=50602" TargetMode="External"/><Relationship Id="rId2535" Type="http://schemas.openxmlformats.org/officeDocument/2006/relationships/hyperlink" Target="https://statiz.sporki.com/add/?m=draft_school02&amp;ps_school=" TargetMode="External"/><Relationship Id="rId11078" Type="http://schemas.openxmlformats.org/officeDocument/2006/relationships/hyperlink" Target="https://statiz.sporki.com/add/?m=draft_school01&amp;ps_school=50106" TargetMode="External"/><Relationship Id="rId12129" Type="http://schemas.openxmlformats.org/officeDocument/2006/relationships/hyperlink" Target="https://statiz.sporki.com/add/?m=draft_school02&amp;ps_school=60109" TargetMode="External"/><Relationship Id="rId15699" Type="http://schemas.openxmlformats.org/officeDocument/2006/relationships/hyperlink" Target="https://statiz.sporki.com/player/?m=playerinfo&amp;p_no=1437" TargetMode="External"/><Relationship Id="rId16000" Type="http://schemas.openxmlformats.org/officeDocument/2006/relationships/hyperlink" Target="https://statiz.sporki.com/player/?m=playerinfo&amp;p_no=1189" TargetMode="External"/><Relationship Id="rId19570" Type="http://schemas.openxmlformats.org/officeDocument/2006/relationships/hyperlink" Target="https://statiz.sporki.com/add/?m=draft_school01&amp;ps_school=50121" TargetMode="External"/><Relationship Id="rId507" Type="http://schemas.openxmlformats.org/officeDocument/2006/relationships/hyperlink" Target="https://statiz.sporki.com/add/?m=draft_school02&amp;ps_school=" TargetMode="External"/><Relationship Id="rId1137" Type="http://schemas.openxmlformats.org/officeDocument/2006/relationships/hyperlink" Target="https://statiz.sporki.com/add/?m=draft_school02&amp;ps_school=" TargetMode="External"/><Relationship Id="rId5758" Type="http://schemas.openxmlformats.org/officeDocument/2006/relationships/hyperlink" Target="https://statiz.sporki.com/player/?m=playerinfo&amp;p_no=10014" TargetMode="External"/><Relationship Id="rId6809" Type="http://schemas.openxmlformats.org/officeDocument/2006/relationships/hyperlink" Target="https://statiz.sporki.com/add/?m=draft_school01&amp;ps_school=50301" TargetMode="External"/><Relationship Id="rId18172" Type="http://schemas.openxmlformats.org/officeDocument/2006/relationships/hyperlink" Target="https://statiz.sporki.com/add/?m=draft_school01&amp;ps_school=50113" TargetMode="External"/><Relationship Id="rId19223" Type="http://schemas.openxmlformats.org/officeDocument/2006/relationships/hyperlink" Target="https://statiz.sporki.com/add/?m=draft_school01&amp;ps_school=50807" TargetMode="External"/><Relationship Id="rId7180" Type="http://schemas.openxmlformats.org/officeDocument/2006/relationships/hyperlink" Target="https://statiz.sporki.com/player/?m=playerinfo&amp;p_no=2319" TargetMode="External"/><Relationship Id="rId8231" Type="http://schemas.openxmlformats.org/officeDocument/2006/relationships/hyperlink" Target="https://statiz.sporki.com/add/?m=draft_school01&amp;ps_school=50502" TargetMode="External"/><Relationship Id="rId10161" Type="http://schemas.openxmlformats.org/officeDocument/2006/relationships/hyperlink" Target="https://statiz.sporki.com/add/?m=draft_school02&amp;ps_school=60111" TargetMode="External"/><Relationship Id="rId11212" Type="http://schemas.openxmlformats.org/officeDocument/2006/relationships/hyperlink" Target="https://statiz.sporki.com/player/?m=playerinfo&amp;p_no=1350" TargetMode="External"/><Relationship Id="rId12610" Type="http://schemas.openxmlformats.org/officeDocument/2006/relationships/hyperlink" Target="https://statiz.sporki.com/player/?m=playerinfo&amp;p_no=14580" TargetMode="External"/><Relationship Id="rId14782" Type="http://schemas.openxmlformats.org/officeDocument/2006/relationships/hyperlink" Target="https://statiz.sporki.com/player/?m=playerinfo&amp;p_no=2320" TargetMode="External"/><Relationship Id="rId15833" Type="http://schemas.openxmlformats.org/officeDocument/2006/relationships/hyperlink" Target="https://statiz.sporki.com/player/?m=playerinfo&amp;p_no=1319" TargetMode="External"/><Relationship Id="rId2392" Type="http://schemas.openxmlformats.org/officeDocument/2006/relationships/hyperlink" Target="https://statiz.sporki.com/player/?m=playerinfo&amp;p_no=13127" TargetMode="External"/><Relationship Id="rId3790" Type="http://schemas.openxmlformats.org/officeDocument/2006/relationships/hyperlink" Target="https://statiz.sporki.com/player/?m=playerinfo&amp;p_no=14702" TargetMode="External"/><Relationship Id="rId4841" Type="http://schemas.openxmlformats.org/officeDocument/2006/relationships/hyperlink" Target="https://statiz.sporki.com/add/?m=draft_school01&amp;ps_school=50101" TargetMode="External"/><Relationship Id="rId13384" Type="http://schemas.openxmlformats.org/officeDocument/2006/relationships/hyperlink" Target="https://statiz.sporki.com/player/?m=playerinfo&amp;p_no=11385" TargetMode="External"/><Relationship Id="rId14435" Type="http://schemas.openxmlformats.org/officeDocument/2006/relationships/hyperlink" Target="https://statiz.sporki.com/player/?m=playerinfo&amp;p_no=2345" TargetMode="External"/><Relationship Id="rId364" Type="http://schemas.openxmlformats.org/officeDocument/2006/relationships/hyperlink" Target="https://statiz.sporki.com/player/?m=playerinfo&amp;p_no=15539" TargetMode="External"/><Relationship Id="rId2045" Type="http://schemas.openxmlformats.org/officeDocument/2006/relationships/hyperlink" Target="https://statiz.sporki.com/add/?m=draft_school01&amp;ps_school=50212" TargetMode="External"/><Relationship Id="rId3443" Type="http://schemas.openxmlformats.org/officeDocument/2006/relationships/hyperlink" Target="https://statiz.sporki.com/add/?m=draft_school01&amp;ps_school=50901" TargetMode="External"/><Relationship Id="rId13037" Type="http://schemas.openxmlformats.org/officeDocument/2006/relationships/hyperlink" Target="https://statiz.sporki.com/player/?m=playerinfo&amp;p_no=13186" TargetMode="External"/><Relationship Id="rId17658" Type="http://schemas.openxmlformats.org/officeDocument/2006/relationships/hyperlink" Target="https://statiz.sporki.com/add/?m=draft_school01&amp;ps_school=50802" TargetMode="External"/><Relationship Id="rId18709" Type="http://schemas.openxmlformats.org/officeDocument/2006/relationships/hyperlink" Target="https://statiz.sporki.com/add/?m=draft_school01&amp;ps_school=50701" TargetMode="External"/><Relationship Id="rId6666" Type="http://schemas.openxmlformats.org/officeDocument/2006/relationships/hyperlink" Target="https://statiz.sporki.com/add/?m=draft_school02&amp;ps_school=" TargetMode="External"/><Relationship Id="rId7717" Type="http://schemas.openxmlformats.org/officeDocument/2006/relationships/hyperlink" Target="https://statiz.sporki.com/player/?m=playerinfo&amp;p_no=2220" TargetMode="External"/><Relationship Id="rId19080" Type="http://schemas.openxmlformats.org/officeDocument/2006/relationships/hyperlink" Target="https://statiz.sporki.com/add/?m=draft_school01&amp;ps_school=50805" TargetMode="External"/><Relationship Id="rId5268" Type="http://schemas.openxmlformats.org/officeDocument/2006/relationships/hyperlink" Target="https://statiz.sporki.com/add/?m=draft_school02&amp;ps_school=" TargetMode="External"/><Relationship Id="rId6319" Type="http://schemas.openxmlformats.org/officeDocument/2006/relationships/hyperlink" Target="https://statiz.sporki.com/player/?m=playerinfo&amp;p_no=10471" TargetMode="External"/><Relationship Id="rId9889" Type="http://schemas.openxmlformats.org/officeDocument/2006/relationships/hyperlink" Target="https://statiz.sporki.com/player/?m=playerinfo&amp;p_no=1661" TargetMode="External"/><Relationship Id="rId12120" Type="http://schemas.openxmlformats.org/officeDocument/2006/relationships/hyperlink" Target="https://statiz.sporki.com/add/?m=draft_school02&amp;ps_school=60101" TargetMode="External"/><Relationship Id="rId15690" Type="http://schemas.openxmlformats.org/officeDocument/2006/relationships/hyperlink" Target="https://statiz.sporki.com/player/?m=playerinfo&amp;p_no=1452" TargetMode="External"/><Relationship Id="rId1878" Type="http://schemas.openxmlformats.org/officeDocument/2006/relationships/hyperlink" Target="https://statiz.sporki.com/add/?m=draft_school02&amp;ps_school=" TargetMode="External"/><Relationship Id="rId2929" Type="http://schemas.openxmlformats.org/officeDocument/2006/relationships/hyperlink" Target="https://statiz.sporki.com/player/?m=playerinfo&amp;p_no=12904" TargetMode="External"/><Relationship Id="rId14292" Type="http://schemas.openxmlformats.org/officeDocument/2006/relationships/hyperlink" Target="https://statiz.sporki.com/player/?m=playerinfo&amp;p_no=2398" TargetMode="External"/><Relationship Id="rId15343" Type="http://schemas.openxmlformats.org/officeDocument/2006/relationships/hyperlink" Target="https://statiz.sporki.com/player/?m=playerinfo&amp;p_no=1743" TargetMode="External"/><Relationship Id="rId16741" Type="http://schemas.openxmlformats.org/officeDocument/2006/relationships/hyperlink" Target="https://statiz.sporki.com/add/?m=draft_school01&amp;ps_school=50802" TargetMode="External"/><Relationship Id="rId4351" Type="http://schemas.openxmlformats.org/officeDocument/2006/relationships/hyperlink" Target="https://statiz.sporki.com/player/?m=playerinfo&amp;p_no=11218" TargetMode="External"/><Relationship Id="rId5402" Type="http://schemas.openxmlformats.org/officeDocument/2006/relationships/hyperlink" Target="https://statiz.sporki.com/add/?m=draft_school01&amp;ps_school=" TargetMode="External"/><Relationship Id="rId6800" Type="http://schemas.openxmlformats.org/officeDocument/2006/relationships/hyperlink" Target="https://statiz.sporki.com/add/?m=draft_school01&amp;ps_school=50401" TargetMode="External"/><Relationship Id="rId4004" Type="http://schemas.openxmlformats.org/officeDocument/2006/relationships/hyperlink" Target="https://statiz.sporki.com/add/?m=draft_school01&amp;ps_school=50109" TargetMode="External"/><Relationship Id="rId8972" Type="http://schemas.openxmlformats.org/officeDocument/2006/relationships/hyperlink" Target="https://statiz.sporki.com/add/?m=draft_school01&amp;ps_school=50110" TargetMode="External"/><Relationship Id="rId11953" Type="http://schemas.openxmlformats.org/officeDocument/2006/relationships/hyperlink" Target="https://statiz.sporki.com/player/?m=playerinfo&amp;p_no=1118" TargetMode="External"/><Relationship Id="rId18566" Type="http://schemas.openxmlformats.org/officeDocument/2006/relationships/hyperlink" Target="https://statiz.sporki.com/add/?m=draft_school01&amp;ps_school=50105" TargetMode="External"/><Relationship Id="rId19617" Type="http://schemas.openxmlformats.org/officeDocument/2006/relationships/hyperlink" Target="https://statiz.sporki.com/add/?m=draft_school01&amp;ps_school=50202" TargetMode="External"/><Relationship Id="rId6176" Type="http://schemas.openxmlformats.org/officeDocument/2006/relationships/hyperlink" Target="https://statiz.sporki.com/add/?m=draft_school01&amp;ps_school=" TargetMode="External"/><Relationship Id="rId7227" Type="http://schemas.openxmlformats.org/officeDocument/2006/relationships/hyperlink" Target="https://statiz.sporki.com/add/?m=draft_school02&amp;ps_school=60103" TargetMode="External"/><Relationship Id="rId7574" Type="http://schemas.openxmlformats.org/officeDocument/2006/relationships/hyperlink" Target="https://statiz.sporki.com/add/?m=draft_school01&amp;ps_school=50706" TargetMode="External"/><Relationship Id="rId8625" Type="http://schemas.openxmlformats.org/officeDocument/2006/relationships/hyperlink" Target="https://statiz.sporki.com/add/?m=draft_school02&amp;ps_school=60204" TargetMode="External"/><Relationship Id="rId10555" Type="http://schemas.openxmlformats.org/officeDocument/2006/relationships/hyperlink" Target="https://statiz.sporki.com/player/?m=playerinfo&amp;p_no=1425" TargetMode="External"/><Relationship Id="rId11606" Type="http://schemas.openxmlformats.org/officeDocument/2006/relationships/hyperlink" Target="https://statiz.sporki.com/add/?m=draft_school01&amp;ps_school=50807" TargetMode="External"/><Relationship Id="rId17168" Type="http://schemas.openxmlformats.org/officeDocument/2006/relationships/hyperlink" Target="https://statiz.sporki.com/add/?m=draft_school01&amp;ps_school=50108" TargetMode="External"/><Relationship Id="rId18219" Type="http://schemas.openxmlformats.org/officeDocument/2006/relationships/hyperlink" Target="https://statiz.sporki.com/add/?m=draft_school01&amp;ps_school=50403" TargetMode="External"/><Relationship Id="rId10208" Type="http://schemas.openxmlformats.org/officeDocument/2006/relationships/hyperlink" Target="https://statiz.sporki.com/add/?m=draft_school01&amp;ps_school=50108" TargetMode="External"/><Relationship Id="rId13778" Type="http://schemas.openxmlformats.org/officeDocument/2006/relationships/hyperlink" Target="https://statiz.sporki.com/player/?m=playerinfo&amp;p_no=10868" TargetMode="External"/><Relationship Id="rId14829" Type="http://schemas.openxmlformats.org/officeDocument/2006/relationships/hyperlink" Target="https://statiz.sporki.com/player/?m=playerinfo&amp;p_no=2109" TargetMode="External"/><Relationship Id="rId18700" Type="http://schemas.openxmlformats.org/officeDocument/2006/relationships/hyperlink" Target="https://statiz.sporki.com/add/?m=draft_school01&amp;ps_school=50602" TargetMode="External"/><Relationship Id="rId2786" Type="http://schemas.openxmlformats.org/officeDocument/2006/relationships/hyperlink" Target="https://statiz.sporki.com/add/?m=draft_school01&amp;ps_school=50202" TargetMode="External"/><Relationship Id="rId3837" Type="http://schemas.openxmlformats.org/officeDocument/2006/relationships/hyperlink" Target="https://statiz.sporki.com/add/?m=draft_school02&amp;ps_school=60801" TargetMode="External"/><Relationship Id="rId9399" Type="http://schemas.openxmlformats.org/officeDocument/2006/relationships/hyperlink" Target="https://statiz.sporki.com/add/?m=draft_school02&amp;ps_school=60111" TargetMode="External"/><Relationship Id="rId16251" Type="http://schemas.openxmlformats.org/officeDocument/2006/relationships/hyperlink" Target="https://statiz.sporki.com/add/?m=draft_school01&amp;ps_school=50113" TargetMode="External"/><Relationship Id="rId17302" Type="http://schemas.openxmlformats.org/officeDocument/2006/relationships/hyperlink" Target="https://statiz.sporki.com/add/?m=draft_school01&amp;ps_school=50403" TargetMode="External"/><Relationship Id="rId758" Type="http://schemas.openxmlformats.org/officeDocument/2006/relationships/hyperlink" Target="https://statiz.sporki.com/add/?m=draft_school01&amp;ps_school=50703" TargetMode="External"/><Relationship Id="rId1388" Type="http://schemas.openxmlformats.org/officeDocument/2006/relationships/hyperlink" Target="https://statiz.sporki.com/add/?m=draft_school01&amp;ps_school=50116" TargetMode="External"/><Relationship Id="rId2439" Type="http://schemas.openxmlformats.org/officeDocument/2006/relationships/hyperlink" Target="https://statiz.sporki.com/add/?m=draft_school02&amp;ps_school=" TargetMode="External"/><Relationship Id="rId6310" Type="http://schemas.openxmlformats.org/officeDocument/2006/relationships/hyperlink" Target="https://statiz.sporki.com/player/?m=playerinfo&amp;p_no=10292" TargetMode="External"/><Relationship Id="rId9880" Type="http://schemas.openxmlformats.org/officeDocument/2006/relationships/hyperlink" Target="https://statiz.sporki.com/player/?m=playerinfo&amp;p_no=1652" TargetMode="External"/><Relationship Id="rId19474" Type="http://schemas.openxmlformats.org/officeDocument/2006/relationships/hyperlink" Target="https://statiz.sporki.com/add/?m=draft_school01&amp;ps_school=50802" TargetMode="External"/><Relationship Id="rId94" Type="http://schemas.openxmlformats.org/officeDocument/2006/relationships/hyperlink" Target="https://statiz.sporki.com/player/?m=playerinfo&amp;p_no=15434" TargetMode="External"/><Relationship Id="rId8482" Type="http://schemas.openxmlformats.org/officeDocument/2006/relationships/hyperlink" Target="https://statiz.sporki.com/player/?m=playerinfo&amp;p_no=10357" TargetMode="External"/><Relationship Id="rId9533" Type="http://schemas.openxmlformats.org/officeDocument/2006/relationships/hyperlink" Target="https://statiz.sporki.com/add/?m=draft_school01&amp;ps_school=50602" TargetMode="External"/><Relationship Id="rId12861" Type="http://schemas.openxmlformats.org/officeDocument/2006/relationships/hyperlink" Target="https://statiz.sporki.com/player/?m=playerinfo&amp;p_no=14653" TargetMode="External"/><Relationship Id="rId13912" Type="http://schemas.openxmlformats.org/officeDocument/2006/relationships/hyperlink" Target="https://statiz.sporki.com/player/?m=playerinfo&amp;p_no=10699" TargetMode="External"/><Relationship Id="rId18076" Type="http://schemas.openxmlformats.org/officeDocument/2006/relationships/hyperlink" Target="https://statiz.sporki.com/add/?m=draft_school01&amp;ps_school=50202" TargetMode="External"/><Relationship Id="rId19127" Type="http://schemas.openxmlformats.org/officeDocument/2006/relationships/hyperlink" Target="https://statiz.sporki.com/add/?m=draft_school01&amp;ps_school=50602" TargetMode="External"/><Relationship Id="rId2920" Type="http://schemas.openxmlformats.org/officeDocument/2006/relationships/hyperlink" Target="https://statiz.sporki.com/player/?m=playerinfo&amp;p_no=12868" TargetMode="External"/><Relationship Id="rId7084" Type="http://schemas.openxmlformats.org/officeDocument/2006/relationships/hyperlink" Target="https://statiz.sporki.com/player/?m=playerinfo&amp;p_no=2311" TargetMode="External"/><Relationship Id="rId8135" Type="http://schemas.openxmlformats.org/officeDocument/2006/relationships/hyperlink" Target="https://statiz.sporki.com/add/?m=draft_school01&amp;ps_school=50108" TargetMode="External"/><Relationship Id="rId10065" Type="http://schemas.openxmlformats.org/officeDocument/2006/relationships/hyperlink" Target="https://statiz.sporki.com/add/?m=draft_school02&amp;ps_school=60111" TargetMode="External"/><Relationship Id="rId11463" Type="http://schemas.openxmlformats.org/officeDocument/2006/relationships/hyperlink" Target="https://statiz.sporki.com/add/?m=draft_school02&amp;ps_school=60104" TargetMode="External"/><Relationship Id="rId12514" Type="http://schemas.openxmlformats.org/officeDocument/2006/relationships/hyperlink" Target="https://statiz.sporki.com/player/?m=playerinfo&amp;p_no=14862" TargetMode="External"/><Relationship Id="rId1522" Type="http://schemas.openxmlformats.org/officeDocument/2006/relationships/hyperlink" Target="https://statiz.sporki.com/player/?m=playerinfo&amp;p_no=14616" TargetMode="External"/><Relationship Id="rId11116" Type="http://schemas.openxmlformats.org/officeDocument/2006/relationships/hyperlink" Target="https://statiz.sporki.com/player/?m=playerinfo&amp;p_no=1297" TargetMode="External"/><Relationship Id="rId14686" Type="http://schemas.openxmlformats.org/officeDocument/2006/relationships/hyperlink" Target="https://statiz.sporki.com/player/?m=playerinfo&amp;p_no=10442" TargetMode="External"/><Relationship Id="rId15737" Type="http://schemas.openxmlformats.org/officeDocument/2006/relationships/hyperlink" Target="https://statiz.sporki.com/player/?m=playerinfo&amp;p_no=1528" TargetMode="External"/><Relationship Id="rId3694" Type="http://schemas.openxmlformats.org/officeDocument/2006/relationships/hyperlink" Target="https://statiz.sporki.com/player/?m=playerinfo&amp;p_no=11373" TargetMode="External"/><Relationship Id="rId4745" Type="http://schemas.openxmlformats.org/officeDocument/2006/relationships/hyperlink" Target="https://statiz.sporki.com/add/?m=draft_school01&amp;ps_school=50114" TargetMode="External"/><Relationship Id="rId13288" Type="http://schemas.openxmlformats.org/officeDocument/2006/relationships/hyperlink" Target="https://statiz.sporki.com/player/?m=playerinfo&amp;p_no=12598" TargetMode="External"/><Relationship Id="rId14339" Type="http://schemas.openxmlformats.org/officeDocument/2006/relationships/hyperlink" Target="https://statiz.sporki.com/player/?m=playerinfo&amp;p_no=10111" TargetMode="External"/><Relationship Id="rId18210" Type="http://schemas.openxmlformats.org/officeDocument/2006/relationships/hyperlink" Target="https://statiz.sporki.com/add/?m=draft_school01&amp;ps_school=50201" TargetMode="External"/><Relationship Id="rId2296" Type="http://schemas.openxmlformats.org/officeDocument/2006/relationships/hyperlink" Target="https://statiz.sporki.com/player/?m=playerinfo&amp;p_no=13102" TargetMode="External"/><Relationship Id="rId3347" Type="http://schemas.openxmlformats.org/officeDocument/2006/relationships/hyperlink" Target="https://statiz.sporki.com/add/?m=draft_school01&amp;ps_school=50108" TargetMode="External"/><Relationship Id="rId7968" Type="http://schemas.openxmlformats.org/officeDocument/2006/relationships/hyperlink" Target="https://statiz.sporki.com/add/?m=draft_school02&amp;ps_school=" TargetMode="External"/><Relationship Id="rId268" Type="http://schemas.openxmlformats.org/officeDocument/2006/relationships/hyperlink" Target="https://statiz.sporki.com/player/?m=playerinfo&amp;p_no=15525" TargetMode="External"/><Relationship Id="rId9390" Type="http://schemas.openxmlformats.org/officeDocument/2006/relationships/hyperlink" Target="https://statiz.sporki.com/add/?m=draft_school02&amp;ps_school=60103" TargetMode="External"/><Relationship Id="rId10949" Type="http://schemas.openxmlformats.org/officeDocument/2006/relationships/hyperlink" Target="https://statiz.sporki.com/add/?m=draft_school01&amp;ps_school=" TargetMode="External"/><Relationship Id="rId12371" Type="http://schemas.openxmlformats.org/officeDocument/2006/relationships/hyperlink" Target="https://statiz.sporki.com/player/?m=playerinfo&amp;p_no=15095" TargetMode="External"/><Relationship Id="rId13422" Type="http://schemas.openxmlformats.org/officeDocument/2006/relationships/hyperlink" Target="https://statiz.sporki.com/player/?m=playerinfo&amp;p_no=11415" TargetMode="External"/><Relationship Id="rId14820" Type="http://schemas.openxmlformats.org/officeDocument/2006/relationships/hyperlink" Target="https://statiz.sporki.com/player/?m=playerinfo&amp;p_no=2242" TargetMode="External"/><Relationship Id="rId2430" Type="http://schemas.openxmlformats.org/officeDocument/2006/relationships/hyperlink" Target="https://statiz.sporki.com/add/?m=draft_school02&amp;ps_school=" TargetMode="External"/><Relationship Id="rId9043" Type="http://schemas.openxmlformats.org/officeDocument/2006/relationships/hyperlink" Target="https://statiz.sporki.com/player/?m=playerinfo&amp;p_no=10498" TargetMode="External"/><Relationship Id="rId12024" Type="http://schemas.openxmlformats.org/officeDocument/2006/relationships/hyperlink" Target="https://statiz.sporki.com/add/?m=draft_school02&amp;ps_school=60103" TargetMode="External"/><Relationship Id="rId16992" Type="http://schemas.openxmlformats.org/officeDocument/2006/relationships/hyperlink" Target="https://statiz.sporki.com/add/?m=draft_school01&amp;ps_school=50606" TargetMode="External"/><Relationship Id="rId402" Type="http://schemas.openxmlformats.org/officeDocument/2006/relationships/hyperlink" Target="https://statiz.sporki.com/add/?m=draft_school02&amp;ps_school=60109" TargetMode="External"/><Relationship Id="rId1032" Type="http://schemas.openxmlformats.org/officeDocument/2006/relationships/hyperlink" Target="https://statiz.sporki.com/add/?m=draft_school02&amp;ps_school=" TargetMode="External"/><Relationship Id="rId14196" Type="http://schemas.openxmlformats.org/officeDocument/2006/relationships/hyperlink" Target="https://statiz.sporki.com/player/?m=playerinfo&amp;p_no=10115" TargetMode="External"/><Relationship Id="rId15594" Type="http://schemas.openxmlformats.org/officeDocument/2006/relationships/hyperlink" Target="https://statiz.sporki.com/player/?m=playerinfo&amp;p_no=1526" TargetMode="External"/><Relationship Id="rId16645" Type="http://schemas.openxmlformats.org/officeDocument/2006/relationships/hyperlink" Target="https://statiz.sporki.com/add/?m=draft_school01&amp;ps_school=50105" TargetMode="External"/><Relationship Id="rId4255" Type="http://schemas.openxmlformats.org/officeDocument/2006/relationships/hyperlink" Target="https://statiz.sporki.com/player/?m=playerinfo&amp;p_no=13246" TargetMode="External"/><Relationship Id="rId5306" Type="http://schemas.openxmlformats.org/officeDocument/2006/relationships/hyperlink" Target="https://statiz.sporki.com/add/?m=draft_school01&amp;ps_school=50602" TargetMode="External"/><Relationship Id="rId5653" Type="http://schemas.openxmlformats.org/officeDocument/2006/relationships/hyperlink" Target="https://statiz.sporki.com/player/?m=playerinfo&amp;p_no=10047" TargetMode="External"/><Relationship Id="rId6704" Type="http://schemas.openxmlformats.org/officeDocument/2006/relationships/hyperlink" Target="https://statiz.sporki.com/add/?m=draft_school01&amp;ps_school=50805" TargetMode="External"/><Relationship Id="rId15247" Type="http://schemas.openxmlformats.org/officeDocument/2006/relationships/hyperlink" Target="https://statiz.sporki.com/player/?m=playerinfo&amp;p_no=10616" TargetMode="External"/><Relationship Id="rId8876" Type="http://schemas.openxmlformats.org/officeDocument/2006/relationships/hyperlink" Target="https://statiz.sporki.com/add/?m=draft_school01&amp;ps_school=50110" TargetMode="External"/><Relationship Id="rId9927" Type="http://schemas.openxmlformats.org/officeDocument/2006/relationships/hyperlink" Target="https://statiz.sporki.com/add/?m=draft_school02&amp;ps_school=60204" TargetMode="External"/><Relationship Id="rId11857" Type="http://schemas.openxmlformats.org/officeDocument/2006/relationships/hyperlink" Target="https://statiz.sporki.com/player/?m=playerinfo&amp;p_no=1047" TargetMode="External"/><Relationship Id="rId12908" Type="http://schemas.openxmlformats.org/officeDocument/2006/relationships/hyperlink" Target="https://statiz.sporki.com/player/?m=playerinfo&amp;p_no=13080" TargetMode="External"/><Relationship Id="rId1916" Type="http://schemas.openxmlformats.org/officeDocument/2006/relationships/hyperlink" Target="https://statiz.sporki.com/add/?m=draft_school01&amp;ps_school=50810" TargetMode="External"/><Relationship Id="rId7478" Type="http://schemas.openxmlformats.org/officeDocument/2006/relationships/hyperlink" Target="https://statiz.sporki.com/add/?m=draft_school01&amp;ps_school=" TargetMode="External"/><Relationship Id="rId8529" Type="http://schemas.openxmlformats.org/officeDocument/2006/relationships/hyperlink" Target="https://statiz.sporki.com/add/?m=draft_school02&amp;ps_school=61115" TargetMode="External"/><Relationship Id="rId10459" Type="http://schemas.openxmlformats.org/officeDocument/2006/relationships/hyperlink" Target="https://statiz.sporki.com/player/?m=playerinfo&amp;p_no=1603" TargetMode="External"/><Relationship Id="rId14330" Type="http://schemas.openxmlformats.org/officeDocument/2006/relationships/hyperlink" Target="https://statiz.sporki.com/player/?m=playerinfo&amp;p_no=10636" TargetMode="External"/><Relationship Id="rId17553" Type="http://schemas.openxmlformats.org/officeDocument/2006/relationships/hyperlink" Target="https://statiz.sporki.com/add/?m=draft_school01&amp;ps_school=50114" TargetMode="External"/><Relationship Id="rId18951" Type="http://schemas.openxmlformats.org/officeDocument/2006/relationships/hyperlink" Target="https://statiz.sporki.com/add/?m=draft_school01&amp;ps_school=50106" TargetMode="External"/><Relationship Id="rId6561" Type="http://schemas.openxmlformats.org/officeDocument/2006/relationships/hyperlink" Target="https://statiz.sporki.com/add/?m=draft_school02&amp;ps_school=60704" TargetMode="External"/><Relationship Id="rId7612" Type="http://schemas.openxmlformats.org/officeDocument/2006/relationships/hyperlink" Target="https://statiz.sporki.com/player/?m=playerinfo&amp;p_no=11398" TargetMode="External"/><Relationship Id="rId10940" Type="http://schemas.openxmlformats.org/officeDocument/2006/relationships/hyperlink" Target="https://statiz.sporki.com/add/?m=draft_school01&amp;ps_school=50110" TargetMode="External"/><Relationship Id="rId16155" Type="http://schemas.openxmlformats.org/officeDocument/2006/relationships/hyperlink" Target="https://statiz.sporki.com/player/?m=playerinfo&amp;p_no=1051" TargetMode="External"/><Relationship Id="rId17206" Type="http://schemas.openxmlformats.org/officeDocument/2006/relationships/hyperlink" Target="https://statiz.sporki.com/add/?m=draft_school01&amp;ps_school=50602" TargetMode="External"/><Relationship Id="rId18604" Type="http://schemas.openxmlformats.org/officeDocument/2006/relationships/hyperlink" Target="https://statiz.sporki.com/add/?m=draft_school01&amp;ps_school=50701" TargetMode="External"/><Relationship Id="rId5163" Type="http://schemas.openxmlformats.org/officeDocument/2006/relationships/hyperlink" Target="https://statiz.sporki.com/add/?m=draft_school02&amp;ps_school=60702" TargetMode="External"/><Relationship Id="rId6214" Type="http://schemas.openxmlformats.org/officeDocument/2006/relationships/hyperlink" Target="https://statiz.sporki.com/player/?m=playerinfo&amp;p_no=10618" TargetMode="External"/><Relationship Id="rId9784" Type="http://schemas.openxmlformats.org/officeDocument/2006/relationships/hyperlink" Target="https://statiz.sporki.com/player/?m=playerinfo&amp;p_no=1956" TargetMode="External"/><Relationship Id="rId8386" Type="http://schemas.openxmlformats.org/officeDocument/2006/relationships/hyperlink" Target="https://statiz.sporki.com/player/?m=playerinfo&amp;p_no=2148" TargetMode="External"/><Relationship Id="rId9437" Type="http://schemas.openxmlformats.org/officeDocument/2006/relationships/hyperlink" Target="https://statiz.sporki.com/add/?m=draft_school01&amp;ps_school=50813" TargetMode="External"/><Relationship Id="rId12765" Type="http://schemas.openxmlformats.org/officeDocument/2006/relationships/hyperlink" Target="https://statiz.sporki.com/player/?m=playerinfo&amp;p_no=14113" TargetMode="External"/><Relationship Id="rId13816" Type="http://schemas.openxmlformats.org/officeDocument/2006/relationships/hyperlink" Target="https://statiz.sporki.com/player/?m=playerinfo&amp;p_no=11146" TargetMode="External"/><Relationship Id="rId19378" Type="http://schemas.openxmlformats.org/officeDocument/2006/relationships/hyperlink" Target="https://statiz.sporki.com/add/?m=draft_school01&amp;ps_school=50301" TargetMode="External"/><Relationship Id="rId1773" Type="http://schemas.openxmlformats.org/officeDocument/2006/relationships/hyperlink" Target="https://statiz.sporki.com/add/?m=draft_school02&amp;ps_school=60114" TargetMode="External"/><Relationship Id="rId2824" Type="http://schemas.openxmlformats.org/officeDocument/2006/relationships/hyperlink" Target="https://statiz.sporki.com/player/?m=playerinfo&amp;p_no=12935" TargetMode="External"/><Relationship Id="rId8039" Type="http://schemas.openxmlformats.org/officeDocument/2006/relationships/hyperlink" Target="https://statiz.sporki.com/add/?m=draft_school01&amp;ps_school=50203" TargetMode="External"/><Relationship Id="rId11367" Type="http://schemas.openxmlformats.org/officeDocument/2006/relationships/hyperlink" Target="https://statiz.sporki.com/add/?m=draft_school02&amp;ps_school=60113" TargetMode="External"/><Relationship Id="rId12418" Type="http://schemas.openxmlformats.org/officeDocument/2006/relationships/hyperlink" Target="https://statiz.sporki.com/player/?m=playerinfo&amp;p_no=15150" TargetMode="External"/><Relationship Id="rId15988" Type="http://schemas.openxmlformats.org/officeDocument/2006/relationships/hyperlink" Target="https://statiz.sporki.com/player/?m=playerinfo&amp;p_no=1208" TargetMode="External"/><Relationship Id="rId1426" Type="http://schemas.openxmlformats.org/officeDocument/2006/relationships/hyperlink" Target="https://statiz.sporki.com/player/?m=playerinfo&amp;p_no=14570" TargetMode="External"/><Relationship Id="rId4996" Type="http://schemas.openxmlformats.org/officeDocument/2006/relationships/hyperlink" Target="https://statiz.sporki.com/player/?m=playerinfo&amp;p_no=10816" TargetMode="External"/><Relationship Id="rId18461" Type="http://schemas.openxmlformats.org/officeDocument/2006/relationships/hyperlink" Target="https://statiz.sporki.com/add/?m=draft_school01&amp;ps_school=50104" TargetMode="External"/><Relationship Id="rId19512" Type="http://schemas.openxmlformats.org/officeDocument/2006/relationships/hyperlink" Target="https://statiz.sporki.com/add/?m=draft_school01&amp;ps_school=50805" TargetMode="External"/><Relationship Id="rId3598" Type="http://schemas.openxmlformats.org/officeDocument/2006/relationships/hyperlink" Target="https://statiz.sporki.com/player/?m=playerinfo&amp;p_no=12982" TargetMode="External"/><Relationship Id="rId4649" Type="http://schemas.openxmlformats.org/officeDocument/2006/relationships/hyperlink" Target="https://statiz.sporki.com/add/?m=draft_school01&amp;ps_school=50602" TargetMode="External"/><Relationship Id="rId8520" Type="http://schemas.openxmlformats.org/officeDocument/2006/relationships/hyperlink" Target="https://statiz.sporki.com/add/?m=draft_school02&amp;ps_school=" TargetMode="External"/><Relationship Id="rId10450" Type="http://schemas.openxmlformats.org/officeDocument/2006/relationships/hyperlink" Target="https://statiz.sporki.com/player/?m=playerinfo&amp;p_no=1551" TargetMode="External"/><Relationship Id="rId11501" Type="http://schemas.openxmlformats.org/officeDocument/2006/relationships/hyperlink" Target="https://statiz.sporki.com/add/?m=draft_school01&amp;ps_school=50501" TargetMode="External"/><Relationship Id="rId17063" Type="http://schemas.openxmlformats.org/officeDocument/2006/relationships/hyperlink" Target="https://statiz.sporki.com/add/?m=draft_school01&amp;ps_school=51001" TargetMode="External"/><Relationship Id="rId18114" Type="http://schemas.openxmlformats.org/officeDocument/2006/relationships/hyperlink" Target="https://statiz.sporki.com/add/?m=draft_school01&amp;ps_school=50805" TargetMode="External"/><Relationship Id="rId6071" Type="http://schemas.openxmlformats.org/officeDocument/2006/relationships/hyperlink" Target="https://statiz.sporki.com/add/?m=draft_school01&amp;ps_school=50401" TargetMode="External"/><Relationship Id="rId7122" Type="http://schemas.openxmlformats.org/officeDocument/2006/relationships/hyperlink" Target="https://statiz.sporki.com/add/?m=draft_school02&amp;ps_school=" TargetMode="External"/><Relationship Id="rId10103" Type="http://schemas.openxmlformats.org/officeDocument/2006/relationships/hyperlink" Target="https://statiz.sporki.com/add/?m=draft_school01&amp;ps_school=50110" TargetMode="External"/><Relationship Id="rId2681" Type="http://schemas.openxmlformats.org/officeDocument/2006/relationships/hyperlink" Target="https://statiz.sporki.com/add/?m=draft_school01&amp;ps_school=50107" TargetMode="External"/><Relationship Id="rId9294" Type="http://schemas.openxmlformats.org/officeDocument/2006/relationships/hyperlink" Target="https://statiz.sporki.com/add/?m=draft_school02&amp;ps_school=" TargetMode="External"/><Relationship Id="rId12275" Type="http://schemas.openxmlformats.org/officeDocument/2006/relationships/hyperlink" Target="https://statiz.sporki.com/player/?m=playerinfo&amp;p_no=15641" TargetMode="External"/><Relationship Id="rId13673" Type="http://schemas.openxmlformats.org/officeDocument/2006/relationships/hyperlink" Target="https://statiz.sporki.com/player/?m=playerinfo&amp;p_no=11095" TargetMode="External"/><Relationship Id="rId14724" Type="http://schemas.openxmlformats.org/officeDocument/2006/relationships/hyperlink" Target="https://statiz.sporki.com/player/?m=playerinfo&amp;p_no=2224" TargetMode="External"/><Relationship Id="rId653" Type="http://schemas.openxmlformats.org/officeDocument/2006/relationships/hyperlink" Target="https://statiz.sporki.com/add/?m=draft_school01&amp;ps_school=50111" TargetMode="External"/><Relationship Id="rId1283" Type="http://schemas.openxmlformats.org/officeDocument/2006/relationships/hyperlink" Target="https://statiz.sporki.com/add/?m=draft_school01&amp;ps_school=" TargetMode="External"/><Relationship Id="rId2334" Type="http://schemas.openxmlformats.org/officeDocument/2006/relationships/hyperlink" Target="https://statiz.sporki.com/add/?m=draft_school02&amp;ps_school=" TargetMode="External"/><Relationship Id="rId3732" Type="http://schemas.openxmlformats.org/officeDocument/2006/relationships/hyperlink" Target="https://statiz.sporki.com/add/?m=draft_school02&amp;ps_school=60803" TargetMode="External"/><Relationship Id="rId13326" Type="http://schemas.openxmlformats.org/officeDocument/2006/relationships/hyperlink" Target="https://statiz.sporki.com/player/?m=playerinfo&amp;p_no=14193" TargetMode="External"/><Relationship Id="rId16896" Type="http://schemas.openxmlformats.org/officeDocument/2006/relationships/hyperlink" Target="https://statiz.sporki.com/add/?m=draft_school01&amp;ps_school=50602" TargetMode="External"/><Relationship Id="rId17947" Type="http://schemas.openxmlformats.org/officeDocument/2006/relationships/hyperlink" Target="https://statiz.sporki.com/add/?m=draft_school01&amp;ps_school=50703" TargetMode="External"/><Relationship Id="rId306" Type="http://schemas.openxmlformats.org/officeDocument/2006/relationships/hyperlink" Target="https://statiz.sporki.com/add/?m=draft_school02&amp;ps_school=" TargetMode="External"/><Relationship Id="rId6955" Type="http://schemas.openxmlformats.org/officeDocument/2006/relationships/hyperlink" Target="https://statiz.sporki.com/player/?m=playerinfo&amp;p_no=10578" TargetMode="External"/><Relationship Id="rId15498" Type="http://schemas.openxmlformats.org/officeDocument/2006/relationships/hyperlink" Target="https://statiz.sporki.com/player/?m=playerinfo&amp;p_no=1619" TargetMode="External"/><Relationship Id="rId16549" Type="http://schemas.openxmlformats.org/officeDocument/2006/relationships/hyperlink" Target="https://statiz.sporki.com/add/?m=draft_school01&amp;ps_school=50805" TargetMode="External"/><Relationship Id="rId4159" Type="http://schemas.openxmlformats.org/officeDocument/2006/relationships/hyperlink" Target="https://statiz.sporki.com/player/?m=playerinfo&amp;p_no=11371" TargetMode="External"/><Relationship Id="rId5557" Type="http://schemas.openxmlformats.org/officeDocument/2006/relationships/hyperlink" Target="https://statiz.sporki.com/player/?m=playerinfo&amp;p_no=10437" TargetMode="External"/><Relationship Id="rId6608" Type="http://schemas.openxmlformats.org/officeDocument/2006/relationships/hyperlink" Target="https://statiz.sporki.com/add/?m=draft_school01&amp;ps_school=50110" TargetMode="External"/><Relationship Id="rId19022" Type="http://schemas.openxmlformats.org/officeDocument/2006/relationships/hyperlink" Target="https://statiz.sporki.com/add/?m=draft_school01&amp;ps_school=50901" TargetMode="External"/><Relationship Id="rId8030" Type="http://schemas.openxmlformats.org/officeDocument/2006/relationships/hyperlink" Target="https://statiz.sporki.com/add/?m=draft_school01&amp;ps_school=50103" TargetMode="External"/><Relationship Id="rId11011" Type="http://schemas.openxmlformats.org/officeDocument/2006/relationships/hyperlink" Target="https://statiz.sporki.com/player/?m=playerinfo&amp;p_no=1359" TargetMode="External"/><Relationship Id="rId14581" Type="http://schemas.openxmlformats.org/officeDocument/2006/relationships/hyperlink" Target="https://statiz.sporki.com/player/?m=playerinfo&amp;p_no=10351" TargetMode="External"/><Relationship Id="rId15632" Type="http://schemas.openxmlformats.org/officeDocument/2006/relationships/hyperlink" Target="https://statiz.sporki.com/player/?m=playerinfo&amp;p_no=1584" TargetMode="External"/><Relationship Id="rId4640" Type="http://schemas.openxmlformats.org/officeDocument/2006/relationships/hyperlink" Target="https://statiz.sporki.com/add/?m=draft_school01&amp;ps_school=50101" TargetMode="External"/><Relationship Id="rId13183" Type="http://schemas.openxmlformats.org/officeDocument/2006/relationships/hyperlink" Target="https://statiz.sporki.com/player/?m=playerinfo&amp;p_no=13263" TargetMode="External"/><Relationship Id="rId14234" Type="http://schemas.openxmlformats.org/officeDocument/2006/relationships/hyperlink" Target="https://statiz.sporki.com/player/?m=playerinfo&amp;p_no=11120" TargetMode="External"/><Relationship Id="rId2191" Type="http://schemas.openxmlformats.org/officeDocument/2006/relationships/hyperlink" Target="https://statiz.sporki.com/player/?m=playerinfo&amp;p_no=14228" TargetMode="External"/><Relationship Id="rId3242" Type="http://schemas.openxmlformats.org/officeDocument/2006/relationships/hyperlink" Target="https://statiz.sporki.com/add/?m=draft_school01&amp;ps_school=50101" TargetMode="External"/><Relationship Id="rId18855" Type="http://schemas.openxmlformats.org/officeDocument/2006/relationships/hyperlink" Target="https://statiz.sporki.com/add/?m=draft_school01&amp;ps_school=50805" TargetMode="External"/><Relationship Id="rId163" Type="http://schemas.openxmlformats.org/officeDocument/2006/relationships/hyperlink" Target="https://statiz.sporki.com/player/?m=playerinfo&amp;p_no=15466" TargetMode="External"/><Relationship Id="rId6465" Type="http://schemas.openxmlformats.org/officeDocument/2006/relationships/hyperlink" Target="https://statiz.sporki.com/add/?m=draft_school02&amp;ps_school=" TargetMode="External"/><Relationship Id="rId7516" Type="http://schemas.openxmlformats.org/officeDocument/2006/relationships/hyperlink" Target="https://statiz.sporki.com/player/?m=playerinfo&amp;p_no=2260" TargetMode="External"/><Relationship Id="rId7863" Type="http://schemas.openxmlformats.org/officeDocument/2006/relationships/hyperlink" Target="https://statiz.sporki.com/add/?m=draft_school02&amp;ps_school=" TargetMode="External"/><Relationship Id="rId8914" Type="http://schemas.openxmlformats.org/officeDocument/2006/relationships/hyperlink" Target="https://statiz.sporki.com/player/?m=playerinfo&amp;p_no=10291" TargetMode="External"/><Relationship Id="rId10844" Type="http://schemas.openxmlformats.org/officeDocument/2006/relationships/hyperlink" Target="https://statiz.sporki.com/add/?m=draft_school01&amp;ps_school=50403" TargetMode="External"/><Relationship Id="rId16059" Type="http://schemas.openxmlformats.org/officeDocument/2006/relationships/hyperlink" Target="https://statiz.sporki.com/player/?m=playerinfo&amp;p_no=1083" TargetMode="External"/><Relationship Id="rId17457" Type="http://schemas.openxmlformats.org/officeDocument/2006/relationships/hyperlink" Target="https://statiz.sporki.com/add/?m=draft_school01&amp;ps_school=50101" TargetMode="External"/><Relationship Id="rId18508" Type="http://schemas.openxmlformats.org/officeDocument/2006/relationships/hyperlink" Target="https://statiz.sporki.com/add/?m=draft_school01&amp;ps_school=50802" TargetMode="External"/><Relationship Id="rId5067" Type="http://schemas.openxmlformats.org/officeDocument/2006/relationships/hyperlink" Target="https://statiz.sporki.com/add/?m=draft_school02&amp;ps_school=" TargetMode="External"/><Relationship Id="rId6118" Type="http://schemas.openxmlformats.org/officeDocument/2006/relationships/hyperlink" Target="https://statiz.sporki.com/player/?m=playerinfo&amp;p_no=10466" TargetMode="External"/><Relationship Id="rId9688" Type="http://schemas.openxmlformats.org/officeDocument/2006/relationships/hyperlink" Target="https://statiz.sporki.com/player/?m=playerinfo&amp;p_no=1719" TargetMode="External"/><Relationship Id="rId12669" Type="http://schemas.openxmlformats.org/officeDocument/2006/relationships/hyperlink" Target="https://statiz.sporki.com/player/?m=playerinfo&amp;p_no=14666" TargetMode="External"/><Relationship Id="rId16540" Type="http://schemas.openxmlformats.org/officeDocument/2006/relationships/hyperlink" Target="https://statiz.sporki.com/add/?m=draft_school01&amp;ps_school=50801" TargetMode="External"/><Relationship Id="rId1677" Type="http://schemas.openxmlformats.org/officeDocument/2006/relationships/hyperlink" Target="https://statiz.sporki.com/add/?m=draft_school02&amp;ps_school=" TargetMode="External"/><Relationship Id="rId2728" Type="http://schemas.openxmlformats.org/officeDocument/2006/relationships/hyperlink" Target="https://statiz.sporki.com/player/?m=playerinfo&amp;p_no=13258" TargetMode="External"/><Relationship Id="rId14091" Type="http://schemas.openxmlformats.org/officeDocument/2006/relationships/hyperlink" Target="https://statiz.sporki.com/player/?m=playerinfo&amp;p_no=10051" TargetMode="External"/><Relationship Id="rId15142" Type="http://schemas.openxmlformats.org/officeDocument/2006/relationships/hyperlink" Target="https://statiz.sporki.com/player/?m=playerinfo&amp;p_no=1947" TargetMode="External"/><Relationship Id="rId4150" Type="http://schemas.openxmlformats.org/officeDocument/2006/relationships/hyperlink" Target="https://statiz.sporki.com/player/?m=playerinfo&amp;p_no=11312" TargetMode="External"/><Relationship Id="rId5201" Type="http://schemas.openxmlformats.org/officeDocument/2006/relationships/hyperlink" Target="https://statiz.sporki.com/add/?m=draft_school01&amp;ps_school=50604" TargetMode="External"/><Relationship Id="rId8771" Type="http://schemas.openxmlformats.org/officeDocument/2006/relationships/hyperlink" Target="https://statiz.sporki.com/add/?m=draft_school01&amp;ps_school=50501" TargetMode="External"/><Relationship Id="rId9822" Type="http://schemas.openxmlformats.org/officeDocument/2006/relationships/hyperlink" Target="https://statiz.sporki.com/add/?m=draft_school02&amp;ps_school=60803" TargetMode="External"/><Relationship Id="rId18365" Type="http://schemas.openxmlformats.org/officeDocument/2006/relationships/hyperlink" Target="https://statiz.sporki.com/add/?m=draft_school01&amp;ps_school=50602" TargetMode="External"/><Relationship Id="rId19416" Type="http://schemas.openxmlformats.org/officeDocument/2006/relationships/hyperlink" Target="https://statiz.sporki.com/add/?m=draft_school01&amp;ps_school=50125" TargetMode="External"/><Relationship Id="rId36" Type="http://schemas.openxmlformats.org/officeDocument/2006/relationships/hyperlink" Target="https://statiz.sporki.com/add/?m=draft_school02&amp;ps_school=" TargetMode="External"/><Relationship Id="rId7373" Type="http://schemas.openxmlformats.org/officeDocument/2006/relationships/hyperlink" Target="https://statiz.sporki.com/add/?m=draft_school01&amp;ps_school=50101" TargetMode="External"/><Relationship Id="rId8424" Type="http://schemas.openxmlformats.org/officeDocument/2006/relationships/hyperlink" Target="https://statiz.sporki.com/add/?m=draft_school02&amp;ps_school=60103" TargetMode="External"/><Relationship Id="rId10354" Type="http://schemas.openxmlformats.org/officeDocument/2006/relationships/hyperlink" Target="https://statiz.sporki.com/player/?m=playerinfo&amp;p_no=1624" TargetMode="External"/><Relationship Id="rId11752" Type="http://schemas.openxmlformats.org/officeDocument/2006/relationships/hyperlink" Target="https://statiz.sporki.com/player/?m=playerinfo&amp;p_no=1083" TargetMode="External"/><Relationship Id="rId12803" Type="http://schemas.openxmlformats.org/officeDocument/2006/relationships/hyperlink" Target="https://statiz.sporki.com/player/?m=playerinfo&amp;p_no=14174" TargetMode="External"/><Relationship Id="rId18018" Type="http://schemas.openxmlformats.org/officeDocument/2006/relationships/hyperlink" Target="https://statiz.sporki.com/add/?m=draft_school01&amp;ps_school=50602" TargetMode="External"/><Relationship Id="rId1811" Type="http://schemas.openxmlformats.org/officeDocument/2006/relationships/hyperlink" Target="https://statiz.sporki.com/add/?m=draft_school01&amp;ps_school=50605" TargetMode="External"/><Relationship Id="rId7026" Type="http://schemas.openxmlformats.org/officeDocument/2006/relationships/hyperlink" Target="https://statiz.sporki.com/add/?m=draft_school02&amp;ps_school=" TargetMode="External"/><Relationship Id="rId10007" Type="http://schemas.openxmlformats.org/officeDocument/2006/relationships/hyperlink" Target="https://statiz.sporki.com/add/?m=draft_school01&amp;ps_school=50501" TargetMode="External"/><Relationship Id="rId11405" Type="http://schemas.openxmlformats.org/officeDocument/2006/relationships/hyperlink" Target="https://statiz.sporki.com/add/?m=draft_school01&amp;ps_school=" TargetMode="External"/><Relationship Id="rId14975" Type="http://schemas.openxmlformats.org/officeDocument/2006/relationships/hyperlink" Target="https://statiz.sporki.com/player/?m=playerinfo&amp;p_no=10430" TargetMode="External"/><Relationship Id="rId3983" Type="http://schemas.openxmlformats.org/officeDocument/2006/relationships/hyperlink" Target="https://statiz.sporki.com/add/?m=draft_school01&amp;ps_school=50209" TargetMode="External"/><Relationship Id="rId9198" Type="http://schemas.openxmlformats.org/officeDocument/2006/relationships/hyperlink" Target="https://statiz.sporki.com/add/?m=draft_school02&amp;ps_school=60703" TargetMode="External"/><Relationship Id="rId13577" Type="http://schemas.openxmlformats.org/officeDocument/2006/relationships/hyperlink" Target="https://statiz.sporki.com/player/?m=playerinfo&amp;p_no=11292" TargetMode="External"/><Relationship Id="rId14628" Type="http://schemas.openxmlformats.org/officeDocument/2006/relationships/hyperlink" Target="https://statiz.sporki.com/player/?m=playerinfo&amp;p_no=10240" TargetMode="External"/><Relationship Id="rId1187" Type="http://schemas.openxmlformats.org/officeDocument/2006/relationships/hyperlink" Target="https://statiz.sporki.com/add/?m=draft_school01&amp;ps_school=50219" TargetMode="External"/><Relationship Id="rId2585" Type="http://schemas.openxmlformats.org/officeDocument/2006/relationships/hyperlink" Target="https://statiz.sporki.com/add/?m=draft_school01&amp;ps_school=50402" TargetMode="External"/><Relationship Id="rId3636" Type="http://schemas.openxmlformats.org/officeDocument/2006/relationships/hyperlink" Target="https://statiz.sporki.com/add/?m=draft_school02&amp;ps_school=" TargetMode="External"/><Relationship Id="rId12179" Type="http://schemas.openxmlformats.org/officeDocument/2006/relationships/hyperlink" Target="https://statiz.sporki.com/player/?m=playerinfo&amp;p_no=15500" TargetMode="External"/><Relationship Id="rId16050" Type="http://schemas.openxmlformats.org/officeDocument/2006/relationships/hyperlink" Target="https://statiz.sporki.com/player/?m=playerinfo&amp;p_no=1027" TargetMode="External"/><Relationship Id="rId17101" Type="http://schemas.openxmlformats.org/officeDocument/2006/relationships/hyperlink" Target="https://statiz.sporki.com/add/?m=draft_school01&amp;ps_school=50114" TargetMode="External"/><Relationship Id="rId557" Type="http://schemas.openxmlformats.org/officeDocument/2006/relationships/hyperlink" Target="https://statiz.sporki.com/add/?m=draft_school01&amp;ps_school=51001" TargetMode="External"/><Relationship Id="rId2238" Type="http://schemas.openxmlformats.org/officeDocument/2006/relationships/hyperlink" Target="https://statiz.sporki.com/add/?m=draft_school02&amp;ps_school=61118" TargetMode="External"/><Relationship Id="rId6859" Type="http://schemas.openxmlformats.org/officeDocument/2006/relationships/hyperlink" Target="https://statiz.sporki.com/player/?m=playerinfo&amp;p_no=2370" TargetMode="External"/><Relationship Id="rId12660" Type="http://schemas.openxmlformats.org/officeDocument/2006/relationships/hyperlink" Target="https://statiz.sporki.com/player/?m=playerinfo&amp;p_no=14693" TargetMode="External"/><Relationship Id="rId13711" Type="http://schemas.openxmlformats.org/officeDocument/2006/relationships/hyperlink" Target="https://statiz.sporki.com/player/?m=playerinfo&amp;p_no=11186" TargetMode="External"/><Relationship Id="rId19273" Type="http://schemas.openxmlformats.org/officeDocument/2006/relationships/hyperlink" Target="https://statiz.sporki.com/add/?m=draft_school01&amp;ps_school=50114" TargetMode="External"/><Relationship Id="rId8281" Type="http://schemas.openxmlformats.org/officeDocument/2006/relationships/hyperlink" Target="https://statiz.sporki.com/player/?m=playerinfo&amp;p_no=2093" TargetMode="External"/><Relationship Id="rId9332" Type="http://schemas.openxmlformats.org/officeDocument/2006/relationships/hyperlink" Target="https://statiz.sporki.com/add/?m=draft_school01&amp;ps_school=50116" TargetMode="External"/><Relationship Id="rId11262" Type="http://schemas.openxmlformats.org/officeDocument/2006/relationships/hyperlink" Target="https://statiz.sporki.com/add/?m=draft_school02&amp;ps_school=60113" TargetMode="External"/><Relationship Id="rId12313" Type="http://schemas.openxmlformats.org/officeDocument/2006/relationships/hyperlink" Target="https://statiz.sporki.com/player/?m=playerinfo&amp;p_no=15111" TargetMode="External"/><Relationship Id="rId1321" Type="http://schemas.openxmlformats.org/officeDocument/2006/relationships/hyperlink" Target="https://statiz.sporki.com/player/?m=playerinfo&amp;p_no=14898" TargetMode="External"/><Relationship Id="rId4891" Type="http://schemas.openxmlformats.org/officeDocument/2006/relationships/hyperlink" Target="https://statiz.sporki.com/player/?m=playerinfo&amp;p_no=11357" TargetMode="External"/><Relationship Id="rId14485" Type="http://schemas.openxmlformats.org/officeDocument/2006/relationships/hyperlink" Target="https://statiz.sporki.com/player/?m=playerinfo&amp;p_no=11166" TargetMode="External"/><Relationship Id="rId15883" Type="http://schemas.openxmlformats.org/officeDocument/2006/relationships/hyperlink" Target="https://statiz.sporki.com/player/?m=playerinfo&amp;p_no=1279" TargetMode="External"/><Relationship Id="rId16934" Type="http://schemas.openxmlformats.org/officeDocument/2006/relationships/hyperlink" Target="https://statiz.sporki.com/add/?m=draft_school01&amp;ps_school=50501" TargetMode="External"/><Relationship Id="rId3493" Type="http://schemas.openxmlformats.org/officeDocument/2006/relationships/hyperlink" Target="https://statiz.sporki.com/player/?m=playerinfo&amp;p_no=12682" TargetMode="External"/><Relationship Id="rId4544" Type="http://schemas.openxmlformats.org/officeDocument/2006/relationships/hyperlink" Target="https://statiz.sporki.com/add/?m=draft_school01&amp;ps_school=50705" TargetMode="External"/><Relationship Id="rId5942" Type="http://schemas.openxmlformats.org/officeDocument/2006/relationships/hyperlink" Target="https://statiz.sporki.com/add/?m=draft_school01&amp;ps_school=" TargetMode="External"/><Relationship Id="rId13087" Type="http://schemas.openxmlformats.org/officeDocument/2006/relationships/hyperlink" Target="https://statiz.sporki.com/player/?m=playerinfo&amp;p_no=12909" TargetMode="External"/><Relationship Id="rId14138" Type="http://schemas.openxmlformats.org/officeDocument/2006/relationships/hyperlink" Target="https://statiz.sporki.com/player/?m=playerinfo&amp;p_no=10473" TargetMode="External"/><Relationship Id="rId15536" Type="http://schemas.openxmlformats.org/officeDocument/2006/relationships/hyperlink" Target="https://statiz.sporki.com/player/?m=playerinfo&amp;p_no=1600" TargetMode="External"/><Relationship Id="rId2095" Type="http://schemas.openxmlformats.org/officeDocument/2006/relationships/hyperlink" Target="https://statiz.sporki.com/player/?m=playerinfo&amp;p_no=14153" TargetMode="External"/><Relationship Id="rId3146" Type="http://schemas.openxmlformats.org/officeDocument/2006/relationships/hyperlink" Target="https://statiz.sporki.com/add/?m=draft_school01&amp;ps_school=50102" TargetMode="External"/><Relationship Id="rId18759" Type="http://schemas.openxmlformats.org/officeDocument/2006/relationships/hyperlink" Target="https://statiz.sporki.com/add/?m=draft_school01&amp;ps_school=50401" TargetMode="External"/><Relationship Id="rId6369" Type="http://schemas.openxmlformats.org/officeDocument/2006/relationships/hyperlink" Target="https://statiz.sporki.com/add/?m=draft_school02&amp;ps_school=" TargetMode="External"/><Relationship Id="rId7767" Type="http://schemas.openxmlformats.org/officeDocument/2006/relationships/hyperlink" Target="https://statiz.sporki.com/add/?m=draft_school02&amp;ps_school=" TargetMode="External"/><Relationship Id="rId8818" Type="http://schemas.openxmlformats.org/officeDocument/2006/relationships/hyperlink" Target="https://statiz.sporki.com/player/?m=playerinfo&amp;p_no=1915" TargetMode="External"/><Relationship Id="rId10748" Type="http://schemas.openxmlformats.org/officeDocument/2006/relationships/hyperlink" Target="https://statiz.sporki.com/add/?m=draft_school01&amp;ps_school=50301" TargetMode="External"/><Relationship Id="rId12170" Type="http://schemas.openxmlformats.org/officeDocument/2006/relationships/hyperlink" Target="https://statiz.sporki.com/player/?m=playerinfo&amp;p_no=15510" TargetMode="External"/><Relationship Id="rId13221" Type="http://schemas.openxmlformats.org/officeDocument/2006/relationships/hyperlink" Target="https://statiz.sporki.com/player/?m=playerinfo&amp;p_no=12536" TargetMode="External"/><Relationship Id="rId16791" Type="http://schemas.openxmlformats.org/officeDocument/2006/relationships/hyperlink" Target="https://statiz.sporki.com/add/?m=draft_school01&amp;ps_school=50703" TargetMode="External"/><Relationship Id="rId17842" Type="http://schemas.openxmlformats.org/officeDocument/2006/relationships/hyperlink" Target="https://statiz.sporki.com/add/?m=draft_school01&amp;ps_school=50602" TargetMode="External"/><Relationship Id="rId2979" Type="http://schemas.openxmlformats.org/officeDocument/2006/relationships/hyperlink" Target="https://statiz.sporki.com/add/?m=draft_school02&amp;ps_school=" TargetMode="External"/><Relationship Id="rId6850" Type="http://schemas.openxmlformats.org/officeDocument/2006/relationships/hyperlink" Target="https://statiz.sporki.com/player/?m=playerinfo&amp;p_no=2362" TargetMode="External"/><Relationship Id="rId7901" Type="http://schemas.openxmlformats.org/officeDocument/2006/relationships/hyperlink" Target="https://statiz.sporki.com/add/?m=draft_school01&amp;ps_school=50501" TargetMode="External"/><Relationship Id="rId15393" Type="http://schemas.openxmlformats.org/officeDocument/2006/relationships/hyperlink" Target="https://statiz.sporki.com/player/?m=playerinfo&amp;p_no=1826" TargetMode="External"/><Relationship Id="rId16444" Type="http://schemas.openxmlformats.org/officeDocument/2006/relationships/hyperlink" Target="https://statiz.sporki.com/add/?m=draft_school01&amp;ps_school=50103" TargetMode="External"/><Relationship Id="rId201" Type="http://schemas.openxmlformats.org/officeDocument/2006/relationships/hyperlink" Target="https://statiz.sporki.com/add/?m=draft_school02&amp;ps_school=" TargetMode="External"/><Relationship Id="rId5452" Type="http://schemas.openxmlformats.org/officeDocument/2006/relationships/hyperlink" Target="https://statiz.sporki.com/player/?m=playerinfo&amp;p_no=10883" TargetMode="External"/><Relationship Id="rId6503" Type="http://schemas.openxmlformats.org/officeDocument/2006/relationships/hyperlink" Target="https://statiz.sporki.com/add/?m=draft_school01&amp;ps_school=50702" TargetMode="External"/><Relationship Id="rId15046" Type="http://schemas.openxmlformats.org/officeDocument/2006/relationships/hyperlink" Target="https://statiz.sporki.com/player/?m=playerinfo&amp;p_no=2000" TargetMode="External"/><Relationship Id="rId4054" Type="http://schemas.openxmlformats.org/officeDocument/2006/relationships/hyperlink" Target="https://statiz.sporki.com/player/?m=playerinfo&amp;p_no=11330" TargetMode="External"/><Relationship Id="rId5105" Type="http://schemas.openxmlformats.org/officeDocument/2006/relationships/hyperlink" Target="https://statiz.sporki.com/add/?m=draft_school01&amp;ps_school=50605" TargetMode="External"/><Relationship Id="rId8675" Type="http://schemas.openxmlformats.org/officeDocument/2006/relationships/hyperlink" Target="https://statiz.sporki.com/add/?m=draft_school01&amp;ps_school=50805" TargetMode="External"/><Relationship Id="rId9726" Type="http://schemas.openxmlformats.org/officeDocument/2006/relationships/hyperlink" Target="https://statiz.sporki.com/add/?m=draft_school02&amp;ps_school=60113" TargetMode="External"/><Relationship Id="rId18269" Type="http://schemas.openxmlformats.org/officeDocument/2006/relationships/hyperlink" Target="https://statiz.sporki.com/add/?m=draft_school01&amp;ps_school=50706" TargetMode="External"/><Relationship Id="rId19667" Type="http://schemas.openxmlformats.org/officeDocument/2006/relationships/hyperlink" Target="https://statiz.sporki.com/add/?m=draft_school01&amp;ps_school=50109" TargetMode="External"/><Relationship Id="rId7277" Type="http://schemas.openxmlformats.org/officeDocument/2006/relationships/hyperlink" Target="https://statiz.sporki.com/add/?m=draft_school01&amp;ps_school=" TargetMode="External"/><Relationship Id="rId8328" Type="http://schemas.openxmlformats.org/officeDocument/2006/relationships/hyperlink" Target="https://statiz.sporki.com/add/?m=draft_school02&amp;ps_school=" TargetMode="External"/><Relationship Id="rId11656" Type="http://schemas.openxmlformats.org/officeDocument/2006/relationships/hyperlink" Target="https://statiz.sporki.com/player/?m=playerinfo&amp;p_no=1186" TargetMode="External"/><Relationship Id="rId12707" Type="http://schemas.openxmlformats.org/officeDocument/2006/relationships/hyperlink" Target="https://statiz.sporki.com/player/?m=playerinfo&amp;p_no=14571" TargetMode="External"/><Relationship Id="rId1715" Type="http://schemas.openxmlformats.org/officeDocument/2006/relationships/hyperlink" Target="https://statiz.sporki.com/add/?m=draft_school01&amp;ps_school=51113" TargetMode="External"/><Relationship Id="rId10258" Type="http://schemas.openxmlformats.org/officeDocument/2006/relationships/hyperlink" Target="https://statiz.sporki.com/player/?m=playerinfo&amp;p_no=1626" TargetMode="External"/><Relationship Id="rId11309" Type="http://schemas.openxmlformats.org/officeDocument/2006/relationships/hyperlink" Target="https://statiz.sporki.com/add/?m=draft_school01&amp;ps_school=50403" TargetMode="External"/><Relationship Id="rId14879" Type="http://schemas.openxmlformats.org/officeDocument/2006/relationships/hyperlink" Target="https://statiz.sporki.com/player/?m=playerinfo&amp;p_no=2112" TargetMode="External"/><Relationship Id="rId18750" Type="http://schemas.openxmlformats.org/officeDocument/2006/relationships/hyperlink" Target="https://statiz.sporki.com/add/?m=draft_school01&amp;ps_school=50114" TargetMode="External"/><Relationship Id="rId3887" Type="http://schemas.openxmlformats.org/officeDocument/2006/relationships/hyperlink" Target="https://statiz.sporki.com/add/?m=draft_school01&amp;ps_school=50302" TargetMode="External"/><Relationship Id="rId4938" Type="http://schemas.openxmlformats.org/officeDocument/2006/relationships/hyperlink" Target="https://statiz.sporki.com/add/?m=draft_school02&amp;ps_school=60103" TargetMode="External"/><Relationship Id="rId17352" Type="http://schemas.openxmlformats.org/officeDocument/2006/relationships/hyperlink" Target="https://statiz.sporki.com/add/?m=draft_school01&amp;ps_school=50103" TargetMode="External"/><Relationship Id="rId18403" Type="http://schemas.openxmlformats.org/officeDocument/2006/relationships/hyperlink" Target="https://statiz.sporki.com/add/?m=draft_school01&amp;ps_school=50209" TargetMode="External"/><Relationship Id="rId2489" Type="http://schemas.openxmlformats.org/officeDocument/2006/relationships/hyperlink" Target="https://statiz.sporki.com/add/?m=draft_school01&amp;ps_school=50111" TargetMode="External"/><Relationship Id="rId6360" Type="http://schemas.openxmlformats.org/officeDocument/2006/relationships/hyperlink" Target="https://statiz.sporki.com/add/?m=draft_school02&amp;ps_school=" TargetMode="External"/><Relationship Id="rId7411" Type="http://schemas.openxmlformats.org/officeDocument/2006/relationships/hyperlink" Target="https://statiz.sporki.com/player/?m=playerinfo&amp;p_no=10364" TargetMode="External"/><Relationship Id="rId17005" Type="http://schemas.openxmlformats.org/officeDocument/2006/relationships/hyperlink" Target="https://statiz.sporki.com/add/?m=draft_school01&amp;ps_school=50605" TargetMode="External"/><Relationship Id="rId2970" Type="http://schemas.openxmlformats.org/officeDocument/2006/relationships/hyperlink" Target="https://statiz.sporki.com/add/?m=draft_school02&amp;ps_school=" TargetMode="External"/><Relationship Id="rId6013" Type="http://schemas.openxmlformats.org/officeDocument/2006/relationships/hyperlink" Target="https://statiz.sporki.com/player/?m=playerinfo&amp;p_no=11327" TargetMode="External"/><Relationship Id="rId9583" Type="http://schemas.openxmlformats.org/officeDocument/2006/relationships/hyperlink" Target="https://statiz.sporki.com/player/?m=playerinfo&amp;p_no=1763" TargetMode="External"/><Relationship Id="rId12564" Type="http://schemas.openxmlformats.org/officeDocument/2006/relationships/hyperlink" Target="https://statiz.sporki.com/player/?m=playerinfo&amp;p_no=14860" TargetMode="External"/><Relationship Id="rId13962" Type="http://schemas.openxmlformats.org/officeDocument/2006/relationships/hyperlink" Target="https://statiz.sporki.com/player/?m=playerinfo&amp;p_no=10877" TargetMode="External"/><Relationship Id="rId19177" Type="http://schemas.openxmlformats.org/officeDocument/2006/relationships/hyperlink" Target="https://statiz.sporki.com/add/?m=draft_school01&amp;ps_school=50703" TargetMode="External"/><Relationship Id="rId942" Type="http://schemas.openxmlformats.org/officeDocument/2006/relationships/hyperlink" Target="https://statiz.sporki.com/add/?m=draft_school02&amp;ps_school=" TargetMode="External"/><Relationship Id="rId1572" Type="http://schemas.openxmlformats.org/officeDocument/2006/relationships/hyperlink" Target="https://statiz.sporki.com/add/?m=draft_school02&amp;ps_school=" TargetMode="External"/><Relationship Id="rId2623" Type="http://schemas.openxmlformats.org/officeDocument/2006/relationships/hyperlink" Target="https://statiz.sporki.com/player/?m=playerinfo&amp;p_no=13066" TargetMode="External"/><Relationship Id="rId8185" Type="http://schemas.openxmlformats.org/officeDocument/2006/relationships/hyperlink" Target="https://statiz.sporki.com/player/?m=playerinfo&amp;p_no=2167" TargetMode="External"/><Relationship Id="rId9236" Type="http://schemas.openxmlformats.org/officeDocument/2006/relationships/hyperlink" Target="https://statiz.sporki.com/add/?m=draft_school01&amp;ps_school=50110" TargetMode="External"/><Relationship Id="rId11166" Type="http://schemas.openxmlformats.org/officeDocument/2006/relationships/hyperlink" Target="https://statiz.sporki.com/add/?m=draft_school02&amp;ps_school=60501" TargetMode="External"/><Relationship Id="rId12217" Type="http://schemas.openxmlformats.org/officeDocument/2006/relationships/hyperlink" Target="https://statiz.sporki.com/player/?m=playerinfo&amp;p_no=15480" TargetMode="External"/><Relationship Id="rId13615" Type="http://schemas.openxmlformats.org/officeDocument/2006/relationships/hyperlink" Target="https://statiz.sporki.com/player/?m=playerinfo&amp;p_no=11397" TargetMode="External"/><Relationship Id="rId1225" Type="http://schemas.openxmlformats.org/officeDocument/2006/relationships/hyperlink" Target="https://statiz.sporki.com/player/?m=playerinfo&amp;p_no=14822" TargetMode="External"/><Relationship Id="rId15787" Type="http://schemas.openxmlformats.org/officeDocument/2006/relationships/hyperlink" Target="https://statiz.sporki.com/player/?m=playerinfo&amp;p_no=1431" TargetMode="External"/><Relationship Id="rId16838" Type="http://schemas.openxmlformats.org/officeDocument/2006/relationships/hyperlink" Target="https://statiz.sporki.com/add/?m=draft_school01&amp;ps_school=50501" TargetMode="External"/><Relationship Id="rId3397" Type="http://schemas.openxmlformats.org/officeDocument/2006/relationships/hyperlink" Target="https://statiz.sporki.com/player/?m=playerinfo&amp;p_no=12624" TargetMode="External"/><Relationship Id="rId4795" Type="http://schemas.openxmlformats.org/officeDocument/2006/relationships/hyperlink" Target="https://statiz.sporki.com/player/?m=playerinfo&amp;p_no=10892" TargetMode="External"/><Relationship Id="rId5846" Type="http://schemas.openxmlformats.org/officeDocument/2006/relationships/hyperlink" Target="https://statiz.sporki.com/add/?m=draft_school01&amp;ps_school=50402" TargetMode="External"/><Relationship Id="rId14389" Type="http://schemas.openxmlformats.org/officeDocument/2006/relationships/hyperlink" Target="https://statiz.sporki.com/player/?m=playerinfo&amp;p_no=2361" TargetMode="External"/><Relationship Id="rId18260" Type="http://schemas.openxmlformats.org/officeDocument/2006/relationships/hyperlink" Target="https://statiz.sporki.com/add/?m=draft_school01&amp;ps_school=50606" TargetMode="External"/><Relationship Id="rId19311" Type="http://schemas.openxmlformats.org/officeDocument/2006/relationships/hyperlink" Target="https://statiz.sporki.com/add/?m=draft_school01&amp;ps_school=51100" TargetMode="External"/><Relationship Id="rId4448" Type="http://schemas.openxmlformats.org/officeDocument/2006/relationships/hyperlink" Target="https://statiz.sporki.com/add/?m=draft_school01&amp;ps_school=50403" TargetMode="External"/><Relationship Id="rId10999" Type="http://schemas.openxmlformats.org/officeDocument/2006/relationships/hyperlink" Target="https://statiz.sporki.com/player/?m=playerinfo&amp;p_no=1818" TargetMode="External"/><Relationship Id="rId11300" Type="http://schemas.openxmlformats.org/officeDocument/2006/relationships/hyperlink" Target="https://statiz.sporki.com/add/?m=draft_school01&amp;ps_school=50807" TargetMode="External"/><Relationship Id="rId14870" Type="http://schemas.openxmlformats.org/officeDocument/2006/relationships/hyperlink" Target="https://statiz.sporki.com/player/?m=playerinfo&amp;p_no=2167" TargetMode="External"/><Relationship Id="rId15921" Type="http://schemas.openxmlformats.org/officeDocument/2006/relationships/hyperlink" Target="https://statiz.sporki.com/player/?m=playerinfo&amp;p_no=1294" TargetMode="External"/><Relationship Id="rId13472" Type="http://schemas.openxmlformats.org/officeDocument/2006/relationships/hyperlink" Target="https://statiz.sporki.com/player/?m=playerinfo&amp;p_no=14203" TargetMode="External"/><Relationship Id="rId14523" Type="http://schemas.openxmlformats.org/officeDocument/2006/relationships/hyperlink" Target="https://statiz.sporki.com/player/?m=playerinfo&amp;p_no=10278" TargetMode="External"/><Relationship Id="rId2480" Type="http://schemas.openxmlformats.org/officeDocument/2006/relationships/hyperlink" Target="https://statiz.sporki.com/add/?m=draft_school01&amp;ps_school=50809" TargetMode="External"/><Relationship Id="rId3531" Type="http://schemas.openxmlformats.org/officeDocument/2006/relationships/hyperlink" Target="https://statiz.sporki.com/add/?m=draft_school02&amp;ps_school=" TargetMode="External"/><Relationship Id="rId9093" Type="http://schemas.openxmlformats.org/officeDocument/2006/relationships/hyperlink" Target="https://statiz.sporki.com/add/?m=draft_school02&amp;ps_school=60103" TargetMode="External"/><Relationship Id="rId12074" Type="http://schemas.openxmlformats.org/officeDocument/2006/relationships/hyperlink" Target="https://statiz.sporki.com/add/?m=draft_school01&amp;ps_school=50701" TargetMode="External"/><Relationship Id="rId13125" Type="http://schemas.openxmlformats.org/officeDocument/2006/relationships/hyperlink" Target="https://statiz.sporki.com/player/?m=playerinfo&amp;p_no=12869" TargetMode="External"/><Relationship Id="rId16695" Type="http://schemas.openxmlformats.org/officeDocument/2006/relationships/hyperlink" Target="https://statiz.sporki.com/add/?m=draft_school01&amp;ps_school=50807" TargetMode="External"/><Relationship Id="rId452" Type="http://schemas.openxmlformats.org/officeDocument/2006/relationships/hyperlink" Target="https://statiz.sporki.com/add/?m=draft_school01&amp;ps_school=50602" TargetMode="External"/><Relationship Id="rId1082" Type="http://schemas.openxmlformats.org/officeDocument/2006/relationships/hyperlink" Target="https://statiz.sporki.com/add/?m=draft_school01&amp;ps_school=50901" TargetMode="External"/><Relationship Id="rId2133" Type="http://schemas.openxmlformats.org/officeDocument/2006/relationships/hyperlink" Target="https://statiz.sporki.com/add/?m=draft_school02&amp;ps_school=" TargetMode="External"/><Relationship Id="rId6754" Type="http://schemas.openxmlformats.org/officeDocument/2006/relationships/hyperlink" Target="https://statiz.sporki.com/player/?m=playerinfo&amp;p_no=10303" TargetMode="External"/><Relationship Id="rId7805" Type="http://schemas.openxmlformats.org/officeDocument/2006/relationships/hyperlink" Target="https://statiz.sporki.com/add/?m=draft_school01&amp;ps_school=50501" TargetMode="External"/><Relationship Id="rId15297" Type="http://schemas.openxmlformats.org/officeDocument/2006/relationships/hyperlink" Target="https://statiz.sporki.com/player/?m=playerinfo&amp;p_no=1821" TargetMode="External"/><Relationship Id="rId16348" Type="http://schemas.openxmlformats.org/officeDocument/2006/relationships/hyperlink" Target="https://statiz.sporki.com/add/?m=draft_school01&amp;ps_school=50802" TargetMode="External"/><Relationship Id="rId17746" Type="http://schemas.openxmlformats.org/officeDocument/2006/relationships/hyperlink" Target="https://statiz.sporki.com/add/?m=draft_school01&amp;ps_school=50301" TargetMode="External"/><Relationship Id="rId105" Type="http://schemas.openxmlformats.org/officeDocument/2006/relationships/hyperlink" Target="https://statiz.sporki.com/add/?m=draft_school02&amp;ps_school=" TargetMode="External"/><Relationship Id="rId5356" Type="http://schemas.openxmlformats.org/officeDocument/2006/relationships/hyperlink" Target="https://statiz.sporki.com/player/?m=playerinfo&amp;p_no=10839" TargetMode="External"/><Relationship Id="rId6407" Type="http://schemas.openxmlformats.org/officeDocument/2006/relationships/hyperlink" Target="https://statiz.sporki.com/add/?m=draft_school01&amp;ps_school=50104" TargetMode="External"/><Relationship Id="rId5009" Type="http://schemas.openxmlformats.org/officeDocument/2006/relationships/hyperlink" Target="https://statiz.sporki.com/add/?m=draft_school01&amp;ps_school=50605" TargetMode="External"/><Relationship Id="rId8579" Type="http://schemas.openxmlformats.org/officeDocument/2006/relationships/hyperlink" Target="https://statiz.sporki.com/add/?m=draft_school01&amp;ps_school=50804" TargetMode="External"/><Relationship Id="rId9977" Type="http://schemas.openxmlformats.org/officeDocument/2006/relationships/hyperlink" Target="https://statiz.sporki.com/add/?m=draft_school01&amp;ps_school=50604" TargetMode="External"/><Relationship Id="rId12958" Type="http://schemas.openxmlformats.org/officeDocument/2006/relationships/hyperlink" Target="https://statiz.sporki.com/player/?m=playerinfo&amp;p_no=13085" TargetMode="External"/><Relationship Id="rId1966" Type="http://schemas.openxmlformats.org/officeDocument/2006/relationships/hyperlink" Target="https://statiz.sporki.com/player/?m=playerinfo&amp;p_no=14180" TargetMode="External"/><Relationship Id="rId14380" Type="http://schemas.openxmlformats.org/officeDocument/2006/relationships/hyperlink" Target="https://statiz.sporki.com/player/?m=playerinfo&amp;p_no=10207" TargetMode="External"/><Relationship Id="rId15431" Type="http://schemas.openxmlformats.org/officeDocument/2006/relationships/hyperlink" Target="https://statiz.sporki.com/player/?m=playerinfo&amp;p_no=1681" TargetMode="External"/><Relationship Id="rId1619" Type="http://schemas.openxmlformats.org/officeDocument/2006/relationships/hyperlink" Target="https://statiz.sporki.com/add/?m=draft_school01&amp;ps_school=50208" TargetMode="External"/><Relationship Id="rId14033" Type="http://schemas.openxmlformats.org/officeDocument/2006/relationships/hyperlink" Target="https://statiz.sporki.com/player/?m=playerinfo&amp;p_no=10231" TargetMode="External"/><Relationship Id="rId18654" Type="http://schemas.openxmlformats.org/officeDocument/2006/relationships/hyperlink" Target="https://statiz.sporki.com/add/?m=draft_school01&amp;ps_school=50106" TargetMode="External"/><Relationship Id="rId3041" Type="http://schemas.openxmlformats.org/officeDocument/2006/relationships/hyperlink" Target="https://statiz.sporki.com/add/?m=draft_school01&amp;ps_school=50703" TargetMode="External"/><Relationship Id="rId7662" Type="http://schemas.openxmlformats.org/officeDocument/2006/relationships/hyperlink" Target="https://statiz.sporki.com/add/?m=draft_school02&amp;ps_school=" TargetMode="External"/><Relationship Id="rId8713" Type="http://schemas.openxmlformats.org/officeDocument/2006/relationships/hyperlink" Target="https://statiz.sporki.com/player/?m=playerinfo&amp;p_no=2000" TargetMode="External"/><Relationship Id="rId10643" Type="http://schemas.openxmlformats.org/officeDocument/2006/relationships/hyperlink" Target="https://statiz.sporki.com/add/?m=draft_school01&amp;ps_school=50403" TargetMode="External"/><Relationship Id="rId10990" Type="http://schemas.openxmlformats.org/officeDocument/2006/relationships/hyperlink" Target="https://statiz.sporki.com/player/?m=playerinfo&amp;p_no=11467" TargetMode="External"/><Relationship Id="rId17256" Type="http://schemas.openxmlformats.org/officeDocument/2006/relationships/hyperlink" Target="https://statiz.sporki.com/add/?m=draft_school01&amp;ps_school=50805" TargetMode="External"/><Relationship Id="rId18307" Type="http://schemas.openxmlformats.org/officeDocument/2006/relationships/hyperlink" Target="https://statiz.sporki.com/add/?m=draft_school01&amp;ps_school=50107" TargetMode="External"/><Relationship Id="rId6264" Type="http://schemas.openxmlformats.org/officeDocument/2006/relationships/hyperlink" Target="https://statiz.sporki.com/add/?m=draft_school02&amp;ps_school=60114" TargetMode="External"/><Relationship Id="rId7315" Type="http://schemas.openxmlformats.org/officeDocument/2006/relationships/hyperlink" Target="https://statiz.sporki.com/player/?m=playerinfo&amp;p_no=10695" TargetMode="External"/><Relationship Id="rId9487" Type="http://schemas.openxmlformats.org/officeDocument/2006/relationships/hyperlink" Target="https://statiz.sporki.com/player/?m=playerinfo&amp;p_no=1793" TargetMode="External"/><Relationship Id="rId13866" Type="http://schemas.openxmlformats.org/officeDocument/2006/relationships/hyperlink" Target="https://statiz.sporki.com/player/?m=playerinfo&amp;p_no=10812" TargetMode="External"/><Relationship Id="rId14917" Type="http://schemas.openxmlformats.org/officeDocument/2006/relationships/hyperlink" Target="https://statiz.sporki.com/player/?m=playerinfo&amp;p_no=2053" TargetMode="External"/><Relationship Id="rId1476" Type="http://schemas.openxmlformats.org/officeDocument/2006/relationships/hyperlink" Target="https://statiz.sporki.com/add/?m=draft_school02&amp;ps_school=" TargetMode="External"/><Relationship Id="rId2874" Type="http://schemas.openxmlformats.org/officeDocument/2006/relationships/hyperlink" Target="https://statiz.sporki.com/add/?m=draft_school02&amp;ps_school=" TargetMode="External"/><Relationship Id="rId3925" Type="http://schemas.openxmlformats.org/officeDocument/2006/relationships/hyperlink" Target="https://statiz.sporki.com/player/?m=playerinfo&amp;p_no=11368" TargetMode="External"/><Relationship Id="rId8089" Type="http://schemas.openxmlformats.org/officeDocument/2006/relationships/hyperlink" Target="https://statiz.sporki.com/player/?m=playerinfo&amp;p_no=2081" TargetMode="External"/><Relationship Id="rId12468" Type="http://schemas.openxmlformats.org/officeDocument/2006/relationships/hyperlink" Target="https://statiz.sporki.com/player/?m=playerinfo&amp;p_no=14784" TargetMode="External"/><Relationship Id="rId13519" Type="http://schemas.openxmlformats.org/officeDocument/2006/relationships/hyperlink" Target="https://statiz.sporki.com/player/?m=playerinfo&amp;p_no=11224" TargetMode="External"/><Relationship Id="rId846" Type="http://schemas.openxmlformats.org/officeDocument/2006/relationships/hyperlink" Target="https://statiz.sporki.com/add/?m=draft_school02&amp;ps_school=" TargetMode="External"/><Relationship Id="rId1129" Type="http://schemas.openxmlformats.org/officeDocument/2006/relationships/hyperlink" Target="https://statiz.sporki.com/player/?m=playerinfo&amp;p_no=14851" TargetMode="External"/><Relationship Id="rId2527" Type="http://schemas.openxmlformats.org/officeDocument/2006/relationships/hyperlink" Target="https://statiz.sporki.com/player/?m=playerinfo&amp;p_no=13141" TargetMode="External"/><Relationship Id="rId5000" Type="http://schemas.openxmlformats.org/officeDocument/2006/relationships/hyperlink" Target="https://statiz.sporki.com/add/?m=draft_school01&amp;ps_school=50207" TargetMode="External"/><Relationship Id="rId19562" Type="http://schemas.openxmlformats.org/officeDocument/2006/relationships/hyperlink" Target="https://statiz.sporki.com/add/?m=draft_school01&amp;ps_school=50106" TargetMode="External"/><Relationship Id="rId4699" Type="http://schemas.openxmlformats.org/officeDocument/2006/relationships/hyperlink" Target="https://statiz.sporki.com/player/?m=playerinfo&amp;p_no=11307" TargetMode="External"/><Relationship Id="rId8570" Type="http://schemas.openxmlformats.org/officeDocument/2006/relationships/hyperlink" Target="https://statiz.sporki.com/add/?m=draft_school01&amp;ps_school=50805" TargetMode="External"/><Relationship Id="rId9621" Type="http://schemas.openxmlformats.org/officeDocument/2006/relationships/hyperlink" Target="https://statiz.sporki.com/add/?m=draft_school02&amp;ps_school=60203" TargetMode="External"/><Relationship Id="rId11551" Type="http://schemas.openxmlformats.org/officeDocument/2006/relationships/hyperlink" Target="https://statiz.sporki.com/player/?m=playerinfo&amp;p_no=1165" TargetMode="External"/><Relationship Id="rId12602" Type="http://schemas.openxmlformats.org/officeDocument/2006/relationships/hyperlink" Target="https://statiz.sporki.com/player/?m=playerinfo&amp;p_no=14608" TargetMode="External"/><Relationship Id="rId18164" Type="http://schemas.openxmlformats.org/officeDocument/2006/relationships/hyperlink" Target="https://statiz.sporki.com/add/?m=draft_school01&amp;ps_school=50805" TargetMode="External"/><Relationship Id="rId19215" Type="http://schemas.openxmlformats.org/officeDocument/2006/relationships/hyperlink" Target="https://statiz.sporki.com/add/?m=draft_school01&amp;ps_school=50802" TargetMode="External"/><Relationship Id="rId1610" Type="http://schemas.openxmlformats.org/officeDocument/2006/relationships/hyperlink" Target="https://statiz.sporki.com/add/?m=draft_school01&amp;ps_school=50210" TargetMode="External"/><Relationship Id="rId7172" Type="http://schemas.openxmlformats.org/officeDocument/2006/relationships/hyperlink" Target="https://statiz.sporki.com/add/?m=draft_school01&amp;ps_school=50805" TargetMode="External"/><Relationship Id="rId8223" Type="http://schemas.openxmlformats.org/officeDocument/2006/relationships/hyperlink" Target="https://statiz.sporki.com/add/?m=draft_school02&amp;ps_school=60101" TargetMode="External"/><Relationship Id="rId10153" Type="http://schemas.openxmlformats.org/officeDocument/2006/relationships/hyperlink" Target="https://statiz.sporki.com/player/?m=playerinfo&amp;p_no=1575" TargetMode="External"/><Relationship Id="rId11204" Type="http://schemas.openxmlformats.org/officeDocument/2006/relationships/hyperlink" Target="https://statiz.sporki.com/add/?m=draft_school01&amp;ps_school=50703" TargetMode="External"/><Relationship Id="rId14774" Type="http://schemas.openxmlformats.org/officeDocument/2006/relationships/hyperlink" Target="https://statiz.sporki.com/player/?m=playerinfo&amp;p_no=10675" TargetMode="External"/><Relationship Id="rId3782" Type="http://schemas.openxmlformats.org/officeDocument/2006/relationships/hyperlink" Target="https://statiz.sporki.com/add/?m=draft_school01&amp;ps_school=50301" TargetMode="External"/><Relationship Id="rId4833" Type="http://schemas.openxmlformats.org/officeDocument/2006/relationships/hyperlink" Target="https://statiz.sporki.com/add/?m=draft_school02&amp;ps_school=" TargetMode="External"/><Relationship Id="rId13376" Type="http://schemas.openxmlformats.org/officeDocument/2006/relationships/hyperlink" Target="https://statiz.sporki.com/player/?m=playerinfo&amp;p_no=11407" TargetMode="External"/><Relationship Id="rId14427" Type="http://schemas.openxmlformats.org/officeDocument/2006/relationships/hyperlink" Target="https://statiz.sporki.com/player/?m=playerinfo&amp;p_no=2371" TargetMode="External"/><Relationship Id="rId15825" Type="http://schemas.openxmlformats.org/officeDocument/2006/relationships/hyperlink" Target="https://statiz.sporki.com/player/?m=playerinfo&amp;p_no=1344" TargetMode="External"/><Relationship Id="rId2384" Type="http://schemas.openxmlformats.org/officeDocument/2006/relationships/hyperlink" Target="https://statiz.sporki.com/add/?m=draft_school01&amp;ps_school=50807" TargetMode="External"/><Relationship Id="rId3435" Type="http://schemas.openxmlformats.org/officeDocument/2006/relationships/hyperlink" Target="https://statiz.sporki.com/add/?m=draft_school02&amp;ps_school=" TargetMode="External"/><Relationship Id="rId13029" Type="http://schemas.openxmlformats.org/officeDocument/2006/relationships/hyperlink" Target="https://statiz.sporki.com/player/?m=playerinfo&amp;p_no=13065" TargetMode="External"/><Relationship Id="rId17997" Type="http://schemas.openxmlformats.org/officeDocument/2006/relationships/hyperlink" Target="https://statiz.sporki.com/add/?m=draft_school01&amp;ps_school=50301" TargetMode="External"/><Relationship Id="rId356" Type="http://schemas.openxmlformats.org/officeDocument/2006/relationships/hyperlink" Target="https://statiz.sporki.com/add/?m=draft_school01&amp;ps_school=" TargetMode="External"/><Relationship Id="rId2037" Type="http://schemas.openxmlformats.org/officeDocument/2006/relationships/hyperlink" Target="https://statiz.sporki.com/add/?m=draft_school02&amp;ps_school=" TargetMode="External"/><Relationship Id="rId6658" Type="http://schemas.openxmlformats.org/officeDocument/2006/relationships/hyperlink" Target="https://statiz.sporki.com/player/?m=playerinfo&amp;p_no=2373" TargetMode="External"/><Relationship Id="rId16599" Type="http://schemas.openxmlformats.org/officeDocument/2006/relationships/hyperlink" Target="https://statiz.sporki.com/add/?m=draft_school01&amp;ps_school=50802" TargetMode="External"/><Relationship Id="rId19072" Type="http://schemas.openxmlformats.org/officeDocument/2006/relationships/hyperlink" Target="https://statiz.sporki.com/add/?m=draft_school01&amp;ps_school=50807" TargetMode="External"/><Relationship Id="rId7709" Type="http://schemas.openxmlformats.org/officeDocument/2006/relationships/hyperlink" Target="https://statiz.sporki.com/add/?m=draft_school01&amp;ps_school=" TargetMode="External"/><Relationship Id="rId8080" Type="http://schemas.openxmlformats.org/officeDocument/2006/relationships/hyperlink" Target="https://statiz.sporki.com/player/?m=playerinfo&amp;p_no=2084" TargetMode="External"/><Relationship Id="rId9131" Type="http://schemas.openxmlformats.org/officeDocument/2006/relationships/hyperlink" Target="https://statiz.sporki.com/add/?m=draft_school01&amp;ps_school=50403" TargetMode="External"/><Relationship Id="rId13510" Type="http://schemas.openxmlformats.org/officeDocument/2006/relationships/hyperlink" Target="https://statiz.sporki.com/player/?m=playerinfo&amp;p_no=11205" TargetMode="External"/><Relationship Id="rId11061" Type="http://schemas.openxmlformats.org/officeDocument/2006/relationships/hyperlink" Target="https://statiz.sporki.com/add/?m=draft_school02&amp;ps_school=60703" TargetMode="External"/><Relationship Id="rId12112" Type="http://schemas.openxmlformats.org/officeDocument/2006/relationships/hyperlink" Target="https://statiz.sporki.com/player/?m=playerinfo&amp;p_no=1065" TargetMode="External"/><Relationship Id="rId15682" Type="http://schemas.openxmlformats.org/officeDocument/2006/relationships/hyperlink" Target="https://statiz.sporki.com/player/?m=playerinfo&amp;p_no=1448" TargetMode="External"/><Relationship Id="rId16733" Type="http://schemas.openxmlformats.org/officeDocument/2006/relationships/hyperlink" Target="https://statiz.sporki.com/add/?m=draft_school01&amp;ps_school=50703" TargetMode="External"/><Relationship Id="rId1120" Type="http://schemas.openxmlformats.org/officeDocument/2006/relationships/hyperlink" Target="https://statiz.sporki.com/player/?m=playerinfo&amp;p_no=14772" TargetMode="External"/><Relationship Id="rId4690" Type="http://schemas.openxmlformats.org/officeDocument/2006/relationships/hyperlink" Target="https://statiz.sporki.com/player/?m=playerinfo&amp;p_no=11103" TargetMode="External"/><Relationship Id="rId5741" Type="http://schemas.openxmlformats.org/officeDocument/2006/relationships/hyperlink" Target="https://statiz.sporki.com/add/?m=draft_school01&amp;ps_school=50201" TargetMode="External"/><Relationship Id="rId14284" Type="http://schemas.openxmlformats.org/officeDocument/2006/relationships/hyperlink" Target="https://statiz.sporki.com/player/?m=playerinfo&amp;p_no=10285" TargetMode="External"/><Relationship Id="rId15335" Type="http://schemas.openxmlformats.org/officeDocument/2006/relationships/hyperlink" Target="https://statiz.sporki.com/player/?m=playerinfo&amp;p_no=1759" TargetMode="External"/><Relationship Id="rId3292" Type="http://schemas.openxmlformats.org/officeDocument/2006/relationships/hyperlink" Target="https://statiz.sporki.com/player/?m=playerinfo&amp;p_no=12562" TargetMode="External"/><Relationship Id="rId4343" Type="http://schemas.openxmlformats.org/officeDocument/2006/relationships/hyperlink" Target="https://statiz.sporki.com/add/?m=draft_school01&amp;ps_school=" TargetMode="External"/><Relationship Id="rId8964" Type="http://schemas.openxmlformats.org/officeDocument/2006/relationships/hyperlink" Target="https://statiz.sporki.com/add/?m=draft_school02&amp;ps_school=" TargetMode="External"/><Relationship Id="rId18558" Type="http://schemas.openxmlformats.org/officeDocument/2006/relationships/hyperlink" Target="https://statiz.sporki.com/add/?m=draft_school01&amp;ps_school=50402" TargetMode="External"/><Relationship Id="rId7566" Type="http://schemas.openxmlformats.org/officeDocument/2006/relationships/hyperlink" Target="https://statiz.sporki.com/add/?m=draft_school02&amp;ps_school=" TargetMode="External"/><Relationship Id="rId8617" Type="http://schemas.openxmlformats.org/officeDocument/2006/relationships/hyperlink" Target="https://statiz.sporki.com/player/?m=playerinfo&amp;p_no=1992" TargetMode="External"/><Relationship Id="rId10894" Type="http://schemas.openxmlformats.org/officeDocument/2006/relationships/hyperlink" Target="https://statiz.sporki.com/player/?m=playerinfo&amp;p_no=1599" TargetMode="External"/><Relationship Id="rId11945" Type="http://schemas.openxmlformats.org/officeDocument/2006/relationships/hyperlink" Target="https://statiz.sporki.com/add/?m=draft_school01&amp;ps_school=50209" TargetMode="External"/><Relationship Id="rId19609" Type="http://schemas.openxmlformats.org/officeDocument/2006/relationships/hyperlink" Target="https://statiz.sporki.com/add/?m=draft_school01&amp;ps_school=50209" TargetMode="External"/><Relationship Id="rId6168" Type="http://schemas.openxmlformats.org/officeDocument/2006/relationships/hyperlink" Target="https://statiz.sporki.com/add/?m=draft_school02&amp;ps_school=" TargetMode="External"/><Relationship Id="rId7219" Type="http://schemas.openxmlformats.org/officeDocument/2006/relationships/hyperlink" Target="https://statiz.sporki.com/player/?m=playerinfo&amp;p_no=10693" TargetMode="External"/><Relationship Id="rId10547" Type="http://schemas.openxmlformats.org/officeDocument/2006/relationships/hyperlink" Target="https://statiz.sporki.com/add/?m=draft_school01&amp;ps_school=50105" TargetMode="External"/><Relationship Id="rId13020" Type="http://schemas.openxmlformats.org/officeDocument/2006/relationships/hyperlink" Target="https://statiz.sporki.com/player/?m=playerinfo&amp;p_no=13059" TargetMode="External"/><Relationship Id="rId16590" Type="http://schemas.openxmlformats.org/officeDocument/2006/relationships/hyperlink" Target="https://statiz.sporki.com/add/?m=draft_school01&amp;ps_school=50202" TargetMode="External"/><Relationship Id="rId17641" Type="http://schemas.openxmlformats.org/officeDocument/2006/relationships/hyperlink" Target="https://statiz.sporki.com/add/?m=draft_school01&amp;ps_school=50108" TargetMode="External"/><Relationship Id="rId2778" Type="http://schemas.openxmlformats.org/officeDocument/2006/relationships/hyperlink" Target="https://statiz.sporki.com/add/?m=draft_school02&amp;ps_school=" TargetMode="External"/><Relationship Id="rId3829" Type="http://schemas.openxmlformats.org/officeDocument/2006/relationships/hyperlink" Target="https://statiz.sporki.com/player/?m=playerinfo&amp;p_no=13273" TargetMode="External"/><Relationship Id="rId7700" Type="http://schemas.openxmlformats.org/officeDocument/2006/relationships/hyperlink" Target="https://statiz.sporki.com/add/?m=draft_school01&amp;ps_school=50401" TargetMode="External"/><Relationship Id="rId15192" Type="http://schemas.openxmlformats.org/officeDocument/2006/relationships/hyperlink" Target="https://statiz.sporki.com/player/?m=playerinfo&amp;p_no=2028" TargetMode="External"/><Relationship Id="rId16243" Type="http://schemas.openxmlformats.org/officeDocument/2006/relationships/hyperlink" Target="https://statiz.sporki.com/add/?m=draft_school01&amp;ps_school=50207" TargetMode="External"/><Relationship Id="rId5251" Type="http://schemas.openxmlformats.org/officeDocument/2006/relationships/hyperlink" Target="https://statiz.sporki.com/player/?m=playerinfo&amp;p_no=10929" TargetMode="External"/><Relationship Id="rId6302" Type="http://schemas.openxmlformats.org/officeDocument/2006/relationships/hyperlink" Target="https://statiz.sporki.com/add/?m=draft_school01&amp;ps_school=50301" TargetMode="External"/><Relationship Id="rId9872" Type="http://schemas.openxmlformats.org/officeDocument/2006/relationships/hyperlink" Target="https://statiz.sporki.com/add/?m=draft_school01&amp;ps_school=50711" TargetMode="External"/><Relationship Id="rId12853" Type="http://schemas.openxmlformats.org/officeDocument/2006/relationships/hyperlink" Target="https://statiz.sporki.com/player/?m=playerinfo&amp;p_no=14168" TargetMode="External"/><Relationship Id="rId19466" Type="http://schemas.openxmlformats.org/officeDocument/2006/relationships/hyperlink" Target="https://statiz.sporki.com/add/?m=draft_school01&amp;ps_school=50114" TargetMode="External"/><Relationship Id="rId86" Type="http://schemas.openxmlformats.org/officeDocument/2006/relationships/hyperlink" Target="https://statiz.sporki.com/add/?m=draft_school01&amp;ps_school=50403" TargetMode="External"/><Relationship Id="rId1861" Type="http://schemas.openxmlformats.org/officeDocument/2006/relationships/hyperlink" Target="https://statiz.sporki.com/player/?m=playerinfo&amp;p_no=14130" TargetMode="External"/><Relationship Id="rId2912" Type="http://schemas.openxmlformats.org/officeDocument/2006/relationships/hyperlink" Target="https://statiz.sporki.com/add/?m=draft_school01&amp;ps_school=50807" TargetMode="External"/><Relationship Id="rId8474" Type="http://schemas.openxmlformats.org/officeDocument/2006/relationships/hyperlink" Target="https://statiz.sporki.com/add/?m=draft_school01&amp;ps_school=50105" TargetMode="External"/><Relationship Id="rId9525" Type="http://schemas.openxmlformats.org/officeDocument/2006/relationships/hyperlink" Target="https://statiz.sporki.com/add/?m=draft_school02&amp;ps_school=" TargetMode="External"/><Relationship Id="rId11455" Type="http://schemas.openxmlformats.org/officeDocument/2006/relationships/hyperlink" Target="https://statiz.sporki.com/player/?m=playerinfo&amp;p_no=1220" TargetMode="External"/><Relationship Id="rId12506" Type="http://schemas.openxmlformats.org/officeDocument/2006/relationships/hyperlink" Target="https://statiz.sporki.com/player/?m=playerinfo&amp;p_no=14794" TargetMode="External"/><Relationship Id="rId13904" Type="http://schemas.openxmlformats.org/officeDocument/2006/relationships/hyperlink" Target="https://statiz.sporki.com/player/?m=playerinfo&amp;p_no=10754" TargetMode="External"/><Relationship Id="rId18068" Type="http://schemas.openxmlformats.org/officeDocument/2006/relationships/hyperlink" Target="https://statiz.sporki.com/add/?m=draft_school01&amp;ps_school=50104" TargetMode="External"/><Relationship Id="rId19119" Type="http://schemas.openxmlformats.org/officeDocument/2006/relationships/hyperlink" Target="https://statiz.sporki.com/add/?m=draft_school01&amp;ps_school=50121" TargetMode="External"/><Relationship Id="rId1514" Type="http://schemas.openxmlformats.org/officeDocument/2006/relationships/hyperlink" Target="https://statiz.sporki.com/add/?m=draft_school01&amp;ps_school=50703" TargetMode="External"/><Relationship Id="rId7076" Type="http://schemas.openxmlformats.org/officeDocument/2006/relationships/hyperlink" Target="https://statiz.sporki.com/add/?m=draft_school01&amp;ps_school=" TargetMode="External"/><Relationship Id="rId8127" Type="http://schemas.openxmlformats.org/officeDocument/2006/relationships/hyperlink" Target="https://statiz.sporki.com/add/?m=draft_school02&amp;ps_school=60108" TargetMode="External"/><Relationship Id="rId10057" Type="http://schemas.openxmlformats.org/officeDocument/2006/relationships/hyperlink" Target="https://statiz.sporki.com/player/?m=playerinfo&amp;p_no=1602" TargetMode="External"/><Relationship Id="rId11108" Type="http://schemas.openxmlformats.org/officeDocument/2006/relationships/hyperlink" Target="https://statiz.sporki.com/add/?m=draft_school01&amp;ps_school=50812" TargetMode="External"/><Relationship Id="rId3686" Type="http://schemas.openxmlformats.org/officeDocument/2006/relationships/hyperlink" Target="https://statiz.sporki.com/add/?m=draft_school01&amp;ps_school=50110" TargetMode="External"/><Relationship Id="rId14678" Type="http://schemas.openxmlformats.org/officeDocument/2006/relationships/hyperlink" Target="https://statiz.sporki.com/player/?m=playerinfo&amp;p_no=2194" TargetMode="External"/><Relationship Id="rId15729" Type="http://schemas.openxmlformats.org/officeDocument/2006/relationships/hyperlink" Target="https://statiz.sporki.com/player/?m=playerinfo&amp;p_no=1487" TargetMode="External"/><Relationship Id="rId17151" Type="http://schemas.openxmlformats.org/officeDocument/2006/relationships/hyperlink" Target="https://statiz.sporki.com/add/?m=draft_school01&amp;ps_school=50103" TargetMode="External"/><Relationship Id="rId19600" Type="http://schemas.openxmlformats.org/officeDocument/2006/relationships/hyperlink" Target="https://statiz.sporki.com/add/?m=draft_school01&amp;ps_school=50804" TargetMode="External"/><Relationship Id="rId2288" Type="http://schemas.openxmlformats.org/officeDocument/2006/relationships/hyperlink" Target="https://statiz.sporki.com/add/?m=draft_school01&amp;ps_school=50110" TargetMode="External"/><Relationship Id="rId3339" Type="http://schemas.openxmlformats.org/officeDocument/2006/relationships/hyperlink" Target="https://statiz.sporki.com/add/?m=draft_school02&amp;ps_school=" TargetMode="External"/><Relationship Id="rId4737" Type="http://schemas.openxmlformats.org/officeDocument/2006/relationships/hyperlink" Target="https://statiz.sporki.com/add/?m=draft_school02&amp;ps_school=60101" TargetMode="External"/><Relationship Id="rId7210" Type="http://schemas.openxmlformats.org/officeDocument/2006/relationships/hyperlink" Target="https://statiz.sporki.com/player/?m=playerinfo&amp;p_no=10073" TargetMode="External"/><Relationship Id="rId18202" Type="http://schemas.openxmlformats.org/officeDocument/2006/relationships/hyperlink" Target="https://statiz.sporki.com/add/?m=draft_school01&amp;ps_school=50105" TargetMode="External"/><Relationship Id="rId13761" Type="http://schemas.openxmlformats.org/officeDocument/2006/relationships/hyperlink" Target="https://statiz.sporki.com/player/?m=playerinfo&amp;p_no=10857" TargetMode="External"/><Relationship Id="rId14812" Type="http://schemas.openxmlformats.org/officeDocument/2006/relationships/hyperlink" Target="https://statiz.sporki.com/player/?m=playerinfo&amp;p_no=2121" TargetMode="External"/><Relationship Id="rId3820" Type="http://schemas.openxmlformats.org/officeDocument/2006/relationships/hyperlink" Target="https://statiz.sporki.com/player/?m=playerinfo&amp;p_no=11300" TargetMode="External"/><Relationship Id="rId9382" Type="http://schemas.openxmlformats.org/officeDocument/2006/relationships/hyperlink" Target="https://statiz.sporki.com/player/?m=playerinfo&amp;p_no=1810" TargetMode="External"/><Relationship Id="rId12363" Type="http://schemas.openxmlformats.org/officeDocument/2006/relationships/hyperlink" Target="https://statiz.sporki.com/player/?m=playerinfo&amp;p_no=15116" TargetMode="External"/><Relationship Id="rId13414" Type="http://schemas.openxmlformats.org/officeDocument/2006/relationships/hyperlink" Target="https://statiz.sporki.com/player/?m=playerinfo&amp;p_no=12529" TargetMode="External"/><Relationship Id="rId16984" Type="http://schemas.openxmlformats.org/officeDocument/2006/relationships/hyperlink" Target="https://statiz.sporki.com/add/?m=draft_school01&amp;ps_school=51101" TargetMode="External"/><Relationship Id="rId741" Type="http://schemas.openxmlformats.org/officeDocument/2006/relationships/hyperlink" Target="https://statiz.sporki.com/add/?m=draft_school02&amp;ps_school=60803" TargetMode="External"/><Relationship Id="rId1371" Type="http://schemas.openxmlformats.org/officeDocument/2006/relationships/hyperlink" Target="https://statiz.sporki.com/add/?m=draft_school02&amp;ps_school=60503" TargetMode="External"/><Relationship Id="rId2422" Type="http://schemas.openxmlformats.org/officeDocument/2006/relationships/hyperlink" Target="https://statiz.sporki.com/player/?m=playerinfo&amp;p_no=13128" TargetMode="External"/><Relationship Id="rId5992" Type="http://schemas.openxmlformats.org/officeDocument/2006/relationships/hyperlink" Target="https://statiz.sporki.com/player/?m=playerinfo&amp;p_no=11341" TargetMode="External"/><Relationship Id="rId9035" Type="http://schemas.openxmlformats.org/officeDocument/2006/relationships/hyperlink" Target="https://statiz.sporki.com/add/?m=draft_school01&amp;ps_school=" TargetMode="External"/><Relationship Id="rId12016" Type="http://schemas.openxmlformats.org/officeDocument/2006/relationships/hyperlink" Target="https://statiz.sporki.com/player/?m=playerinfo&amp;p_no=1053" TargetMode="External"/><Relationship Id="rId15586" Type="http://schemas.openxmlformats.org/officeDocument/2006/relationships/hyperlink" Target="https://statiz.sporki.com/player/?m=playerinfo&amp;p_no=1643" TargetMode="External"/><Relationship Id="rId16637" Type="http://schemas.openxmlformats.org/officeDocument/2006/relationships/hyperlink" Target="https://statiz.sporki.com/add/?m=draft_school01&amp;ps_school=50703" TargetMode="External"/><Relationship Id="rId1024" Type="http://schemas.openxmlformats.org/officeDocument/2006/relationships/hyperlink" Target="https://statiz.sporki.com/player/?m=playerinfo&amp;p_no=14763" TargetMode="External"/><Relationship Id="rId4594" Type="http://schemas.openxmlformats.org/officeDocument/2006/relationships/hyperlink" Target="https://statiz.sporki.com/player/?m=playerinfo&amp;p_no=11095" TargetMode="External"/><Relationship Id="rId5645" Type="http://schemas.openxmlformats.org/officeDocument/2006/relationships/hyperlink" Target="https://statiz.sporki.com/add/?m=draft_school01&amp;ps_school=50112" TargetMode="External"/><Relationship Id="rId14188" Type="http://schemas.openxmlformats.org/officeDocument/2006/relationships/hyperlink" Target="https://statiz.sporki.com/player/?m=playerinfo&amp;p_no=10318" TargetMode="External"/><Relationship Id="rId15239" Type="http://schemas.openxmlformats.org/officeDocument/2006/relationships/hyperlink" Target="https://statiz.sporki.com/player/?m=playerinfo&amp;p_no=10465" TargetMode="External"/><Relationship Id="rId19110" Type="http://schemas.openxmlformats.org/officeDocument/2006/relationships/hyperlink" Target="https://statiz.sporki.com/add/?m=draft_school01&amp;ps_school=50203" TargetMode="External"/><Relationship Id="rId3196" Type="http://schemas.openxmlformats.org/officeDocument/2006/relationships/hyperlink" Target="https://statiz.sporki.com/player/?m=playerinfo&amp;p_no=12524" TargetMode="External"/><Relationship Id="rId4247" Type="http://schemas.openxmlformats.org/officeDocument/2006/relationships/hyperlink" Target="https://statiz.sporki.com/add/?m=draft_school01&amp;ps_school=50110" TargetMode="External"/><Relationship Id="rId8868" Type="http://schemas.openxmlformats.org/officeDocument/2006/relationships/hyperlink" Target="https://statiz.sporki.com/add/?m=draft_school02&amp;ps_school=60101" TargetMode="External"/><Relationship Id="rId9919" Type="http://schemas.openxmlformats.org/officeDocument/2006/relationships/hyperlink" Target="https://statiz.sporki.com/player/?m=playerinfo&amp;p_no=1675" TargetMode="External"/><Relationship Id="rId10798" Type="http://schemas.openxmlformats.org/officeDocument/2006/relationships/hyperlink" Target="https://statiz.sporki.com/player/?m=playerinfo&amp;p_no=1417" TargetMode="External"/><Relationship Id="rId11849" Type="http://schemas.openxmlformats.org/officeDocument/2006/relationships/hyperlink" Target="https://statiz.sporki.com/add/?m=draft_school01&amp;ps_school=" TargetMode="External"/><Relationship Id="rId15720" Type="http://schemas.openxmlformats.org/officeDocument/2006/relationships/hyperlink" Target="https://statiz.sporki.com/player/?m=playerinfo&amp;p_no=1483" TargetMode="External"/><Relationship Id="rId1908" Type="http://schemas.openxmlformats.org/officeDocument/2006/relationships/hyperlink" Target="https://statiz.sporki.com/add/?m=draft_school02&amp;ps_school=" TargetMode="External"/><Relationship Id="rId13271" Type="http://schemas.openxmlformats.org/officeDocument/2006/relationships/hyperlink" Target="https://statiz.sporki.com/player/?m=playerinfo&amp;p_no=12541" TargetMode="External"/><Relationship Id="rId14322" Type="http://schemas.openxmlformats.org/officeDocument/2006/relationships/hyperlink" Target="https://statiz.sporki.com/player/?m=playerinfo&amp;p_no=10052" TargetMode="External"/><Relationship Id="rId17892" Type="http://schemas.openxmlformats.org/officeDocument/2006/relationships/hyperlink" Target="https://statiz.sporki.com/add/?m=draft_school01&amp;ps_school=50107" TargetMode="External"/><Relationship Id="rId18943" Type="http://schemas.openxmlformats.org/officeDocument/2006/relationships/hyperlink" Target="https://statiz.sporki.com/add/?m=draft_school01&amp;ps_school=50115" TargetMode="External"/><Relationship Id="rId251" Type="http://schemas.openxmlformats.org/officeDocument/2006/relationships/hyperlink" Target="https://statiz.sporki.com/add/?m=draft_school01&amp;ps_school=50110" TargetMode="External"/><Relationship Id="rId3330" Type="http://schemas.openxmlformats.org/officeDocument/2006/relationships/hyperlink" Target="https://statiz.sporki.com/add/?m=draft_school02&amp;ps_school=" TargetMode="External"/><Relationship Id="rId7951" Type="http://schemas.openxmlformats.org/officeDocument/2006/relationships/hyperlink" Target="https://statiz.sporki.com/player/?m=playerinfo&amp;p_no=2244" TargetMode="External"/><Relationship Id="rId10932" Type="http://schemas.openxmlformats.org/officeDocument/2006/relationships/hyperlink" Target="https://statiz.sporki.com/add/?m=draft_school02&amp;ps_school=" TargetMode="External"/><Relationship Id="rId16494" Type="http://schemas.openxmlformats.org/officeDocument/2006/relationships/hyperlink" Target="https://statiz.sporki.com/add/?m=draft_school01&amp;ps_school=50116" TargetMode="External"/><Relationship Id="rId17545" Type="http://schemas.openxmlformats.org/officeDocument/2006/relationships/hyperlink" Target="https://statiz.sporki.com/add/?m=draft_school01&amp;ps_school=50802" TargetMode="External"/><Relationship Id="rId6553" Type="http://schemas.openxmlformats.org/officeDocument/2006/relationships/hyperlink" Target="https://statiz.sporki.com/player/?m=playerinfo&amp;p_no=10431" TargetMode="External"/><Relationship Id="rId7604" Type="http://schemas.openxmlformats.org/officeDocument/2006/relationships/hyperlink" Target="https://statiz.sporki.com/add/?m=draft_school01&amp;ps_school=50115" TargetMode="External"/><Relationship Id="rId15096" Type="http://schemas.openxmlformats.org/officeDocument/2006/relationships/hyperlink" Target="https://statiz.sporki.com/player/?m=playerinfo&amp;p_no=1960" TargetMode="External"/><Relationship Id="rId16147" Type="http://schemas.openxmlformats.org/officeDocument/2006/relationships/hyperlink" Target="https://statiz.sporki.com/player/?m=playerinfo&amp;p_no=1053" TargetMode="External"/><Relationship Id="rId5155" Type="http://schemas.openxmlformats.org/officeDocument/2006/relationships/hyperlink" Target="https://statiz.sporki.com/player/?m=playerinfo&amp;p_no=10652" TargetMode="External"/><Relationship Id="rId6206" Type="http://schemas.openxmlformats.org/officeDocument/2006/relationships/hyperlink" Target="https://statiz.sporki.com/add/?m=draft_school01&amp;ps_school=" TargetMode="External"/><Relationship Id="rId9776" Type="http://schemas.openxmlformats.org/officeDocument/2006/relationships/hyperlink" Target="https://statiz.sporki.com/add/?m=draft_school01&amp;ps_school=50711" TargetMode="External"/><Relationship Id="rId1765" Type="http://schemas.openxmlformats.org/officeDocument/2006/relationships/hyperlink" Target="https://statiz.sporki.com/player/?m=playerinfo&amp;p_no=14741" TargetMode="External"/><Relationship Id="rId8378" Type="http://schemas.openxmlformats.org/officeDocument/2006/relationships/hyperlink" Target="https://statiz.sporki.com/add/?m=draft_school01&amp;ps_school=50103" TargetMode="External"/><Relationship Id="rId9429" Type="http://schemas.openxmlformats.org/officeDocument/2006/relationships/hyperlink" Target="https://statiz.sporki.com/add/?m=draft_school02&amp;ps_school=60801" TargetMode="External"/><Relationship Id="rId11359" Type="http://schemas.openxmlformats.org/officeDocument/2006/relationships/hyperlink" Target="https://statiz.sporki.com/player/?m=playerinfo&amp;p_no=1264" TargetMode="External"/><Relationship Id="rId12757" Type="http://schemas.openxmlformats.org/officeDocument/2006/relationships/hyperlink" Target="https://statiz.sporki.com/player/?m=playerinfo&amp;p_no=14176" TargetMode="External"/><Relationship Id="rId13808" Type="http://schemas.openxmlformats.org/officeDocument/2006/relationships/hyperlink" Target="https://statiz.sporki.com/player/?m=playerinfo&amp;p_no=10872" TargetMode="External"/><Relationship Id="rId15230" Type="http://schemas.openxmlformats.org/officeDocument/2006/relationships/hyperlink" Target="https://statiz.sporki.com/player/?m=playerinfo&amp;p_no=1964" TargetMode="External"/><Relationship Id="rId1418" Type="http://schemas.openxmlformats.org/officeDocument/2006/relationships/hyperlink" Target="https://statiz.sporki.com/add/?m=draft_school01&amp;ps_school=50604" TargetMode="External"/><Relationship Id="rId2816" Type="http://schemas.openxmlformats.org/officeDocument/2006/relationships/hyperlink" Target="https://statiz.sporki.com/add/?m=draft_school01&amp;ps_school=50111" TargetMode="External"/><Relationship Id="rId4988" Type="http://schemas.openxmlformats.org/officeDocument/2006/relationships/hyperlink" Target="https://statiz.sporki.com/add/?m=draft_school01&amp;ps_school=50114" TargetMode="External"/><Relationship Id="rId9910" Type="http://schemas.openxmlformats.org/officeDocument/2006/relationships/hyperlink" Target="https://statiz.sporki.com/player/?m=playerinfo&amp;p_no=1741" TargetMode="External"/><Relationship Id="rId11840" Type="http://schemas.openxmlformats.org/officeDocument/2006/relationships/hyperlink" Target="https://statiz.sporki.com/add/?m=draft_school01&amp;ps_school=50121" TargetMode="External"/><Relationship Id="rId18453" Type="http://schemas.openxmlformats.org/officeDocument/2006/relationships/hyperlink" Target="https://statiz.sporki.com/add/?m=draft_school01&amp;ps_school=50113" TargetMode="External"/><Relationship Id="rId19504" Type="http://schemas.openxmlformats.org/officeDocument/2006/relationships/hyperlink" Target="https://statiz.sporki.com/add/?m=draft_school01&amp;ps_school=50302" TargetMode="External"/><Relationship Id="rId6063" Type="http://schemas.openxmlformats.org/officeDocument/2006/relationships/hyperlink" Target="https://statiz.sporki.com/add/?m=draft_school02&amp;ps_school=" TargetMode="External"/><Relationship Id="rId7461" Type="http://schemas.openxmlformats.org/officeDocument/2006/relationships/hyperlink" Target="https://statiz.sporki.com/add/?m=draft_school02&amp;ps_school=" TargetMode="External"/><Relationship Id="rId8512" Type="http://schemas.openxmlformats.org/officeDocument/2006/relationships/hyperlink" Target="https://statiz.sporki.com/player/?m=playerinfo&amp;p_no=10766" TargetMode="External"/><Relationship Id="rId10442" Type="http://schemas.openxmlformats.org/officeDocument/2006/relationships/hyperlink" Target="https://statiz.sporki.com/add/?m=draft_school01&amp;ps_school=50115" TargetMode="External"/><Relationship Id="rId17055" Type="http://schemas.openxmlformats.org/officeDocument/2006/relationships/hyperlink" Target="https://statiz.sporki.com/add/?m=draft_school01&amp;ps_school=50210" TargetMode="External"/><Relationship Id="rId18106" Type="http://schemas.openxmlformats.org/officeDocument/2006/relationships/hyperlink" Target="https://statiz.sporki.com/add/?m=draft_school01&amp;ps_school=50108" TargetMode="External"/><Relationship Id="rId7114" Type="http://schemas.openxmlformats.org/officeDocument/2006/relationships/hyperlink" Target="https://statiz.sporki.com/player/?m=playerinfo&amp;p_no=10137" TargetMode="External"/><Relationship Id="rId13665" Type="http://schemas.openxmlformats.org/officeDocument/2006/relationships/hyperlink" Target="https://statiz.sporki.com/player/?m=playerinfo&amp;p_no=11096" TargetMode="External"/><Relationship Id="rId14716" Type="http://schemas.openxmlformats.org/officeDocument/2006/relationships/hyperlink" Target="https://statiz.sporki.com/player/?m=playerinfo&amp;p_no=2207" TargetMode="External"/><Relationship Id="rId992" Type="http://schemas.openxmlformats.org/officeDocument/2006/relationships/hyperlink" Target="https://statiz.sporki.com/add/?m=draft_school01&amp;ps_school=50301" TargetMode="External"/><Relationship Id="rId2673" Type="http://schemas.openxmlformats.org/officeDocument/2006/relationships/hyperlink" Target="https://statiz.sporki.com/add/?m=draft_school02&amp;ps_school=" TargetMode="External"/><Relationship Id="rId3724" Type="http://schemas.openxmlformats.org/officeDocument/2006/relationships/hyperlink" Target="https://statiz.sporki.com/player/?m=playerinfo&amp;p_no=11375" TargetMode="External"/><Relationship Id="rId9286" Type="http://schemas.openxmlformats.org/officeDocument/2006/relationships/hyperlink" Target="https://statiz.sporki.com/player/?m=playerinfo&amp;p_no=1873" TargetMode="External"/><Relationship Id="rId12267" Type="http://schemas.openxmlformats.org/officeDocument/2006/relationships/hyperlink" Target="https://statiz.sporki.com/player/?m=playerinfo&amp;p_no=15646" TargetMode="External"/><Relationship Id="rId13318" Type="http://schemas.openxmlformats.org/officeDocument/2006/relationships/hyperlink" Target="https://statiz.sporki.com/player/?m=playerinfo&amp;p_no=12695" TargetMode="External"/><Relationship Id="rId645" Type="http://schemas.openxmlformats.org/officeDocument/2006/relationships/hyperlink" Target="https://statiz.sporki.com/add/?m=draft_school02&amp;ps_school=" TargetMode="External"/><Relationship Id="rId1275" Type="http://schemas.openxmlformats.org/officeDocument/2006/relationships/hyperlink" Target="https://statiz.sporki.com/add/?m=draft_school02&amp;ps_school=" TargetMode="External"/><Relationship Id="rId2326" Type="http://schemas.openxmlformats.org/officeDocument/2006/relationships/hyperlink" Target="https://statiz.sporki.com/player/?m=playerinfo&amp;p_no=13103" TargetMode="External"/><Relationship Id="rId5896" Type="http://schemas.openxmlformats.org/officeDocument/2006/relationships/hyperlink" Target="https://statiz.sporki.com/player/?m=playerinfo&amp;p_no=10034" TargetMode="External"/><Relationship Id="rId6947" Type="http://schemas.openxmlformats.org/officeDocument/2006/relationships/hyperlink" Target="https://statiz.sporki.com/add/?m=draft_school01&amp;ps_school=50303" TargetMode="External"/><Relationship Id="rId16888" Type="http://schemas.openxmlformats.org/officeDocument/2006/relationships/hyperlink" Target="https://statiz.sporki.com/add/?m=draft_school01&amp;ps_school=50805" TargetMode="External"/><Relationship Id="rId17939" Type="http://schemas.openxmlformats.org/officeDocument/2006/relationships/hyperlink" Target="https://statiz.sporki.com/add/?m=draft_school01&amp;ps_school=50109" TargetMode="External"/><Relationship Id="rId19361" Type="http://schemas.openxmlformats.org/officeDocument/2006/relationships/hyperlink" Target="https://statiz.sporki.com/add/?m=draft_school01&amp;ps_school=50110" TargetMode="External"/><Relationship Id="rId4498" Type="http://schemas.openxmlformats.org/officeDocument/2006/relationships/hyperlink" Target="https://statiz.sporki.com/player/?m=playerinfo&amp;p_no=11119" TargetMode="External"/><Relationship Id="rId5549" Type="http://schemas.openxmlformats.org/officeDocument/2006/relationships/hyperlink" Target="https://statiz.sporki.com/add/?m=draft_school01&amp;ps_school=50701" TargetMode="External"/><Relationship Id="rId9420" Type="http://schemas.openxmlformats.org/officeDocument/2006/relationships/hyperlink" Target="https://statiz.sporki.com/add/?m=draft_school02&amp;ps_school=60803" TargetMode="External"/><Relationship Id="rId19014" Type="http://schemas.openxmlformats.org/officeDocument/2006/relationships/hyperlink" Target="https://statiz.sporki.com/add/?m=draft_school01&amp;ps_school=50402" TargetMode="External"/><Relationship Id="rId8022" Type="http://schemas.openxmlformats.org/officeDocument/2006/relationships/hyperlink" Target="https://statiz.sporki.com/add/?m=draft_school02&amp;ps_school=" TargetMode="External"/><Relationship Id="rId11350" Type="http://schemas.openxmlformats.org/officeDocument/2006/relationships/hyperlink" Target="https://statiz.sporki.com/player/?m=playerinfo&amp;p_no=1238" TargetMode="External"/><Relationship Id="rId12401" Type="http://schemas.openxmlformats.org/officeDocument/2006/relationships/hyperlink" Target="https://statiz.sporki.com/player/?m=playerinfo&amp;p_no=15098" TargetMode="External"/><Relationship Id="rId15971" Type="http://schemas.openxmlformats.org/officeDocument/2006/relationships/hyperlink" Target="https://statiz.sporki.com/player/?m=playerinfo&amp;p_no=1214" TargetMode="External"/><Relationship Id="rId11003" Type="http://schemas.openxmlformats.org/officeDocument/2006/relationships/hyperlink" Target="https://statiz.sporki.com/add/?m=draft_school01&amp;ps_school=50501" TargetMode="External"/><Relationship Id="rId14573" Type="http://schemas.openxmlformats.org/officeDocument/2006/relationships/hyperlink" Target="https://statiz.sporki.com/player/?m=playerinfo&amp;p_no=10605" TargetMode="External"/><Relationship Id="rId15624" Type="http://schemas.openxmlformats.org/officeDocument/2006/relationships/hyperlink" Target="https://statiz.sporki.com/player/?m=playerinfo&amp;p_no=1538" TargetMode="External"/><Relationship Id="rId3581" Type="http://schemas.openxmlformats.org/officeDocument/2006/relationships/hyperlink" Target="https://statiz.sporki.com/add/?m=draft_school01&amp;ps_school=50601" TargetMode="External"/><Relationship Id="rId4632" Type="http://schemas.openxmlformats.org/officeDocument/2006/relationships/hyperlink" Target="https://statiz.sporki.com/add/?m=draft_school02&amp;ps_school=60104" TargetMode="External"/><Relationship Id="rId13175" Type="http://schemas.openxmlformats.org/officeDocument/2006/relationships/hyperlink" Target="https://statiz.sporki.com/player/?m=playerinfo&amp;p_no=12956" TargetMode="External"/><Relationship Id="rId14226" Type="http://schemas.openxmlformats.org/officeDocument/2006/relationships/hyperlink" Target="https://statiz.sporki.com/player/?m=playerinfo&amp;p_no=10172" TargetMode="External"/><Relationship Id="rId17796" Type="http://schemas.openxmlformats.org/officeDocument/2006/relationships/hyperlink" Target="https://statiz.sporki.com/add/?m=draft_school01&amp;ps_school=50114" TargetMode="External"/><Relationship Id="rId18847" Type="http://schemas.openxmlformats.org/officeDocument/2006/relationships/hyperlink" Target="https://statiz.sporki.com/add/?m=draft_school01&amp;ps_school=50110" TargetMode="External"/><Relationship Id="rId2183" Type="http://schemas.openxmlformats.org/officeDocument/2006/relationships/hyperlink" Target="https://statiz.sporki.com/add/?m=draft_school01&amp;ps_school=" TargetMode="External"/><Relationship Id="rId3234" Type="http://schemas.openxmlformats.org/officeDocument/2006/relationships/hyperlink" Target="https://statiz.sporki.com/add/?m=draft_school02&amp;ps_school=" TargetMode="External"/><Relationship Id="rId7855" Type="http://schemas.openxmlformats.org/officeDocument/2006/relationships/hyperlink" Target="https://statiz.sporki.com/player/?m=playerinfo&amp;p_no=10467" TargetMode="External"/><Relationship Id="rId8906" Type="http://schemas.openxmlformats.org/officeDocument/2006/relationships/hyperlink" Target="https://statiz.sporki.com/add/?m=draft_school01&amp;ps_school=50804" TargetMode="External"/><Relationship Id="rId16398" Type="http://schemas.openxmlformats.org/officeDocument/2006/relationships/hyperlink" Target="https://statiz.sporki.com/add/?m=draft_school01&amp;ps_school=50105" TargetMode="External"/><Relationship Id="rId17449" Type="http://schemas.openxmlformats.org/officeDocument/2006/relationships/hyperlink" Target="https://statiz.sporki.com/add/?m=draft_school01&amp;ps_school=50209" TargetMode="External"/><Relationship Id="rId155" Type="http://schemas.openxmlformats.org/officeDocument/2006/relationships/hyperlink" Target="https://statiz.sporki.com/add/?m=draft_school01&amp;ps_school=50601" TargetMode="External"/><Relationship Id="rId6457" Type="http://schemas.openxmlformats.org/officeDocument/2006/relationships/hyperlink" Target="https://statiz.sporki.com/player/?m=playerinfo&amp;p_no=2412" TargetMode="External"/><Relationship Id="rId7508" Type="http://schemas.openxmlformats.org/officeDocument/2006/relationships/hyperlink" Target="https://statiz.sporki.com/add/?m=draft_school01&amp;ps_school=" TargetMode="External"/><Relationship Id="rId10836" Type="http://schemas.openxmlformats.org/officeDocument/2006/relationships/hyperlink" Target="https://statiz.sporki.com/add/?m=draft_school02&amp;ps_school=60703" TargetMode="External"/><Relationship Id="rId5059" Type="http://schemas.openxmlformats.org/officeDocument/2006/relationships/hyperlink" Target="https://statiz.sporki.com/player/?m=playerinfo&amp;p_no=10828" TargetMode="External"/><Relationship Id="rId17930" Type="http://schemas.openxmlformats.org/officeDocument/2006/relationships/hyperlink" Target="https://statiz.sporki.com/add/?m=draft_school01&amp;ps_school=50209" TargetMode="External"/><Relationship Id="rId14083" Type="http://schemas.openxmlformats.org/officeDocument/2006/relationships/hyperlink" Target="https://statiz.sporki.com/player/?m=playerinfo&amp;p_no=10227" TargetMode="External"/><Relationship Id="rId15481" Type="http://schemas.openxmlformats.org/officeDocument/2006/relationships/hyperlink" Target="https://statiz.sporki.com/player/?m=playerinfo&amp;p_no=1639" TargetMode="External"/><Relationship Id="rId16532" Type="http://schemas.openxmlformats.org/officeDocument/2006/relationships/hyperlink" Target="https://statiz.sporki.com/add/?m=draft_school01&amp;ps_school=50801" TargetMode="External"/><Relationship Id="rId1669" Type="http://schemas.openxmlformats.org/officeDocument/2006/relationships/hyperlink" Target="https://statiz.sporki.com/player/?m=playerinfo&amp;p_no=14638" TargetMode="External"/><Relationship Id="rId3091" Type="http://schemas.openxmlformats.org/officeDocument/2006/relationships/hyperlink" Target="https://statiz.sporki.com/player/?m=playerinfo&amp;p_no=12992" TargetMode="External"/><Relationship Id="rId4142" Type="http://schemas.openxmlformats.org/officeDocument/2006/relationships/hyperlink" Target="https://statiz.sporki.com/add/?m=draft_school01&amp;ps_school=50903" TargetMode="External"/><Relationship Id="rId5540" Type="http://schemas.openxmlformats.org/officeDocument/2006/relationships/hyperlink" Target="https://statiz.sporki.com/add/?m=draft_school01&amp;ps_school=50109" TargetMode="External"/><Relationship Id="rId15134" Type="http://schemas.openxmlformats.org/officeDocument/2006/relationships/hyperlink" Target="https://statiz.sporki.com/player/?m=playerinfo&amp;p_no=11451" TargetMode="External"/><Relationship Id="rId8763" Type="http://schemas.openxmlformats.org/officeDocument/2006/relationships/hyperlink" Target="https://statiz.sporki.com/add/?m=draft_school02&amp;ps_school=" TargetMode="External"/><Relationship Id="rId9814" Type="http://schemas.openxmlformats.org/officeDocument/2006/relationships/hyperlink" Target="https://statiz.sporki.com/player/?m=playerinfo&amp;p_no=10099" TargetMode="External"/><Relationship Id="rId10693" Type="http://schemas.openxmlformats.org/officeDocument/2006/relationships/hyperlink" Target="https://statiz.sporki.com/player/?m=playerinfo&amp;p_no=1456" TargetMode="External"/><Relationship Id="rId11744" Type="http://schemas.openxmlformats.org/officeDocument/2006/relationships/hyperlink" Target="https://statiz.sporki.com/add/?m=draft_school01&amp;ps_school=50112" TargetMode="External"/><Relationship Id="rId18357" Type="http://schemas.openxmlformats.org/officeDocument/2006/relationships/hyperlink" Target="https://statiz.sporki.com/add/?m=draft_school01&amp;ps_school=50804" TargetMode="External"/><Relationship Id="rId19408" Type="http://schemas.openxmlformats.org/officeDocument/2006/relationships/hyperlink" Target="https://statiz.sporki.com/add/?m=draft_school01&amp;ps_school=50608" TargetMode="External"/><Relationship Id="rId28" Type="http://schemas.openxmlformats.org/officeDocument/2006/relationships/hyperlink" Target="https://statiz.sporki.com/player/?m=playerinfo&amp;p_no=15518" TargetMode="External"/><Relationship Id="rId1803" Type="http://schemas.openxmlformats.org/officeDocument/2006/relationships/hyperlink" Target="https://statiz.sporki.com/add/?m=draft_school02&amp;ps_school=" TargetMode="External"/><Relationship Id="rId7365" Type="http://schemas.openxmlformats.org/officeDocument/2006/relationships/hyperlink" Target="https://statiz.sporki.com/add/?m=draft_school02&amp;ps_school=" TargetMode="External"/><Relationship Id="rId8416" Type="http://schemas.openxmlformats.org/officeDocument/2006/relationships/hyperlink" Target="https://statiz.sporki.com/player/?m=playerinfo&amp;p_no=2039" TargetMode="External"/><Relationship Id="rId10346" Type="http://schemas.openxmlformats.org/officeDocument/2006/relationships/hyperlink" Target="https://statiz.sporki.com/add/?m=draft_school01&amp;ps_school=50702" TargetMode="External"/><Relationship Id="rId3975" Type="http://schemas.openxmlformats.org/officeDocument/2006/relationships/hyperlink" Target="https://statiz.sporki.com/add/?m=draft_school02&amp;ps_school=60115" TargetMode="External"/><Relationship Id="rId7018" Type="http://schemas.openxmlformats.org/officeDocument/2006/relationships/hyperlink" Target="https://statiz.sporki.com/player/?m=playerinfo&amp;p_no=11461" TargetMode="External"/><Relationship Id="rId13569" Type="http://schemas.openxmlformats.org/officeDocument/2006/relationships/hyperlink" Target="https://statiz.sporki.com/player/?m=playerinfo&amp;p_no=12512" TargetMode="External"/><Relationship Id="rId14967" Type="http://schemas.openxmlformats.org/officeDocument/2006/relationships/hyperlink" Target="https://statiz.sporki.com/player/?m=playerinfo&amp;p_no=2050" TargetMode="External"/><Relationship Id="rId17440" Type="http://schemas.openxmlformats.org/officeDocument/2006/relationships/hyperlink" Target="https://statiz.sporki.com/add/?m=draft_school01&amp;ps_school=50403" TargetMode="External"/><Relationship Id="rId896" Type="http://schemas.openxmlformats.org/officeDocument/2006/relationships/hyperlink" Target="https://statiz.sporki.com/add/?m=draft_school01&amp;ps_school=50103" TargetMode="External"/><Relationship Id="rId2577" Type="http://schemas.openxmlformats.org/officeDocument/2006/relationships/hyperlink" Target="https://statiz.sporki.com/add/?m=draft_school02&amp;ps_school=" TargetMode="External"/><Relationship Id="rId3628" Type="http://schemas.openxmlformats.org/officeDocument/2006/relationships/hyperlink" Target="https://statiz.sporki.com/player/?m=playerinfo&amp;p_no=11381" TargetMode="External"/><Relationship Id="rId16042" Type="http://schemas.openxmlformats.org/officeDocument/2006/relationships/hyperlink" Target="https://statiz.sporki.com/player/?m=playerinfo&amp;p_no=1137" TargetMode="External"/><Relationship Id="rId549" Type="http://schemas.openxmlformats.org/officeDocument/2006/relationships/hyperlink" Target="https://statiz.sporki.com/add/?m=draft_school02&amp;ps_school=" TargetMode="External"/><Relationship Id="rId1179" Type="http://schemas.openxmlformats.org/officeDocument/2006/relationships/hyperlink" Target="https://statiz.sporki.com/add/?m=draft_school02&amp;ps_school=60603" TargetMode="External"/><Relationship Id="rId5050" Type="http://schemas.openxmlformats.org/officeDocument/2006/relationships/hyperlink" Target="https://statiz.sporki.com/player/?m=playerinfo&amp;p_no=10937" TargetMode="External"/><Relationship Id="rId6101" Type="http://schemas.openxmlformats.org/officeDocument/2006/relationships/hyperlink" Target="https://statiz.sporki.com/add/?m=draft_school01&amp;ps_school=50112" TargetMode="External"/><Relationship Id="rId8273" Type="http://schemas.openxmlformats.org/officeDocument/2006/relationships/hyperlink" Target="https://statiz.sporki.com/add/?m=draft_school01&amp;ps_school=" TargetMode="External"/><Relationship Id="rId9671" Type="http://schemas.openxmlformats.org/officeDocument/2006/relationships/hyperlink" Target="https://statiz.sporki.com/add/?m=draft_school01&amp;ps_school=50110" TargetMode="External"/><Relationship Id="rId12652" Type="http://schemas.openxmlformats.org/officeDocument/2006/relationships/hyperlink" Target="https://statiz.sporki.com/player/?m=playerinfo&amp;p_no=14645" TargetMode="External"/><Relationship Id="rId13703" Type="http://schemas.openxmlformats.org/officeDocument/2006/relationships/hyperlink" Target="https://statiz.sporki.com/player/?m=playerinfo&amp;p_no=11177" TargetMode="External"/><Relationship Id="rId19265" Type="http://schemas.openxmlformats.org/officeDocument/2006/relationships/hyperlink" Target="https://statiz.sporki.com/add/?m=draft_school01&amp;ps_school=50607" TargetMode="External"/><Relationship Id="rId1660" Type="http://schemas.openxmlformats.org/officeDocument/2006/relationships/hyperlink" Target="https://statiz.sporki.com/player/?m=playerinfo&amp;p_no=14651" TargetMode="External"/><Relationship Id="rId2711" Type="http://schemas.openxmlformats.org/officeDocument/2006/relationships/hyperlink" Target="https://statiz.sporki.com/add/?m=draft_school01&amp;ps_school=50114" TargetMode="External"/><Relationship Id="rId9324" Type="http://schemas.openxmlformats.org/officeDocument/2006/relationships/hyperlink" Target="https://statiz.sporki.com/add/?m=draft_school02&amp;ps_school=60203" TargetMode="External"/><Relationship Id="rId11254" Type="http://schemas.openxmlformats.org/officeDocument/2006/relationships/hyperlink" Target="https://statiz.sporki.com/player/?m=playerinfo&amp;p_no=1287" TargetMode="External"/><Relationship Id="rId12305" Type="http://schemas.openxmlformats.org/officeDocument/2006/relationships/hyperlink" Target="https://statiz.sporki.com/player/?m=playerinfo&amp;p_no=15099" TargetMode="External"/><Relationship Id="rId15875" Type="http://schemas.openxmlformats.org/officeDocument/2006/relationships/hyperlink" Target="https://statiz.sporki.com/player/?m=playerinfo&amp;p_no=1283" TargetMode="External"/><Relationship Id="rId16926" Type="http://schemas.openxmlformats.org/officeDocument/2006/relationships/hyperlink" Target="https://statiz.sporki.com/add/?m=draft_school01&amp;ps_school=50403" TargetMode="External"/><Relationship Id="rId1313" Type="http://schemas.openxmlformats.org/officeDocument/2006/relationships/hyperlink" Target="https://statiz.sporki.com/add/?m=draft_school01&amp;ps_school=" TargetMode="External"/><Relationship Id="rId4883" Type="http://schemas.openxmlformats.org/officeDocument/2006/relationships/hyperlink" Target="https://statiz.sporki.com/add/?m=draft_school01&amp;ps_school=50110" TargetMode="External"/><Relationship Id="rId5934" Type="http://schemas.openxmlformats.org/officeDocument/2006/relationships/hyperlink" Target="https://statiz.sporki.com/add/?m=draft_school02&amp;ps_school=" TargetMode="External"/><Relationship Id="rId14477" Type="http://schemas.openxmlformats.org/officeDocument/2006/relationships/hyperlink" Target="https://statiz.sporki.com/player/?m=playerinfo&amp;p_no=10064" TargetMode="External"/><Relationship Id="rId15528" Type="http://schemas.openxmlformats.org/officeDocument/2006/relationships/hyperlink" Target="https://statiz.sporki.com/player/?m=playerinfo&amp;p_no=1750" TargetMode="External"/><Relationship Id="rId3485" Type="http://schemas.openxmlformats.org/officeDocument/2006/relationships/hyperlink" Target="https://statiz.sporki.com/add/?m=draft_school01&amp;ps_school=" TargetMode="External"/><Relationship Id="rId4536" Type="http://schemas.openxmlformats.org/officeDocument/2006/relationships/hyperlink" Target="https://statiz.sporki.com/add/?m=draft_school02&amp;ps_school=60804" TargetMode="External"/><Relationship Id="rId13079" Type="http://schemas.openxmlformats.org/officeDocument/2006/relationships/hyperlink" Target="https://statiz.sporki.com/player/?m=playerinfo&amp;p_no=12922" TargetMode="External"/><Relationship Id="rId18001" Type="http://schemas.openxmlformats.org/officeDocument/2006/relationships/hyperlink" Target="https://statiz.sporki.com/add/?m=draft_school01&amp;ps_school=50601" TargetMode="External"/><Relationship Id="rId2087" Type="http://schemas.openxmlformats.org/officeDocument/2006/relationships/hyperlink" Target="https://statiz.sporki.com/add/?m=draft_school01&amp;ps_school=50805" TargetMode="External"/><Relationship Id="rId3138" Type="http://schemas.openxmlformats.org/officeDocument/2006/relationships/hyperlink" Target="https://statiz.sporki.com/add/?m=draft_school02&amp;ps_school=" TargetMode="External"/><Relationship Id="rId7759" Type="http://schemas.openxmlformats.org/officeDocument/2006/relationships/hyperlink" Target="https://statiz.sporki.com/player/?m=playerinfo&amp;p_no=2214" TargetMode="External"/><Relationship Id="rId9181" Type="http://schemas.openxmlformats.org/officeDocument/2006/relationships/hyperlink" Target="https://statiz.sporki.com/player/?m=playerinfo&amp;p_no=1890" TargetMode="External"/><Relationship Id="rId13560" Type="http://schemas.openxmlformats.org/officeDocument/2006/relationships/hyperlink" Target="https://statiz.sporki.com/player/?m=playerinfo&amp;p_no=13246" TargetMode="External"/><Relationship Id="rId14611" Type="http://schemas.openxmlformats.org/officeDocument/2006/relationships/hyperlink" Target="https://statiz.sporki.com/player/?m=playerinfo&amp;p_no=10744" TargetMode="External"/><Relationship Id="rId540" Type="http://schemas.openxmlformats.org/officeDocument/2006/relationships/hyperlink" Target="https://statiz.sporki.com/add/?m=draft_school02&amp;ps_school=" TargetMode="External"/><Relationship Id="rId1170" Type="http://schemas.openxmlformats.org/officeDocument/2006/relationships/hyperlink" Target="https://statiz.sporki.com/add/?m=draft_school02&amp;ps_school=" TargetMode="External"/><Relationship Id="rId2221" Type="http://schemas.openxmlformats.org/officeDocument/2006/relationships/hyperlink" Target="https://statiz.sporki.com/player/?m=playerinfo&amp;p_no=13929" TargetMode="External"/><Relationship Id="rId12162" Type="http://schemas.openxmlformats.org/officeDocument/2006/relationships/hyperlink" Target="https://statiz.sporki.com/player/?m=playerinfo&amp;p_no=15423" TargetMode="External"/><Relationship Id="rId13213" Type="http://schemas.openxmlformats.org/officeDocument/2006/relationships/hyperlink" Target="https://statiz.sporki.com/player/?m=playerinfo&amp;p_no=12545" TargetMode="External"/><Relationship Id="rId16783" Type="http://schemas.openxmlformats.org/officeDocument/2006/relationships/hyperlink" Target="https://statiz.sporki.com/add/?m=draft_school01&amp;ps_school=50110" TargetMode="External"/><Relationship Id="rId17834" Type="http://schemas.openxmlformats.org/officeDocument/2006/relationships/hyperlink" Target="https://statiz.sporki.com/add/?m=draft_school01&amp;ps_school=50101" TargetMode="External"/><Relationship Id="rId5791" Type="http://schemas.openxmlformats.org/officeDocument/2006/relationships/hyperlink" Target="https://statiz.sporki.com/player/?m=playerinfo&amp;p_no=10424" TargetMode="External"/><Relationship Id="rId6842" Type="http://schemas.openxmlformats.org/officeDocument/2006/relationships/hyperlink" Target="https://statiz.sporki.com/add/?m=draft_school01&amp;ps_school=" TargetMode="External"/><Relationship Id="rId15385" Type="http://schemas.openxmlformats.org/officeDocument/2006/relationships/hyperlink" Target="https://statiz.sporki.com/player/?m=playerinfo&amp;p_no=1765" TargetMode="External"/><Relationship Id="rId16436" Type="http://schemas.openxmlformats.org/officeDocument/2006/relationships/hyperlink" Target="https://statiz.sporki.com/add/?m=draft_school01&amp;ps_school=51121" TargetMode="External"/><Relationship Id="rId4393" Type="http://schemas.openxmlformats.org/officeDocument/2006/relationships/hyperlink" Target="https://statiz.sporki.com/player/?m=playerinfo&amp;p_no=11342" TargetMode="External"/><Relationship Id="rId5444" Type="http://schemas.openxmlformats.org/officeDocument/2006/relationships/hyperlink" Target="https://statiz.sporki.com/add/?m=draft_school01&amp;ps_school=50601" TargetMode="External"/><Relationship Id="rId11995" Type="http://schemas.openxmlformats.org/officeDocument/2006/relationships/hyperlink" Target="https://statiz.sporki.com/player/?m=playerinfo&amp;p_no=1075" TargetMode="External"/><Relationship Id="rId15038" Type="http://schemas.openxmlformats.org/officeDocument/2006/relationships/hyperlink" Target="https://statiz.sporki.com/player/?m=playerinfo&amp;p_no=2051" TargetMode="External"/><Relationship Id="rId19659" Type="http://schemas.openxmlformats.org/officeDocument/2006/relationships/hyperlink" Target="https://statiz.sporki.com/add/?m=draft_school01&amp;ps_school=50501" TargetMode="External"/><Relationship Id="rId4046" Type="http://schemas.openxmlformats.org/officeDocument/2006/relationships/hyperlink" Target="https://statiz.sporki.com/add/?m=draft_school01&amp;ps_school=50605" TargetMode="External"/><Relationship Id="rId8667" Type="http://schemas.openxmlformats.org/officeDocument/2006/relationships/hyperlink" Target="https://statiz.sporki.com/add/?m=draft_school02&amp;ps_school=60104" TargetMode="External"/><Relationship Id="rId9718" Type="http://schemas.openxmlformats.org/officeDocument/2006/relationships/hyperlink" Target="https://statiz.sporki.com/player/?m=playerinfo&amp;p_no=2096" TargetMode="External"/><Relationship Id="rId10597" Type="http://schemas.openxmlformats.org/officeDocument/2006/relationships/hyperlink" Target="https://statiz.sporki.com/player/?m=playerinfo&amp;p_no=1470" TargetMode="External"/><Relationship Id="rId11648" Type="http://schemas.openxmlformats.org/officeDocument/2006/relationships/hyperlink" Target="https://statiz.sporki.com/add/?m=draft_school01&amp;ps_school=50701" TargetMode="External"/><Relationship Id="rId1707" Type="http://schemas.openxmlformats.org/officeDocument/2006/relationships/hyperlink" Target="https://statiz.sporki.com/add/?m=draft_school02&amp;ps_school=60114" TargetMode="External"/><Relationship Id="rId7269" Type="http://schemas.openxmlformats.org/officeDocument/2006/relationships/hyperlink" Target="https://statiz.sporki.com/add/?m=draft_school02&amp;ps_school=" TargetMode="External"/><Relationship Id="rId13070" Type="http://schemas.openxmlformats.org/officeDocument/2006/relationships/hyperlink" Target="https://statiz.sporki.com/player/?m=playerinfo&amp;p_no=12905" TargetMode="External"/><Relationship Id="rId14121" Type="http://schemas.openxmlformats.org/officeDocument/2006/relationships/hyperlink" Target="https://statiz.sporki.com/player/?m=playerinfo&amp;p_no=10204" TargetMode="External"/><Relationship Id="rId16293" Type="http://schemas.openxmlformats.org/officeDocument/2006/relationships/hyperlink" Target="https://statiz.sporki.com/add/?m=draft_school01&amp;ps_school=50103" TargetMode="External"/><Relationship Id="rId17691" Type="http://schemas.openxmlformats.org/officeDocument/2006/relationships/hyperlink" Target="https://statiz.sporki.com/add/?m=draft_school01&amp;ps_school=50403" TargetMode="External"/><Relationship Id="rId18742" Type="http://schemas.openxmlformats.org/officeDocument/2006/relationships/hyperlink" Target="https://statiz.sporki.com/add/?m=draft_school01&amp;ps_school=50108" TargetMode="External"/><Relationship Id="rId3879" Type="http://schemas.openxmlformats.org/officeDocument/2006/relationships/hyperlink" Target="https://statiz.sporki.com/add/?m=draft_school02&amp;ps_school=60104" TargetMode="External"/><Relationship Id="rId6352" Type="http://schemas.openxmlformats.org/officeDocument/2006/relationships/hyperlink" Target="https://statiz.sporki.com/player/?m=playerinfo&amp;p_no=10089" TargetMode="External"/><Relationship Id="rId7750" Type="http://schemas.openxmlformats.org/officeDocument/2006/relationships/hyperlink" Target="https://statiz.sporki.com/player/?m=playerinfo&amp;p_no=2189" TargetMode="External"/><Relationship Id="rId8801" Type="http://schemas.openxmlformats.org/officeDocument/2006/relationships/hyperlink" Target="https://statiz.sporki.com/add/?m=draft_school01&amp;ps_school=50114" TargetMode="External"/><Relationship Id="rId10731" Type="http://schemas.openxmlformats.org/officeDocument/2006/relationships/hyperlink" Target="https://statiz.sporki.com/add/?m=draft_school02&amp;ps_school=" TargetMode="External"/><Relationship Id="rId17344" Type="http://schemas.openxmlformats.org/officeDocument/2006/relationships/hyperlink" Target="https://statiz.sporki.com/add/?m=draft_school01&amp;ps_school=50109" TargetMode="External"/><Relationship Id="rId6005" Type="http://schemas.openxmlformats.org/officeDocument/2006/relationships/hyperlink" Target="https://statiz.sporki.com/add/?m=draft_school01&amp;ps_school=50206" TargetMode="External"/><Relationship Id="rId7403" Type="http://schemas.openxmlformats.org/officeDocument/2006/relationships/hyperlink" Target="https://statiz.sporki.com/add/?m=draft_school01&amp;ps_school=" TargetMode="External"/><Relationship Id="rId13954" Type="http://schemas.openxmlformats.org/officeDocument/2006/relationships/hyperlink" Target="https://statiz.sporki.com/player/?m=playerinfo&amp;p_no=12967" TargetMode="External"/><Relationship Id="rId2962" Type="http://schemas.openxmlformats.org/officeDocument/2006/relationships/hyperlink" Target="https://statiz.sporki.com/player/?m=playerinfo&amp;p_no=13193" TargetMode="External"/><Relationship Id="rId9575" Type="http://schemas.openxmlformats.org/officeDocument/2006/relationships/hyperlink" Target="https://statiz.sporki.com/add/?m=draft_school01&amp;ps_school=50901" TargetMode="External"/><Relationship Id="rId12556" Type="http://schemas.openxmlformats.org/officeDocument/2006/relationships/hyperlink" Target="https://statiz.sporki.com/player/?m=playerinfo&amp;p_no=14815" TargetMode="External"/><Relationship Id="rId13607" Type="http://schemas.openxmlformats.org/officeDocument/2006/relationships/hyperlink" Target="https://statiz.sporki.com/player/?m=playerinfo&amp;p_no=11348" TargetMode="External"/><Relationship Id="rId19169" Type="http://schemas.openxmlformats.org/officeDocument/2006/relationships/hyperlink" Target="https://statiz.sporki.com/add/?m=draft_school01&amp;ps_school=50121" TargetMode="External"/><Relationship Id="rId934" Type="http://schemas.openxmlformats.org/officeDocument/2006/relationships/hyperlink" Target="https://statiz.sporki.com/player/?m=playerinfo&amp;p_no=15131" TargetMode="External"/><Relationship Id="rId1564" Type="http://schemas.openxmlformats.org/officeDocument/2006/relationships/hyperlink" Target="https://statiz.sporki.com/player/?m=playerinfo&amp;p_no=14717" TargetMode="External"/><Relationship Id="rId2615" Type="http://schemas.openxmlformats.org/officeDocument/2006/relationships/hyperlink" Target="https://statiz.sporki.com/add/?m=draft_school01&amp;ps_school=50208" TargetMode="External"/><Relationship Id="rId8177" Type="http://schemas.openxmlformats.org/officeDocument/2006/relationships/hyperlink" Target="https://statiz.sporki.com/add/?m=draft_school01&amp;ps_school=50711" TargetMode="External"/><Relationship Id="rId9228" Type="http://schemas.openxmlformats.org/officeDocument/2006/relationships/hyperlink" Target="https://statiz.sporki.com/add/?m=draft_school02&amp;ps_school=" TargetMode="External"/><Relationship Id="rId11158" Type="http://schemas.openxmlformats.org/officeDocument/2006/relationships/hyperlink" Target="https://statiz.sporki.com/player/?m=playerinfo&amp;p_no=1317" TargetMode="External"/><Relationship Id="rId12209" Type="http://schemas.openxmlformats.org/officeDocument/2006/relationships/hyperlink" Target="https://statiz.sporki.com/player/?m=playerinfo&amp;p_no=15503" TargetMode="External"/><Relationship Id="rId15779" Type="http://schemas.openxmlformats.org/officeDocument/2006/relationships/hyperlink" Target="https://statiz.sporki.com/player/?m=playerinfo&amp;p_no=1405" TargetMode="External"/><Relationship Id="rId19650" Type="http://schemas.openxmlformats.org/officeDocument/2006/relationships/hyperlink" Target="https://statiz.sporki.com/add/?m=draft_school01&amp;ps_school=50701" TargetMode="External"/><Relationship Id="rId1217" Type="http://schemas.openxmlformats.org/officeDocument/2006/relationships/hyperlink" Target="https://statiz.sporki.com/add/?m=draft_school01&amp;ps_school=50220" TargetMode="External"/><Relationship Id="rId4787" Type="http://schemas.openxmlformats.org/officeDocument/2006/relationships/hyperlink" Target="https://statiz.sporki.com/add/?m=draft_school01&amp;ps_school=50116" TargetMode="External"/><Relationship Id="rId5838" Type="http://schemas.openxmlformats.org/officeDocument/2006/relationships/hyperlink" Target="https://statiz.sporki.com/add/?m=draft_school02&amp;ps_school=60802" TargetMode="External"/><Relationship Id="rId18252" Type="http://schemas.openxmlformats.org/officeDocument/2006/relationships/hyperlink" Target="https://statiz.sporki.com/add/?m=draft_school01&amp;ps_school=50207" TargetMode="External"/><Relationship Id="rId19303" Type="http://schemas.openxmlformats.org/officeDocument/2006/relationships/hyperlink" Target="https://statiz.sporki.com/add/?m=draft_school01&amp;ps_school=50701" TargetMode="External"/><Relationship Id="rId3389" Type="http://schemas.openxmlformats.org/officeDocument/2006/relationships/hyperlink" Target="https://statiz.sporki.com/add/?m=draft_school01&amp;ps_school=50601" TargetMode="External"/><Relationship Id="rId7260" Type="http://schemas.openxmlformats.org/officeDocument/2006/relationships/hyperlink" Target="https://statiz.sporki.com/add/?m=draft_school02&amp;ps_school=" TargetMode="External"/><Relationship Id="rId8311" Type="http://schemas.openxmlformats.org/officeDocument/2006/relationships/hyperlink" Target="https://statiz.sporki.com/player/?m=playerinfo&amp;p_no=2176" TargetMode="External"/><Relationship Id="rId10241" Type="http://schemas.openxmlformats.org/officeDocument/2006/relationships/hyperlink" Target="https://statiz.sporki.com/add/?m=draft_school01&amp;ps_school=50502" TargetMode="External"/><Relationship Id="rId14862" Type="http://schemas.openxmlformats.org/officeDocument/2006/relationships/hyperlink" Target="https://statiz.sporki.com/player/?m=playerinfo&amp;p_no=10201" TargetMode="External"/><Relationship Id="rId15913" Type="http://schemas.openxmlformats.org/officeDocument/2006/relationships/hyperlink" Target="https://statiz.sporki.com/player/?m=playerinfo&amp;p_no=1266" TargetMode="External"/><Relationship Id="rId3870" Type="http://schemas.openxmlformats.org/officeDocument/2006/relationships/hyperlink" Target="https://statiz.sporki.com/add/?m=draft_school02&amp;ps_school=60104" TargetMode="External"/><Relationship Id="rId4921" Type="http://schemas.openxmlformats.org/officeDocument/2006/relationships/hyperlink" Target="https://statiz.sporki.com/player/?m=playerinfo&amp;p_no=10856" TargetMode="External"/><Relationship Id="rId9085" Type="http://schemas.openxmlformats.org/officeDocument/2006/relationships/hyperlink" Target="https://statiz.sporki.com/player/?m=playerinfo&amp;p_no=2006" TargetMode="External"/><Relationship Id="rId13464" Type="http://schemas.openxmlformats.org/officeDocument/2006/relationships/hyperlink" Target="https://statiz.sporki.com/player/?m=playerinfo&amp;p_no=14187" TargetMode="External"/><Relationship Id="rId14515" Type="http://schemas.openxmlformats.org/officeDocument/2006/relationships/hyperlink" Target="https://statiz.sporki.com/player/?m=playerinfo&amp;p_no=10271" TargetMode="External"/><Relationship Id="rId791" Type="http://schemas.openxmlformats.org/officeDocument/2006/relationships/hyperlink" Target="https://statiz.sporki.com/add/?m=draft_school01&amp;ps_school=50120" TargetMode="External"/><Relationship Id="rId1074" Type="http://schemas.openxmlformats.org/officeDocument/2006/relationships/hyperlink" Target="https://statiz.sporki.com/add/?m=draft_school02&amp;ps_school=" TargetMode="External"/><Relationship Id="rId2472" Type="http://schemas.openxmlformats.org/officeDocument/2006/relationships/hyperlink" Target="https://statiz.sporki.com/add/?m=draft_school02&amp;ps_school=" TargetMode="External"/><Relationship Id="rId3523" Type="http://schemas.openxmlformats.org/officeDocument/2006/relationships/hyperlink" Target="https://statiz.sporki.com/player/?m=playerinfo&amp;p_no=12506" TargetMode="External"/><Relationship Id="rId12066" Type="http://schemas.openxmlformats.org/officeDocument/2006/relationships/hyperlink" Target="https://statiz.sporki.com/add/?m=draft_school02&amp;ps_school=" TargetMode="External"/><Relationship Id="rId13117" Type="http://schemas.openxmlformats.org/officeDocument/2006/relationships/hyperlink" Target="https://statiz.sporki.com/player/?m=playerinfo&amp;p_no=12860" TargetMode="External"/><Relationship Id="rId16687" Type="http://schemas.openxmlformats.org/officeDocument/2006/relationships/hyperlink" Target="https://statiz.sporki.com/add/?m=draft_school01&amp;ps_school=50116" TargetMode="External"/><Relationship Id="rId17738" Type="http://schemas.openxmlformats.org/officeDocument/2006/relationships/hyperlink" Target="https://statiz.sporki.com/add/?m=draft_school01&amp;ps_school=50202" TargetMode="External"/><Relationship Id="rId444" Type="http://schemas.openxmlformats.org/officeDocument/2006/relationships/hyperlink" Target="https://statiz.sporki.com/add/?m=draft_school02&amp;ps_school=60114" TargetMode="External"/><Relationship Id="rId2125" Type="http://schemas.openxmlformats.org/officeDocument/2006/relationships/hyperlink" Target="https://statiz.sporki.com/player/?m=playerinfo&amp;p_no=14154" TargetMode="External"/><Relationship Id="rId5695" Type="http://schemas.openxmlformats.org/officeDocument/2006/relationships/hyperlink" Target="https://statiz.sporki.com/player/?m=playerinfo&amp;p_no=13280" TargetMode="External"/><Relationship Id="rId6746" Type="http://schemas.openxmlformats.org/officeDocument/2006/relationships/hyperlink" Target="https://statiz.sporki.com/add/?m=draft_school01&amp;ps_school=50805" TargetMode="External"/><Relationship Id="rId15289" Type="http://schemas.openxmlformats.org/officeDocument/2006/relationships/hyperlink" Target="https://statiz.sporki.com/player/?m=playerinfo&amp;p_no=1797" TargetMode="External"/><Relationship Id="rId19160" Type="http://schemas.openxmlformats.org/officeDocument/2006/relationships/hyperlink" Target="https://statiz.sporki.com/add/?m=draft_school01&amp;ps_school=50814" TargetMode="External"/><Relationship Id="rId4297" Type="http://schemas.openxmlformats.org/officeDocument/2006/relationships/hyperlink" Target="https://statiz.sporki.com/player/?m=playerinfo&amp;p_no=12655" TargetMode="External"/><Relationship Id="rId5348" Type="http://schemas.openxmlformats.org/officeDocument/2006/relationships/hyperlink" Target="https://statiz.sporki.com/add/?m=draft_school01&amp;ps_school=50112" TargetMode="External"/><Relationship Id="rId9969" Type="http://schemas.openxmlformats.org/officeDocument/2006/relationships/hyperlink" Target="https://statiz.sporki.com/add/?m=draft_school02&amp;ps_school=" TargetMode="External"/><Relationship Id="rId12200" Type="http://schemas.openxmlformats.org/officeDocument/2006/relationships/hyperlink" Target="https://statiz.sporki.com/player/?m=playerinfo&amp;p_no=15513" TargetMode="External"/><Relationship Id="rId11899" Type="http://schemas.openxmlformats.org/officeDocument/2006/relationships/hyperlink" Target="https://statiz.sporki.com/player/?m=playerinfo&amp;p_no=1097" TargetMode="External"/><Relationship Id="rId14372" Type="http://schemas.openxmlformats.org/officeDocument/2006/relationships/hyperlink" Target="https://statiz.sporki.com/player/?m=playerinfo&amp;p_no=10043" TargetMode="External"/><Relationship Id="rId15770" Type="http://schemas.openxmlformats.org/officeDocument/2006/relationships/hyperlink" Target="https://statiz.sporki.com/player/?m=playerinfo&amp;p_no=1399" TargetMode="External"/><Relationship Id="rId16821" Type="http://schemas.openxmlformats.org/officeDocument/2006/relationships/hyperlink" Target="https://statiz.sporki.com/add/?m=draft_school01&amp;ps_school=50209" TargetMode="External"/><Relationship Id="rId1958" Type="http://schemas.openxmlformats.org/officeDocument/2006/relationships/hyperlink" Target="https://statiz.sporki.com/add/?m=draft_school01&amp;ps_school=50111" TargetMode="External"/><Relationship Id="rId3380" Type="http://schemas.openxmlformats.org/officeDocument/2006/relationships/hyperlink" Target="https://statiz.sporki.com/add/?m=draft_school01&amp;ps_school=50113" TargetMode="External"/><Relationship Id="rId4431" Type="http://schemas.openxmlformats.org/officeDocument/2006/relationships/hyperlink" Target="https://statiz.sporki.com/add/?m=draft_school02&amp;ps_school=" TargetMode="External"/><Relationship Id="rId14025" Type="http://schemas.openxmlformats.org/officeDocument/2006/relationships/hyperlink" Target="https://statiz.sporki.com/player/?m=playerinfo&amp;p_no=10162" TargetMode="External"/><Relationship Id="rId15423" Type="http://schemas.openxmlformats.org/officeDocument/2006/relationships/hyperlink" Target="https://statiz.sporki.com/player/?m=playerinfo&amp;p_no=1677" TargetMode="External"/><Relationship Id="rId18993" Type="http://schemas.openxmlformats.org/officeDocument/2006/relationships/hyperlink" Target="https://statiz.sporki.com/add/?m=draft_school01&amp;ps_school=50403" TargetMode="External"/><Relationship Id="rId3033" Type="http://schemas.openxmlformats.org/officeDocument/2006/relationships/hyperlink" Target="https://statiz.sporki.com/add/?m=draft_school02&amp;ps_school=60102" TargetMode="External"/><Relationship Id="rId10982" Type="http://schemas.openxmlformats.org/officeDocument/2006/relationships/hyperlink" Target="https://statiz.sporki.com/add/?m=draft_school01&amp;ps_school=50403" TargetMode="External"/><Relationship Id="rId17595" Type="http://schemas.openxmlformats.org/officeDocument/2006/relationships/hyperlink" Target="https://statiz.sporki.com/add/?m=draft_school01&amp;ps_school=50606" TargetMode="External"/><Relationship Id="rId18646" Type="http://schemas.openxmlformats.org/officeDocument/2006/relationships/hyperlink" Target="https://statiz.sporki.com/add/?m=draft_school01&amp;ps_school=50402" TargetMode="External"/><Relationship Id="rId7654" Type="http://schemas.openxmlformats.org/officeDocument/2006/relationships/hyperlink" Target="https://statiz.sporki.com/player/?m=playerinfo&amp;p_no=10664" TargetMode="External"/><Relationship Id="rId8705" Type="http://schemas.openxmlformats.org/officeDocument/2006/relationships/hyperlink" Target="https://statiz.sporki.com/add/?m=draft_school01&amp;ps_school=50502" TargetMode="External"/><Relationship Id="rId10635" Type="http://schemas.openxmlformats.org/officeDocument/2006/relationships/hyperlink" Target="https://statiz.sporki.com/add/?m=draft_school02&amp;ps_school=60803" TargetMode="External"/><Relationship Id="rId16197" Type="http://schemas.openxmlformats.org/officeDocument/2006/relationships/hyperlink" Target="https://statiz.sporki.com/add/?m=draft_school01&amp;ps_school=50403" TargetMode="External"/><Relationship Id="rId17248" Type="http://schemas.openxmlformats.org/officeDocument/2006/relationships/hyperlink" Target="https://statiz.sporki.com/add/?m=draft_school01&amp;ps_school=50113" TargetMode="External"/><Relationship Id="rId6256" Type="http://schemas.openxmlformats.org/officeDocument/2006/relationships/hyperlink" Target="https://statiz.sporki.com/player/?m=playerinfo&amp;p_no=10170" TargetMode="External"/><Relationship Id="rId7307" Type="http://schemas.openxmlformats.org/officeDocument/2006/relationships/hyperlink" Target="https://statiz.sporki.com/add/?m=draft_school01&amp;ps_school=50802" TargetMode="External"/><Relationship Id="rId13858" Type="http://schemas.openxmlformats.org/officeDocument/2006/relationships/hyperlink" Target="https://statiz.sporki.com/player/?m=playerinfo&amp;p_no=11114" TargetMode="External"/><Relationship Id="rId2866" Type="http://schemas.openxmlformats.org/officeDocument/2006/relationships/hyperlink" Target="https://statiz.sporki.com/player/?m=playerinfo&amp;p_no=12911" TargetMode="External"/><Relationship Id="rId3917" Type="http://schemas.openxmlformats.org/officeDocument/2006/relationships/hyperlink" Target="https://statiz.sporki.com/add/?m=draft_school01&amp;ps_school=" TargetMode="External"/><Relationship Id="rId9479" Type="http://schemas.openxmlformats.org/officeDocument/2006/relationships/hyperlink" Target="https://statiz.sporki.com/add/?m=draft_school01&amp;ps_school=50114" TargetMode="External"/><Relationship Id="rId14909" Type="http://schemas.openxmlformats.org/officeDocument/2006/relationships/hyperlink" Target="https://statiz.sporki.com/player/?m=playerinfo&amp;p_no=10488" TargetMode="External"/><Relationship Id="rId15280" Type="http://schemas.openxmlformats.org/officeDocument/2006/relationships/hyperlink" Target="https://statiz.sporki.com/player/?m=playerinfo&amp;p_no=1829" TargetMode="External"/><Relationship Id="rId16331" Type="http://schemas.openxmlformats.org/officeDocument/2006/relationships/hyperlink" Target="https://statiz.sporki.com/add/?m=draft_school01&amp;ps_school=50107" TargetMode="External"/><Relationship Id="rId838" Type="http://schemas.openxmlformats.org/officeDocument/2006/relationships/hyperlink" Target="https://statiz.sporki.com/player/?m=playerinfo&amp;p_no=15008" TargetMode="External"/><Relationship Id="rId1468" Type="http://schemas.openxmlformats.org/officeDocument/2006/relationships/hyperlink" Target="https://statiz.sporki.com/player/?m=playerinfo&amp;p_no=14621" TargetMode="External"/><Relationship Id="rId2519" Type="http://schemas.openxmlformats.org/officeDocument/2006/relationships/hyperlink" Target="https://statiz.sporki.com/add/?m=draft_school01&amp;ps_school=50501" TargetMode="External"/><Relationship Id="rId8562" Type="http://schemas.openxmlformats.org/officeDocument/2006/relationships/hyperlink" Target="https://statiz.sporki.com/add/?m=draft_school02&amp;ps_school=60108" TargetMode="External"/><Relationship Id="rId9960" Type="http://schemas.openxmlformats.org/officeDocument/2006/relationships/hyperlink" Target="https://statiz.sporki.com/add/?m=draft_school02&amp;ps_school=" TargetMode="External"/><Relationship Id="rId11890" Type="http://schemas.openxmlformats.org/officeDocument/2006/relationships/hyperlink" Target="https://statiz.sporki.com/player/?m=playerinfo&amp;p_no=1072" TargetMode="External"/><Relationship Id="rId12941" Type="http://schemas.openxmlformats.org/officeDocument/2006/relationships/hyperlink" Target="https://statiz.sporki.com/player/?m=playerinfo&amp;p_no=13072" TargetMode="External"/><Relationship Id="rId18156" Type="http://schemas.openxmlformats.org/officeDocument/2006/relationships/hyperlink" Target="https://statiz.sporki.com/add/?m=draft_school01&amp;ps_school=50602" TargetMode="External"/><Relationship Id="rId19554" Type="http://schemas.openxmlformats.org/officeDocument/2006/relationships/hyperlink" Target="https://statiz.sporki.com/add/?m=draft_school01&amp;ps_school=50119" TargetMode="External"/><Relationship Id="rId7164" Type="http://schemas.openxmlformats.org/officeDocument/2006/relationships/hyperlink" Target="https://statiz.sporki.com/add/?m=draft_school02&amp;ps_school=60804" TargetMode="External"/><Relationship Id="rId8215" Type="http://schemas.openxmlformats.org/officeDocument/2006/relationships/hyperlink" Target="https://statiz.sporki.com/player/?m=playerinfo&amp;p_no=2133" TargetMode="External"/><Relationship Id="rId9613" Type="http://schemas.openxmlformats.org/officeDocument/2006/relationships/hyperlink" Target="https://statiz.sporki.com/player/?m=playerinfo&amp;p_no=1722" TargetMode="External"/><Relationship Id="rId10492" Type="http://schemas.openxmlformats.org/officeDocument/2006/relationships/hyperlink" Target="https://statiz.sporki.com/player/?m=playerinfo&amp;p_no=1623" TargetMode="External"/><Relationship Id="rId11543" Type="http://schemas.openxmlformats.org/officeDocument/2006/relationships/hyperlink" Target="https://statiz.sporki.com/add/?m=draft_school01&amp;ps_school=50101" TargetMode="External"/><Relationship Id="rId19207" Type="http://schemas.openxmlformats.org/officeDocument/2006/relationships/hyperlink" Target="https://statiz.sporki.com/add/?m=draft_school01&amp;ps_school=50711" TargetMode="External"/><Relationship Id="rId1602" Type="http://schemas.openxmlformats.org/officeDocument/2006/relationships/hyperlink" Target="https://statiz.sporki.com/add/?m=draft_school02&amp;ps_school=" TargetMode="External"/><Relationship Id="rId10145" Type="http://schemas.openxmlformats.org/officeDocument/2006/relationships/hyperlink" Target="https://statiz.sporki.com/add/?m=draft_school01&amp;ps_school=" TargetMode="External"/><Relationship Id="rId14766" Type="http://schemas.openxmlformats.org/officeDocument/2006/relationships/hyperlink" Target="https://statiz.sporki.com/player/?m=playerinfo&amp;p_no=10666" TargetMode="External"/><Relationship Id="rId15817" Type="http://schemas.openxmlformats.org/officeDocument/2006/relationships/hyperlink" Target="https://statiz.sporki.com/player/?m=playerinfo&amp;p_no=1349" TargetMode="External"/><Relationship Id="rId3774" Type="http://schemas.openxmlformats.org/officeDocument/2006/relationships/hyperlink" Target="https://statiz.sporki.com/add/?m=draft_school02&amp;ps_school=" TargetMode="External"/><Relationship Id="rId4825" Type="http://schemas.openxmlformats.org/officeDocument/2006/relationships/hyperlink" Target="https://statiz.sporki.com/player/?m=playerinfo&amp;p_no=10817" TargetMode="External"/><Relationship Id="rId13368" Type="http://schemas.openxmlformats.org/officeDocument/2006/relationships/hyperlink" Target="https://statiz.sporki.com/player/?m=playerinfo&amp;p_no=11299" TargetMode="External"/><Relationship Id="rId14419" Type="http://schemas.openxmlformats.org/officeDocument/2006/relationships/hyperlink" Target="https://statiz.sporki.com/player/?m=playerinfo&amp;p_no=10211" TargetMode="External"/><Relationship Id="rId17989" Type="http://schemas.openxmlformats.org/officeDocument/2006/relationships/hyperlink" Target="https://statiz.sporki.com/add/?m=draft_school01&amp;ps_school=50112" TargetMode="External"/><Relationship Id="rId695" Type="http://schemas.openxmlformats.org/officeDocument/2006/relationships/hyperlink" Target="https://statiz.sporki.com/add/?m=draft_school01&amp;ps_school=50105" TargetMode="External"/><Relationship Id="rId2376" Type="http://schemas.openxmlformats.org/officeDocument/2006/relationships/hyperlink" Target="https://statiz.sporki.com/add/?m=draft_school02&amp;ps_school=" TargetMode="External"/><Relationship Id="rId3427" Type="http://schemas.openxmlformats.org/officeDocument/2006/relationships/hyperlink" Target="https://statiz.sporki.com/player/?m=playerinfo&amp;p_no=12625" TargetMode="External"/><Relationship Id="rId6997" Type="http://schemas.openxmlformats.org/officeDocument/2006/relationships/hyperlink" Target="https://statiz.sporki.com/player/?m=playerinfo&amp;p_no=10614" TargetMode="External"/><Relationship Id="rId348" Type="http://schemas.openxmlformats.org/officeDocument/2006/relationships/hyperlink" Target="https://statiz.sporki.com/add/?m=draft_school02&amp;ps_school=" TargetMode="External"/><Relationship Id="rId2029" Type="http://schemas.openxmlformats.org/officeDocument/2006/relationships/hyperlink" Target="https://statiz.sporki.com/player/?m=playerinfo&amp;p_no=14191" TargetMode="External"/><Relationship Id="rId5599" Type="http://schemas.openxmlformats.org/officeDocument/2006/relationships/hyperlink" Target="https://statiz.sporki.com/player/?m=playerinfo&amp;p_no=10002" TargetMode="External"/><Relationship Id="rId9470" Type="http://schemas.openxmlformats.org/officeDocument/2006/relationships/hyperlink" Target="https://statiz.sporki.com/add/?m=draft_school01&amp;ps_school=50604" TargetMode="External"/><Relationship Id="rId14900" Type="http://schemas.openxmlformats.org/officeDocument/2006/relationships/hyperlink" Target="https://statiz.sporki.com/player/?m=playerinfo&amp;p_no=2091" TargetMode="External"/><Relationship Id="rId19064" Type="http://schemas.openxmlformats.org/officeDocument/2006/relationships/hyperlink" Target="https://statiz.sporki.com/add/?m=draft_school01&amp;ps_school=50127" TargetMode="External"/><Relationship Id="rId2510" Type="http://schemas.openxmlformats.org/officeDocument/2006/relationships/hyperlink" Target="https://statiz.sporki.com/add/?m=draft_school01&amp;ps_school=50801" TargetMode="External"/><Relationship Id="rId8072" Type="http://schemas.openxmlformats.org/officeDocument/2006/relationships/hyperlink" Target="https://statiz.sporki.com/add/?m=draft_school01&amp;ps_school=50102" TargetMode="External"/><Relationship Id="rId9123" Type="http://schemas.openxmlformats.org/officeDocument/2006/relationships/hyperlink" Target="https://statiz.sporki.com/add/?m=draft_school02&amp;ps_school=60803" TargetMode="External"/><Relationship Id="rId11053" Type="http://schemas.openxmlformats.org/officeDocument/2006/relationships/hyperlink" Target="https://statiz.sporki.com/player/?m=playerinfo&amp;p_no=1360" TargetMode="External"/><Relationship Id="rId12104" Type="http://schemas.openxmlformats.org/officeDocument/2006/relationships/hyperlink" Target="https://statiz.sporki.com/add/?m=draft_school01&amp;ps_school=50501" TargetMode="External"/><Relationship Id="rId12451" Type="http://schemas.openxmlformats.org/officeDocument/2006/relationships/hyperlink" Target="https://statiz.sporki.com/player/?m=playerinfo&amp;p_no=15130" TargetMode="External"/><Relationship Id="rId13502" Type="http://schemas.openxmlformats.org/officeDocument/2006/relationships/hyperlink" Target="https://statiz.sporki.com/player/?m=playerinfo&amp;p_no=11197" TargetMode="External"/><Relationship Id="rId1112" Type="http://schemas.openxmlformats.org/officeDocument/2006/relationships/hyperlink" Target="https://statiz.sporki.com/add/?m=draft_school01&amp;ps_school=50805" TargetMode="External"/><Relationship Id="rId15674" Type="http://schemas.openxmlformats.org/officeDocument/2006/relationships/hyperlink" Target="https://statiz.sporki.com/player/?m=playerinfo&amp;p_no=1470" TargetMode="External"/><Relationship Id="rId16725" Type="http://schemas.openxmlformats.org/officeDocument/2006/relationships/hyperlink" Target="https://statiz.sporki.com/add/?m=draft_school01&amp;ps_school=50802" TargetMode="External"/><Relationship Id="rId3284" Type="http://schemas.openxmlformats.org/officeDocument/2006/relationships/hyperlink" Target="https://statiz.sporki.com/add/?m=draft_school01&amp;ps_school=50103" TargetMode="External"/><Relationship Id="rId4682" Type="http://schemas.openxmlformats.org/officeDocument/2006/relationships/hyperlink" Target="https://statiz.sporki.com/add/?m=draft_school01&amp;ps_school=" TargetMode="External"/><Relationship Id="rId5733" Type="http://schemas.openxmlformats.org/officeDocument/2006/relationships/hyperlink" Target="https://statiz.sporki.com/add/?m=draft_school02&amp;ps_school=60902" TargetMode="External"/><Relationship Id="rId14276" Type="http://schemas.openxmlformats.org/officeDocument/2006/relationships/hyperlink" Target="https://statiz.sporki.com/player/?m=playerinfo&amp;p_no=10257" TargetMode="External"/><Relationship Id="rId15327" Type="http://schemas.openxmlformats.org/officeDocument/2006/relationships/hyperlink" Target="https://statiz.sporki.com/player/?m=playerinfo&amp;p_no=1769" TargetMode="External"/><Relationship Id="rId18897" Type="http://schemas.openxmlformats.org/officeDocument/2006/relationships/hyperlink" Target="https://statiz.sporki.com/add/?m=draft_school01&amp;ps_school=50803" TargetMode="External"/><Relationship Id="rId4335" Type="http://schemas.openxmlformats.org/officeDocument/2006/relationships/hyperlink" Target="https://statiz.sporki.com/add/?m=draft_school02&amp;ps_school=" TargetMode="External"/><Relationship Id="rId8956" Type="http://schemas.openxmlformats.org/officeDocument/2006/relationships/hyperlink" Target="https://statiz.sporki.com/player/?m=playerinfo&amp;p_no=10105" TargetMode="External"/><Relationship Id="rId10886" Type="http://schemas.openxmlformats.org/officeDocument/2006/relationships/hyperlink" Target="https://statiz.sporki.com/add/?m=draft_school01&amp;ps_school=" TargetMode="External"/><Relationship Id="rId11937" Type="http://schemas.openxmlformats.org/officeDocument/2006/relationships/hyperlink" Target="https://statiz.sporki.com/add/?m=draft_school02&amp;ps_school=" TargetMode="External"/><Relationship Id="rId17499" Type="http://schemas.openxmlformats.org/officeDocument/2006/relationships/hyperlink" Target="https://statiz.sporki.com/add/?m=draft_school01&amp;ps_school=50808" TargetMode="External"/><Relationship Id="rId7558" Type="http://schemas.openxmlformats.org/officeDocument/2006/relationships/hyperlink" Target="https://statiz.sporki.com/player/?m=playerinfo&amp;p_no=10450" TargetMode="External"/><Relationship Id="rId8609" Type="http://schemas.openxmlformats.org/officeDocument/2006/relationships/hyperlink" Target="https://statiz.sporki.com/add/?m=draft_school01&amp;ps_school=50813" TargetMode="External"/><Relationship Id="rId10539" Type="http://schemas.openxmlformats.org/officeDocument/2006/relationships/hyperlink" Target="https://statiz.sporki.com/add/?m=draft_school02&amp;ps_school=60101" TargetMode="External"/><Relationship Id="rId14410" Type="http://schemas.openxmlformats.org/officeDocument/2006/relationships/hyperlink" Target="https://statiz.sporki.com/player/?m=playerinfo&amp;p_no=2343" TargetMode="External"/><Relationship Id="rId13012" Type="http://schemas.openxmlformats.org/officeDocument/2006/relationships/hyperlink" Target="https://statiz.sporki.com/player/?m=playerinfo&amp;p_no=13166" TargetMode="External"/><Relationship Id="rId16582" Type="http://schemas.openxmlformats.org/officeDocument/2006/relationships/hyperlink" Target="https://statiz.sporki.com/add/?m=draft_school01&amp;ps_school=50302" TargetMode="External"/><Relationship Id="rId17980" Type="http://schemas.openxmlformats.org/officeDocument/2006/relationships/hyperlink" Target="https://statiz.sporki.com/add/?m=draft_school01&amp;ps_school=50111" TargetMode="External"/><Relationship Id="rId2020" Type="http://schemas.openxmlformats.org/officeDocument/2006/relationships/hyperlink" Target="https://statiz.sporki.com/player/?m=playerinfo&amp;p_no=14118" TargetMode="External"/><Relationship Id="rId5590" Type="http://schemas.openxmlformats.org/officeDocument/2006/relationships/hyperlink" Target="https://statiz.sporki.com/player/?m=playerinfo&amp;p_no=10308" TargetMode="External"/><Relationship Id="rId6641" Type="http://schemas.openxmlformats.org/officeDocument/2006/relationships/hyperlink" Target="https://statiz.sporki.com/add/?m=draft_school01&amp;ps_school=" TargetMode="External"/><Relationship Id="rId15184" Type="http://schemas.openxmlformats.org/officeDocument/2006/relationships/hyperlink" Target="https://statiz.sporki.com/player/?m=playerinfo&amp;p_no=1907" TargetMode="External"/><Relationship Id="rId16235" Type="http://schemas.openxmlformats.org/officeDocument/2006/relationships/hyperlink" Target="https://statiz.sporki.com/add/?m=draft_school01&amp;ps_school=50404" TargetMode="External"/><Relationship Id="rId17633" Type="http://schemas.openxmlformats.org/officeDocument/2006/relationships/hyperlink" Target="https://statiz.sporki.com/add/?m=draft_school01&amp;ps_school=50701" TargetMode="External"/><Relationship Id="rId4192" Type="http://schemas.openxmlformats.org/officeDocument/2006/relationships/hyperlink" Target="https://statiz.sporki.com/player/?m=playerinfo&amp;p_no=11234" TargetMode="External"/><Relationship Id="rId5243" Type="http://schemas.openxmlformats.org/officeDocument/2006/relationships/hyperlink" Target="https://statiz.sporki.com/add/?m=draft_school01&amp;ps_school=50403" TargetMode="External"/><Relationship Id="rId9864" Type="http://schemas.openxmlformats.org/officeDocument/2006/relationships/hyperlink" Target="https://statiz.sporki.com/add/?m=draft_school02&amp;ps_school=60203" TargetMode="External"/><Relationship Id="rId11794" Type="http://schemas.openxmlformats.org/officeDocument/2006/relationships/hyperlink" Target="https://statiz.sporki.com/player/?m=playerinfo&amp;p_no=1012" TargetMode="External"/><Relationship Id="rId12845" Type="http://schemas.openxmlformats.org/officeDocument/2006/relationships/hyperlink" Target="https://statiz.sporki.com/player/?m=playerinfo&amp;p_no=14210" TargetMode="External"/><Relationship Id="rId19458" Type="http://schemas.openxmlformats.org/officeDocument/2006/relationships/hyperlink" Target="https://statiz.sporki.com/add/?m=draft_school01&amp;ps_school=50116" TargetMode="External"/><Relationship Id="rId78" Type="http://schemas.openxmlformats.org/officeDocument/2006/relationships/hyperlink" Target="https://statiz.sporki.com/add/?m=draft_school02&amp;ps_school=" TargetMode="External"/><Relationship Id="rId1853" Type="http://schemas.openxmlformats.org/officeDocument/2006/relationships/hyperlink" Target="https://statiz.sporki.com/add/?m=draft_school01&amp;ps_school=50108" TargetMode="External"/><Relationship Id="rId2904" Type="http://schemas.openxmlformats.org/officeDocument/2006/relationships/hyperlink" Target="https://statiz.sporki.com/add/?m=draft_school02&amp;ps_school=" TargetMode="External"/><Relationship Id="rId7068" Type="http://schemas.openxmlformats.org/officeDocument/2006/relationships/hyperlink" Target="https://statiz.sporki.com/add/?m=draft_school02&amp;ps_school=" TargetMode="External"/><Relationship Id="rId8119" Type="http://schemas.openxmlformats.org/officeDocument/2006/relationships/hyperlink" Target="https://statiz.sporki.com/player/?m=playerinfo&amp;p_no=10010" TargetMode="External"/><Relationship Id="rId8466" Type="http://schemas.openxmlformats.org/officeDocument/2006/relationships/hyperlink" Target="https://statiz.sporki.com/add/?m=draft_school02&amp;ps_school=" TargetMode="External"/><Relationship Id="rId9517" Type="http://schemas.openxmlformats.org/officeDocument/2006/relationships/hyperlink" Target="https://statiz.sporki.com/player/?m=playerinfo&amp;p_no=10153" TargetMode="External"/><Relationship Id="rId10396" Type="http://schemas.openxmlformats.org/officeDocument/2006/relationships/hyperlink" Target="https://statiz.sporki.com/player/?m=playerinfo&amp;p_no=1581" TargetMode="External"/><Relationship Id="rId11447" Type="http://schemas.openxmlformats.org/officeDocument/2006/relationships/hyperlink" Target="https://statiz.sporki.com/add/?m=draft_school01&amp;ps_school=50112" TargetMode="External"/><Relationship Id="rId1506" Type="http://schemas.openxmlformats.org/officeDocument/2006/relationships/hyperlink" Target="https://statiz.sporki.com/add/?m=draft_school02&amp;ps_school=" TargetMode="External"/><Relationship Id="rId10049" Type="http://schemas.openxmlformats.org/officeDocument/2006/relationships/hyperlink" Target="https://statiz.sporki.com/add/?m=draft_school01&amp;ps_school=50803" TargetMode="External"/><Relationship Id="rId17490" Type="http://schemas.openxmlformats.org/officeDocument/2006/relationships/hyperlink" Target="https://statiz.sporki.com/add/?m=draft_school01&amp;ps_school=50109" TargetMode="External"/><Relationship Id="rId18541" Type="http://schemas.openxmlformats.org/officeDocument/2006/relationships/hyperlink" Target="https://statiz.sporki.com/add/?m=draft_school01&amp;ps_school=50102" TargetMode="External"/><Relationship Id="rId3678" Type="http://schemas.openxmlformats.org/officeDocument/2006/relationships/hyperlink" Target="https://statiz.sporki.com/add/?m=draft_school02&amp;ps_school=" TargetMode="External"/><Relationship Id="rId4729" Type="http://schemas.openxmlformats.org/officeDocument/2006/relationships/hyperlink" Target="https://statiz.sporki.com/player/?m=playerinfo&amp;p_no=11359" TargetMode="External"/><Relationship Id="rId8600" Type="http://schemas.openxmlformats.org/officeDocument/2006/relationships/hyperlink" Target="https://statiz.sporki.com/add/?m=draft_school01&amp;ps_school=50402" TargetMode="External"/><Relationship Id="rId16092" Type="http://schemas.openxmlformats.org/officeDocument/2006/relationships/hyperlink" Target="https://statiz.sporki.com/player/?m=playerinfo&amp;p_no=1049" TargetMode="External"/><Relationship Id="rId17143" Type="http://schemas.openxmlformats.org/officeDocument/2006/relationships/hyperlink" Target="https://statiz.sporki.com/add/?m=draft_school01&amp;ps_school=50103" TargetMode="External"/><Relationship Id="rId599" Type="http://schemas.openxmlformats.org/officeDocument/2006/relationships/hyperlink" Target="https://statiz.sporki.com/add/?m=draft_school01&amp;ps_school=50803" TargetMode="External"/><Relationship Id="rId6151" Type="http://schemas.openxmlformats.org/officeDocument/2006/relationships/hyperlink" Target="https://statiz.sporki.com/player/?m=playerinfo&amp;p_no=10167" TargetMode="External"/><Relationship Id="rId7202" Type="http://schemas.openxmlformats.org/officeDocument/2006/relationships/hyperlink" Target="https://statiz.sporki.com/add/?m=draft_school01&amp;ps_school=50107" TargetMode="External"/><Relationship Id="rId10530" Type="http://schemas.openxmlformats.org/officeDocument/2006/relationships/hyperlink" Target="https://statiz.sporki.com/add/?m=draft_school02&amp;ps_school=" TargetMode="External"/><Relationship Id="rId9374" Type="http://schemas.openxmlformats.org/officeDocument/2006/relationships/hyperlink" Target="https://statiz.sporki.com/add/?m=draft_school01&amp;ps_school=50802" TargetMode="External"/><Relationship Id="rId13753" Type="http://schemas.openxmlformats.org/officeDocument/2006/relationships/hyperlink" Target="https://statiz.sporki.com/player/?m=playerinfo&amp;p_no=10804" TargetMode="External"/><Relationship Id="rId14804" Type="http://schemas.openxmlformats.org/officeDocument/2006/relationships/hyperlink" Target="https://statiz.sporki.com/player/?m=playerinfo&amp;p_no=2142" TargetMode="External"/><Relationship Id="rId1363" Type="http://schemas.openxmlformats.org/officeDocument/2006/relationships/hyperlink" Target="https://statiz.sporki.com/player/?m=playerinfo&amp;p_no=14820" TargetMode="External"/><Relationship Id="rId2761" Type="http://schemas.openxmlformats.org/officeDocument/2006/relationships/hyperlink" Target="https://statiz.sporki.com/player/?m=playerinfo&amp;p_no=12928" TargetMode="External"/><Relationship Id="rId3812" Type="http://schemas.openxmlformats.org/officeDocument/2006/relationships/hyperlink" Target="https://statiz.sporki.com/add/?m=draft_school01&amp;ps_school=50116" TargetMode="External"/><Relationship Id="rId9027" Type="http://schemas.openxmlformats.org/officeDocument/2006/relationships/hyperlink" Target="https://statiz.sporki.com/add/?m=draft_school02&amp;ps_school=" TargetMode="External"/><Relationship Id="rId12355" Type="http://schemas.openxmlformats.org/officeDocument/2006/relationships/hyperlink" Target="https://statiz.sporki.com/player/?m=playerinfo&amp;p_no=15104" TargetMode="External"/><Relationship Id="rId13406" Type="http://schemas.openxmlformats.org/officeDocument/2006/relationships/hyperlink" Target="https://statiz.sporki.com/player/?m=playerinfo&amp;p_no=11297" TargetMode="External"/><Relationship Id="rId16976" Type="http://schemas.openxmlformats.org/officeDocument/2006/relationships/hyperlink" Target="https://statiz.sporki.com/add/?m=draft_school01&amp;ps_school=50401" TargetMode="External"/><Relationship Id="rId733" Type="http://schemas.openxmlformats.org/officeDocument/2006/relationships/hyperlink" Target="https://statiz.sporki.com/player/?m=playerinfo&amp;p_no=15052" TargetMode="External"/><Relationship Id="rId1016" Type="http://schemas.openxmlformats.org/officeDocument/2006/relationships/hyperlink" Target="https://statiz.sporki.com/add/?m=draft_school01&amp;ps_school=50807" TargetMode="External"/><Relationship Id="rId2414" Type="http://schemas.openxmlformats.org/officeDocument/2006/relationships/hyperlink" Target="https://statiz.sporki.com/add/?m=draft_school01&amp;ps_school=50501" TargetMode="External"/><Relationship Id="rId5984" Type="http://schemas.openxmlformats.org/officeDocument/2006/relationships/hyperlink" Target="https://statiz.sporki.com/add/?m=draft_school01&amp;ps_school=50703" TargetMode="External"/><Relationship Id="rId12008" Type="http://schemas.openxmlformats.org/officeDocument/2006/relationships/hyperlink" Target="https://statiz.sporki.com/add/?m=draft_school01&amp;ps_school=50202" TargetMode="External"/><Relationship Id="rId15578" Type="http://schemas.openxmlformats.org/officeDocument/2006/relationships/hyperlink" Target="https://statiz.sporki.com/player/?m=playerinfo&amp;p_no=1500" TargetMode="External"/><Relationship Id="rId16629" Type="http://schemas.openxmlformats.org/officeDocument/2006/relationships/hyperlink" Target="https://statiz.sporki.com/add/?m=draft_school01&amp;ps_school=50207" TargetMode="External"/><Relationship Id="rId4586" Type="http://schemas.openxmlformats.org/officeDocument/2006/relationships/hyperlink" Target="https://statiz.sporki.com/add/?m=draft_school01&amp;ps_school=50210" TargetMode="External"/><Relationship Id="rId5637" Type="http://schemas.openxmlformats.org/officeDocument/2006/relationships/hyperlink" Target="https://statiz.sporki.com/add/?m=draft_school02&amp;ps_school=60804" TargetMode="External"/><Relationship Id="rId18051" Type="http://schemas.openxmlformats.org/officeDocument/2006/relationships/hyperlink" Target="https://statiz.sporki.com/add/?m=draft_school01&amp;ps_school=50209" TargetMode="External"/><Relationship Id="rId19102" Type="http://schemas.openxmlformats.org/officeDocument/2006/relationships/hyperlink" Target="https://statiz.sporki.com/add/?m=draft_school01&amp;ps_school=50706" TargetMode="External"/><Relationship Id="rId3188" Type="http://schemas.openxmlformats.org/officeDocument/2006/relationships/hyperlink" Target="https://statiz.sporki.com/add/?m=draft_school01&amp;ps_school=50805" TargetMode="External"/><Relationship Id="rId4239" Type="http://schemas.openxmlformats.org/officeDocument/2006/relationships/hyperlink" Target="https://statiz.sporki.com/add/?m=draft_school02&amp;ps_school=" TargetMode="External"/><Relationship Id="rId8110" Type="http://schemas.openxmlformats.org/officeDocument/2006/relationships/hyperlink" Target="https://statiz.sporki.com/player/?m=playerinfo&amp;p_no=2159" TargetMode="External"/><Relationship Id="rId10040" Type="http://schemas.openxmlformats.org/officeDocument/2006/relationships/hyperlink" Target="https://statiz.sporki.com/add/?m=draft_school01&amp;ps_school=50805" TargetMode="External"/><Relationship Id="rId14661" Type="http://schemas.openxmlformats.org/officeDocument/2006/relationships/hyperlink" Target="https://statiz.sporki.com/player/?m=playerinfo&amp;p_no=10450" TargetMode="External"/><Relationship Id="rId4720" Type="http://schemas.openxmlformats.org/officeDocument/2006/relationships/hyperlink" Target="https://statiz.sporki.com/player/?m=playerinfo&amp;p_no=11251" TargetMode="External"/><Relationship Id="rId13263" Type="http://schemas.openxmlformats.org/officeDocument/2006/relationships/hyperlink" Target="https://statiz.sporki.com/player/?m=playerinfo&amp;p_no=12554" TargetMode="External"/><Relationship Id="rId14314" Type="http://schemas.openxmlformats.org/officeDocument/2006/relationships/hyperlink" Target="https://statiz.sporki.com/player/?m=playerinfo&amp;p_no=10876" TargetMode="External"/><Relationship Id="rId15712" Type="http://schemas.openxmlformats.org/officeDocument/2006/relationships/hyperlink" Target="https://statiz.sporki.com/player/?m=playerinfo&amp;p_no=12707" TargetMode="External"/><Relationship Id="rId590" Type="http://schemas.openxmlformats.org/officeDocument/2006/relationships/hyperlink" Target="https://statiz.sporki.com/add/?m=draft_school01&amp;ps_school=50602" TargetMode="External"/><Relationship Id="rId2271" Type="http://schemas.openxmlformats.org/officeDocument/2006/relationships/hyperlink" Target="https://statiz.sporki.com/add/?m=draft_school02&amp;ps_school=" TargetMode="External"/><Relationship Id="rId3322" Type="http://schemas.openxmlformats.org/officeDocument/2006/relationships/hyperlink" Target="https://statiz.sporki.com/player/?m=playerinfo&amp;p_no=12638" TargetMode="External"/><Relationship Id="rId17884" Type="http://schemas.openxmlformats.org/officeDocument/2006/relationships/hyperlink" Target="https://statiz.sporki.com/add/?m=draft_school01&amp;ps_school=50703" TargetMode="External"/><Relationship Id="rId18935" Type="http://schemas.openxmlformats.org/officeDocument/2006/relationships/hyperlink" Target="https://statiz.sporki.com/add/?m=draft_school01&amp;ps_school=50110" TargetMode="External"/><Relationship Id="rId243" Type="http://schemas.openxmlformats.org/officeDocument/2006/relationships/hyperlink" Target="https://statiz.sporki.com/add/?m=draft_school02&amp;ps_school=" TargetMode="External"/><Relationship Id="rId5494" Type="http://schemas.openxmlformats.org/officeDocument/2006/relationships/hyperlink" Target="https://statiz.sporki.com/player/?m=playerinfo&amp;p_no=10220" TargetMode="External"/><Relationship Id="rId6892" Type="http://schemas.openxmlformats.org/officeDocument/2006/relationships/hyperlink" Target="https://statiz.sporki.com/player/?m=playerinfo&amp;p_no=11462" TargetMode="External"/><Relationship Id="rId7943" Type="http://schemas.openxmlformats.org/officeDocument/2006/relationships/hyperlink" Target="https://statiz.sporki.com/add/?m=draft_school01&amp;ps_school=50102" TargetMode="External"/><Relationship Id="rId10924" Type="http://schemas.openxmlformats.org/officeDocument/2006/relationships/hyperlink" Target="https://statiz.sporki.com/player/?m=playerinfo&amp;p_no=1381" TargetMode="External"/><Relationship Id="rId15088" Type="http://schemas.openxmlformats.org/officeDocument/2006/relationships/hyperlink" Target="https://statiz.sporki.com/player/?m=playerinfo&amp;p_no=1957" TargetMode="External"/><Relationship Id="rId16486" Type="http://schemas.openxmlformats.org/officeDocument/2006/relationships/hyperlink" Target="https://statiz.sporki.com/add/?m=draft_school01&amp;ps_school=50501" TargetMode="External"/><Relationship Id="rId17537" Type="http://schemas.openxmlformats.org/officeDocument/2006/relationships/hyperlink" Target="https://statiz.sporki.com/add/?m=draft_school01&amp;ps_school=50301" TargetMode="External"/><Relationship Id="rId4096" Type="http://schemas.openxmlformats.org/officeDocument/2006/relationships/hyperlink" Target="https://statiz.sporki.com/player/?m=playerinfo&amp;p_no=11246" TargetMode="External"/><Relationship Id="rId5147" Type="http://schemas.openxmlformats.org/officeDocument/2006/relationships/hyperlink" Target="https://statiz.sporki.com/add/?m=draft_school01&amp;ps_school=50403" TargetMode="External"/><Relationship Id="rId6545" Type="http://schemas.openxmlformats.org/officeDocument/2006/relationships/hyperlink" Target="https://statiz.sporki.com/add/?m=draft_school01&amp;ps_school=50115" TargetMode="External"/><Relationship Id="rId16139" Type="http://schemas.openxmlformats.org/officeDocument/2006/relationships/hyperlink" Target="https://statiz.sporki.com/player/?m=playerinfo&amp;p_no=1068" TargetMode="External"/><Relationship Id="rId9768" Type="http://schemas.openxmlformats.org/officeDocument/2006/relationships/hyperlink" Target="https://statiz.sporki.com/add/?m=draft_school02&amp;ps_school=60109" TargetMode="External"/><Relationship Id="rId11698" Type="http://schemas.openxmlformats.org/officeDocument/2006/relationships/hyperlink" Target="https://statiz.sporki.com/player/?m=playerinfo&amp;p_no=1178" TargetMode="External"/><Relationship Id="rId12749" Type="http://schemas.openxmlformats.org/officeDocument/2006/relationships/hyperlink" Target="https://statiz.sporki.com/player/?m=playerinfo&amp;p_no=14734" TargetMode="External"/><Relationship Id="rId16620" Type="http://schemas.openxmlformats.org/officeDocument/2006/relationships/hyperlink" Target="https://statiz.sporki.com/add/?m=draft_school01&amp;ps_school=50215" TargetMode="External"/><Relationship Id="rId1757" Type="http://schemas.openxmlformats.org/officeDocument/2006/relationships/hyperlink" Target="https://statiz.sporki.com/add/?m=draft_school01&amp;ps_school=" TargetMode="External"/><Relationship Id="rId2808" Type="http://schemas.openxmlformats.org/officeDocument/2006/relationships/hyperlink" Target="https://statiz.sporki.com/add/?m=draft_school02&amp;ps_school=" TargetMode="External"/><Relationship Id="rId14171" Type="http://schemas.openxmlformats.org/officeDocument/2006/relationships/hyperlink" Target="https://statiz.sporki.com/player/?m=playerinfo&amp;p_no=10268" TargetMode="External"/><Relationship Id="rId15222" Type="http://schemas.openxmlformats.org/officeDocument/2006/relationships/hyperlink" Target="https://statiz.sporki.com/player/?m=playerinfo&amp;p_no=1961" TargetMode="External"/><Relationship Id="rId18792" Type="http://schemas.openxmlformats.org/officeDocument/2006/relationships/hyperlink" Target="https://statiz.sporki.com/add/?m=draft_school01&amp;ps_school=50604" TargetMode="External"/><Relationship Id="rId4230" Type="http://schemas.openxmlformats.org/officeDocument/2006/relationships/hyperlink" Target="https://statiz.sporki.com/add/?m=draft_school02&amp;ps_school=" TargetMode="External"/><Relationship Id="rId8851" Type="http://schemas.openxmlformats.org/officeDocument/2006/relationships/hyperlink" Target="https://statiz.sporki.com/player/?m=playerinfo&amp;p_no=2075" TargetMode="External"/><Relationship Id="rId17394" Type="http://schemas.openxmlformats.org/officeDocument/2006/relationships/hyperlink" Target="https://statiz.sporki.com/add/?m=draft_school01&amp;ps_school=50110" TargetMode="External"/><Relationship Id="rId18445" Type="http://schemas.openxmlformats.org/officeDocument/2006/relationships/hyperlink" Target="https://statiz.sporki.com/add/?m=draft_school01&amp;ps_school=50109" TargetMode="External"/><Relationship Id="rId7453" Type="http://schemas.openxmlformats.org/officeDocument/2006/relationships/hyperlink" Target="https://statiz.sporki.com/player/?m=playerinfo&amp;p_no=2243" TargetMode="External"/><Relationship Id="rId8504" Type="http://schemas.openxmlformats.org/officeDocument/2006/relationships/hyperlink" Target="https://statiz.sporki.com/add/?m=draft_school01&amp;ps_school=50904" TargetMode="External"/><Relationship Id="rId9902" Type="http://schemas.openxmlformats.org/officeDocument/2006/relationships/hyperlink" Target="https://statiz.sporki.com/add/?m=draft_school01&amp;ps_school=50105" TargetMode="External"/><Relationship Id="rId10781" Type="http://schemas.openxmlformats.org/officeDocument/2006/relationships/hyperlink" Target="https://statiz.sporki.com/add/?m=draft_school01&amp;ps_school=50109" TargetMode="External"/><Relationship Id="rId11832" Type="http://schemas.openxmlformats.org/officeDocument/2006/relationships/hyperlink" Target="https://statiz.sporki.com/add/?m=draft_school02&amp;ps_school=60111" TargetMode="External"/><Relationship Id="rId17047" Type="http://schemas.openxmlformats.org/officeDocument/2006/relationships/hyperlink" Target="https://statiz.sporki.com/add/?m=draft_school01&amp;ps_school=50111" TargetMode="External"/><Relationship Id="rId6055" Type="http://schemas.openxmlformats.org/officeDocument/2006/relationships/hyperlink" Target="https://statiz.sporki.com/player/?m=playerinfo&amp;p_no=10608" TargetMode="External"/><Relationship Id="rId7106" Type="http://schemas.openxmlformats.org/officeDocument/2006/relationships/hyperlink" Target="https://statiz.sporki.com/add/?m=draft_school01&amp;ps_school=50108" TargetMode="External"/><Relationship Id="rId10434" Type="http://schemas.openxmlformats.org/officeDocument/2006/relationships/hyperlink" Target="https://statiz.sporki.com/add/?m=draft_school02&amp;ps_school=60204" TargetMode="External"/><Relationship Id="rId9278" Type="http://schemas.openxmlformats.org/officeDocument/2006/relationships/hyperlink" Target="https://statiz.sporki.com/add/?m=draft_school01&amp;ps_school=50202" TargetMode="External"/><Relationship Id="rId13657" Type="http://schemas.openxmlformats.org/officeDocument/2006/relationships/hyperlink" Target="https://statiz.sporki.com/player/?m=playerinfo&amp;p_no=11129" TargetMode="External"/><Relationship Id="rId14708" Type="http://schemas.openxmlformats.org/officeDocument/2006/relationships/hyperlink" Target="https://statiz.sporki.com/player/?m=playerinfo&amp;p_no=10665" TargetMode="External"/><Relationship Id="rId984" Type="http://schemas.openxmlformats.org/officeDocument/2006/relationships/hyperlink" Target="https://statiz.sporki.com/add/?m=draft_school02&amp;ps_school=" TargetMode="External"/><Relationship Id="rId2665" Type="http://schemas.openxmlformats.org/officeDocument/2006/relationships/hyperlink" Target="https://statiz.sporki.com/player/?m=playerinfo&amp;p_no=13253" TargetMode="External"/><Relationship Id="rId3716" Type="http://schemas.openxmlformats.org/officeDocument/2006/relationships/hyperlink" Target="https://statiz.sporki.com/add/?m=draft_school01&amp;ps_school=50209" TargetMode="External"/><Relationship Id="rId12259" Type="http://schemas.openxmlformats.org/officeDocument/2006/relationships/hyperlink" Target="https://statiz.sporki.com/player/?m=playerinfo&amp;p_no=15644" TargetMode="External"/><Relationship Id="rId16130" Type="http://schemas.openxmlformats.org/officeDocument/2006/relationships/hyperlink" Target="https://statiz.sporki.com/player/?m=playerinfo&amp;p_no=1021" TargetMode="External"/><Relationship Id="rId637" Type="http://schemas.openxmlformats.org/officeDocument/2006/relationships/hyperlink" Target="https://statiz.sporki.com/player/?m=playerinfo&amp;p_no=15028" TargetMode="External"/><Relationship Id="rId1267" Type="http://schemas.openxmlformats.org/officeDocument/2006/relationships/hyperlink" Target="https://statiz.sporki.com/player/?m=playerinfo&amp;p_no=14860" TargetMode="External"/><Relationship Id="rId2318" Type="http://schemas.openxmlformats.org/officeDocument/2006/relationships/hyperlink" Target="https://statiz.sporki.com/add/?m=draft_school01&amp;ps_school=50403" TargetMode="External"/><Relationship Id="rId5888" Type="http://schemas.openxmlformats.org/officeDocument/2006/relationships/hyperlink" Target="https://statiz.sporki.com/add/?m=draft_school01&amp;ps_school=50601" TargetMode="External"/><Relationship Id="rId6939" Type="http://schemas.openxmlformats.org/officeDocument/2006/relationships/hyperlink" Target="https://statiz.sporki.com/add/?m=draft_school02&amp;ps_school=" TargetMode="External"/><Relationship Id="rId19353" Type="http://schemas.openxmlformats.org/officeDocument/2006/relationships/hyperlink" Target="https://statiz.sporki.com/add/?m=draft_school01&amp;ps_school=50701" TargetMode="External"/><Relationship Id="rId8361" Type="http://schemas.openxmlformats.org/officeDocument/2006/relationships/hyperlink" Target="https://statiz.sporki.com/add/?m=draft_school02&amp;ps_school=60111" TargetMode="External"/><Relationship Id="rId9412" Type="http://schemas.openxmlformats.org/officeDocument/2006/relationships/hyperlink" Target="https://statiz.sporki.com/player/?m=playerinfo&amp;p_no=1862" TargetMode="External"/><Relationship Id="rId10291" Type="http://schemas.openxmlformats.org/officeDocument/2006/relationships/hyperlink" Target="https://statiz.sporki.com/player/?m=playerinfo&amp;p_no=1533" TargetMode="External"/><Relationship Id="rId11342" Type="http://schemas.openxmlformats.org/officeDocument/2006/relationships/hyperlink" Target="https://statiz.sporki.com/add/?m=draft_school01&amp;ps_school=50711" TargetMode="External"/><Relationship Id="rId12740" Type="http://schemas.openxmlformats.org/officeDocument/2006/relationships/hyperlink" Target="https://statiz.sporki.com/player/?m=playerinfo&amp;p_no=14675" TargetMode="External"/><Relationship Id="rId19006" Type="http://schemas.openxmlformats.org/officeDocument/2006/relationships/hyperlink" Target="https://statiz.sporki.com/add/?m=draft_school01&amp;ps_school=50802" TargetMode="External"/><Relationship Id="rId1401" Type="http://schemas.openxmlformats.org/officeDocument/2006/relationships/hyperlink" Target="https://statiz.sporki.com/add/?m=draft_school02&amp;ps_school=" TargetMode="External"/><Relationship Id="rId8014" Type="http://schemas.openxmlformats.org/officeDocument/2006/relationships/hyperlink" Target="https://statiz.sporki.com/player/?m=playerinfo&amp;p_no=2125" TargetMode="External"/><Relationship Id="rId15963" Type="http://schemas.openxmlformats.org/officeDocument/2006/relationships/hyperlink" Target="https://statiz.sporki.com/player/?m=playerinfo&amp;p_no=1200" TargetMode="External"/><Relationship Id="rId3573" Type="http://schemas.openxmlformats.org/officeDocument/2006/relationships/hyperlink" Target="https://statiz.sporki.com/add/?m=draft_school02&amp;ps_school=60801" TargetMode="External"/><Relationship Id="rId4971" Type="http://schemas.openxmlformats.org/officeDocument/2006/relationships/hyperlink" Target="https://statiz.sporki.com/add/?m=draft_school02&amp;ps_school=60703" TargetMode="External"/><Relationship Id="rId13167" Type="http://schemas.openxmlformats.org/officeDocument/2006/relationships/hyperlink" Target="https://statiz.sporki.com/player/?m=playerinfo&amp;p_no=12991" TargetMode="External"/><Relationship Id="rId14565" Type="http://schemas.openxmlformats.org/officeDocument/2006/relationships/hyperlink" Target="https://statiz.sporki.com/player/?m=playerinfo&amp;p_no=2270" TargetMode="External"/><Relationship Id="rId15616" Type="http://schemas.openxmlformats.org/officeDocument/2006/relationships/hyperlink" Target="https://statiz.sporki.com/player/?m=playerinfo&amp;p_no=1542" TargetMode="External"/><Relationship Id="rId494" Type="http://schemas.openxmlformats.org/officeDocument/2006/relationships/hyperlink" Target="https://statiz.sporki.com/add/?m=draft_school01&amp;ps_school=50801" TargetMode="External"/><Relationship Id="rId2175" Type="http://schemas.openxmlformats.org/officeDocument/2006/relationships/hyperlink" Target="https://statiz.sporki.com/add/?m=draft_school02&amp;ps_school=" TargetMode="External"/><Relationship Id="rId3226" Type="http://schemas.openxmlformats.org/officeDocument/2006/relationships/hyperlink" Target="https://statiz.sporki.com/player/?m=playerinfo&amp;p_no=12604" TargetMode="External"/><Relationship Id="rId4624" Type="http://schemas.openxmlformats.org/officeDocument/2006/relationships/hyperlink" Target="https://statiz.sporki.com/player/?m=playerinfo&amp;p_no=11172" TargetMode="External"/><Relationship Id="rId14218" Type="http://schemas.openxmlformats.org/officeDocument/2006/relationships/hyperlink" Target="https://statiz.sporki.com/player/?m=playerinfo&amp;p_no=11173" TargetMode="External"/><Relationship Id="rId17788" Type="http://schemas.openxmlformats.org/officeDocument/2006/relationships/hyperlink" Target="https://statiz.sporki.com/add/?m=draft_school01&amp;ps_school=50108" TargetMode="External"/><Relationship Id="rId18839" Type="http://schemas.openxmlformats.org/officeDocument/2006/relationships/hyperlink" Target="https://statiz.sporki.com/add/?m=draft_school01&amp;ps_school=50608" TargetMode="External"/><Relationship Id="rId147" Type="http://schemas.openxmlformats.org/officeDocument/2006/relationships/hyperlink" Target="https://statiz.sporki.com/add/?m=draft_school02&amp;ps_school=60804" TargetMode="External"/><Relationship Id="rId6796" Type="http://schemas.openxmlformats.org/officeDocument/2006/relationships/hyperlink" Target="https://statiz.sporki.com/player/?m=playerinfo&amp;p_no=10448" TargetMode="External"/><Relationship Id="rId7847" Type="http://schemas.openxmlformats.org/officeDocument/2006/relationships/hyperlink" Target="https://statiz.sporki.com/add/?m=draft_school01&amp;ps_school=50112" TargetMode="External"/><Relationship Id="rId10828" Type="http://schemas.openxmlformats.org/officeDocument/2006/relationships/hyperlink" Target="https://statiz.sporki.com/player/?m=playerinfo&amp;p_no=1376" TargetMode="External"/><Relationship Id="rId5398" Type="http://schemas.openxmlformats.org/officeDocument/2006/relationships/hyperlink" Target="https://statiz.sporki.com/player/?m=playerinfo&amp;p_no=10775" TargetMode="External"/><Relationship Id="rId6449" Type="http://schemas.openxmlformats.org/officeDocument/2006/relationships/hyperlink" Target="https://statiz.sporki.com/add/?m=draft_school01&amp;ps_school=" TargetMode="External"/><Relationship Id="rId12250" Type="http://schemas.openxmlformats.org/officeDocument/2006/relationships/hyperlink" Target="https://statiz.sporki.com/player/?m=playerinfo&amp;p_no=15648" TargetMode="External"/><Relationship Id="rId13301" Type="http://schemas.openxmlformats.org/officeDocument/2006/relationships/hyperlink" Target="https://statiz.sporki.com/player/?m=playerinfo&amp;p_no=12509" TargetMode="External"/><Relationship Id="rId16871" Type="http://schemas.openxmlformats.org/officeDocument/2006/relationships/hyperlink" Target="https://statiz.sporki.com/add/?m=draft_school01&amp;ps_school=50301" TargetMode="External"/><Relationship Id="rId6930" Type="http://schemas.openxmlformats.org/officeDocument/2006/relationships/hyperlink" Target="https://statiz.sporki.com/add/?m=draft_school02&amp;ps_school=60804" TargetMode="External"/><Relationship Id="rId15473" Type="http://schemas.openxmlformats.org/officeDocument/2006/relationships/hyperlink" Target="https://statiz.sporki.com/player/?m=playerinfo&amp;p_no=1589" TargetMode="External"/><Relationship Id="rId16524" Type="http://schemas.openxmlformats.org/officeDocument/2006/relationships/hyperlink" Target="https://statiz.sporki.com/add/?m=draft_school01&amp;ps_school=50218" TargetMode="External"/><Relationship Id="rId17922" Type="http://schemas.openxmlformats.org/officeDocument/2006/relationships/hyperlink" Target="https://statiz.sporki.com/add/?m=draft_school01&amp;ps_school=50202" TargetMode="External"/><Relationship Id="rId4481" Type="http://schemas.openxmlformats.org/officeDocument/2006/relationships/hyperlink" Target="https://statiz.sporki.com/add/?m=draft_school01&amp;ps_school=50111" TargetMode="External"/><Relationship Id="rId5532" Type="http://schemas.openxmlformats.org/officeDocument/2006/relationships/hyperlink" Target="https://statiz.sporki.com/add/?m=draft_school02&amp;ps_school=" TargetMode="External"/><Relationship Id="rId14075" Type="http://schemas.openxmlformats.org/officeDocument/2006/relationships/hyperlink" Target="https://statiz.sporki.com/player/?m=playerinfo&amp;p_no=10248" TargetMode="External"/><Relationship Id="rId15126" Type="http://schemas.openxmlformats.org/officeDocument/2006/relationships/hyperlink" Target="https://statiz.sporki.com/player/?m=playerinfo&amp;p_no=1966" TargetMode="External"/><Relationship Id="rId3083" Type="http://schemas.openxmlformats.org/officeDocument/2006/relationships/hyperlink" Target="https://statiz.sporki.com/add/?m=draft_school01&amp;ps_school=" TargetMode="External"/><Relationship Id="rId4134" Type="http://schemas.openxmlformats.org/officeDocument/2006/relationships/hyperlink" Target="https://statiz.sporki.com/add/?m=draft_school02&amp;ps_school=" TargetMode="External"/><Relationship Id="rId17298" Type="http://schemas.openxmlformats.org/officeDocument/2006/relationships/hyperlink" Target="https://statiz.sporki.com/add/?m=draft_school01&amp;ps_school=50705" TargetMode="External"/><Relationship Id="rId18696" Type="http://schemas.openxmlformats.org/officeDocument/2006/relationships/hyperlink" Target="https://statiz.sporki.com/add/?m=draft_school01&amp;ps_school=50804" TargetMode="External"/><Relationship Id="rId7357" Type="http://schemas.openxmlformats.org/officeDocument/2006/relationships/hyperlink" Target="https://statiz.sporki.com/player/?m=playerinfo&amp;p_no=10388" TargetMode="External"/><Relationship Id="rId8408" Type="http://schemas.openxmlformats.org/officeDocument/2006/relationships/hyperlink" Target="https://statiz.sporki.com/add/?m=draft_school01&amp;ps_school=50812" TargetMode="External"/><Relationship Id="rId8755" Type="http://schemas.openxmlformats.org/officeDocument/2006/relationships/hyperlink" Target="https://statiz.sporki.com/player/?m=playerinfo&amp;p_no=2076" TargetMode="External"/><Relationship Id="rId9806" Type="http://schemas.openxmlformats.org/officeDocument/2006/relationships/hyperlink" Target="https://statiz.sporki.com/add/?m=draft_school01&amp;ps_school=50202" TargetMode="External"/><Relationship Id="rId10685" Type="http://schemas.openxmlformats.org/officeDocument/2006/relationships/hyperlink" Target="https://statiz.sporki.com/add/?m=draft_school01&amp;ps_school=50804" TargetMode="External"/><Relationship Id="rId11736" Type="http://schemas.openxmlformats.org/officeDocument/2006/relationships/hyperlink" Target="https://statiz.sporki.com/add/?m=draft_school02&amp;ps_school=60104" TargetMode="External"/><Relationship Id="rId18349" Type="http://schemas.openxmlformats.org/officeDocument/2006/relationships/hyperlink" Target="https://statiz.sporki.com/add/?m=draft_school01&amp;ps_school=50805" TargetMode="External"/><Relationship Id="rId10338" Type="http://schemas.openxmlformats.org/officeDocument/2006/relationships/hyperlink" Target="https://statiz.sporki.com/add/?m=draft_school02&amp;ps_school=60101" TargetMode="External"/><Relationship Id="rId14959" Type="http://schemas.openxmlformats.org/officeDocument/2006/relationships/hyperlink" Target="https://statiz.sporki.com/player/?m=playerinfo&amp;p_no=2079" TargetMode="External"/><Relationship Id="rId18830" Type="http://schemas.openxmlformats.org/officeDocument/2006/relationships/hyperlink" Target="https://statiz.sporki.com/add/?m=draft_school01&amp;ps_school=50109" TargetMode="External"/><Relationship Id="rId3967" Type="http://schemas.openxmlformats.org/officeDocument/2006/relationships/hyperlink" Target="https://statiz.sporki.com/player/?m=playerinfo&amp;p_no=14187" TargetMode="External"/><Relationship Id="rId16381" Type="http://schemas.openxmlformats.org/officeDocument/2006/relationships/hyperlink" Target="https://statiz.sporki.com/add/?m=draft_school01&amp;ps_school=50107" TargetMode="External"/><Relationship Id="rId17432" Type="http://schemas.openxmlformats.org/officeDocument/2006/relationships/hyperlink" Target="https://statiz.sporki.com/add/?m=draft_school01&amp;ps_school=50114" TargetMode="External"/><Relationship Id="rId4" Type="http://schemas.openxmlformats.org/officeDocument/2006/relationships/hyperlink" Target="https://statiz.sporki.com/player/?m=playerinfo&amp;p_no=15432" TargetMode="External"/><Relationship Id="rId888" Type="http://schemas.openxmlformats.org/officeDocument/2006/relationships/hyperlink" Target="https://statiz.sporki.com/add/?m=draft_school02&amp;ps_school=" TargetMode="External"/><Relationship Id="rId2569" Type="http://schemas.openxmlformats.org/officeDocument/2006/relationships/hyperlink" Target="https://statiz.sporki.com/player/?m=playerinfo&amp;p_no=13089" TargetMode="External"/><Relationship Id="rId6440" Type="http://schemas.openxmlformats.org/officeDocument/2006/relationships/hyperlink" Target="https://statiz.sporki.com/add/?m=draft_school01&amp;ps_school=" TargetMode="External"/><Relationship Id="rId16034" Type="http://schemas.openxmlformats.org/officeDocument/2006/relationships/hyperlink" Target="https://statiz.sporki.com/player/?m=playerinfo&amp;p_no=1188" TargetMode="External"/><Relationship Id="rId5042" Type="http://schemas.openxmlformats.org/officeDocument/2006/relationships/hyperlink" Target="https://statiz.sporki.com/add/?m=draft_school01&amp;ps_school=50109" TargetMode="External"/><Relationship Id="rId9663" Type="http://schemas.openxmlformats.org/officeDocument/2006/relationships/hyperlink" Target="https://statiz.sporki.com/add/?m=draft_school02&amp;ps_school=" TargetMode="External"/><Relationship Id="rId12991" Type="http://schemas.openxmlformats.org/officeDocument/2006/relationships/hyperlink" Target="https://statiz.sporki.com/player/?m=playerinfo&amp;p_no=13077" TargetMode="External"/><Relationship Id="rId19257" Type="http://schemas.openxmlformats.org/officeDocument/2006/relationships/hyperlink" Target="https://statiz.sporki.com/add/?m=draft_school01&amp;ps_school=50103" TargetMode="External"/><Relationship Id="rId1652" Type="http://schemas.openxmlformats.org/officeDocument/2006/relationships/hyperlink" Target="https://statiz.sporki.com/add/?m=draft_school01&amp;ps_school=50901" TargetMode="External"/><Relationship Id="rId8265" Type="http://schemas.openxmlformats.org/officeDocument/2006/relationships/hyperlink" Target="https://statiz.sporki.com/add/?m=draft_school02&amp;ps_school=" TargetMode="External"/><Relationship Id="rId9316" Type="http://schemas.openxmlformats.org/officeDocument/2006/relationships/hyperlink" Target="https://statiz.sporki.com/player/?m=playerinfo&amp;p_no=10616" TargetMode="External"/><Relationship Id="rId10195" Type="http://schemas.openxmlformats.org/officeDocument/2006/relationships/hyperlink" Target="https://statiz.sporki.com/player/?m=playerinfo&amp;p_no=1732" TargetMode="External"/><Relationship Id="rId11246" Type="http://schemas.openxmlformats.org/officeDocument/2006/relationships/hyperlink" Target="https://statiz.sporki.com/add/?m=draft_school01&amp;ps_school=" TargetMode="External"/><Relationship Id="rId11593" Type="http://schemas.openxmlformats.org/officeDocument/2006/relationships/hyperlink" Target="https://statiz.sporki.com/player/?m=playerinfo&amp;p_no=1184" TargetMode="External"/><Relationship Id="rId12644" Type="http://schemas.openxmlformats.org/officeDocument/2006/relationships/hyperlink" Target="https://statiz.sporki.com/player/?m=playerinfo&amp;p_no=14660" TargetMode="External"/><Relationship Id="rId1305" Type="http://schemas.openxmlformats.org/officeDocument/2006/relationships/hyperlink" Target="https://statiz.sporki.com/add/?m=draft_school02&amp;ps_school=61119" TargetMode="External"/><Relationship Id="rId2703" Type="http://schemas.openxmlformats.org/officeDocument/2006/relationships/hyperlink" Target="https://statiz.sporki.com/add/?m=draft_school02&amp;ps_school=60205" TargetMode="External"/><Relationship Id="rId15867" Type="http://schemas.openxmlformats.org/officeDocument/2006/relationships/hyperlink" Target="https://statiz.sporki.com/player/?m=playerinfo&amp;p_no=1314" TargetMode="External"/><Relationship Id="rId16918" Type="http://schemas.openxmlformats.org/officeDocument/2006/relationships/hyperlink" Target="https://statiz.sporki.com/add/?m=draft_school01&amp;ps_school=50202" TargetMode="External"/><Relationship Id="rId4875" Type="http://schemas.openxmlformats.org/officeDocument/2006/relationships/hyperlink" Target="https://statiz.sporki.com/add/?m=draft_school02&amp;ps_school=60803" TargetMode="External"/><Relationship Id="rId5926" Type="http://schemas.openxmlformats.org/officeDocument/2006/relationships/hyperlink" Target="https://statiz.sporki.com/player/?m=playerinfo&amp;p_no=10044" TargetMode="External"/><Relationship Id="rId14469" Type="http://schemas.openxmlformats.org/officeDocument/2006/relationships/hyperlink" Target="https://statiz.sporki.com/player/?m=playerinfo&amp;p_no=10160" TargetMode="External"/><Relationship Id="rId18340" Type="http://schemas.openxmlformats.org/officeDocument/2006/relationships/hyperlink" Target="https://statiz.sporki.com/add/?m=draft_school01&amp;ps_school=50802" TargetMode="External"/><Relationship Id="rId11" Type="http://schemas.openxmlformats.org/officeDocument/2006/relationships/hyperlink" Target="https://statiz.sporki.com/add/?m=draft_school01&amp;ps_school=50802" TargetMode="External"/><Relationship Id="rId398" Type="http://schemas.openxmlformats.org/officeDocument/2006/relationships/hyperlink" Target="https://statiz.sporki.com/add/?m=draft_school01&amp;ps_school=50215" TargetMode="External"/><Relationship Id="rId2079" Type="http://schemas.openxmlformats.org/officeDocument/2006/relationships/hyperlink" Target="https://statiz.sporki.com/add/?m=draft_school02&amp;ps_school=" TargetMode="External"/><Relationship Id="rId3477" Type="http://schemas.openxmlformats.org/officeDocument/2006/relationships/hyperlink" Target="https://statiz.sporki.com/add/?m=draft_school02&amp;ps_school=" TargetMode="External"/><Relationship Id="rId4528" Type="http://schemas.openxmlformats.org/officeDocument/2006/relationships/hyperlink" Target="https://statiz.sporki.com/player/?m=playerinfo&amp;p_no=11200" TargetMode="External"/><Relationship Id="rId7001" Type="http://schemas.openxmlformats.org/officeDocument/2006/relationships/hyperlink" Target="https://statiz.sporki.com/add/?m=draft_school01&amp;ps_school=50701" TargetMode="External"/><Relationship Id="rId13552" Type="http://schemas.openxmlformats.org/officeDocument/2006/relationships/hyperlink" Target="https://statiz.sporki.com/player/?m=playerinfo&amp;p_no=12997" TargetMode="External"/><Relationship Id="rId14603" Type="http://schemas.openxmlformats.org/officeDocument/2006/relationships/hyperlink" Target="https://statiz.sporki.com/player/?m=playerinfo&amp;p_no=10460" TargetMode="External"/><Relationship Id="rId14950" Type="http://schemas.openxmlformats.org/officeDocument/2006/relationships/hyperlink" Target="https://statiz.sporki.com/player/?m=playerinfo&amp;p_no=2229" TargetMode="External"/><Relationship Id="rId2560" Type="http://schemas.openxmlformats.org/officeDocument/2006/relationships/hyperlink" Target="https://statiz.sporki.com/player/?m=playerinfo&amp;p_no=13122" TargetMode="External"/><Relationship Id="rId3611" Type="http://schemas.openxmlformats.org/officeDocument/2006/relationships/hyperlink" Target="https://statiz.sporki.com/add/?m=draft_school01&amp;ps_school=50606" TargetMode="External"/><Relationship Id="rId9173" Type="http://schemas.openxmlformats.org/officeDocument/2006/relationships/hyperlink" Target="https://statiz.sporki.com/add/?m=draft_school01&amp;ps_school=50401" TargetMode="External"/><Relationship Id="rId12154" Type="http://schemas.openxmlformats.org/officeDocument/2006/relationships/hyperlink" Target="https://statiz.sporki.com/player/?m=playerinfo&amp;p_no=15441" TargetMode="External"/><Relationship Id="rId13205" Type="http://schemas.openxmlformats.org/officeDocument/2006/relationships/hyperlink" Target="https://statiz.sporki.com/player/?m=playerinfo&amp;p_no=12612" TargetMode="External"/><Relationship Id="rId532" Type="http://schemas.openxmlformats.org/officeDocument/2006/relationships/hyperlink" Target="https://statiz.sporki.com/player/?m=playerinfo&amp;p_no=15014" TargetMode="External"/><Relationship Id="rId1162" Type="http://schemas.openxmlformats.org/officeDocument/2006/relationships/hyperlink" Target="https://statiz.sporki.com/player/?m=playerinfo&amp;p_no=14877" TargetMode="External"/><Relationship Id="rId2213" Type="http://schemas.openxmlformats.org/officeDocument/2006/relationships/hyperlink" Target="https://statiz.sporki.com/add/?m=draft_school01&amp;ps_school=" TargetMode="External"/><Relationship Id="rId5783" Type="http://schemas.openxmlformats.org/officeDocument/2006/relationships/hyperlink" Target="https://statiz.sporki.com/add/?m=draft_school01&amp;ps_school=50604" TargetMode="External"/><Relationship Id="rId15377" Type="http://schemas.openxmlformats.org/officeDocument/2006/relationships/hyperlink" Target="https://statiz.sporki.com/player/?m=playerinfo&amp;p_no=1802" TargetMode="External"/><Relationship Id="rId16775" Type="http://schemas.openxmlformats.org/officeDocument/2006/relationships/hyperlink" Target="https://statiz.sporki.com/add/?m=draft_school01&amp;ps_school=50701" TargetMode="External"/><Relationship Id="rId17826" Type="http://schemas.openxmlformats.org/officeDocument/2006/relationships/hyperlink" Target="https://statiz.sporki.com/add/?m=draft_school01&amp;ps_school=50105" TargetMode="External"/><Relationship Id="rId4385" Type="http://schemas.openxmlformats.org/officeDocument/2006/relationships/hyperlink" Target="https://statiz.sporki.com/add/?m=draft_school01&amp;ps_school=50802" TargetMode="External"/><Relationship Id="rId5436" Type="http://schemas.openxmlformats.org/officeDocument/2006/relationships/hyperlink" Target="https://statiz.sporki.com/add/?m=draft_school02&amp;ps_school=60102" TargetMode="External"/><Relationship Id="rId6834" Type="http://schemas.openxmlformats.org/officeDocument/2006/relationships/hyperlink" Target="https://statiz.sporki.com/add/?m=draft_school02&amp;ps_school=" TargetMode="External"/><Relationship Id="rId16428" Type="http://schemas.openxmlformats.org/officeDocument/2006/relationships/hyperlink" Target="https://statiz.sporki.com/add/?m=draft_school01&amp;ps_school=50206" TargetMode="External"/><Relationship Id="rId4038" Type="http://schemas.openxmlformats.org/officeDocument/2006/relationships/hyperlink" Target="https://statiz.sporki.com/add/?m=draft_school02&amp;ps_school=" TargetMode="External"/><Relationship Id="rId11987" Type="http://schemas.openxmlformats.org/officeDocument/2006/relationships/hyperlink" Target="https://statiz.sporki.com/add/?m=draft_school01&amp;ps_school=50202" TargetMode="External"/><Relationship Id="rId8659" Type="http://schemas.openxmlformats.org/officeDocument/2006/relationships/hyperlink" Target="https://statiz.sporki.com/player/?m=playerinfo&amp;p_no=1997" TargetMode="External"/><Relationship Id="rId10589" Type="http://schemas.openxmlformats.org/officeDocument/2006/relationships/hyperlink" Target="https://statiz.sporki.com/add/?m=draft_school01&amp;ps_school=50813" TargetMode="External"/><Relationship Id="rId14460" Type="http://schemas.openxmlformats.org/officeDocument/2006/relationships/hyperlink" Target="https://statiz.sporki.com/player/?m=playerinfo&amp;p_no=10578" TargetMode="External"/><Relationship Id="rId15511" Type="http://schemas.openxmlformats.org/officeDocument/2006/relationships/hyperlink" Target="https://statiz.sporki.com/player/?m=playerinfo&amp;p_no=1569" TargetMode="External"/><Relationship Id="rId13062" Type="http://schemas.openxmlformats.org/officeDocument/2006/relationships/hyperlink" Target="https://statiz.sporki.com/player/?m=playerinfo&amp;p_no=12928" TargetMode="External"/><Relationship Id="rId14113" Type="http://schemas.openxmlformats.org/officeDocument/2006/relationships/hyperlink" Target="https://statiz.sporki.com/player/?m=playerinfo&amp;p_no=10316" TargetMode="External"/><Relationship Id="rId17683" Type="http://schemas.openxmlformats.org/officeDocument/2006/relationships/hyperlink" Target="https://statiz.sporki.com/add/?m=draft_school01&amp;ps_school=50802" TargetMode="External"/><Relationship Id="rId18734" Type="http://schemas.openxmlformats.org/officeDocument/2006/relationships/hyperlink" Target="https://statiz.sporki.com/add/?m=draft_school01&amp;ps_school=50604" TargetMode="External"/><Relationship Id="rId2070" Type="http://schemas.openxmlformats.org/officeDocument/2006/relationships/hyperlink" Target="https://statiz.sporki.com/add/?m=draft_school02&amp;ps_school=" TargetMode="External"/><Relationship Id="rId3121" Type="http://schemas.openxmlformats.org/officeDocument/2006/relationships/hyperlink" Target="https://statiz.sporki.com/player/?m=playerinfo&amp;p_no=13265" TargetMode="External"/><Relationship Id="rId6691" Type="http://schemas.openxmlformats.org/officeDocument/2006/relationships/hyperlink" Target="https://statiz.sporki.com/player/?m=playerinfo&amp;p_no=10043" TargetMode="External"/><Relationship Id="rId7742" Type="http://schemas.openxmlformats.org/officeDocument/2006/relationships/hyperlink" Target="https://statiz.sporki.com/add/?m=draft_school01&amp;ps_school=" TargetMode="External"/><Relationship Id="rId16285" Type="http://schemas.openxmlformats.org/officeDocument/2006/relationships/hyperlink" Target="https://statiz.sporki.com/add/?m=draft_school01&amp;ps_school=50105" TargetMode="External"/><Relationship Id="rId17336" Type="http://schemas.openxmlformats.org/officeDocument/2006/relationships/hyperlink" Target="https://statiz.sporki.com/add/?m=draft_school01&amp;ps_school=50209" TargetMode="External"/><Relationship Id="rId5293" Type="http://schemas.openxmlformats.org/officeDocument/2006/relationships/hyperlink" Target="https://statiz.sporki.com/player/?m=playerinfo&amp;p_no=10773" TargetMode="External"/><Relationship Id="rId6344" Type="http://schemas.openxmlformats.org/officeDocument/2006/relationships/hyperlink" Target="https://statiz.sporki.com/add/?m=draft_school01&amp;ps_school=50116" TargetMode="External"/><Relationship Id="rId10723" Type="http://schemas.openxmlformats.org/officeDocument/2006/relationships/hyperlink" Target="https://statiz.sporki.com/player/?m=playerinfo&amp;p_no=1642" TargetMode="External"/><Relationship Id="rId9567" Type="http://schemas.openxmlformats.org/officeDocument/2006/relationships/hyperlink" Target="https://statiz.sporki.com/add/?m=draft_school02&amp;ps_school=60705" TargetMode="External"/><Relationship Id="rId12895" Type="http://schemas.openxmlformats.org/officeDocument/2006/relationships/hyperlink" Target="https://statiz.sporki.com/player/?m=playerinfo&amp;p_no=14199" TargetMode="External"/><Relationship Id="rId13946" Type="http://schemas.openxmlformats.org/officeDocument/2006/relationships/hyperlink" Target="https://statiz.sporki.com/player/?m=playerinfo&amp;p_no=10838" TargetMode="External"/><Relationship Id="rId2954" Type="http://schemas.openxmlformats.org/officeDocument/2006/relationships/hyperlink" Target="https://statiz.sporki.com/add/?m=draft_school01&amp;ps_school=51001" TargetMode="External"/><Relationship Id="rId8169" Type="http://schemas.openxmlformats.org/officeDocument/2006/relationships/hyperlink" Target="https://statiz.sporki.com/add/?m=draft_school02&amp;ps_school=60114" TargetMode="External"/><Relationship Id="rId11497" Type="http://schemas.openxmlformats.org/officeDocument/2006/relationships/hyperlink" Target="https://statiz.sporki.com/player/?m=playerinfo&amp;p_no=1201" TargetMode="External"/><Relationship Id="rId12548" Type="http://schemas.openxmlformats.org/officeDocument/2006/relationships/hyperlink" Target="https://statiz.sporki.com/player/?m=playerinfo&amp;p_no=14850" TargetMode="External"/><Relationship Id="rId926" Type="http://schemas.openxmlformats.org/officeDocument/2006/relationships/hyperlink" Target="https://statiz.sporki.com/add/?m=draft_school01&amp;ps_school=50209" TargetMode="External"/><Relationship Id="rId1556" Type="http://schemas.openxmlformats.org/officeDocument/2006/relationships/hyperlink" Target="https://statiz.sporki.com/add/?m=draft_school01&amp;ps_school=50901" TargetMode="External"/><Relationship Id="rId2607" Type="http://schemas.openxmlformats.org/officeDocument/2006/relationships/hyperlink" Target="https://statiz.sporki.com/add/?m=draft_school02&amp;ps_school=" TargetMode="External"/><Relationship Id="rId10099" Type="http://schemas.openxmlformats.org/officeDocument/2006/relationships/hyperlink" Target="https://statiz.sporki.com/player/?m=playerinfo&amp;p_no=1586" TargetMode="External"/><Relationship Id="rId15021" Type="http://schemas.openxmlformats.org/officeDocument/2006/relationships/hyperlink" Target="https://statiz.sporki.com/player/?m=playerinfo&amp;p_no=1995" TargetMode="External"/><Relationship Id="rId18591" Type="http://schemas.openxmlformats.org/officeDocument/2006/relationships/hyperlink" Target="https://statiz.sporki.com/add/?m=draft_school01&amp;ps_school=50805" TargetMode="External"/><Relationship Id="rId19642" Type="http://schemas.openxmlformats.org/officeDocument/2006/relationships/hyperlink" Target="https://statiz.sporki.com/add/?m=draft_school01&amp;ps_school=50711" TargetMode="External"/><Relationship Id="rId1209" Type="http://schemas.openxmlformats.org/officeDocument/2006/relationships/hyperlink" Target="https://statiz.sporki.com/add/?m=draft_school02&amp;ps_school=" TargetMode="External"/><Relationship Id="rId4779" Type="http://schemas.openxmlformats.org/officeDocument/2006/relationships/hyperlink" Target="https://statiz.sporki.com/add/?m=draft_school02&amp;ps_school=60103" TargetMode="External"/><Relationship Id="rId8650" Type="http://schemas.openxmlformats.org/officeDocument/2006/relationships/hyperlink" Target="https://statiz.sporki.com/player/?m=playerinfo&amp;p_no=1987" TargetMode="External"/><Relationship Id="rId9701" Type="http://schemas.openxmlformats.org/officeDocument/2006/relationships/hyperlink" Target="https://statiz.sporki.com/add/?m=draft_school01&amp;ps_school=50107" TargetMode="External"/><Relationship Id="rId10580" Type="http://schemas.openxmlformats.org/officeDocument/2006/relationships/hyperlink" Target="https://statiz.sporki.com/add/?m=draft_school01&amp;ps_school=50501" TargetMode="External"/><Relationship Id="rId11631" Type="http://schemas.openxmlformats.org/officeDocument/2006/relationships/hyperlink" Target="https://statiz.sporki.com/add/?m=draft_school02&amp;ps_school=60204" TargetMode="External"/><Relationship Id="rId17193" Type="http://schemas.openxmlformats.org/officeDocument/2006/relationships/hyperlink" Target="https://statiz.sporki.com/add/?m=draft_school01&amp;ps_school=50205" TargetMode="External"/><Relationship Id="rId18244" Type="http://schemas.openxmlformats.org/officeDocument/2006/relationships/hyperlink" Target="https://statiz.sporki.com/add/?m=draft_school01&amp;ps_school=50201" TargetMode="External"/><Relationship Id="rId7252" Type="http://schemas.openxmlformats.org/officeDocument/2006/relationships/hyperlink" Target="https://statiz.sporki.com/player/?m=playerinfo&amp;p_no=2281" TargetMode="External"/><Relationship Id="rId8303" Type="http://schemas.openxmlformats.org/officeDocument/2006/relationships/hyperlink" Target="https://statiz.sporki.com/add/?m=draft_school01&amp;ps_school=50110" TargetMode="External"/><Relationship Id="rId10233" Type="http://schemas.openxmlformats.org/officeDocument/2006/relationships/hyperlink" Target="https://statiz.sporki.com/add/?m=draft_school02&amp;ps_school=" TargetMode="External"/><Relationship Id="rId3862" Type="http://schemas.openxmlformats.org/officeDocument/2006/relationships/hyperlink" Target="https://statiz.sporki.com/player/?m=playerinfo&amp;p_no=13235" TargetMode="External"/><Relationship Id="rId13456" Type="http://schemas.openxmlformats.org/officeDocument/2006/relationships/hyperlink" Target="https://statiz.sporki.com/player/?m=playerinfo&amp;p_no=11393" TargetMode="External"/><Relationship Id="rId14854" Type="http://schemas.openxmlformats.org/officeDocument/2006/relationships/hyperlink" Target="https://statiz.sporki.com/player/?m=playerinfo&amp;p_no=10532" TargetMode="External"/><Relationship Id="rId15905" Type="http://schemas.openxmlformats.org/officeDocument/2006/relationships/hyperlink" Target="https://statiz.sporki.com/player/?m=playerinfo&amp;p_no=1242" TargetMode="External"/><Relationship Id="rId783" Type="http://schemas.openxmlformats.org/officeDocument/2006/relationships/hyperlink" Target="https://statiz.sporki.com/add/?m=draft_school02&amp;ps_school=" TargetMode="External"/><Relationship Id="rId2464" Type="http://schemas.openxmlformats.org/officeDocument/2006/relationships/hyperlink" Target="https://statiz.sporki.com/player/?m=playerinfo&amp;p_no=13161" TargetMode="External"/><Relationship Id="rId3515" Type="http://schemas.openxmlformats.org/officeDocument/2006/relationships/hyperlink" Target="https://statiz.sporki.com/add/?m=draft_school01&amp;ps_school=" TargetMode="External"/><Relationship Id="rId4913" Type="http://schemas.openxmlformats.org/officeDocument/2006/relationships/hyperlink" Target="https://statiz.sporki.com/add/?m=draft_school01&amp;ps_school=50403" TargetMode="External"/><Relationship Id="rId9077" Type="http://schemas.openxmlformats.org/officeDocument/2006/relationships/hyperlink" Target="https://statiz.sporki.com/add/?m=draft_school01&amp;ps_school=50114" TargetMode="External"/><Relationship Id="rId12058" Type="http://schemas.openxmlformats.org/officeDocument/2006/relationships/hyperlink" Target="https://statiz.sporki.com/player/?m=playerinfo&amp;p_no=1041" TargetMode="External"/><Relationship Id="rId13109" Type="http://schemas.openxmlformats.org/officeDocument/2006/relationships/hyperlink" Target="https://statiz.sporki.com/player/?m=playerinfo&amp;p_no=12902" TargetMode="External"/><Relationship Id="rId14507" Type="http://schemas.openxmlformats.org/officeDocument/2006/relationships/hyperlink" Target="https://statiz.sporki.com/player/?m=playerinfo&amp;p_no=2307" TargetMode="External"/><Relationship Id="rId436" Type="http://schemas.openxmlformats.org/officeDocument/2006/relationships/hyperlink" Target="https://statiz.sporki.com/player/?m=playerinfo&amp;p_no=15613" TargetMode="External"/><Relationship Id="rId1066" Type="http://schemas.openxmlformats.org/officeDocument/2006/relationships/hyperlink" Target="https://statiz.sporki.com/player/?m=playerinfo&amp;p_no=14801" TargetMode="External"/><Relationship Id="rId2117" Type="http://schemas.openxmlformats.org/officeDocument/2006/relationships/hyperlink" Target="https://statiz.sporki.com/add/?m=draft_school01&amp;ps_school=51001" TargetMode="External"/><Relationship Id="rId16679" Type="http://schemas.openxmlformats.org/officeDocument/2006/relationships/hyperlink" Target="https://statiz.sporki.com/add/?m=draft_school01&amp;ps_school=50602" TargetMode="External"/><Relationship Id="rId4289" Type="http://schemas.openxmlformats.org/officeDocument/2006/relationships/hyperlink" Target="https://statiz.sporki.com/add/?m=draft_school01&amp;ps_school=50209" TargetMode="External"/><Relationship Id="rId5687" Type="http://schemas.openxmlformats.org/officeDocument/2006/relationships/hyperlink" Target="https://statiz.sporki.com/add/?m=draft_school01&amp;ps_school=" TargetMode="External"/><Relationship Id="rId6738" Type="http://schemas.openxmlformats.org/officeDocument/2006/relationships/hyperlink" Target="https://statiz.sporki.com/add/?m=draft_school02&amp;ps_school=" TargetMode="External"/><Relationship Id="rId8160" Type="http://schemas.openxmlformats.org/officeDocument/2006/relationships/hyperlink" Target="https://statiz.sporki.com/add/?m=draft_school02&amp;ps_school=60501" TargetMode="External"/><Relationship Id="rId19152" Type="http://schemas.openxmlformats.org/officeDocument/2006/relationships/hyperlink" Target="https://statiz.sporki.com/add/?m=draft_school01&amp;ps_school=50803" TargetMode="External"/><Relationship Id="rId9211" Type="http://schemas.openxmlformats.org/officeDocument/2006/relationships/hyperlink" Target="https://statiz.sporki.com/player/?m=playerinfo&amp;p_no=1885" TargetMode="External"/><Relationship Id="rId10090" Type="http://schemas.openxmlformats.org/officeDocument/2006/relationships/hyperlink" Target="https://statiz.sporki.com/player/?m=playerinfo&amp;p_no=1588" TargetMode="External"/><Relationship Id="rId11141" Type="http://schemas.openxmlformats.org/officeDocument/2006/relationships/hyperlink" Target="https://statiz.sporki.com/add/?m=draft_school01&amp;ps_school=50703" TargetMode="External"/><Relationship Id="rId15762" Type="http://schemas.openxmlformats.org/officeDocument/2006/relationships/hyperlink" Target="https://statiz.sporki.com/player/?m=playerinfo&amp;p_no=1395" TargetMode="External"/><Relationship Id="rId16813" Type="http://schemas.openxmlformats.org/officeDocument/2006/relationships/hyperlink" Target="https://statiz.sporki.com/add/?m=draft_school01&amp;ps_school=50701" TargetMode="External"/><Relationship Id="rId1200" Type="http://schemas.openxmlformats.org/officeDocument/2006/relationships/hyperlink" Target="https://statiz.sporki.com/add/?m=draft_school02&amp;ps_school=61105" TargetMode="External"/><Relationship Id="rId4770" Type="http://schemas.openxmlformats.org/officeDocument/2006/relationships/hyperlink" Target="https://statiz.sporki.com/add/?m=draft_school02&amp;ps_school=60111" TargetMode="External"/><Relationship Id="rId5821" Type="http://schemas.openxmlformats.org/officeDocument/2006/relationships/hyperlink" Target="https://statiz.sporki.com/player/?m=playerinfo&amp;p_no=10610" TargetMode="External"/><Relationship Id="rId14364" Type="http://schemas.openxmlformats.org/officeDocument/2006/relationships/hyperlink" Target="https://statiz.sporki.com/player/?m=playerinfo&amp;p_no=10346" TargetMode="External"/><Relationship Id="rId15415" Type="http://schemas.openxmlformats.org/officeDocument/2006/relationships/hyperlink" Target="https://statiz.sporki.com/player/?m=playerinfo&amp;p_no=1664" TargetMode="External"/><Relationship Id="rId3372" Type="http://schemas.openxmlformats.org/officeDocument/2006/relationships/hyperlink" Target="https://statiz.sporki.com/add/?m=draft_school02&amp;ps_school=60102" TargetMode="External"/><Relationship Id="rId4423" Type="http://schemas.openxmlformats.org/officeDocument/2006/relationships/hyperlink" Target="https://statiz.sporki.com/player/?m=playerinfo&amp;p_no=11402" TargetMode="External"/><Relationship Id="rId7993" Type="http://schemas.openxmlformats.org/officeDocument/2006/relationships/hyperlink" Target="https://statiz.sporki.com/player/?m=playerinfo&amp;p_no=2138" TargetMode="External"/><Relationship Id="rId14017" Type="http://schemas.openxmlformats.org/officeDocument/2006/relationships/hyperlink" Target="https://statiz.sporki.com/player/?m=playerinfo&amp;p_no=10122" TargetMode="External"/><Relationship Id="rId17587" Type="http://schemas.openxmlformats.org/officeDocument/2006/relationships/hyperlink" Target="https://statiz.sporki.com/add/?m=draft_school01&amp;ps_school=50705" TargetMode="External"/><Relationship Id="rId18985" Type="http://schemas.openxmlformats.org/officeDocument/2006/relationships/hyperlink" Target="https://statiz.sporki.com/add/?m=draft_school01&amp;ps_school=50802" TargetMode="External"/><Relationship Id="rId293" Type="http://schemas.openxmlformats.org/officeDocument/2006/relationships/hyperlink" Target="https://statiz.sporki.com/add/?m=draft_school01&amp;ps_school=50703" TargetMode="External"/><Relationship Id="rId3025" Type="http://schemas.openxmlformats.org/officeDocument/2006/relationships/hyperlink" Target="https://statiz.sporki.com/player/?m=playerinfo&amp;p_no=12888" TargetMode="External"/><Relationship Id="rId6595" Type="http://schemas.openxmlformats.org/officeDocument/2006/relationships/hyperlink" Target="https://statiz.sporki.com/player/?m=playerinfo&amp;p_no=10763" TargetMode="External"/><Relationship Id="rId7646" Type="http://schemas.openxmlformats.org/officeDocument/2006/relationships/hyperlink" Target="https://statiz.sporki.com/add/?m=draft_school01&amp;ps_school=50901" TargetMode="External"/><Relationship Id="rId10974" Type="http://schemas.openxmlformats.org/officeDocument/2006/relationships/hyperlink" Target="https://statiz.sporki.com/add/?m=draft_school02&amp;ps_school=60501" TargetMode="External"/><Relationship Id="rId16189" Type="http://schemas.openxmlformats.org/officeDocument/2006/relationships/hyperlink" Target="https://statiz.sporki.com/add/?m=draft_school01&amp;ps_school=50107" TargetMode="External"/><Relationship Id="rId18638" Type="http://schemas.openxmlformats.org/officeDocument/2006/relationships/hyperlink" Target="https://statiz.sporki.com/add/?m=draft_school01&amp;ps_school=50706" TargetMode="External"/><Relationship Id="rId5197" Type="http://schemas.openxmlformats.org/officeDocument/2006/relationships/hyperlink" Target="https://statiz.sporki.com/player/?m=playerinfo&amp;p_no=10676" TargetMode="External"/><Relationship Id="rId6248" Type="http://schemas.openxmlformats.org/officeDocument/2006/relationships/hyperlink" Target="https://statiz.sporki.com/add/?m=draft_school01&amp;ps_school=50703" TargetMode="External"/><Relationship Id="rId10627" Type="http://schemas.openxmlformats.org/officeDocument/2006/relationships/hyperlink" Target="https://statiz.sporki.com/player/?m=playerinfo&amp;p_no=1450" TargetMode="External"/><Relationship Id="rId12799" Type="http://schemas.openxmlformats.org/officeDocument/2006/relationships/hyperlink" Target="https://statiz.sporki.com/player/?m=playerinfo&amp;p_no=14138" TargetMode="External"/><Relationship Id="rId13100" Type="http://schemas.openxmlformats.org/officeDocument/2006/relationships/hyperlink" Target="https://statiz.sporki.com/player/?m=playerinfo&amp;p_no=12856" TargetMode="External"/><Relationship Id="rId16670" Type="http://schemas.openxmlformats.org/officeDocument/2006/relationships/hyperlink" Target="https://statiz.sporki.com/add/?m=draft_school01&amp;ps_school=50116" TargetMode="External"/><Relationship Id="rId17721" Type="http://schemas.openxmlformats.org/officeDocument/2006/relationships/hyperlink" Target="https://statiz.sporki.com/add/?m=draft_school01&amp;ps_school=50403" TargetMode="External"/><Relationship Id="rId2858" Type="http://schemas.openxmlformats.org/officeDocument/2006/relationships/hyperlink" Target="https://statiz.sporki.com/add/?m=draft_school01&amp;ps_school=50116" TargetMode="External"/><Relationship Id="rId3909" Type="http://schemas.openxmlformats.org/officeDocument/2006/relationships/hyperlink" Target="https://statiz.sporki.com/add/?m=draft_school02&amp;ps_school=" TargetMode="External"/><Relationship Id="rId15272" Type="http://schemas.openxmlformats.org/officeDocument/2006/relationships/hyperlink" Target="https://statiz.sporki.com/player/?m=playerinfo&amp;p_no=1863" TargetMode="External"/><Relationship Id="rId16323" Type="http://schemas.openxmlformats.org/officeDocument/2006/relationships/hyperlink" Target="https://statiz.sporki.com/add/?m=draft_school01&amp;ps_school=50601" TargetMode="External"/><Relationship Id="rId4280" Type="http://schemas.openxmlformats.org/officeDocument/2006/relationships/hyperlink" Target="https://statiz.sporki.com/add/?m=draft_school01&amp;ps_school=50108" TargetMode="External"/><Relationship Id="rId5331" Type="http://schemas.openxmlformats.org/officeDocument/2006/relationships/hyperlink" Target="https://statiz.sporki.com/add/?m=draft_school02&amp;ps_school=" TargetMode="External"/><Relationship Id="rId9952" Type="http://schemas.openxmlformats.org/officeDocument/2006/relationships/hyperlink" Target="https://statiz.sporki.com/player/?m=playerinfo&amp;p_no=1841" TargetMode="External"/><Relationship Id="rId18495" Type="http://schemas.openxmlformats.org/officeDocument/2006/relationships/hyperlink" Target="https://statiz.sporki.com/add/?m=draft_school01&amp;ps_school=50502" TargetMode="External"/><Relationship Id="rId19546" Type="http://schemas.openxmlformats.org/officeDocument/2006/relationships/hyperlink" Target="https://statiz.sporki.com/add/?m=draft_school01&amp;ps_school=50114" TargetMode="External"/><Relationship Id="rId1941" Type="http://schemas.openxmlformats.org/officeDocument/2006/relationships/hyperlink" Target="https://statiz.sporki.com/add/?m=draft_school02&amp;ps_school=" TargetMode="External"/><Relationship Id="rId8554" Type="http://schemas.openxmlformats.org/officeDocument/2006/relationships/hyperlink" Target="https://statiz.sporki.com/player/?m=playerinfo&amp;p_no=2011" TargetMode="External"/><Relationship Id="rId9605" Type="http://schemas.openxmlformats.org/officeDocument/2006/relationships/hyperlink" Target="https://statiz.sporki.com/add/?m=draft_school01&amp;ps_school=50110" TargetMode="External"/><Relationship Id="rId10484" Type="http://schemas.openxmlformats.org/officeDocument/2006/relationships/hyperlink" Target="https://statiz.sporki.com/add/?m=draft_school01&amp;ps_school=" TargetMode="External"/><Relationship Id="rId11535" Type="http://schemas.openxmlformats.org/officeDocument/2006/relationships/hyperlink" Target="https://statiz.sporki.com/add/?m=draft_school02&amp;ps_school=" TargetMode="External"/><Relationship Id="rId11882" Type="http://schemas.openxmlformats.org/officeDocument/2006/relationships/hyperlink" Target="https://statiz.sporki.com/add/?m=draft_school01&amp;ps_school=50804" TargetMode="External"/><Relationship Id="rId12933" Type="http://schemas.openxmlformats.org/officeDocument/2006/relationships/hyperlink" Target="https://statiz.sporki.com/player/?m=playerinfo&amp;p_no=13158" TargetMode="External"/><Relationship Id="rId17097" Type="http://schemas.openxmlformats.org/officeDocument/2006/relationships/hyperlink" Target="https://statiz.sporki.com/add/?m=draft_school01&amp;ps_school=50802" TargetMode="External"/><Relationship Id="rId18148" Type="http://schemas.openxmlformats.org/officeDocument/2006/relationships/hyperlink" Target="https://statiz.sporki.com/add/?m=draft_school01&amp;ps_school=50804" TargetMode="External"/><Relationship Id="rId7156" Type="http://schemas.openxmlformats.org/officeDocument/2006/relationships/hyperlink" Target="https://statiz.sporki.com/player/?m=playerinfo&amp;p_no=10092" TargetMode="External"/><Relationship Id="rId8207" Type="http://schemas.openxmlformats.org/officeDocument/2006/relationships/hyperlink" Target="https://statiz.sporki.com/add/?m=draft_school01&amp;ps_school=" TargetMode="External"/><Relationship Id="rId10137" Type="http://schemas.openxmlformats.org/officeDocument/2006/relationships/hyperlink" Target="https://statiz.sporki.com/add/?m=draft_school02&amp;ps_school=60104" TargetMode="External"/><Relationship Id="rId14758" Type="http://schemas.openxmlformats.org/officeDocument/2006/relationships/hyperlink" Target="https://statiz.sporki.com/player/?m=playerinfo&amp;p_no=10269" TargetMode="External"/><Relationship Id="rId15809" Type="http://schemas.openxmlformats.org/officeDocument/2006/relationships/hyperlink" Target="https://statiz.sporki.com/player/?m=playerinfo&amp;p_no=1338" TargetMode="External"/><Relationship Id="rId687" Type="http://schemas.openxmlformats.org/officeDocument/2006/relationships/hyperlink" Target="https://statiz.sporki.com/add/?m=draft_school02&amp;ps_school=" TargetMode="External"/><Relationship Id="rId2368" Type="http://schemas.openxmlformats.org/officeDocument/2006/relationships/hyperlink" Target="https://statiz.sporki.com/player/?m=playerinfo&amp;p_no=13071" TargetMode="External"/><Relationship Id="rId3766" Type="http://schemas.openxmlformats.org/officeDocument/2006/relationships/hyperlink" Target="https://statiz.sporki.com/player/?m=playerinfo&amp;p_no=11336" TargetMode="External"/><Relationship Id="rId4817" Type="http://schemas.openxmlformats.org/officeDocument/2006/relationships/hyperlink" Target="https://statiz.sporki.com/add/?m=draft_school01&amp;ps_school=50111" TargetMode="External"/><Relationship Id="rId16180" Type="http://schemas.openxmlformats.org/officeDocument/2006/relationships/hyperlink" Target="https://statiz.sporki.com/player/?m=playerinfo&amp;p_no=1013" TargetMode="External"/><Relationship Id="rId17231" Type="http://schemas.openxmlformats.org/officeDocument/2006/relationships/hyperlink" Target="https://statiz.sporki.com/add/?m=draft_school01&amp;ps_school=50402" TargetMode="External"/><Relationship Id="rId3419" Type="http://schemas.openxmlformats.org/officeDocument/2006/relationships/hyperlink" Target="https://statiz.sporki.com/add/?m=draft_school01&amp;ps_school=50116" TargetMode="External"/><Relationship Id="rId6989" Type="http://schemas.openxmlformats.org/officeDocument/2006/relationships/hyperlink" Target="https://statiz.sporki.com/add/?m=draft_school01&amp;ps_school=50605" TargetMode="External"/><Relationship Id="rId12790" Type="http://schemas.openxmlformats.org/officeDocument/2006/relationships/hyperlink" Target="https://statiz.sporki.com/player/?m=playerinfo&amp;p_no=14157" TargetMode="External"/><Relationship Id="rId13841" Type="http://schemas.openxmlformats.org/officeDocument/2006/relationships/hyperlink" Target="https://statiz.sporki.com/player/?m=playerinfo&amp;p_no=10811" TargetMode="External"/><Relationship Id="rId3900" Type="http://schemas.openxmlformats.org/officeDocument/2006/relationships/hyperlink" Target="https://statiz.sporki.com/add/?m=draft_school02&amp;ps_school=" TargetMode="External"/><Relationship Id="rId9462" Type="http://schemas.openxmlformats.org/officeDocument/2006/relationships/hyperlink" Target="https://statiz.sporki.com/add/?m=draft_school02&amp;ps_school=60705" TargetMode="External"/><Relationship Id="rId11392" Type="http://schemas.openxmlformats.org/officeDocument/2006/relationships/hyperlink" Target="https://statiz.sporki.com/player/?m=playerinfo&amp;p_no=1253" TargetMode="External"/><Relationship Id="rId12443" Type="http://schemas.openxmlformats.org/officeDocument/2006/relationships/hyperlink" Target="https://statiz.sporki.com/player/?m=playerinfo&amp;p_no=15121" TargetMode="External"/><Relationship Id="rId19056" Type="http://schemas.openxmlformats.org/officeDocument/2006/relationships/hyperlink" Target="https://statiz.sporki.com/add/?m=draft_school01&amp;ps_school=50703" TargetMode="External"/><Relationship Id="rId821" Type="http://schemas.openxmlformats.org/officeDocument/2006/relationships/hyperlink" Target="https://statiz.sporki.com/add/?m=draft_school01&amp;ps_school=" TargetMode="External"/><Relationship Id="rId1451" Type="http://schemas.openxmlformats.org/officeDocument/2006/relationships/hyperlink" Target="https://statiz.sporki.com/add/?m=draft_school01&amp;ps_school=50602" TargetMode="External"/><Relationship Id="rId2502" Type="http://schemas.openxmlformats.org/officeDocument/2006/relationships/hyperlink" Target="https://statiz.sporki.com/add/?m=draft_school02&amp;ps_school=" TargetMode="External"/><Relationship Id="rId8064" Type="http://schemas.openxmlformats.org/officeDocument/2006/relationships/hyperlink" Target="https://statiz.sporki.com/add/?m=draft_school02&amp;ps_school=60101" TargetMode="External"/><Relationship Id="rId9115" Type="http://schemas.openxmlformats.org/officeDocument/2006/relationships/hyperlink" Target="https://statiz.sporki.com/player/?m=playerinfo&amp;p_no=1882" TargetMode="External"/><Relationship Id="rId11045" Type="http://schemas.openxmlformats.org/officeDocument/2006/relationships/hyperlink" Target="https://statiz.sporki.com/add/?m=draft_school01&amp;ps_school=" TargetMode="External"/><Relationship Id="rId15666" Type="http://schemas.openxmlformats.org/officeDocument/2006/relationships/hyperlink" Target="https://statiz.sporki.com/player/?m=playerinfo&amp;p_no=1494" TargetMode="External"/><Relationship Id="rId1104" Type="http://schemas.openxmlformats.org/officeDocument/2006/relationships/hyperlink" Target="https://statiz.sporki.com/add/?m=draft_school02&amp;ps_school=" TargetMode="External"/><Relationship Id="rId4674" Type="http://schemas.openxmlformats.org/officeDocument/2006/relationships/hyperlink" Target="https://statiz.sporki.com/add/?m=draft_school02&amp;ps_school=" TargetMode="External"/><Relationship Id="rId5725" Type="http://schemas.openxmlformats.org/officeDocument/2006/relationships/hyperlink" Target="https://statiz.sporki.com/player/?m=playerinfo&amp;p_no=11331" TargetMode="External"/><Relationship Id="rId14268" Type="http://schemas.openxmlformats.org/officeDocument/2006/relationships/hyperlink" Target="https://statiz.sporki.com/player/?m=playerinfo&amp;p_no=11143" TargetMode="External"/><Relationship Id="rId15319" Type="http://schemas.openxmlformats.org/officeDocument/2006/relationships/hyperlink" Target="https://statiz.sporki.com/player/?m=playerinfo&amp;p_no=10101" TargetMode="External"/><Relationship Id="rId16717" Type="http://schemas.openxmlformats.org/officeDocument/2006/relationships/hyperlink" Target="https://statiz.sporki.com/add/?m=draft_school01&amp;ps_school=50110" TargetMode="External"/><Relationship Id="rId3276" Type="http://schemas.openxmlformats.org/officeDocument/2006/relationships/hyperlink" Target="https://statiz.sporki.com/add/?m=draft_school02&amp;ps_school=" TargetMode="External"/><Relationship Id="rId4327" Type="http://schemas.openxmlformats.org/officeDocument/2006/relationships/hyperlink" Target="https://statiz.sporki.com/player/?m=playerinfo&amp;p_no=11287" TargetMode="External"/><Relationship Id="rId18889" Type="http://schemas.openxmlformats.org/officeDocument/2006/relationships/hyperlink" Target="https://statiz.sporki.com/add/?m=draft_school01&amp;ps_school=50301" TargetMode="External"/><Relationship Id="rId197" Type="http://schemas.openxmlformats.org/officeDocument/2006/relationships/hyperlink" Target="https://statiz.sporki.com/add/?m=draft_school01&amp;ps_school=50402" TargetMode="External"/><Relationship Id="rId6499" Type="http://schemas.openxmlformats.org/officeDocument/2006/relationships/hyperlink" Target="https://statiz.sporki.com/player/?m=playerinfo&amp;p_no=10247" TargetMode="External"/><Relationship Id="rId7897" Type="http://schemas.openxmlformats.org/officeDocument/2006/relationships/hyperlink" Target="https://statiz.sporki.com/player/?m=playerinfo&amp;p_no=10675" TargetMode="External"/><Relationship Id="rId8948" Type="http://schemas.openxmlformats.org/officeDocument/2006/relationships/hyperlink" Target="https://statiz.sporki.com/add/?m=draft_school01&amp;ps_school=50804" TargetMode="External"/><Relationship Id="rId10878" Type="http://schemas.openxmlformats.org/officeDocument/2006/relationships/hyperlink" Target="https://statiz.sporki.com/add/?m=draft_school02&amp;ps_school=60101" TargetMode="External"/><Relationship Id="rId11929" Type="http://schemas.openxmlformats.org/officeDocument/2006/relationships/hyperlink" Target="https://statiz.sporki.com/player/?m=playerinfo&amp;p_no=1087" TargetMode="External"/><Relationship Id="rId15800" Type="http://schemas.openxmlformats.org/officeDocument/2006/relationships/hyperlink" Target="https://statiz.sporki.com/player/?m=playerinfo&amp;p_no=1355" TargetMode="External"/><Relationship Id="rId13351" Type="http://schemas.openxmlformats.org/officeDocument/2006/relationships/hyperlink" Target="https://statiz.sporki.com/player/?m=playerinfo&amp;p_no=11381" TargetMode="External"/><Relationship Id="rId14402" Type="http://schemas.openxmlformats.org/officeDocument/2006/relationships/hyperlink" Target="https://statiz.sporki.com/player/?m=playerinfo&amp;p_no=10128" TargetMode="External"/><Relationship Id="rId17972" Type="http://schemas.openxmlformats.org/officeDocument/2006/relationships/hyperlink" Target="https://statiz.sporki.com/add/?m=draft_school01&amp;ps_school=50602" TargetMode="External"/><Relationship Id="rId3410" Type="http://schemas.openxmlformats.org/officeDocument/2006/relationships/hyperlink" Target="https://statiz.sporki.com/add/?m=draft_school01&amp;ps_school=50205" TargetMode="External"/><Relationship Id="rId6980" Type="http://schemas.openxmlformats.org/officeDocument/2006/relationships/hyperlink" Target="https://statiz.sporki.com/add/?m=draft_school01&amp;ps_school=50401" TargetMode="External"/><Relationship Id="rId13004" Type="http://schemas.openxmlformats.org/officeDocument/2006/relationships/hyperlink" Target="https://statiz.sporki.com/player/?m=playerinfo&amp;p_no=13143" TargetMode="External"/><Relationship Id="rId16574" Type="http://schemas.openxmlformats.org/officeDocument/2006/relationships/hyperlink" Target="https://statiz.sporki.com/add/?m=draft_school01&amp;ps_school=51106" TargetMode="External"/><Relationship Id="rId17625" Type="http://schemas.openxmlformats.org/officeDocument/2006/relationships/hyperlink" Target="https://statiz.sporki.com/add/?m=draft_school01&amp;ps_school=50802" TargetMode="External"/><Relationship Id="rId331" Type="http://schemas.openxmlformats.org/officeDocument/2006/relationships/hyperlink" Target="https://statiz.sporki.com/player/?m=playerinfo&amp;p_no=15534" TargetMode="External"/><Relationship Id="rId2012" Type="http://schemas.openxmlformats.org/officeDocument/2006/relationships/hyperlink" Target="https://statiz.sporki.com/add/?m=draft_school01&amp;ps_school=50601" TargetMode="External"/><Relationship Id="rId5582" Type="http://schemas.openxmlformats.org/officeDocument/2006/relationships/hyperlink" Target="https://statiz.sporki.com/add/?m=draft_school01&amp;ps_school=50802" TargetMode="External"/><Relationship Id="rId6633" Type="http://schemas.openxmlformats.org/officeDocument/2006/relationships/hyperlink" Target="https://statiz.sporki.com/add/?m=draft_school02&amp;ps_school=" TargetMode="External"/><Relationship Id="rId15176" Type="http://schemas.openxmlformats.org/officeDocument/2006/relationships/hyperlink" Target="https://statiz.sporki.com/player/?m=playerinfo&amp;p_no=1886" TargetMode="External"/><Relationship Id="rId16227" Type="http://schemas.openxmlformats.org/officeDocument/2006/relationships/hyperlink" Target="https://statiz.sporki.com/add/?m=draft_school01&amp;ps_school=50102" TargetMode="External"/><Relationship Id="rId4184" Type="http://schemas.openxmlformats.org/officeDocument/2006/relationships/hyperlink" Target="https://statiz.sporki.com/add/?m=draft_school01&amp;ps_school=50604" TargetMode="External"/><Relationship Id="rId5235" Type="http://schemas.openxmlformats.org/officeDocument/2006/relationships/hyperlink" Target="https://statiz.sporki.com/add/?m=draft_school02&amp;ps_school=" TargetMode="External"/><Relationship Id="rId9856" Type="http://schemas.openxmlformats.org/officeDocument/2006/relationships/hyperlink" Target="https://statiz.sporki.com/player/?m=playerinfo&amp;p_no=1653" TargetMode="External"/><Relationship Id="rId18399" Type="http://schemas.openxmlformats.org/officeDocument/2006/relationships/hyperlink" Target="https://statiz.sporki.com/add/?m=draft_school01&amp;ps_school=50208" TargetMode="External"/><Relationship Id="rId8458" Type="http://schemas.openxmlformats.org/officeDocument/2006/relationships/hyperlink" Target="https://statiz.sporki.com/player/?m=playerinfo&amp;p_no=2022" TargetMode="External"/><Relationship Id="rId9509" Type="http://schemas.openxmlformats.org/officeDocument/2006/relationships/hyperlink" Target="https://statiz.sporki.com/add/?m=draft_school01&amp;ps_school=50802" TargetMode="External"/><Relationship Id="rId11786" Type="http://schemas.openxmlformats.org/officeDocument/2006/relationships/hyperlink" Target="https://statiz.sporki.com/add/?m=draft_school01&amp;ps_school=50106" TargetMode="External"/><Relationship Id="rId12837" Type="http://schemas.openxmlformats.org/officeDocument/2006/relationships/hyperlink" Target="https://statiz.sporki.com/player/?m=playerinfo&amp;p_no=14112" TargetMode="External"/><Relationship Id="rId1845" Type="http://schemas.openxmlformats.org/officeDocument/2006/relationships/hyperlink" Target="https://statiz.sporki.com/add/?m=draft_school02&amp;ps_school=60703" TargetMode="External"/><Relationship Id="rId10388" Type="http://schemas.openxmlformats.org/officeDocument/2006/relationships/hyperlink" Target="https://statiz.sporki.com/add/?m=draft_school01&amp;ps_school=50501" TargetMode="External"/><Relationship Id="rId11439" Type="http://schemas.openxmlformats.org/officeDocument/2006/relationships/hyperlink" Target="https://statiz.sporki.com/add/?m=draft_school02&amp;ps_school=60101" TargetMode="External"/><Relationship Id="rId15310" Type="http://schemas.openxmlformats.org/officeDocument/2006/relationships/hyperlink" Target="https://statiz.sporki.com/player/?m=playerinfo&amp;p_no=1851" TargetMode="External"/><Relationship Id="rId18880" Type="http://schemas.openxmlformats.org/officeDocument/2006/relationships/hyperlink" Target="https://statiz.sporki.com/add/?m=draft_school01&amp;ps_school=50103" TargetMode="External"/><Relationship Id="rId11920" Type="http://schemas.openxmlformats.org/officeDocument/2006/relationships/hyperlink" Target="https://statiz.sporki.com/player/?m=playerinfo&amp;p_no=1006" TargetMode="External"/><Relationship Id="rId17482" Type="http://schemas.openxmlformats.org/officeDocument/2006/relationships/hyperlink" Target="https://statiz.sporki.com/add/?m=draft_school01&amp;ps_school=50403" TargetMode="External"/><Relationship Id="rId18533" Type="http://schemas.openxmlformats.org/officeDocument/2006/relationships/hyperlink" Target="https://statiz.sporki.com/add/?m=draft_school01&amp;ps_school=50203" TargetMode="External"/><Relationship Id="rId5092" Type="http://schemas.openxmlformats.org/officeDocument/2006/relationships/hyperlink" Target="https://statiz.sporki.com/player/?m=playerinfo&amp;p_no=11267" TargetMode="External"/><Relationship Id="rId6490" Type="http://schemas.openxmlformats.org/officeDocument/2006/relationships/hyperlink" Target="https://statiz.sporki.com/player/?m=playerinfo&amp;p_no=10077" TargetMode="External"/><Relationship Id="rId7541" Type="http://schemas.openxmlformats.org/officeDocument/2006/relationships/hyperlink" Target="https://statiz.sporki.com/add/?m=draft_school01&amp;ps_school=50116" TargetMode="External"/><Relationship Id="rId10522" Type="http://schemas.openxmlformats.org/officeDocument/2006/relationships/hyperlink" Target="https://statiz.sporki.com/player/?m=playerinfo&amp;p_no=1702" TargetMode="External"/><Relationship Id="rId16084" Type="http://schemas.openxmlformats.org/officeDocument/2006/relationships/hyperlink" Target="https://statiz.sporki.com/player/?m=playerinfo&amp;p_no=1117" TargetMode="External"/><Relationship Id="rId17135" Type="http://schemas.openxmlformats.org/officeDocument/2006/relationships/hyperlink" Target="https://statiz.sporki.com/add/?m=draft_school01&amp;ps_school=50705" TargetMode="External"/><Relationship Id="rId6143" Type="http://schemas.openxmlformats.org/officeDocument/2006/relationships/hyperlink" Target="https://statiz.sporki.com/add/?m=draft_school01&amp;ps_school=50112" TargetMode="External"/><Relationship Id="rId12694" Type="http://schemas.openxmlformats.org/officeDocument/2006/relationships/hyperlink" Target="https://statiz.sporki.com/player/?m=playerinfo&amp;p_no=14678" TargetMode="External"/><Relationship Id="rId13745" Type="http://schemas.openxmlformats.org/officeDocument/2006/relationships/hyperlink" Target="https://statiz.sporki.com/player/?m=playerinfo&amp;p_no=10864" TargetMode="External"/><Relationship Id="rId2753" Type="http://schemas.openxmlformats.org/officeDocument/2006/relationships/hyperlink" Target="https://statiz.sporki.com/add/?m=draft_school01&amp;ps_school=50207" TargetMode="External"/><Relationship Id="rId3804" Type="http://schemas.openxmlformats.org/officeDocument/2006/relationships/hyperlink" Target="https://statiz.sporki.com/add/?m=draft_school02&amp;ps_school=" TargetMode="External"/><Relationship Id="rId9366" Type="http://schemas.openxmlformats.org/officeDocument/2006/relationships/hyperlink" Target="https://statiz.sporki.com/add/?m=draft_school02&amp;ps_school=60203" TargetMode="External"/><Relationship Id="rId11296" Type="http://schemas.openxmlformats.org/officeDocument/2006/relationships/hyperlink" Target="https://statiz.sporki.com/player/?m=playerinfo&amp;p_no=1256" TargetMode="External"/><Relationship Id="rId12347" Type="http://schemas.openxmlformats.org/officeDocument/2006/relationships/hyperlink" Target="https://statiz.sporki.com/player/?m=playerinfo&amp;p_no=15027" TargetMode="External"/><Relationship Id="rId725" Type="http://schemas.openxmlformats.org/officeDocument/2006/relationships/hyperlink" Target="https://statiz.sporki.com/add/?m=draft_school01&amp;ps_school=50705" TargetMode="External"/><Relationship Id="rId1355" Type="http://schemas.openxmlformats.org/officeDocument/2006/relationships/hyperlink" Target="https://statiz.sporki.com/add/?m=draft_school01&amp;ps_school=50114" TargetMode="External"/><Relationship Id="rId2406" Type="http://schemas.openxmlformats.org/officeDocument/2006/relationships/hyperlink" Target="https://statiz.sporki.com/add/?m=draft_school02&amp;ps_school=" TargetMode="External"/><Relationship Id="rId9019" Type="http://schemas.openxmlformats.org/officeDocument/2006/relationships/hyperlink" Target="https://statiz.sporki.com/player/?m=playerinfo&amp;p_no=2126" TargetMode="External"/><Relationship Id="rId16968" Type="http://schemas.openxmlformats.org/officeDocument/2006/relationships/hyperlink" Target="https://statiz.sporki.com/add/?m=draft_school01&amp;ps_school=50602" TargetMode="External"/><Relationship Id="rId1008" Type="http://schemas.openxmlformats.org/officeDocument/2006/relationships/hyperlink" Target="https://statiz.sporki.com/add/?m=draft_school02&amp;ps_school=" TargetMode="External"/><Relationship Id="rId4578" Type="http://schemas.openxmlformats.org/officeDocument/2006/relationships/hyperlink" Target="https://statiz.sporki.com/add/?m=draft_school02&amp;ps_school=60110" TargetMode="External"/><Relationship Id="rId5976" Type="http://schemas.openxmlformats.org/officeDocument/2006/relationships/hyperlink" Target="https://statiz.sporki.com/add/?m=draft_school02&amp;ps_school=60203" TargetMode="External"/><Relationship Id="rId18043" Type="http://schemas.openxmlformats.org/officeDocument/2006/relationships/hyperlink" Target="https://statiz.sporki.com/add/?m=draft_school01&amp;ps_school=50701" TargetMode="External"/><Relationship Id="rId18390" Type="http://schemas.openxmlformats.org/officeDocument/2006/relationships/hyperlink" Target="https://statiz.sporki.com/add/?m=draft_school01&amp;ps_school=50705" TargetMode="External"/><Relationship Id="rId19441" Type="http://schemas.openxmlformats.org/officeDocument/2006/relationships/hyperlink" Target="https://statiz.sporki.com/add/?m=draft_school01&amp;ps_school=50602" TargetMode="External"/><Relationship Id="rId61" Type="http://schemas.openxmlformats.org/officeDocument/2006/relationships/hyperlink" Target="https://statiz.sporki.com/player/?m=playerinfo&amp;p_no=15423" TargetMode="External"/><Relationship Id="rId5629" Type="http://schemas.openxmlformats.org/officeDocument/2006/relationships/hyperlink" Target="https://statiz.sporki.com/player/?m=playerinfo&amp;p_no=10352" TargetMode="External"/><Relationship Id="rId7051" Type="http://schemas.openxmlformats.org/officeDocument/2006/relationships/hyperlink" Target="https://statiz.sporki.com/player/?m=playerinfo&amp;p_no=2323" TargetMode="External"/><Relationship Id="rId8102" Type="http://schemas.openxmlformats.org/officeDocument/2006/relationships/hyperlink" Target="https://statiz.sporki.com/add/?m=draft_school01&amp;ps_school=50121" TargetMode="External"/><Relationship Id="rId9500" Type="http://schemas.openxmlformats.org/officeDocument/2006/relationships/hyperlink" Target="https://statiz.sporki.com/add/?m=draft_school01&amp;ps_school=50112" TargetMode="External"/><Relationship Id="rId11430" Type="http://schemas.openxmlformats.org/officeDocument/2006/relationships/hyperlink" Target="https://statiz.sporki.com/add/?m=draft_school02&amp;ps_school=60101" TargetMode="External"/><Relationship Id="rId10032" Type="http://schemas.openxmlformats.org/officeDocument/2006/relationships/hyperlink" Target="https://statiz.sporki.com/add/?m=draft_school02&amp;ps_school=60104" TargetMode="External"/><Relationship Id="rId14653" Type="http://schemas.openxmlformats.org/officeDocument/2006/relationships/hyperlink" Target="https://statiz.sporki.com/player/?m=playerinfo&amp;p_no=2267" TargetMode="External"/><Relationship Id="rId15704" Type="http://schemas.openxmlformats.org/officeDocument/2006/relationships/hyperlink" Target="https://statiz.sporki.com/player/?m=playerinfo&amp;p_no=1490" TargetMode="External"/><Relationship Id="rId3661" Type="http://schemas.openxmlformats.org/officeDocument/2006/relationships/hyperlink" Target="https://statiz.sporki.com/player/?m=playerinfo&amp;p_no=11366" TargetMode="External"/><Relationship Id="rId4712" Type="http://schemas.openxmlformats.org/officeDocument/2006/relationships/hyperlink" Target="https://statiz.sporki.com/add/?m=draft_school01&amp;ps_school=50113" TargetMode="External"/><Relationship Id="rId13255" Type="http://schemas.openxmlformats.org/officeDocument/2006/relationships/hyperlink" Target="https://statiz.sporki.com/player/?m=playerinfo&amp;p_no=12616" TargetMode="External"/><Relationship Id="rId14306" Type="http://schemas.openxmlformats.org/officeDocument/2006/relationships/hyperlink" Target="https://statiz.sporki.com/player/?m=playerinfo&amp;p_no=10503" TargetMode="External"/><Relationship Id="rId17876" Type="http://schemas.openxmlformats.org/officeDocument/2006/relationships/hyperlink" Target="https://statiz.sporki.com/add/?m=draft_school01&amp;ps_school=50807" TargetMode="External"/><Relationship Id="rId582" Type="http://schemas.openxmlformats.org/officeDocument/2006/relationships/hyperlink" Target="https://statiz.sporki.com/add/?m=draft_school02&amp;ps_school=" TargetMode="External"/><Relationship Id="rId2263" Type="http://schemas.openxmlformats.org/officeDocument/2006/relationships/hyperlink" Target="https://statiz.sporki.com/player/?m=playerinfo&amp;p_no=14198" TargetMode="External"/><Relationship Id="rId3314" Type="http://schemas.openxmlformats.org/officeDocument/2006/relationships/hyperlink" Target="https://statiz.sporki.com/add/?m=draft_school01&amp;ps_school=50203" TargetMode="External"/><Relationship Id="rId6884" Type="http://schemas.openxmlformats.org/officeDocument/2006/relationships/hyperlink" Target="https://statiz.sporki.com/add/?m=draft_school01&amp;ps_school=50602" TargetMode="External"/><Relationship Id="rId7935" Type="http://schemas.openxmlformats.org/officeDocument/2006/relationships/hyperlink" Target="https://statiz.sporki.com/add/?m=draft_school02&amp;ps_school=60803" TargetMode="External"/><Relationship Id="rId16478" Type="http://schemas.openxmlformats.org/officeDocument/2006/relationships/hyperlink" Target="https://statiz.sporki.com/add/?m=draft_school01&amp;ps_school=50602" TargetMode="External"/><Relationship Id="rId17529" Type="http://schemas.openxmlformats.org/officeDocument/2006/relationships/hyperlink" Target="https://statiz.sporki.com/add/?m=draft_school01&amp;ps_school=50114" TargetMode="External"/><Relationship Id="rId18927" Type="http://schemas.openxmlformats.org/officeDocument/2006/relationships/hyperlink" Target="https://statiz.sporki.com/add/?m=draft_school01&amp;ps_school=50701" TargetMode="External"/><Relationship Id="rId235" Type="http://schemas.openxmlformats.org/officeDocument/2006/relationships/hyperlink" Target="https://statiz.sporki.com/player/?m=playerinfo&amp;p_no=15515" TargetMode="External"/><Relationship Id="rId5486" Type="http://schemas.openxmlformats.org/officeDocument/2006/relationships/hyperlink" Target="https://statiz.sporki.com/add/?m=draft_school01&amp;ps_school=50606" TargetMode="External"/><Relationship Id="rId6537" Type="http://schemas.openxmlformats.org/officeDocument/2006/relationships/hyperlink" Target="https://statiz.sporki.com/add/?m=draft_school02&amp;ps_school=60704" TargetMode="External"/><Relationship Id="rId10916" Type="http://schemas.openxmlformats.org/officeDocument/2006/relationships/hyperlink" Target="https://statiz.sporki.com/add/?m=draft_school01&amp;ps_school=50108" TargetMode="External"/><Relationship Id="rId4088" Type="http://schemas.openxmlformats.org/officeDocument/2006/relationships/hyperlink" Target="https://statiz.sporki.com/add/?m=draft_school01&amp;ps_school=50113" TargetMode="External"/><Relationship Id="rId5139" Type="http://schemas.openxmlformats.org/officeDocument/2006/relationships/hyperlink" Target="https://statiz.sporki.com/add/?m=draft_school02&amp;ps_school=60602" TargetMode="External"/><Relationship Id="rId9010" Type="http://schemas.openxmlformats.org/officeDocument/2006/relationships/hyperlink" Target="https://statiz.sporki.com/player/?m=playerinfo&amp;p_no=10026" TargetMode="External"/><Relationship Id="rId15561" Type="http://schemas.openxmlformats.org/officeDocument/2006/relationships/hyperlink" Target="https://statiz.sporki.com/player/?m=playerinfo&amp;p_no=1626" TargetMode="External"/><Relationship Id="rId16612" Type="http://schemas.openxmlformats.org/officeDocument/2006/relationships/hyperlink" Target="https://statiz.sporki.com/add/?m=draft_school01&amp;ps_school=50810" TargetMode="External"/><Relationship Id="rId1749" Type="http://schemas.openxmlformats.org/officeDocument/2006/relationships/hyperlink" Target="https://statiz.sporki.com/add/?m=draft_school02&amp;ps_school=61116" TargetMode="External"/><Relationship Id="rId3171" Type="http://schemas.openxmlformats.org/officeDocument/2006/relationships/hyperlink" Target="https://statiz.sporki.com/add/?m=draft_school02&amp;ps_school=" TargetMode="External"/><Relationship Id="rId5620" Type="http://schemas.openxmlformats.org/officeDocument/2006/relationships/hyperlink" Target="https://statiz.sporki.com/player/?m=playerinfo&amp;p_no=10369" TargetMode="External"/><Relationship Id="rId14163" Type="http://schemas.openxmlformats.org/officeDocument/2006/relationships/hyperlink" Target="https://statiz.sporki.com/player/?m=playerinfo&amp;p_no=10544" TargetMode="External"/><Relationship Id="rId15214" Type="http://schemas.openxmlformats.org/officeDocument/2006/relationships/hyperlink" Target="https://statiz.sporki.com/player/?m=playerinfo&amp;p_no=1877" TargetMode="External"/><Relationship Id="rId18784" Type="http://schemas.openxmlformats.org/officeDocument/2006/relationships/hyperlink" Target="https://statiz.sporki.com/add/?m=draft_school01&amp;ps_school=50501" TargetMode="External"/><Relationship Id="rId4222" Type="http://schemas.openxmlformats.org/officeDocument/2006/relationships/hyperlink" Target="https://statiz.sporki.com/player/?m=playerinfo&amp;p_no=12645" TargetMode="External"/><Relationship Id="rId7792" Type="http://schemas.openxmlformats.org/officeDocument/2006/relationships/hyperlink" Target="https://statiz.sporki.com/player/?m=playerinfo&amp;p_no=2166" TargetMode="External"/><Relationship Id="rId8843" Type="http://schemas.openxmlformats.org/officeDocument/2006/relationships/hyperlink" Target="https://statiz.sporki.com/add/?m=draft_school01&amp;ps_school=50704" TargetMode="External"/><Relationship Id="rId10773" Type="http://schemas.openxmlformats.org/officeDocument/2006/relationships/hyperlink" Target="https://statiz.sporki.com/add/?m=draft_school02&amp;ps_school=" TargetMode="External"/><Relationship Id="rId11824" Type="http://schemas.openxmlformats.org/officeDocument/2006/relationships/hyperlink" Target="https://statiz.sporki.com/player/?m=playerinfo&amp;p_no=1124" TargetMode="External"/><Relationship Id="rId17386" Type="http://schemas.openxmlformats.org/officeDocument/2006/relationships/hyperlink" Target="https://statiz.sporki.com/add/?m=draft_school01&amp;ps_school=50207" TargetMode="External"/><Relationship Id="rId18437" Type="http://schemas.openxmlformats.org/officeDocument/2006/relationships/hyperlink" Target="https://statiz.sporki.com/add/?m=draft_school01&amp;ps_school=50501" TargetMode="External"/><Relationship Id="rId6394" Type="http://schemas.openxmlformats.org/officeDocument/2006/relationships/hyperlink" Target="https://statiz.sporki.com/player/?m=playerinfo&amp;p_no=10094" TargetMode="External"/><Relationship Id="rId7445" Type="http://schemas.openxmlformats.org/officeDocument/2006/relationships/hyperlink" Target="https://statiz.sporki.com/add/?m=draft_school01&amp;ps_school=50112" TargetMode="External"/><Relationship Id="rId10426" Type="http://schemas.openxmlformats.org/officeDocument/2006/relationships/hyperlink" Target="https://statiz.sporki.com/player/?m=playerinfo&amp;p_no=1568" TargetMode="External"/><Relationship Id="rId17039" Type="http://schemas.openxmlformats.org/officeDocument/2006/relationships/hyperlink" Target="https://statiz.sporki.com/add/?m=draft_school01&amp;ps_school=50808" TargetMode="External"/><Relationship Id="rId6047" Type="http://schemas.openxmlformats.org/officeDocument/2006/relationships/hyperlink" Target="https://statiz.sporki.com/add/?m=draft_school01&amp;ps_school=50209" TargetMode="External"/><Relationship Id="rId13996" Type="http://schemas.openxmlformats.org/officeDocument/2006/relationships/hyperlink" Target="https://statiz.sporki.com/player/?m=playerinfo&amp;p_no=11160" TargetMode="External"/><Relationship Id="rId976" Type="http://schemas.openxmlformats.org/officeDocument/2006/relationships/hyperlink" Target="https://statiz.sporki.com/player/?m=playerinfo&amp;p_no=14798" TargetMode="External"/><Relationship Id="rId2657" Type="http://schemas.openxmlformats.org/officeDocument/2006/relationships/hyperlink" Target="https://statiz.sporki.com/add/?m=draft_school01&amp;ps_school=" TargetMode="External"/><Relationship Id="rId12598" Type="http://schemas.openxmlformats.org/officeDocument/2006/relationships/hyperlink" Target="https://statiz.sporki.com/player/?m=playerinfo&amp;p_no=14852" TargetMode="External"/><Relationship Id="rId13649" Type="http://schemas.openxmlformats.org/officeDocument/2006/relationships/hyperlink" Target="https://statiz.sporki.com/player/?m=playerinfo&amp;p_no=11097" TargetMode="External"/><Relationship Id="rId15071" Type="http://schemas.openxmlformats.org/officeDocument/2006/relationships/hyperlink" Target="https://statiz.sporki.com/player/?m=playerinfo&amp;p_no=14889" TargetMode="External"/><Relationship Id="rId17520" Type="http://schemas.openxmlformats.org/officeDocument/2006/relationships/hyperlink" Target="https://statiz.sporki.com/add/?m=draft_school01&amp;ps_school=50803" TargetMode="External"/><Relationship Id="rId629" Type="http://schemas.openxmlformats.org/officeDocument/2006/relationships/hyperlink" Target="https://statiz.sporki.com/add/?m=draft_school01&amp;ps_school=50116" TargetMode="External"/><Relationship Id="rId1259" Type="http://schemas.openxmlformats.org/officeDocument/2006/relationships/hyperlink" Target="https://statiz.sporki.com/add/?m=draft_school01&amp;ps_school=50212" TargetMode="External"/><Relationship Id="rId3708" Type="http://schemas.openxmlformats.org/officeDocument/2006/relationships/hyperlink" Target="https://statiz.sporki.com/add/?m=draft_school02&amp;ps_school=60203" TargetMode="External"/><Relationship Id="rId5130" Type="http://schemas.openxmlformats.org/officeDocument/2006/relationships/hyperlink" Target="https://statiz.sporki.com/add/?m=draft_school02&amp;ps_school=60108" TargetMode="External"/><Relationship Id="rId16122" Type="http://schemas.openxmlformats.org/officeDocument/2006/relationships/hyperlink" Target="https://statiz.sporki.com/player/?m=playerinfo&amp;p_no=1190" TargetMode="External"/><Relationship Id="rId9751" Type="http://schemas.openxmlformats.org/officeDocument/2006/relationships/hyperlink" Target="https://statiz.sporki.com/player/?m=playerinfo&amp;p_no=10062" TargetMode="External"/><Relationship Id="rId11681" Type="http://schemas.openxmlformats.org/officeDocument/2006/relationships/hyperlink" Target="https://statiz.sporki.com/add/?m=draft_school01&amp;ps_school=50402" TargetMode="External"/><Relationship Id="rId12732" Type="http://schemas.openxmlformats.org/officeDocument/2006/relationships/hyperlink" Target="https://statiz.sporki.com/player/?m=playerinfo&amp;p_no=14727" TargetMode="External"/><Relationship Id="rId18294" Type="http://schemas.openxmlformats.org/officeDocument/2006/relationships/hyperlink" Target="https://statiz.sporki.com/add/?m=draft_school01&amp;ps_school=50303" TargetMode="External"/><Relationship Id="rId19345" Type="http://schemas.openxmlformats.org/officeDocument/2006/relationships/hyperlink" Target="https://statiz.sporki.com/add/?m=draft_school01&amp;ps_school=50705" TargetMode="External"/><Relationship Id="rId1740" Type="http://schemas.openxmlformats.org/officeDocument/2006/relationships/hyperlink" Target="https://statiz.sporki.com/add/?m=draft_school02&amp;ps_school=" TargetMode="External"/><Relationship Id="rId8353" Type="http://schemas.openxmlformats.org/officeDocument/2006/relationships/hyperlink" Target="https://statiz.sporki.com/player/?m=playerinfo&amp;p_no=2032" TargetMode="External"/><Relationship Id="rId9404" Type="http://schemas.openxmlformats.org/officeDocument/2006/relationships/hyperlink" Target="https://statiz.sporki.com/add/?m=draft_school01&amp;ps_school=50110" TargetMode="External"/><Relationship Id="rId10283" Type="http://schemas.openxmlformats.org/officeDocument/2006/relationships/hyperlink" Target="https://statiz.sporki.com/add/?m=draft_school01&amp;ps_school=50121" TargetMode="External"/><Relationship Id="rId11334" Type="http://schemas.openxmlformats.org/officeDocument/2006/relationships/hyperlink" Target="https://statiz.sporki.com/add/?m=draft_school02&amp;ps_school=60101" TargetMode="External"/><Relationship Id="rId15955" Type="http://schemas.openxmlformats.org/officeDocument/2006/relationships/hyperlink" Target="https://statiz.sporki.com/player/?m=playerinfo&amp;p_no=1227" TargetMode="External"/><Relationship Id="rId4963" Type="http://schemas.openxmlformats.org/officeDocument/2006/relationships/hyperlink" Target="https://statiz.sporki.com/player/?m=playerinfo&amp;p_no=10917" TargetMode="External"/><Relationship Id="rId8006" Type="http://schemas.openxmlformats.org/officeDocument/2006/relationships/hyperlink" Target="https://statiz.sporki.com/add/?m=draft_school01&amp;ps_school=" TargetMode="External"/><Relationship Id="rId14557" Type="http://schemas.openxmlformats.org/officeDocument/2006/relationships/hyperlink" Target="https://statiz.sporki.com/player/?m=playerinfo&amp;p_no=2289" TargetMode="External"/><Relationship Id="rId15608" Type="http://schemas.openxmlformats.org/officeDocument/2006/relationships/hyperlink" Target="https://statiz.sporki.com/player/?m=playerinfo&amp;p_no=1621" TargetMode="External"/><Relationship Id="rId3565" Type="http://schemas.openxmlformats.org/officeDocument/2006/relationships/hyperlink" Target="https://statiz.sporki.com/player/?m=playerinfo&amp;p_no=13922" TargetMode="External"/><Relationship Id="rId4616" Type="http://schemas.openxmlformats.org/officeDocument/2006/relationships/hyperlink" Target="https://statiz.sporki.com/add/?m=draft_school01&amp;ps_school=50808" TargetMode="External"/><Relationship Id="rId13159" Type="http://schemas.openxmlformats.org/officeDocument/2006/relationships/hyperlink" Target="https://statiz.sporki.com/player/?m=playerinfo&amp;p_no=12950" TargetMode="External"/><Relationship Id="rId17030" Type="http://schemas.openxmlformats.org/officeDocument/2006/relationships/hyperlink" Target="https://statiz.sporki.com/add/?m=draft_school01&amp;ps_school=50901" TargetMode="External"/><Relationship Id="rId486" Type="http://schemas.openxmlformats.org/officeDocument/2006/relationships/hyperlink" Target="https://statiz.sporki.com/add/?m=draft_school02&amp;ps_school=" TargetMode="External"/><Relationship Id="rId2167" Type="http://schemas.openxmlformats.org/officeDocument/2006/relationships/hyperlink" Target="https://statiz.sporki.com/player/?m=playerinfo&amp;p_no=14129" TargetMode="External"/><Relationship Id="rId3218" Type="http://schemas.openxmlformats.org/officeDocument/2006/relationships/hyperlink" Target="https://statiz.sporki.com/add/?m=draft_school01&amp;ps_school=50902" TargetMode="External"/><Relationship Id="rId6788" Type="http://schemas.openxmlformats.org/officeDocument/2006/relationships/hyperlink" Target="https://statiz.sporki.com/add/?m=draft_school01&amp;ps_school=50805" TargetMode="External"/><Relationship Id="rId139" Type="http://schemas.openxmlformats.org/officeDocument/2006/relationships/hyperlink" Target="https://statiz.sporki.com/player/?m=playerinfo&amp;p_no=15488" TargetMode="External"/><Relationship Id="rId7839" Type="http://schemas.openxmlformats.org/officeDocument/2006/relationships/hyperlink" Target="https://statiz.sporki.com/add/?m=draft_school02&amp;ps_school=60104" TargetMode="External"/><Relationship Id="rId9261" Type="http://schemas.openxmlformats.org/officeDocument/2006/relationships/hyperlink" Target="https://statiz.sporki.com/add/?m=draft_school02&amp;ps_school=" TargetMode="External"/><Relationship Id="rId13640" Type="http://schemas.openxmlformats.org/officeDocument/2006/relationships/hyperlink" Target="https://statiz.sporki.com/player/?m=playerinfo&amp;p_no=11093" TargetMode="External"/><Relationship Id="rId11191" Type="http://schemas.openxmlformats.org/officeDocument/2006/relationships/hyperlink" Target="https://statiz.sporki.com/player/?m=playerinfo&amp;p_no=1323" TargetMode="External"/><Relationship Id="rId12242" Type="http://schemas.openxmlformats.org/officeDocument/2006/relationships/hyperlink" Target="https://statiz.sporki.com/player/?m=playerinfo&amp;p_no=15449" TargetMode="External"/><Relationship Id="rId16863" Type="http://schemas.openxmlformats.org/officeDocument/2006/relationships/hyperlink" Target="https://statiz.sporki.com/add/?m=draft_school01&amp;ps_school=50116" TargetMode="External"/><Relationship Id="rId17914" Type="http://schemas.openxmlformats.org/officeDocument/2006/relationships/hyperlink" Target="https://statiz.sporki.com/add/?m=draft_school01&amp;ps_school=50103" TargetMode="External"/><Relationship Id="rId620" Type="http://schemas.openxmlformats.org/officeDocument/2006/relationships/hyperlink" Target="https://statiz.sporki.com/add/?m=draft_school01&amp;ps_school=50805" TargetMode="External"/><Relationship Id="rId1250" Type="http://schemas.openxmlformats.org/officeDocument/2006/relationships/hyperlink" Target="https://statiz.sporki.com/add/?m=draft_school01&amp;ps_school=50601" TargetMode="External"/><Relationship Id="rId2301" Type="http://schemas.openxmlformats.org/officeDocument/2006/relationships/hyperlink" Target="https://statiz.sporki.com/add/?m=draft_school02&amp;ps_school=" TargetMode="External"/><Relationship Id="rId5871" Type="http://schemas.openxmlformats.org/officeDocument/2006/relationships/hyperlink" Target="https://statiz.sporki.com/add/?m=draft_school02&amp;ps_school=" TargetMode="External"/><Relationship Id="rId6922" Type="http://schemas.openxmlformats.org/officeDocument/2006/relationships/hyperlink" Target="https://statiz.sporki.com/player/?m=playerinfo&amp;p_no=10322" TargetMode="External"/><Relationship Id="rId15465" Type="http://schemas.openxmlformats.org/officeDocument/2006/relationships/hyperlink" Target="https://statiz.sporki.com/player/?m=playerinfo&amp;p_no=1688" TargetMode="External"/><Relationship Id="rId16516" Type="http://schemas.openxmlformats.org/officeDocument/2006/relationships/hyperlink" Target="https://statiz.sporki.com/add/?m=draft_school01&amp;ps_school=50805" TargetMode="External"/><Relationship Id="rId4473" Type="http://schemas.openxmlformats.org/officeDocument/2006/relationships/hyperlink" Target="https://statiz.sporki.com/add/?m=draft_school02&amp;ps_school=" TargetMode="External"/><Relationship Id="rId5524" Type="http://schemas.openxmlformats.org/officeDocument/2006/relationships/hyperlink" Target="https://statiz.sporki.com/player/?m=playerinfo&amp;p_no=10629" TargetMode="External"/><Relationship Id="rId14067" Type="http://schemas.openxmlformats.org/officeDocument/2006/relationships/hyperlink" Target="https://statiz.sporki.com/player/?m=playerinfo&amp;p_no=10184" TargetMode="External"/><Relationship Id="rId15118" Type="http://schemas.openxmlformats.org/officeDocument/2006/relationships/hyperlink" Target="https://statiz.sporki.com/player/?m=playerinfo&amp;p_no=10097" TargetMode="External"/><Relationship Id="rId18688" Type="http://schemas.openxmlformats.org/officeDocument/2006/relationships/hyperlink" Target="https://statiz.sporki.com/add/?m=draft_school01&amp;ps_school=50805" TargetMode="External"/><Relationship Id="rId3075" Type="http://schemas.openxmlformats.org/officeDocument/2006/relationships/hyperlink" Target="https://statiz.sporki.com/add/?m=draft_school02&amp;ps_school=" TargetMode="External"/><Relationship Id="rId4126" Type="http://schemas.openxmlformats.org/officeDocument/2006/relationships/hyperlink" Target="https://statiz.sporki.com/player/?m=playerinfo&amp;p_no=11250" TargetMode="External"/><Relationship Id="rId7696" Type="http://schemas.openxmlformats.org/officeDocument/2006/relationships/hyperlink" Target="https://statiz.sporki.com/player/?m=playerinfo&amp;p_no=2382" TargetMode="External"/><Relationship Id="rId8747" Type="http://schemas.openxmlformats.org/officeDocument/2006/relationships/hyperlink" Target="https://statiz.sporki.com/add/?m=draft_school01&amp;ps_school=50109" TargetMode="External"/><Relationship Id="rId6298" Type="http://schemas.openxmlformats.org/officeDocument/2006/relationships/hyperlink" Target="https://statiz.sporki.com/player/?m=playerinfo&amp;p_no=10059" TargetMode="External"/><Relationship Id="rId7349" Type="http://schemas.openxmlformats.org/officeDocument/2006/relationships/hyperlink" Target="https://statiz.sporki.com/add/?m=draft_school01&amp;ps_school=50706" TargetMode="External"/><Relationship Id="rId10677" Type="http://schemas.openxmlformats.org/officeDocument/2006/relationships/hyperlink" Target="https://statiz.sporki.com/add/?m=draft_school02&amp;ps_school=61100" TargetMode="External"/><Relationship Id="rId11728" Type="http://schemas.openxmlformats.org/officeDocument/2006/relationships/hyperlink" Target="https://statiz.sporki.com/player/?m=playerinfo&amp;p_no=1141" TargetMode="External"/><Relationship Id="rId13150" Type="http://schemas.openxmlformats.org/officeDocument/2006/relationships/hyperlink" Target="https://statiz.sporki.com/player/?m=playerinfo&amp;p_no=12888" TargetMode="External"/><Relationship Id="rId14201" Type="http://schemas.openxmlformats.org/officeDocument/2006/relationships/hyperlink" Target="https://statiz.sporki.com/player/?m=playerinfo&amp;p_no=2424" TargetMode="External"/><Relationship Id="rId17771" Type="http://schemas.openxmlformats.org/officeDocument/2006/relationships/hyperlink" Target="https://statiz.sporki.com/add/?m=draft_school01&amp;ps_school=50802" TargetMode="External"/><Relationship Id="rId18822" Type="http://schemas.openxmlformats.org/officeDocument/2006/relationships/hyperlink" Target="https://statiz.sporki.com/add/?m=draft_school01&amp;ps_school=50701" TargetMode="External"/><Relationship Id="rId130" Type="http://schemas.openxmlformats.org/officeDocument/2006/relationships/hyperlink" Target="https://statiz.sporki.com/player/?m=playerinfo&amp;p_no=15454" TargetMode="External"/><Relationship Id="rId3959" Type="http://schemas.openxmlformats.org/officeDocument/2006/relationships/hyperlink" Target="https://statiz.sporki.com/add/?m=draft_school01&amp;ps_school=" TargetMode="External"/><Relationship Id="rId5381" Type="http://schemas.openxmlformats.org/officeDocument/2006/relationships/hyperlink" Target="https://statiz.sporki.com/add/?m=draft_school01&amp;ps_school=" TargetMode="External"/><Relationship Id="rId7830" Type="http://schemas.openxmlformats.org/officeDocument/2006/relationships/hyperlink" Target="https://statiz.sporki.com/add/?m=draft_school02&amp;ps_school=" TargetMode="External"/><Relationship Id="rId10811" Type="http://schemas.openxmlformats.org/officeDocument/2006/relationships/hyperlink" Target="https://statiz.sporki.com/add/?m=draft_school01&amp;ps_school=50209" TargetMode="External"/><Relationship Id="rId16373" Type="http://schemas.openxmlformats.org/officeDocument/2006/relationships/hyperlink" Target="https://statiz.sporki.com/add/?m=draft_school01&amp;ps_school=50101" TargetMode="External"/><Relationship Id="rId17424" Type="http://schemas.openxmlformats.org/officeDocument/2006/relationships/hyperlink" Target="https://statiz.sporki.com/add/?m=draft_school01&amp;ps_school=50110" TargetMode="External"/><Relationship Id="rId5034" Type="http://schemas.openxmlformats.org/officeDocument/2006/relationships/hyperlink" Target="https://statiz.sporki.com/add/?m=draft_school02&amp;ps_school=" TargetMode="External"/><Relationship Id="rId6432" Type="http://schemas.openxmlformats.org/officeDocument/2006/relationships/hyperlink" Target="https://statiz.sporki.com/add/?m=draft_school02&amp;ps_school=" TargetMode="External"/><Relationship Id="rId12983" Type="http://schemas.openxmlformats.org/officeDocument/2006/relationships/hyperlink" Target="https://statiz.sporki.com/player/?m=playerinfo&amp;p_no=13163" TargetMode="External"/><Relationship Id="rId16026" Type="http://schemas.openxmlformats.org/officeDocument/2006/relationships/hyperlink" Target="https://statiz.sporki.com/player/?m=playerinfo&amp;p_no=1168" TargetMode="External"/><Relationship Id="rId19596" Type="http://schemas.openxmlformats.org/officeDocument/2006/relationships/hyperlink" Target="https://statiz.sporki.com/add/?m=draft_school01&amp;ps_school=50807" TargetMode="External"/><Relationship Id="rId1991" Type="http://schemas.openxmlformats.org/officeDocument/2006/relationships/hyperlink" Target="https://statiz.sporki.com/add/?m=draft_school01&amp;ps_school=50210" TargetMode="External"/><Relationship Id="rId9655" Type="http://schemas.openxmlformats.org/officeDocument/2006/relationships/hyperlink" Target="https://statiz.sporki.com/player/?m=playerinfo&amp;p_no=1755" TargetMode="External"/><Relationship Id="rId11585" Type="http://schemas.openxmlformats.org/officeDocument/2006/relationships/hyperlink" Target="https://statiz.sporki.com/add/?m=draft_school01&amp;ps_school=50402" TargetMode="External"/><Relationship Id="rId12636" Type="http://schemas.openxmlformats.org/officeDocument/2006/relationships/hyperlink" Target="https://statiz.sporki.com/player/?m=playerinfo&amp;p_no=14587" TargetMode="External"/><Relationship Id="rId18198" Type="http://schemas.openxmlformats.org/officeDocument/2006/relationships/hyperlink" Target="https://statiz.sporki.com/add/?m=draft_school01&amp;ps_school=50602" TargetMode="External"/><Relationship Id="rId19249" Type="http://schemas.openxmlformats.org/officeDocument/2006/relationships/hyperlink" Target="https://statiz.sporki.com/add/?m=draft_school01&amp;ps_school=50711" TargetMode="External"/><Relationship Id="rId1644" Type="http://schemas.openxmlformats.org/officeDocument/2006/relationships/hyperlink" Target="https://statiz.sporki.com/add/?m=draft_school02&amp;ps_school=" TargetMode="External"/><Relationship Id="rId8257" Type="http://schemas.openxmlformats.org/officeDocument/2006/relationships/hyperlink" Target="https://statiz.sporki.com/player/?m=playerinfo&amp;p_no=2073" TargetMode="External"/><Relationship Id="rId9308" Type="http://schemas.openxmlformats.org/officeDocument/2006/relationships/hyperlink" Target="https://statiz.sporki.com/add/?m=draft_school01&amp;ps_school=50805" TargetMode="External"/><Relationship Id="rId10187" Type="http://schemas.openxmlformats.org/officeDocument/2006/relationships/hyperlink" Target="https://statiz.sporki.com/add/?m=draft_school01&amp;ps_school=50107" TargetMode="External"/><Relationship Id="rId11238" Type="http://schemas.openxmlformats.org/officeDocument/2006/relationships/hyperlink" Target="https://statiz.sporki.com/add/?m=draft_school02&amp;ps_school=" TargetMode="External"/><Relationship Id="rId4867" Type="http://schemas.openxmlformats.org/officeDocument/2006/relationships/hyperlink" Target="https://statiz.sporki.com/player/?m=playerinfo&amp;p_no=10918" TargetMode="External"/><Relationship Id="rId15859" Type="http://schemas.openxmlformats.org/officeDocument/2006/relationships/hyperlink" Target="https://statiz.sporki.com/player/?m=playerinfo&amp;p_no=1281" TargetMode="External"/><Relationship Id="rId17281" Type="http://schemas.openxmlformats.org/officeDocument/2006/relationships/hyperlink" Target="https://statiz.sporki.com/add/?m=draft_school01&amp;ps_school=51101" TargetMode="External"/><Relationship Id="rId18332" Type="http://schemas.openxmlformats.org/officeDocument/2006/relationships/hyperlink" Target="https://statiz.sporki.com/add/?m=draft_school01&amp;ps_school=50706" TargetMode="External"/><Relationship Id="rId3469" Type="http://schemas.openxmlformats.org/officeDocument/2006/relationships/hyperlink" Target="https://statiz.sporki.com/player/?m=playerinfo&amp;p_no=12599" TargetMode="External"/><Relationship Id="rId5918" Type="http://schemas.openxmlformats.org/officeDocument/2006/relationships/hyperlink" Target="https://statiz.sporki.com/add/?m=draft_school01&amp;ps_school=50605" TargetMode="External"/><Relationship Id="rId7340" Type="http://schemas.openxmlformats.org/officeDocument/2006/relationships/hyperlink" Target="https://statiz.sporki.com/add/?m=draft_school01&amp;ps_school=50108" TargetMode="External"/><Relationship Id="rId10321" Type="http://schemas.openxmlformats.org/officeDocument/2006/relationships/hyperlink" Target="https://statiz.sporki.com/player/?m=playerinfo&amp;p_no=1515" TargetMode="External"/><Relationship Id="rId13891" Type="http://schemas.openxmlformats.org/officeDocument/2006/relationships/hyperlink" Target="https://statiz.sporki.com/player/?m=playerinfo&amp;p_no=10673" TargetMode="External"/><Relationship Id="rId14942" Type="http://schemas.openxmlformats.org/officeDocument/2006/relationships/hyperlink" Target="https://statiz.sporki.com/player/?m=playerinfo&amp;p_no=2020" TargetMode="External"/><Relationship Id="rId3950" Type="http://schemas.openxmlformats.org/officeDocument/2006/relationships/hyperlink" Target="https://statiz.sporki.com/add/?m=draft_school01&amp;ps_school=" TargetMode="External"/><Relationship Id="rId9165" Type="http://schemas.openxmlformats.org/officeDocument/2006/relationships/hyperlink" Target="https://statiz.sporki.com/add/?m=draft_school02&amp;ps_school=60801" TargetMode="External"/><Relationship Id="rId12493" Type="http://schemas.openxmlformats.org/officeDocument/2006/relationships/hyperlink" Target="https://statiz.sporki.com/player/?m=playerinfo&amp;p_no=14767" TargetMode="External"/><Relationship Id="rId13544" Type="http://schemas.openxmlformats.org/officeDocument/2006/relationships/hyperlink" Target="https://statiz.sporki.com/player/?m=playerinfo&amp;p_no=13248" TargetMode="External"/><Relationship Id="rId871" Type="http://schemas.openxmlformats.org/officeDocument/2006/relationships/hyperlink" Target="https://statiz.sporki.com/player/?m=playerinfo&amp;p_no=15001" TargetMode="External"/><Relationship Id="rId2552" Type="http://schemas.openxmlformats.org/officeDocument/2006/relationships/hyperlink" Target="https://statiz.sporki.com/add/?m=draft_school01&amp;ps_school=50805" TargetMode="External"/><Relationship Id="rId3603" Type="http://schemas.openxmlformats.org/officeDocument/2006/relationships/hyperlink" Target="https://statiz.sporki.com/add/?m=draft_school02&amp;ps_school=60111" TargetMode="External"/><Relationship Id="rId11095" Type="http://schemas.openxmlformats.org/officeDocument/2006/relationships/hyperlink" Target="https://statiz.sporki.com/player/?m=playerinfo&amp;p_no=11432" TargetMode="External"/><Relationship Id="rId12146" Type="http://schemas.openxmlformats.org/officeDocument/2006/relationships/hyperlink" Target="https://statiz.sporki.com/player/?m=playerinfo&amp;p_no=15461" TargetMode="External"/><Relationship Id="rId16767" Type="http://schemas.openxmlformats.org/officeDocument/2006/relationships/hyperlink" Target="https://statiz.sporki.com/add/?m=draft_school01&amp;ps_school=50403" TargetMode="External"/><Relationship Id="rId17818" Type="http://schemas.openxmlformats.org/officeDocument/2006/relationships/hyperlink" Target="https://statiz.sporki.com/add/?m=draft_school01&amp;ps_school=50115" TargetMode="External"/><Relationship Id="rId524" Type="http://schemas.openxmlformats.org/officeDocument/2006/relationships/hyperlink" Target="https://statiz.sporki.com/add/?m=draft_school01&amp;ps_school=50107" TargetMode="External"/><Relationship Id="rId1154" Type="http://schemas.openxmlformats.org/officeDocument/2006/relationships/hyperlink" Target="https://statiz.sporki.com/add/?m=draft_school01&amp;ps_school=50107" TargetMode="External"/><Relationship Id="rId2205" Type="http://schemas.openxmlformats.org/officeDocument/2006/relationships/hyperlink" Target="https://statiz.sporki.com/add/?m=draft_school02&amp;ps_school=" TargetMode="External"/><Relationship Id="rId5775" Type="http://schemas.openxmlformats.org/officeDocument/2006/relationships/hyperlink" Target="https://statiz.sporki.com/add/?m=draft_school02&amp;ps_school=60501" TargetMode="External"/><Relationship Id="rId6826" Type="http://schemas.openxmlformats.org/officeDocument/2006/relationships/hyperlink" Target="https://statiz.sporki.com/player/?m=playerinfo&amp;p_no=2357" TargetMode="External"/><Relationship Id="rId15369" Type="http://schemas.openxmlformats.org/officeDocument/2006/relationships/hyperlink" Target="https://statiz.sporki.com/player/?m=playerinfo&amp;p_no=1776" TargetMode="External"/><Relationship Id="rId19240" Type="http://schemas.openxmlformats.org/officeDocument/2006/relationships/hyperlink" Target="https://statiz.sporki.com/add/?m=draft_school01&amp;ps_school=50703" TargetMode="External"/><Relationship Id="rId4377" Type="http://schemas.openxmlformats.org/officeDocument/2006/relationships/hyperlink" Target="https://statiz.sporki.com/add/?m=draft_school02&amp;ps_school=" TargetMode="External"/><Relationship Id="rId5428" Type="http://schemas.openxmlformats.org/officeDocument/2006/relationships/hyperlink" Target="https://statiz.sporki.com/player/?m=playerinfo&amp;p_no=10752" TargetMode="External"/><Relationship Id="rId8998" Type="http://schemas.openxmlformats.org/officeDocument/2006/relationships/hyperlink" Target="https://statiz.sporki.com/player/?m=playerinfo&amp;p_no=1990" TargetMode="External"/><Relationship Id="rId11979" Type="http://schemas.openxmlformats.org/officeDocument/2006/relationships/hyperlink" Target="https://statiz.sporki.com/add/?m=draft_school02&amp;ps_school=" TargetMode="External"/><Relationship Id="rId15850" Type="http://schemas.openxmlformats.org/officeDocument/2006/relationships/hyperlink" Target="https://statiz.sporki.com/player/?m=playerinfo&amp;p_no=1336" TargetMode="External"/><Relationship Id="rId16901" Type="http://schemas.openxmlformats.org/officeDocument/2006/relationships/hyperlink" Target="https://statiz.sporki.com/add/?m=draft_school01&amp;ps_school=50114" TargetMode="External"/><Relationship Id="rId3460" Type="http://schemas.openxmlformats.org/officeDocument/2006/relationships/hyperlink" Target="https://statiz.sporki.com/player/?m=playerinfo&amp;p_no=12619" TargetMode="External"/><Relationship Id="rId14452" Type="http://schemas.openxmlformats.org/officeDocument/2006/relationships/hyperlink" Target="https://statiz.sporki.com/player/?m=playerinfo&amp;p_no=10273" TargetMode="External"/><Relationship Id="rId15503" Type="http://schemas.openxmlformats.org/officeDocument/2006/relationships/hyperlink" Target="https://statiz.sporki.com/player/?m=playerinfo&amp;p_no=11429" TargetMode="External"/><Relationship Id="rId381" Type="http://schemas.openxmlformats.org/officeDocument/2006/relationships/hyperlink" Target="https://statiz.sporki.com/add/?m=draft_school02&amp;ps_school=" TargetMode="External"/><Relationship Id="rId2062" Type="http://schemas.openxmlformats.org/officeDocument/2006/relationships/hyperlink" Target="https://statiz.sporki.com/player/?m=playerinfo&amp;p_no=14141" TargetMode="External"/><Relationship Id="rId3113" Type="http://schemas.openxmlformats.org/officeDocument/2006/relationships/hyperlink" Target="https://statiz.sporki.com/add/?m=draft_school01&amp;ps_school=" TargetMode="External"/><Relationship Id="rId4511" Type="http://schemas.openxmlformats.org/officeDocument/2006/relationships/hyperlink" Target="https://statiz.sporki.com/add/?m=draft_school01&amp;ps_school=50403" TargetMode="External"/><Relationship Id="rId13054" Type="http://schemas.openxmlformats.org/officeDocument/2006/relationships/hyperlink" Target="https://statiz.sporki.com/player/?m=playerinfo&amp;p_no=13256" TargetMode="External"/><Relationship Id="rId14105" Type="http://schemas.openxmlformats.org/officeDocument/2006/relationships/hyperlink" Target="https://statiz.sporki.com/player/?m=playerinfo&amp;p_no=10513" TargetMode="External"/><Relationship Id="rId17675" Type="http://schemas.openxmlformats.org/officeDocument/2006/relationships/hyperlink" Target="https://statiz.sporki.com/add/?m=draft_school01&amp;ps_school=50403" TargetMode="External"/><Relationship Id="rId18726" Type="http://schemas.openxmlformats.org/officeDocument/2006/relationships/hyperlink" Target="https://statiz.sporki.com/add/?m=draft_school01&amp;ps_school=50105" TargetMode="External"/><Relationship Id="rId6683" Type="http://schemas.openxmlformats.org/officeDocument/2006/relationships/hyperlink" Target="https://statiz.sporki.com/add/?m=draft_school01&amp;ps_school=50110" TargetMode="External"/><Relationship Id="rId7734" Type="http://schemas.openxmlformats.org/officeDocument/2006/relationships/hyperlink" Target="https://statiz.sporki.com/add/?m=draft_school02&amp;ps_school=" TargetMode="External"/><Relationship Id="rId10715" Type="http://schemas.openxmlformats.org/officeDocument/2006/relationships/hyperlink" Target="https://statiz.sporki.com/add/?m=draft_school01&amp;ps_school=50107" TargetMode="External"/><Relationship Id="rId16277" Type="http://schemas.openxmlformats.org/officeDocument/2006/relationships/hyperlink" Target="https://statiz.sporki.com/add/?m=draft_school01&amp;ps_school=50101" TargetMode="External"/><Relationship Id="rId17328" Type="http://schemas.openxmlformats.org/officeDocument/2006/relationships/hyperlink" Target="https://statiz.sporki.com/add/?m=draft_school01&amp;ps_school=50302" TargetMode="External"/><Relationship Id="rId5285" Type="http://schemas.openxmlformats.org/officeDocument/2006/relationships/hyperlink" Target="https://statiz.sporki.com/add/?m=draft_school01&amp;ps_school=50403" TargetMode="External"/><Relationship Id="rId6336" Type="http://schemas.openxmlformats.org/officeDocument/2006/relationships/hyperlink" Target="https://statiz.sporki.com/add/?m=draft_school02&amp;ps_school=" TargetMode="External"/><Relationship Id="rId1895" Type="http://schemas.openxmlformats.org/officeDocument/2006/relationships/hyperlink" Target="https://statiz.sporki.com/add/?m=draft_school01&amp;ps_school=50203" TargetMode="External"/><Relationship Id="rId2946" Type="http://schemas.openxmlformats.org/officeDocument/2006/relationships/hyperlink" Target="https://statiz.sporki.com/add/?m=draft_school02&amp;ps_school=60206" TargetMode="External"/><Relationship Id="rId9559" Type="http://schemas.openxmlformats.org/officeDocument/2006/relationships/hyperlink" Target="https://statiz.sporki.com/player/?m=playerinfo&amp;p_no=10580" TargetMode="External"/><Relationship Id="rId11489" Type="http://schemas.openxmlformats.org/officeDocument/2006/relationships/hyperlink" Target="https://statiz.sporki.com/add/?m=draft_school01&amp;ps_school=50706" TargetMode="External"/><Relationship Id="rId12887" Type="http://schemas.openxmlformats.org/officeDocument/2006/relationships/hyperlink" Target="https://statiz.sporki.com/player/?m=playerinfo&amp;p_no=14232" TargetMode="External"/><Relationship Id="rId13938" Type="http://schemas.openxmlformats.org/officeDocument/2006/relationships/hyperlink" Target="https://statiz.sporki.com/player/?m=playerinfo&amp;p_no=10679" TargetMode="External"/><Relationship Id="rId15360" Type="http://schemas.openxmlformats.org/officeDocument/2006/relationships/hyperlink" Target="https://statiz.sporki.com/player/?m=playerinfo&amp;p_no=1755" TargetMode="External"/><Relationship Id="rId918" Type="http://schemas.openxmlformats.org/officeDocument/2006/relationships/hyperlink" Target="https://statiz.sporki.com/add/?m=draft_school02&amp;ps_school=60203" TargetMode="External"/><Relationship Id="rId1548" Type="http://schemas.openxmlformats.org/officeDocument/2006/relationships/hyperlink" Target="https://statiz.sporki.com/add/?m=draft_school02&amp;ps_school=" TargetMode="External"/><Relationship Id="rId15013" Type="http://schemas.openxmlformats.org/officeDocument/2006/relationships/hyperlink" Target="https://statiz.sporki.com/player/?m=playerinfo&amp;p_no=1985" TargetMode="External"/><Relationship Id="rId16411" Type="http://schemas.openxmlformats.org/officeDocument/2006/relationships/hyperlink" Target="https://statiz.sporki.com/add/?m=draft_school01&amp;ps_school=50702" TargetMode="External"/><Relationship Id="rId4021" Type="http://schemas.openxmlformats.org/officeDocument/2006/relationships/hyperlink" Target="https://statiz.sporki.com/player/?m=playerinfo&amp;p_no=11243" TargetMode="External"/><Relationship Id="rId7591" Type="http://schemas.openxmlformats.org/officeDocument/2006/relationships/hyperlink" Target="https://statiz.sporki.com/player/?m=playerinfo&amp;p_no=10251" TargetMode="External"/><Relationship Id="rId11970" Type="http://schemas.openxmlformats.org/officeDocument/2006/relationships/hyperlink" Target="https://statiz.sporki.com/add/?m=draft_school02&amp;ps_school=60204" TargetMode="External"/><Relationship Id="rId18583" Type="http://schemas.openxmlformats.org/officeDocument/2006/relationships/hyperlink" Target="https://statiz.sporki.com/add/?m=draft_school01&amp;ps_school=50501" TargetMode="External"/><Relationship Id="rId19634" Type="http://schemas.openxmlformats.org/officeDocument/2006/relationships/hyperlink" Target="https://statiz.sporki.com/add/?m=draft_school01&amp;ps_school=50701" TargetMode="External"/><Relationship Id="rId6193" Type="http://schemas.openxmlformats.org/officeDocument/2006/relationships/hyperlink" Target="https://statiz.sporki.com/player/?m=playerinfo&amp;p_no=10258" TargetMode="External"/><Relationship Id="rId7244" Type="http://schemas.openxmlformats.org/officeDocument/2006/relationships/hyperlink" Target="https://statiz.sporki.com/add/?m=draft_school01&amp;ps_school=" TargetMode="External"/><Relationship Id="rId8642" Type="http://schemas.openxmlformats.org/officeDocument/2006/relationships/hyperlink" Target="https://statiz.sporki.com/add/?m=draft_school01&amp;ps_school=50108" TargetMode="External"/><Relationship Id="rId10572" Type="http://schemas.openxmlformats.org/officeDocument/2006/relationships/hyperlink" Target="https://statiz.sporki.com/add/?m=draft_school02&amp;ps_school=60109" TargetMode="External"/><Relationship Id="rId11623" Type="http://schemas.openxmlformats.org/officeDocument/2006/relationships/hyperlink" Target="https://statiz.sporki.com/player/?m=playerinfo&amp;p_no=1241" TargetMode="External"/><Relationship Id="rId17185" Type="http://schemas.openxmlformats.org/officeDocument/2006/relationships/hyperlink" Target="https://statiz.sporki.com/add/?m=draft_school01&amp;ps_school=50403" TargetMode="External"/><Relationship Id="rId18236" Type="http://schemas.openxmlformats.org/officeDocument/2006/relationships/hyperlink" Target="https://statiz.sporki.com/add/?m=draft_school01&amp;ps_school=50602" TargetMode="External"/><Relationship Id="rId10225" Type="http://schemas.openxmlformats.org/officeDocument/2006/relationships/hyperlink" Target="https://statiz.sporki.com/player/?m=playerinfo&amp;p_no=1672" TargetMode="External"/><Relationship Id="rId13795" Type="http://schemas.openxmlformats.org/officeDocument/2006/relationships/hyperlink" Target="https://statiz.sporki.com/player/?m=playerinfo&amp;p_no=10912" TargetMode="External"/><Relationship Id="rId14846" Type="http://schemas.openxmlformats.org/officeDocument/2006/relationships/hyperlink" Target="https://statiz.sporki.com/player/?m=playerinfo&amp;p_no=10493" TargetMode="External"/><Relationship Id="rId3854" Type="http://schemas.openxmlformats.org/officeDocument/2006/relationships/hyperlink" Target="https://statiz.sporki.com/add/?m=draft_school01&amp;ps_school=50207" TargetMode="External"/><Relationship Id="rId4905" Type="http://schemas.openxmlformats.org/officeDocument/2006/relationships/hyperlink" Target="https://statiz.sporki.com/add/?m=draft_school02&amp;ps_school=60113" TargetMode="External"/><Relationship Id="rId12397" Type="http://schemas.openxmlformats.org/officeDocument/2006/relationships/hyperlink" Target="https://statiz.sporki.com/player/?m=playerinfo&amp;p_no=15043" TargetMode="External"/><Relationship Id="rId13448" Type="http://schemas.openxmlformats.org/officeDocument/2006/relationships/hyperlink" Target="https://statiz.sporki.com/player/?m=playerinfo&amp;p_no=11497" TargetMode="External"/><Relationship Id="rId775" Type="http://schemas.openxmlformats.org/officeDocument/2006/relationships/hyperlink" Target="https://statiz.sporki.com/player/?m=playerinfo&amp;p_no=15066" TargetMode="External"/><Relationship Id="rId2456" Type="http://schemas.openxmlformats.org/officeDocument/2006/relationships/hyperlink" Target="https://statiz.sporki.com/add/?m=draft_school01&amp;ps_school=50210" TargetMode="External"/><Relationship Id="rId3507" Type="http://schemas.openxmlformats.org/officeDocument/2006/relationships/hyperlink" Target="https://statiz.sporki.com/add/?m=draft_school02&amp;ps_school=" TargetMode="External"/><Relationship Id="rId9069" Type="http://schemas.openxmlformats.org/officeDocument/2006/relationships/hyperlink" Target="https://statiz.sporki.com/add/?m=draft_school02&amp;ps_school=60402" TargetMode="External"/><Relationship Id="rId19491" Type="http://schemas.openxmlformats.org/officeDocument/2006/relationships/hyperlink" Target="https://statiz.sporki.com/add/?m=draft_school01&amp;ps_school=50711" TargetMode="External"/><Relationship Id="rId428" Type="http://schemas.openxmlformats.org/officeDocument/2006/relationships/hyperlink" Target="https://statiz.sporki.com/add/?m=draft_school01&amp;ps_school=50113" TargetMode="External"/><Relationship Id="rId1058" Type="http://schemas.openxmlformats.org/officeDocument/2006/relationships/hyperlink" Target="https://statiz.sporki.com/add/?m=draft_school01&amp;ps_school=50301" TargetMode="External"/><Relationship Id="rId2109" Type="http://schemas.openxmlformats.org/officeDocument/2006/relationships/hyperlink" Target="https://statiz.sporki.com/add/?m=draft_school02&amp;ps_school=" TargetMode="External"/><Relationship Id="rId5679" Type="http://schemas.openxmlformats.org/officeDocument/2006/relationships/hyperlink" Target="https://statiz.sporki.com/add/?m=draft_school02&amp;ps_school=" TargetMode="External"/><Relationship Id="rId9550" Type="http://schemas.openxmlformats.org/officeDocument/2006/relationships/hyperlink" Target="https://statiz.sporki.com/player/?m=playerinfo&amp;p_no=10339" TargetMode="External"/><Relationship Id="rId18093" Type="http://schemas.openxmlformats.org/officeDocument/2006/relationships/hyperlink" Target="https://statiz.sporki.com/add/?m=draft_school01&amp;ps_school=50209" TargetMode="External"/><Relationship Id="rId19144" Type="http://schemas.openxmlformats.org/officeDocument/2006/relationships/hyperlink" Target="https://statiz.sporki.com/add/?m=draft_school01&amp;ps_school=50807" TargetMode="External"/><Relationship Id="rId8152" Type="http://schemas.openxmlformats.org/officeDocument/2006/relationships/hyperlink" Target="https://statiz.sporki.com/player/?m=playerinfo&amp;p_no=2351" TargetMode="External"/><Relationship Id="rId9203" Type="http://schemas.openxmlformats.org/officeDocument/2006/relationships/hyperlink" Target="https://statiz.sporki.com/add/?m=draft_school01&amp;ps_school=50609" TargetMode="External"/><Relationship Id="rId10082" Type="http://schemas.openxmlformats.org/officeDocument/2006/relationships/hyperlink" Target="https://statiz.sporki.com/add/?m=draft_school01&amp;ps_school=50110" TargetMode="External"/><Relationship Id="rId11480" Type="http://schemas.openxmlformats.org/officeDocument/2006/relationships/hyperlink" Target="https://statiz.sporki.com/add/?m=draft_school01&amp;ps_school=50701" TargetMode="External"/><Relationship Id="rId12531" Type="http://schemas.openxmlformats.org/officeDocument/2006/relationships/hyperlink" Target="https://statiz.sporki.com/player/?m=playerinfo&amp;p_no=14881" TargetMode="External"/><Relationship Id="rId11133" Type="http://schemas.openxmlformats.org/officeDocument/2006/relationships/hyperlink" Target="https://statiz.sporki.com/add/?m=draft_school02&amp;ps_school=60111" TargetMode="External"/><Relationship Id="rId15754" Type="http://schemas.openxmlformats.org/officeDocument/2006/relationships/hyperlink" Target="https://statiz.sporki.com/player/?m=playerinfo&amp;p_no=1410" TargetMode="External"/><Relationship Id="rId16805" Type="http://schemas.openxmlformats.org/officeDocument/2006/relationships/hyperlink" Target="https://statiz.sporki.com/add/?m=draft_school01&amp;ps_school=50208" TargetMode="External"/><Relationship Id="rId4762" Type="http://schemas.openxmlformats.org/officeDocument/2006/relationships/hyperlink" Target="https://statiz.sporki.com/player/?m=playerinfo&amp;p_no=10913" TargetMode="External"/><Relationship Id="rId5813" Type="http://schemas.openxmlformats.org/officeDocument/2006/relationships/hyperlink" Target="https://statiz.sporki.com/add/?m=draft_school01&amp;ps_school=50801" TargetMode="External"/><Relationship Id="rId14356" Type="http://schemas.openxmlformats.org/officeDocument/2006/relationships/hyperlink" Target="https://statiz.sporki.com/player/?m=playerinfo&amp;p_no=2386" TargetMode="External"/><Relationship Id="rId15407" Type="http://schemas.openxmlformats.org/officeDocument/2006/relationships/hyperlink" Target="https://statiz.sporki.com/player/?m=playerinfo&amp;p_no=1701" TargetMode="External"/><Relationship Id="rId18977" Type="http://schemas.openxmlformats.org/officeDocument/2006/relationships/hyperlink" Target="https://statiz.sporki.com/add/?m=draft_school01&amp;ps_school=50202" TargetMode="External"/><Relationship Id="rId285" Type="http://schemas.openxmlformats.org/officeDocument/2006/relationships/hyperlink" Target="https://statiz.sporki.com/add/?m=draft_school02&amp;ps_school=60902" TargetMode="External"/><Relationship Id="rId3364" Type="http://schemas.openxmlformats.org/officeDocument/2006/relationships/hyperlink" Target="https://statiz.sporki.com/player/?m=playerinfo&amp;p_no=12554" TargetMode="External"/><Relationship Id="rId4415" Type="http://schemas.openxmlformats.org/officeDocument/2006/relationships/hyperlink" Target="https://statiz.sporki.com/add/?m=draft_school01&amp;ps_school=50604" TargetMode="External"/><Relationship Id="rId7985" Type="http://schemas.openxmlformats.org/officeDocument/2006/relationships/hyperlink" Target="https://statiz.sporki.com/add/?m=draft_school01&amp;ps_school=" TargetMode="External"/><Relationship Id="rId14009" Type="http://schemas.openxmlformats.org/officeDocument/2006/relationships/hyperlink" Target="https://statiz.sporki.com/player/?m=playerinfo&amp;p_no=10760" TargetMode="External"/><Relationship Id="rId17579" Type="http://schemas.openxmlformats.org/officeDocument/2006/relationships/hyperlink" Target="https://statiz.sporki.com/add/?m=draft_school01&amp;ps_school=50207" TargetMode="External"/><Relationship Id="rId3017" Type="http://schemas.openxmlformats.org/officeDocument/2006/relationships/hyperlink" Target="https://statiz.sporki.com/add/?m=draft_school01&amp;ps_school=50116" TargetMode="External"/><Relationship Id="rId6587" Type="http://schemas.openxmlformats.org/officeDocument/2006/relationships/hyperlink" Target="https://statiz.sporki.com/add/?m=draft_school01&amp;ps_school=50108" TargetMode="External"/><Relationship Id="rId7638" Type="http://schemas.openxmlformats.org/officeDocument/2006/relationships/hyperlink" Target="https://statiz.sporki.com/add/?m=draft_school02&amp;ps_school=" TargetMode="External"/><Relationship Id="rId10619" Type="http://schemas.openxmlformats.org/officeDocument/2006/relationships/hyperlink" Target="https://statiz.sporki.com/add/?m=draft_school01&amp;ps_school=50807" TargetMode="External"/><Relationship Id="rId10966" Type="http://schemas.openxmlformats.org/officeDocument/2006/relationships/hyperlink" Target="https://statiz.sporki.com/player/?m=playerinfo&amp;p_no=1342" TargetMode="External"/><Relationship Id="rId5189" Type="http://schemas.openxmlformats.org/officeDocument/2006/relationships/hyperlink" Target="https://statiz.sporki.com/add/?m=draft_school01&amp;ps_school=50111" TargetMode="External"/><Relationship Id="rId9060" Type="http://schemas.openxmlformats.org/officeDocument/2006/relationships/hyperlink" Target="https://statiz.sporki.com/add/?m=draft_school02&amp;ps_school=" TargetMode="External"/><Relationship Id="rId12041" Type="http://schemas.openxmlformats.org/officeDocument/2006/relationships/hyperlink" Target="https://statiz.sporki.com/add/?m=draft_school01&amp;ps_school=50701" TargetMode="External"/><Relationship Id="rId1799" Type="http://schemas.openxmlformats.org/officeDocument/2006/relationships/hyperlink" Target="https://statiz.sporki.com/add/?m=draft_school01&amp;ps_school=50114" TargetMode="External"/><Relationship Id="rId2100" Type="http://schemas.openxmlformats.org/officeDocument/2006/relationships/hyperlink" Target="https://statiz.sporki.com/add/?m=draft_school02&amp;ps_school=" TargetMode="External"/><Relationship Id="rId5670" Type="http://schemas.openxmlformats.org/officeDocument/2006/relationships/hyperlink" Target="https://statiz.sporki.com/add/?m=draft_school02&amp;ps_school=" TargetMode="External"/><Relationship Id="rId16662" Type="http://schemas.openxmlformats.org/officeDocument/2006/relationships/hyperlink" Target="https://statiz.sporki.com/add/?m=draft_school01&amp;ps_school=50710" TargetMode="External"/><Relationship Id="rId17713" Type="http://schemas.openxmlformats.org/officeDocument/2006/relationships/hyperlink" Target="https://statiz.sporki.com/add/?m=draft_school01&amp;ps_school=50501" TargetMode="External"/><Relationship Id="rId4272" Type="http://schemas.openxmlformats.org/officeDocument/2006/relationships/hyperlink" Target="https://statiz.sporki.com/add/?m=draft_school02&amp;ps_school=60104" TargetMode="External"/><Relationship Id="rId5323" Type="http://schemas.openxmlformats.org/officeDocument/2006/relationships/hyperlink" Target="https://statiz.sporki.com/player/?m=playerinfo&amp;p_no=10826" TargetMode="External"/><Relationship Id="rId6721" Type="http://schemas.openxmlformats.org/officeDocument/2006/relationships/hyperlink" Target="https://statiz.sporki.com/player/?m=playerinfo&amp;p_no=10602" TargetMode="External"/><Relationship Id="rId15264" Type="http://schemas.openxmlformats.org/officeDocument/2006/relationships/hyperlink" Target="https://statiz.sporki.com/player/?m=playerinfo&amp;p_no=1800" TargetMode="External"/><Relationship Id="rId16315" Type="http://schemas.openxmlformats.org/officeDocument/2006/relationships/hyperlink" Target="https://statiz.sporki.com/add/?m=draft_school01&amp;ps_school=50602" TargetMode="External"/><Relationship Id="rId8893" Type="http://schemas.openxmlformats.org/officeDocument/2006/relationships/hyperlink" Target="https://statiz.sporki.com/player/?m=playerinfo&amp;p_no=2132" TargetMode="External"/><Relationship Id="rId9944" Type="http://schemas.openxmlformats.org/officeDocument/2006/relationships/hyperlink" Target="https://statiz.sporki.com/add/?m=draft_school01&amp;ps_school=50402" TargetMode="External"/><Relationship Id="rId11874" Type="http://schemas.openxmlformats.org/officeDocument/2006/relationships/hyperlink" Target="https://statiz.sporki.com/add/?m=draft_school02&amp;ps_school=60113" TargetMode="External"/><Relationship Id="rId12925" Type="http://schemas.openxmlformats.org/officeDocument/2006/relationships/hyperlink" Target="https://statiz.sporki.com/player/?m=playerinfo&amp;p_no=13115" TargetMode="External"/><Relationship Id="rId18487" Type="http://schemas.openxmlformats.org/officeDocument/2006/relationships/hyperlink" Target="https://statiz.sporki.com/add/?m=draft_school01&amp;ps_school=50202" TargetMode="External"/><Relationship Id="rId19538" Type="http://schemas.openxmlformats.org/officeDocument/2006/relationships/hyperlink" Target="https://statiz.sporki.com/add/?m=draft_school01&amp;ps_school=50101" TargetMode="External"/><Relationship Id="rId1933" Type="http://schemas.openxmlformats.org/officeDocument/2006/relationships/hyperlink" Target="https://statiz.sporki.com/player/?m=playerinfo&amp;p_no=14126" TargetMode="External"/><Relationship Id="rId6097" Type="http://schemas.openxmlformats.org/officeDocument/2006/relationships/hyperlink" Target="https://statiz.sporki.com/player/?m=playerinfo&amp;p_no=10012" TargetMode="External"/><Relationship Id="rId7495" Type="http://schemas.openxmlformats.org/officeDocument/2006/relationships/hyperlink" Target="https://statiz.sporki.com/player/?m=playerinfo&amp;p_no=2253" TargetMode="External"/><Relationship Id="rId8546" Type="http://schemas.openxmlformats.org/officeDocument/2006/relationships/hyperlink" Target="https://statiz.sporki.com/add/?m=draft_school01&amp;ps_school=" TargetMode="External"/><Relationship Id="rId10476" Type="http://schemas.openxmlformats.org/officeDocument/2006/relationships/hyperlink" Target="https://statiz.sporki.com/add/?m=draft_school02&amp;ps_school=" TargetMode="External"/><Relationship Id="rId11527" Type="http://schemas.openxmlformats.org/officeDocument/2006/relationships/hyperlink" Target="https://statiz.sporki.com/player/?m=playerinfo&amp;p_no=1212" TargetMode="External"/><Relationship Id="rId17089" Type="http://schemas.openxmlformats.org/officeDocument/2006/relationships/hyperlink" Target="https://statiz.sporki.com/add/?m=draft_school01&amp;ps_school=50116" TargetMode="External"/><Relationship Id="rId7148" Type="http://schemas.openxmlformats.org/officeDocument/2006/relationships/hyperlink" Target="https://statiz.sporki.com/add/?m=draft_school01&amp;ps_school=50602" TargetMode="External"/><Relationship Id="rId10129" Type="http://schemas.openxmlformats.org/officeDocument/2006/relationships/hyperlink" Target="https://statiz.sporki.com/player/?m=playerinfo&amp;p_no=1629" TargetMode="External"/><Relationship Id="rId13699" Type="http://schemas.openxmlformats.org/officeDocument/2006/relationships/hyperlink" Target="https://statiz.sporki.com/player/?m=playerinfo&amp;p_no=11157" TargetMode="External"/><Relationship Id="rId14000" Type="http://schemas.openxmlformats.org/officeDocument/2006/relationships/hyperlink" Target="https://statiz.sporki.com/player/?m=playerinfo&amp;p_no=10356" TargetMode="External"/><Relationship Id="rId17570" Type="http://schemas.openxmlformats.org/officeDocument/2006/relationships/hyperlink" Target="https://statiz.sporki.com/add/?m=draft_school01&amp;ps_school=50703" TargetMode="External"/><Relationship Id="rId18621" Type="http://schemas.openxmlformats.org/officeDocument/2006/relationships/hyperlink" Target="https://statiz.sporki.com/add/?m=draft_school01&amp;ps_school=50303" TargetMode="External"/><Relationship Id="rId3758" Type="http://schemas.openxmlformats.org/officeDocument/2006/relationships/hyperlink" Target="https://statiz.sporki.com/add/?m=draft_school01&amp;ps_school=50601" TargetMode="External"/><Relationship Id="rId4809" Type="http://schemas.openxmlformats.org/officeDocument/2006/relationships/hyperlink" Target="https://statiz.sporki.com/add/?m=draft_school02&amp;ps_school=60102" TargetMode="External"/><Relationship Id="rId16172" Type="http://schemas.openxmlformats.org/officeDocument/2006/relationships/hyperlink" Target="https://statiz.sporki.com/player/?m=playerinfo&amp;p_no=1085" TargetMode="External"/><Relationship Id="rId17223" Type="http://schemas.openxmlformats.org/officeDocument/2006/relationships/hyperlink" Target="https://statiz.sporki.com/add/?m=draft_school01&amp;ps_school=50801" TargetMode="External"/><Relationship Id="rId679" Type="http://schemas.openxmlformats.org/officeDocument/2006/relationships/hyperlink" Target="https://statiz.sporki.com/player/?m=playerinfo&amp;p_no=15073" TargetMode="External"/><Relationship Id="rId5180" Type="http://schemas.openxmlformats.org/officeDocument/2006/relationships/hyperlink" Target="https://statiz.sporki.com/add/?m=draft_school01&amp;ps_school=50801" TargetMode="External"/><Relationship Id="rId6231" Type="http://schemas.openxmlformats.org/officeDocument/2006/relationships/hyperlink" Target="https://statiz.sporki.com/add/?m=draft_school02&amp;ps_school=60113" TargetMode="External"/><Relationship Id="rId10610" Type="http://schemas.openxmlformats.org/officeDocument/2006/relationships/hyperlink" Target="https://statiz.sporki.com/add/?m=draft_school01&amp;ps_school=50813" TargetMode="External"/><Relationship Id="rId9454" Type="http://schemas.openxmlformats.org/officeDocument/2006/relationships/hyperlink" Target="https://statiz.sporki.com/player/?m=playerinfo&amp;p_no=1872" TargetMode="External"/><Relationship Id="rId12782" Type="http://schemas.openxmlformats.org/officeDocument/2006/relationships/hyperlink" Target="https://statiz.sporki.com/player/?m=playerinfo&amp;p_no=14132" TargetMode="External"/><Relationship Id="rId13833" Type="http://schemas.openxmlformats.org/officeDocument/2006/relationships/hyperlink" Target="https://statiz.sporki.com/player/?m=playerinfo&amp;p_no=10942" TargetMode="External"/><Relationship Id="rId19048" Type="http://schemas.openxmlformats.org/officeDocument/2006/relationships/hyperlink" Target="https://statiz.sporki.com/add/?m=draft_school01&amp;ps_school=50803" TargetMode="External"/><Relationship Id="rId19395" Type="http://schemas.openxmlformats.org/officeDocument/2006/relationships/hyperlink" Target="https://statiz.sporki.com/add/?m=draft_school01&amp;ps_school=50804" TargetMode="External"/><Relationship Id="rId1790" Type="http://schemas.openxmlformats.org/officeDocument/2006/relationships/hyperlink" Target="https://statiz.sporki.com/add/?m=draft_school01&amp;ps_school=50109" TargetMode="External"/><Relationship Id="rId2841" Type="http://schemas.openxmlformats.org/officeDocument/2006/relationships/hyperlink" Target="https://statiz.sporki.com/add/?m=draft_school02&amp;ps_school=" TargetMode="External"/><Relationship Id="rId8056" Type="http://schemas.openxmlformats.org/officeDocument/2006/relationships/hyperlink" Target="https://statiz.sporki.com/player/?m=playerinfo&amp;p_no=10148" TargetMode="External"/><Relationship Id="rId9107" Type="http://schemas.openxmlformats.org/officeDocument/2006/relationships/hyperlink" Target="https://statiz.sporki.com/add/?m=draft_school01&amp;ps_school=50401" TargetMode="External"/><Relationship Id="rId11384" Type="http://schemas.openxmlformats.org/officeDocument/2006/relationships/hyperlink" Target="https://statiz.sporki.com/add/?m=draft_school01&amp;ps_school=" TargetMode="External"/><Relationship Id="rId12435" Type="http://schemas.openxmlformats.org/officeDocument/2006/relationships/hyperlink" Target="https://statiz.sporki.com/player/?m=playerinfo&amp;p_no=15146" TargetMode="External"/><Relationship Id="rId813" Type="http://schemas.openxmlformats.org/officeDocument/2006/relationships/hyperlink" Target="https://statiz.sporki.com/add/?m=draft_school02&amp;ps_school=61123" TargetMode="External"/><Relationship Id="rId1443" Type="http://schemas.openxmlformats.org/officeDocument/2006/relationships/hyperlink" Target="https://statiz.sporki.com/add/?m=draft_school02&amp;ps_school=" TargetMode="External"/><Relationship Id="rId11037" Type="http://schemas.openxmlformats.org/officeDocument/2006/relationships/hyperlink" Target="https://statiz.sporki.com/add/?m=draft_school02&amp;ps_school=60703" TargetMode="External"/><Relationship Id="rId15658" Type="http://schemas.openxmlformats.org/officeDocument/2006/relationships/hyperlink" Target="https://statiz.sporki.com/player/?m=playerinfo&amp;p_no=1471" TargetMode="External"/><Relationship Id="rId16709" Type="http://schemas.openxmlformats.org/officeDocument/2006/relationships/hyperlink" Target="https://statiz.sporki.com/add/?m=draft_school01&amp;ps_school=50207" TargetMode="External"/><Relationship Id="rId4666" Type="http://schemas.openxmlformats.org/officeDocument/2006/relationships/hyperlink" Target="https://statiz.sporki.com/player/?m=playerinfo&amp;p_no=11156" TargetMode="External"/><Relationship Id="rId5717" Type="http://schemas.openxmlformats.org/officeDocument/2006/relationships/hyperlink" Target="https://statiz.sporki.com/add/?m=draft_school01&amp;ps_school=50108" TargetMode="External"/><Relationship Id="rId17080" Type="http://schemas.openxmlformats.org/officeDocument/2006/relationships/hyperlink" Target="https://statiz.sporki.com/add/?m=draft_school01&amp;ps_school=50604" TargetMode="External"/><Relationship Id="rId18131" Type="http://schemas.openxmlformats.org/officeDocument/2006/relationships/hyperlink" Target="https://statiz.sporki.com/add/?m=draft_school01&amp;ps_school=50202" TargetMode="External"/><Relationship Id="rId3268" Type="http://schemas.openxmlformats.org/officeDocument/2006/relationships/hyperlink" Target="https://statiz.sporki.com/player/?m=playerinfo&amp;p_no=12537" TargetMode="External"/><Relationship Id="rId4319" Type="http://schemas.openxmlformats.org/officeDocument/2006/relationships/hyperlink" Target="https://statiz.sporki.com/add/?m=draft_school01&amp;ps_school=50602" TargetMode="External"/><Relationship Id="rId7889" Type="http://schemas.openxmlformats.org/officeDocument/2006/relationships/hyperlink" Target="https://statiz.sporki.com/add/?m=draft_school01&amp;ps_school=50112" TargetMode="External"/><Relationship Id="rId10120" Type="http://schemas.openxmlformats.org/officeDocument/2006/relationships/hyperlink" Target="https://statiz.sporki.com/player/?m=playerinfo&amp;p_no=1590" TargetMode="External"/><Relationship Id="rId189" Type="http://schemas.openxmlformats.org/officeDocument/2006/relationships/hyperlink" Target="https://statiz.sporki.com/add/?m=draft_school02&amp;ps_school=60103" TargetMode="External"/><Relationship Id="rId12292" Type="http://schemas.openxmlformats.org/officeDocument/2006/relationships/hyperlink" Target="https://statiz.sporki.com/player/?m=playerinfo&amp;p_no=15623" TargetMode="External"/><Relationship Id="rId13690" Type="http://schemas.openxmlformats.org/officeDocument/2006/relationships/hyperlink" Target="https://statiz.sporki.com/player/?m=playerinfo&amp;p_no=13281" TargetMode="External"/><Relationship Id="rId14741" Type="http://schemas.openxmlformats.org/officeDocument/2006/relationships/hyperlink" Target="https://statiz.sporki.com/player/?m=playerinfo&amp;p_no=10041" TargetMode="External"/><Relationship Id="rId670" Type="http://schemas.openxmlformats.org/officeDocument/2006/relationships/hyperlink" Target="https://statiz.sporki.com/player/?m=playerinfo&amp;p_no=15105" TargetMode="External"/><Relationship Id="rId2351" Type="http://schemas.openxmlformats.org/officeDocument/2006/relationships/hyperlink" Target="https://statiz.sporki.com/add/?m=draft_school01&amp;ps_school=50108" TargetMode="External"/><Relationship Id="rId3402" Type="http://schemas.openxmlformats.org/officeDocument/2006/relationships/hyperlink" Target="https://statiz.sporki.com/add/?m=draft_school02&amp;ps_school=" TargetMode="External"/><Relationship Id="rId4800" Type="http://schemas.openxmlformats.org/officeDocument/2006/relationships/hyperlink" Target="https://statiz.sporki.com/add/?m=draft_school02&amp;ps_school=" TargetMode="External"/><Relationship Id="rId13343" Type="http://schemas.openxmlformats.org/officeDocument/2006/relationships/hyperlink" Target="https://statiz.sporki.com/player/?m=playerinfo&amp;p_no=12589" TargetMode="External"/><Relationship Id="rId17964" Type="http://schemas.openxmlformats.org/officeDocument/2006/relationships/hyperlink" Target="https://statiz.sporki.com/add/?m=draft_school01&amp;ps_school=50605" TargetMode="External"/><Relationship Id="rId323" Type="http://schemas.openxmlformats.org/officeDocument/2006/relationships/hyperlink" Target="https://statiz.sporki.com/add/?m=draft_school01&amp;ps_school=50211" TargetMode="External"/><Relationship Id="rId2004" Type="http://schemas.openxmlformats.org/officeDocument/2006/relationships/hyperlink" Target="https://statiz.sporki.com/add/?m=draft_school02&amp;ps_school=" TargetMode="External"/><Relationship Id="rId6972" Type="http://schemas.openxmlformats.org/officeDocument/2006/relationships/hyperlink" Target="https://statiz.sporki.com/add/?m=draft_school02&amp;ps_school=" TargetMode="External"/><Relationship Id="rId16566" Type="http://schemas.openxmlformats.org/officeDocument/2006/relationships/hyperlink" Target="https://statiz.sporki.com/add/?m=draft_school01&amp;ps_school=50705" TargetMode="External"/><Relationship Id="rId17617" Type="http://schemas.openxmlformats.org/officeDocument/2006/relationships/hyperlink" Target="https://statiz.sporki.com/add/?m=draft_school01&amp;ps_school=50807" TargetMode="External"/><Relationship Id="rId4176" Type="http://schemas.openxmlformats.org/officeDocument/2006/relationships/hyperlink" Target="https://statiz.sporki.com/add/?m=draft_school02&amp;ps_school=60602" TargetMode="External"/><Relationship Id="rId5574" Type="http://schemas.openxmlformats.org/officeDocument/2006/relationships/hyperlink" Target="https://statiz.sporki.com/add/?m=draft_school02&amp;ps_school=" TargetMode="External"/><Relationship Id="rId6625" Type="http://schemas.openxmlformats.org/officeDocument/2006/relationships/hyperlink" Target="https://statiz.sporki.com/player/?m=playerinfo&amp;p_no=2399" TargetMode="External"/><Relationship Id="rId15168" Type="http://schemas.openxmlformats.org/officeDocument/2006/relationships/hyperlink" Target="https://statiz.sporki.com/player/?m=playerinfo&amp;p_no=10001" TargetMode="External"/><Relationship Id="rId16219" Type="http://schemas.openxmlformats.org/officeDocument/2006/relationships/hyperlink" Target="https://statiz.sporki.com/add/?m=draft_school01&amp;ps_school=50803" TargetMode="External"/><Relationship Id="rId5227" Type="http://schemas.openxmlformats.org/officeDocument/2006/relationships/hyperlink" Target="https://statiz.sporki.com/player/?m=playerinfo&amp;p_no=10713" TargetMode="External"/><Relationship Id="rId8797" Type="http://schemas.openxmlformats.org/officeDocument/2006/relationships/hyperlink" Target="https://statiz.sporki.com/player/?m=playerinfo&amp;p_no=10200" TargetMode="External"/><Relationship Id="rId9848" Type="http://schemas.openxmlformats.org/officeDocument/2006/relationships/hyperlink" Target="https://statiz.sporki.com/add/?m=draft_school01&amp;ps_school=50608" TargetMode="External"/><Relationship Id="rId11778" Type="http://schemas.openxmlformats.org/officeDocument/2006/relationships/hyperlink" Target="https://statiz.sporki.com/add/?m=draft_school02&amp;ps_school=" TargetMode="External"/><Relationship Id="rId12829" Type="http://schemas.openxmlformats.org/officeDocument/2006/relationships/hyperlink" Target="https://statiz.sporki.com/player/?m=playerinfo&amp;p_no=14141" TargetMode="External"/><Relationship Id="rId1837" Type="http://schemas.openxmlformats.org/officeDocument/2006/relationships/hyperlink" Target="https://statiz.sporki.com/player/?m=playerinfo&amp;p_no=14703" TargetMode="External"/><Relationship Id="rId7399" Type="http://schemas.openxmlformats.org/officeDocument/2006/relationships/hyperlink" Target="https://statiz.sporki.com/player/?m=playerinfo&amp;p_no=11460" TargetMode="External"/><Relationship Id="rId14251" Type="http://schemas.openxmlformats.org/officeDocument/2006/relationships/hyperlink" Target="https://statiz.sporki.com/player/?m=playerinfo&amp;p_no=10218" TargetMode="External"/><Relationship Id="rId15302" Type="http://schemas.openxmlformats.org/officeDocument/2006/relationships/hyperlink" Target="https://statiz.sporki.com/player/?m=playerinfo&amp;p_no=1790" TargetMode="External"/><Relationship Id="rId16700" Type="http://schemas.openxmlformats.org/officeDocument/2006/relationships/hyperlink" Target="https://statiz.sporki.com/add/?m=draft_school01&amp;ps_school=50802" TargetMode="External"/><Relationship Id="rId4310" Type="http://schemas.openxmlformats.org/officeDocument/2006/relationships/hyperlink" Target="https://statiz.sporki.com/add/?m=draft_school01&amp;ps_school=" TargetMode="External"/><Relationship Id="rId7880" Type="http://schemas.openxmlformats.org/officeDocument/2006/relationships/hyperlink" Target="https://statiz.sporki.com/add/?m=draft_school01&amp;ps_school=50209" TargetMode="External"/><Relationship Id="rId18872" Type="http://schemas.openxmlformats.org/officeDocument/2006/relationships/hyperlink" Target="https://statiz.sporki.com/add/?m=draft_school01&amp;ps_school=50110" TargetMode="External"/><Relationship Id="rId180" Type="http://schemas.openxmlformats.org/officeDocument/2006/relationships/hyperlink" Target="https://statiz.sporki.com/add/?m=draft_school02&amp;ps_school=" TargetMode="External"/><Relationship Id="rId6482" Type="http://schemas.openxmlformats.org/officeDocument/2006/relationships/hyperlink" Target="https://statiz.sporki.com/add/?m=draft_school01&amp;ps_school=50402" TargetMode="External"/><Relationship Id="rId7533" Type="http://schemas.openxmlformats.org/officeDocument/2006/relationships/hyperlink" Target="https://statiz.sporki.com/add/?m=draft_school02&amp;ps_school=" TargetMode="External"/><Relationship Id="rId8931" Type="http://schemas.openxmlformats.org/officeDocument/2006/relationships/hyperlink" Target="https://statiz.sporki.com/add/?m=draft_school02&amp;ps_school=60104" TargetMode="External"/><Relationship Id="rId10861" Type="http://schemas.openxmlformats.org/officeDocument/2006/relationships/hyperlink" Target="https://statiz.sporki.com/player/?m=playerinfo&amp;p_no=1395" TargetMode="External"/><Relationship Id="rId11912" Type="http://schemas.openxmlformats.org/officeDocument/2006/relationships/hyperlink" Target="https://statiz.sporki.com/add/?m=draft_school01&amp;ps_school=50805" TargetMode="External"/><Relationship Id="rId16076" Type="http://schemas.openxmlformats.org/officeDocument/2006/relationships/hyperlink" Target="https://statiz.sporki.com/player/?m=playerinfo&amp;p_no=1017" TargetMode="External"/><Relationship Id="rId17127" Type="http://schemas.openxmlformats.org/officeDocument/2006/relationships/hyperlink" Target="https://statiz.sporki.com/add/?m=draft_school01&amp;ps_school=50301" TargetMode="External"/><Relationship Id="rId17474" Type="http://schemas.openxmlformats.org/officeDocument/2006/relationships/hyperlink" Target="https://statiz.sporki.com/add/?m=draft_school01&amp;ps_school=50901" TargetMode="External"/><Relationship Id="rId18525" Type="http://schemas.openxmlformats.org/officeDocument/2006/relationships/hyperlink" Target="https://statiz.sporki.com/add/?m=draft_school01&amp;ps_school=50110" TargetMode="External"/><Relationship Id="rId5084" Type="http://schemas.openxmlformats.org/officeDocument/2006/relationships/hyperlink" Target="https://statiz.sporki.com/add/?m=draft_school01&amp;ps_school=50109" TargetMode="External"/><Relationship Id="rId6135" Type="http://schemas.openxmlformats.org/officeDocument/2006/relationships/hyperlink" Target="https://statiz.sporki.com/add/?m=draft_school02&amp;ps_school=" TargetMode="External"/><Relationship Id="rId10514" Type="http://schemas.openxmlformats.org/officeDocument/2006/relationships/hyperlink" Target="https://statiz.sporki.com/add/?m=draft_school01&amp;ps_school=50604" TargetMode="External"/><Relationship Id="rId12686" Type="http://schemas.openxmlformats.org/officeDocument/2006/relationships/hyperlink" Target="https://statiz.sporki.com/player/?m=playerinfo&amp;p_no=14689" TargetMode="External"/><Relationship Id="rId13737" Type="http://schemas.openxmlformats.org/officeDocument/2006/relationships/hyperlink" Target="https://statiz.sporki.com/player/?m=playerinfo&amp;p_no=11137" TargetMode="External"/><Relationship Id="rId19299" Type="http://schemas.openxmlformats.org/officeDocument/2006/relationships/hyperlink" Target="https://statiz.sporki.com/add/?m=draft_school01&amp;ps_school=50114" TargetMode="External"/><Relationship Id="rId1694" Type="http://schemas.openxmlformats.org/officeDocument/2006/relationships/hyperlink" Target="https://statiz.sporki.com/add/?m=draft_school01&amp;ps_school=50209" TargetMode="External"/><Relationship Id="rId2745" Type="http://schemas.openxmlformats.org/officeDocument/2006/relationships/hyperlink" Target="https://statiz.sporki.com/add/?m=draft_school02&amp;ps_school=" TargetMode="External"/><Relationship Id="rId9358" Type="http://schemas.openxmlformats.org/officeDocument/2006/relationships/hyperlink" Target="https://statiz.sporki.com/player/?m=playerinfo&amp;p_no=14566" TargetMode="External"/><Relationship Id="rId11288" Type="http://schemas.openxmlformats.org/officeDocument/2006/relationships/hyperlink" Target="https://statiz.sporki.com/add/?m=draft_school01&amp;ps_school=50703" TargetMode="External"/><Relationship Id="rId12339" Type="http://schemas.openxmlformats.org/officeDocument/2006/relationships/hyperlink" Target="https://statiz.sporki.com/player/?m=playerinfo&amp;p_no=15016" TargetMode="External"/><Relationship Id="rId16210" Type="http://schemas.openxmlformats.org/officeDocument/2006/relationships/hyperlink" Target="https://statiz.sporki.com/add/?m=draft_school01&amp;ps_school=50116" TargetMode="External"/><Relationship Id="rId717" Type="http://schemas.openxmlformats.org/officeDocument/2006/relationships/hyperlink" Target="https://statiz.sporki.com/add/?m=draft_school02&amp;ps_school=" TargetMode="External"/><Relationship Id="rId1347" Type="http://schemas.openxmlformats.org/officeDocument/2006/relationships/hyperlink" Target="https://statiz.sporki.com/add/?m=draft_school02&amp;ps_school=60114" TargetMode="External"/><Relationship Id="rId5968" Type="http://schemas.openxmlformats.org/officeDocument/2006/relationships/hyperlink" Target="https://statiz.sporki.com/player/?m=playerinfo&amp;p_no=10603" TargetMode="External"/><Relationship Id="rId18382" Type="http://schemas.openxmlformats.org/officeDocument/2006/relationships/hyperlink" Target="https://statiz.sporki.com/add/?m=draft_school01&amp;ps_school=50701" TargetMode="External"/><Relationship Id="rId19433" Type="http://schemas.openxmlformats.org/officeDocument/2006/relationships/hyperlink" Target="https://statiz.sporki.com/add/?m=draft_school01&amp;ps_school=50209" TargetMode="External"/><Relationship Id="rId53" Type="http://schemas.openxmlformats.org/officeDocument/2006/relationships/hyperlink" Target="https://statiz.sporki.com/add/?m=draft_school01&amp;ps_school=50502" TargetMode="External"/><Relationship Id="rId7390" Type="http://schemas.openxmlformats.org/officeDocument/2006/relationships/hyperlink" Target="https://statiz.sporki.com/player/?m=playerinfo&amp;p_no=2252" TargetMode="External"/><Relationship Id="rId8441" Type="http://schemas.openxmlformats.org/officeDocument/2006/relationships/hyperlink" Target="https://statiz.sporki.com/add/?m=draft_school01&amp;ps_school=50116" TargetMode="External"/><Relationship Id="rId10371" Type="http://schemas.openxmlformats.org/officeDocument/2006/relationships/hyperlink" Target="https://statiz.sporki.com/add/?m=draft_school02&amp;ps_school=" TargetMode="External"/><Relationship Id="rId12820" Type="http://schemas.openxmlformats.org/officeDocument/2006/relationships/hyperlink" Target="https://statiz.sporki.com/player/?m=playerinfo&amp;p_no=14654" TargetMode="External"/><Relationship Id="rId18035" Type="http://schemas.openxmlformats.org/officeDocument/2006/relationships/hyperlink" Target="https://statiz.sporki.com/add/?m=draft_school01&amp;ps_school=50602" TargetMode="External"/><Relationship Id="rId7043" Type="http://schemas.openxmlformats.org/officeDocument/2006/relationships/hyperlink" Target="https://statiz.sporki.com/add/?m=draft_school01&amp;ps_school=50109" TargetMode="External"/><Relationship Id="rId10024" Type="http://schemas.openxmlformats.org/officeDocument/2006/relationships/hyperlink" Target="https://statiz.sporki.com/player/?m=playerinfo&amp;p_no=1628" TargetMode="External"/><Relationship Id="rId11422" Type="http://schemas.openxmlformats.org/officeDocument/2006/relationships/hyperlink" Target="https://statiz.sporki.com/player/?m=playerinfo&amp;p_no=12962" TargetMode="External"/><Relationship Id="rId14992" Type="http://schemas.openxmlformats.org/officeDocument/2006/relationships/hyperlink" Target="https://statiz.sporki.com/player/?m=playerinfo&amp;p_no=2043" TargetMode="External"/><Relationship Id="rId13594" Type="http://schemas.openxmlformats.org/officeDocument/2006/relationships/hyperlink" Target="https://statiz.sporki.com/player/?m=playerinfo&amp;p_no=11202" TargetMode="External"/><Relationship Id="rId14645" Type="http://schemas.openxmlformats.org/officeDocument/2006/relationships/hyperlink" Target="https://statiz.sporki.com/player/?m=playerinfo&amp;p_no=2234" TargetMode="External"/><Relationship Id="rId574" Type="http://schemas.openxmlformats.org/officeDocument/2006/relationships/hyperlink" Target="https://statiz.sporki.com/player/?m=playerinfo&amp;p_no=15026" TargetMode="External"/><Relationship Id="rId2255" Type="http://schemas.openxmlformats.org/officeDocument/2006/relationships/hyperlink" Target="https://statiz.sporki.com/add/?m=draft_school01&amp;ps_school=50901" TargetMode="External"/><Relationship Id="rId3653" Type="http://schemas.openxmlformats.org/officeDocument/2006/relationships/hyperlink" Target="https://statiz.sporki.com/add/?m=draft_school01&amp;ps_school=50116" TargetMode="External"/><Relationship Id="rId4704" Type="http://schemas.openxmlformats.org/officeDocument/2006/relationships/hyperlink" Target="https://statiz.sporki.com/add/?m=draft_school02&amp;ps_school=60607" TargetMode="External"/><Relationship Id="rId12196" Type="http://schemas.openxmlformats.org/officeDocument/2006/relationships/hyperlink" Target="https://statiz.sporki.com/player/?m=playerinfo&amp;p_no=15466" TargetMode="External"/><Relationship Id="rId13247" Type="http://schemas.openxmlformats.org/officeDocument/2006/relationships/hyperlink" Target="https://statiz.sporki.com/player/?m=playerinfo&amp;p_no=12607" TargetMode="External"/><Relationship Id="rId17868" Type="http://schemas.openxmlformats.org/officeDocument/2006/relationships/hyperlink" Target="https://statiz.sporki.com/add/?m=draft_school01&amp;ps_school=50801" TargetMode="External"/><Relationship Id="rId18919" Type="http://schemas.openxmlformats.org/officeDocument/2006/relationships/hyperlink" Target="https://statiz.sporki.com/add/?m=draft_school01&amp;ps_school=50126" TargetMode="External"/><Relationship Id="rId227" Type="http://schemas.openxmlformats.org/officeDocument/2006/relationships/hyperlink" Target="https://statiz.sporki.com/add/?m=draft_school01&amp;ps_school=50215" TargetMode="External"/><Relationship Id="rId3306" Type="http://schemas.openxmlformats.org/officeDocument/2006/relationships/hyperlink" Target="https://statiz.sporki.com/add/?m=draft_school02&amp;ps_school=" TargetMode="External"/><Relationship Id="rId6876" Type="http://schemas.openxmlformats.org/officeDocument/2006/relationships/hyperlink" Target="https://statiz.sporki.com/add/?m=draft_school02&amp;ps_school=" TargetMode="External"/><Relationship Id="rId7927" Type="http://schemas.openxmlformats.org/officeDocument/2006/relationships/hyperlink" Target="https://statiz.sporki.com/player/?m=playerinfo&amp;p_no=2316" TargetMode="External"/><Relationship Id="rId10908" Type="http://schemas.openxmlformats.org/officeDocument/2006/relationships/hyperlink" Target="https://statiz.sporki.com/add/?m=draft_school02&amp;ps_school=" TargetMode="External"/><Relationship Id="rId19290" Type="http://schemas.openxmlformats.org/officeDocument/2006/relationships/hyperlink" Target="https://statiz.sporki.com/add/?m=draft_school01&amp;ps_school=50302" TargetMode="External"/><Relationship Id="rId5478" Type="http://schemas.openxmlformats.org/officeDocument/2006/relationships/hyperlink" Target="https://statiz.sporki.com/add/?m=draft_school02&amp;ps_school=" TargetMode="External"/><Relationship Id="rId6529" Type="http://schemas.openxmlformats.org/officeDocument/2006/relationships/hyperlink" Target="https://statiz.sporki.com/player/?m=playerinfo&amp;p_no=10394" TargetMode="External"/><Relationship Id="rId12330" Type="http://schemas.openxmlformats.org/officeDocument/2006/relationships/hyperlink" Target="https://statiz.sporki.com/player/?m=playerinfo&amp;p_no=15059" TargetMode="External"/><Relationship Id="rId9002" Type="http://schemas.openxmlformats.org/officeDocument/2006/relationships/hyperlink" Target="https://statiz.sporki.com/add/?m=draft_school01&amp;ps_school=" TargetMode="External"/><Relationship Id="rId16951" Type="http://schemas.openxmlformats.org/officeDocument/2006/relationships/hyperlink" Target="https://statiz.sporki.com/add/?m=draft_school01&amp;ps_school=50110" TargetMode="External"/><Relationship Id="rId4561" Type="http://schemas.openxmlformats.org/officeDocument/2006/relationships/hyperlink" Target="https://statiz.sporki.com/player/?m=playerinfo&amp;p_no=11108" TargetMode="External"/><Relationship Id="rId5612" Type="http://schemas.openxmlformats.org/officeDocument/2006/relationships/hyperlink" Target="https://statiz.sporki.com/add/?m=draft_school01&amp;ps_school=50101" TargetMode="External"/><Relationship Id="rId14155" Type="http://schemas.openxmlformats.org/officeDocument/2006/relationships/hyperlink" Target="https://statiz.sporki.com/player/?m=playerinfo&amp;p_no=10533" TargetMode="External"/><Relationship Id="rId15206" Type="http://schemas.openxmlformats.org/officeDocument/2006/relationships/hyperlink" Target="https://statiz.sporki.com/player/?m=playerinfo&amp;p_no=2130" TargetMode="External"/><Relationship Id="rId15553" Type="http://schemas.openxmlformats.org/officeDocument/2006/relationships/hyperlink" Target="https://statiz.sporki.com/player/?m=playerinfo&amp;p_no=1830" TargetMode="External"/><Relationship Id="rId16604" Type="http://schemas.openxmlformats.org/officeDocument/2006/relationships/hyperlink" Target="https://statiz.sporki.com/add/?m=draft_school01&amp;ps_school=50208" TargetMode="External"/><Relationship Id="rId3163" Type="http://schemas.openxmlformats.org/officeDocument/2006/relationships/hyperlink" Target="https://statiz.sporki.com/player/?m=playerinfo&amp;p_no=12567" TargetMode="External"/><Relationship Id="rId4214" Type="http://schemas.openxmlformats.org/officeDocument/2006/relationships/hyperlink" Target="https://statiz.sporki.com/add/?m=draft_school01&amp;ps_school=50108" TargetMode="External"/><Relationship Id="rId18776" Type="http://schemas.openxmlformats.org/officeDocument/2006/relationships/hyperlink" Target="https://statiz.sporki.com/add/?m=draft_school01&amp;ps_school=50802" TargetMode="External"/><Relationship Id="rId6386" Type="http://schemas.openxmlformats.org/officeDocument/2006/relationships/hyperlink" Target="https://statiz.sporki.com/add/?m=draft_school01&amp;ps_school=50103" TargetMode="External"/><Relationship Id="rId7784" Type="http://schemas.openxmlformats.org/officeDocument/2006/relationships/hyperlink" Target="https://statiz.sporki.com/add/?m=draft_school01&amp;ps_school=" TargetMode="External"/><Relationship Id="rId8835" Type="http://schemas.openxmlformats.org/officeDocument/2006/relationships/hyperlink" Target="https://statiz.sporki.com/add/?m=draft_school02&amp;ps_school=60501" TargetMode="External"/><Relationship Id="rId10765" Type="http://schemas.openxmlformats.org/officeDocument/2006/relationships/hyperlink" Target="https://statiz.sporki.com/player/?m=playerinfo&amp;p_no=1580" TargetMode="External"/><Relationship Id="rId11816" Type="http://schemas.openxmlformats.org/officeDocument/2006/relationships/hyperlink" Target="https://statiz.sporki.com/add/?m=draft_school01&amp;ps_school=50121" TargetMode="External"/><Relationship Id="rId17378" Type="http://schemas.openxmlformats.org/officeDocument/2006/relationships/hyperlink" Target="https://statiz.sporki.com/add/?m=draft_school01&amp;ps_school=50107" TargetMode="External"/><Relationship Id="rId18429" Type="http://schemas.openxmlformats.org/officeDocument/2006/relationships/hyperlink" Target="https://statiz.sporki.com/add/?m=draft_school01&amp;ps_school=50602" TargetMode="External"/><Relationship Id="rId6039" Type="http://schemas.openxmlformats.org/officeDocument/2006/relationships/hyperlink" Target="https://statiz.sporki.com/add/?m=draft_school02&amp;ps_school=" TargetMode="External"/><Relationship Id="rId7437" Type="http://schemas.openxmlformats.org/officeDocument/2006/relationships/hyperlink" Target="https://statiz.sporki.com/add/?m=draft_school02&amp;ps_school=" TargetMode="External"/><Relationship Id="rId10418" Type="http://schemas.openxmlformats.org/officeDocument/2006/relationships/hyperlink" Target="https://statiz.sporki.com/add/?m=draft_school01&amp;ps_school=50802" TargetMode="External"/><Relationship Id="rId13988" Type="http://schemas.openxmlformats.org/officeDocument/2006/relationships/hyperlink" Target="https://statiz.sporki.com/player/?m=playerinfo&amp;p_no=10712" TargetMode="External"/><Relationship Id="rId18910" Type="http://schemas.openxmlformats.org/officeDocument/2006/relationships/hyperlink" Target="https://statiz.sporki.com/add/?m=draft_school01&amp;ps_school=50602" TargetMode="External"/><Relationship Id="rId2996" Type="http://schemas.openxmlformats.org/officeDocument/2006/relationships/hyperlink" Target="https://statiz.sporki.com/add/?m=draft_school01&amp;ps_school=50802" TargetMode="External"/><Relationship Id="rId16461" Type="http://schemas.openxmlformats.org/officeDocument/2006/relationships/hyperlink" Target="https://statiz.sporki.com/add/?m=draft_school01&amp;ps_school=50211" TargetMode="External"/><Relationship Id="rId17512" Type="http://schemas.openxmlformats.org/officeDocument/2006/relationships/hyperlink" Target="https://statiz.sporki.com/add/?m=draft_school01&amp;ps_school=50210" TargetMode="External"/><Relationship Id="rId968" Type="http://schemas.openxmlformats.org/officeDocument/2006/relationships/hyperlink" Target="https://statiz.sporki.com/add/?m=draft_school01&amp;ps_school=50210" TargetMode="External"/><Relationship Id="rId1598" Type="http://schemas.openxmlformats.org/officeDocument/2006/relationships/hyperlink" Target="https://statiz.sporki.com/add/?m=draft_school01&amp;ps_school=50114" TargetMode="External"/><Relationship Id="rId2649" Type="http://schemas.openxmlformats.org/officeDocument/2006/relationships/hyperlink" Target="https://statiz.sporki.com/add/?m=draft_school02&amp;ps_school=" TargetMode="External"/><Relationship Id="rId6520" Type="http://schemas.openxmlformats.org/officeDocument/2006/relationships/hyperlink" Target="https://statiz.sporki.com/player/?m=playerinfo&amp;p_no=10054" TargetMode="External"/><Relationship Id="rId15063" Type="http://schemas.openxmlformats.org/officeDocument/2006/relationships/hyperlink" Target="https://statiz.sporki.com/player/?m=playerinfo&amp;p_no=1996" TargetMode="External"/><Relationship Id="rId16114" Type="http://schemas.openxmlformats.org/officeDocument/2006/relationships/hyperlink" Target="https://statiz.sporki.com/player/?m=playerinfo&amp;p_no=1061" TargetMode="External"/><Relationship Id="rId4071" Type="http://schemas.openxmlformats.org/officeDocument/2006/relationships/hyperlink" Target="https://statiz.sporki.com/add/?m=draft_school02&amp;ps_school=" TargetMode="External"/><Relationship Id="rId5122" Type="http://schemas.openxmlformats.org/officeDocument/2006/relationships/hyperlink" Target="https://statiz.sporki.com/player/?m=playerinfo&amp;p_no=10897" TargetMode="External"/><Relationship Id="rId8692" Type="http://schemas.openxmlformats.org/officeDocument/2006/relationships/hyperlink" Target="https://statiz.sporki.com/player/?m=playerinfo&amp;p_no=1972" TargetMode="External"/><Relationship Id="rId9743" Type="http://schemas.openxmlformats.org/officeDocument/2006/relationships/hyperlink" Target="https://statiz.sporki.com/add/?m=draft_school01&amp;ps_school=50208" TargetMode="External"/><Relationship Id="rId18286" Type="http://schemas.openxmlformats.org/officeDocument/2006/relationships/hyperlink" Target="https://statiz.sporki.com/add/?m=draft_school01&amp;ps_school=50805" TargetMode="External"/><Relationship Id="rId19337" Type="http://schemas.openxmlformats.org/officeDocument/2006/relationships/hyperlink" Target="https://statiz.sporki.com/add/?m=draft_school01&amp;ps_school=50703" TargetMode="External"/><Relationship Id="rId7294" Type="http://schemas.openxmlformats.org/officeDocument/2006/relationships/hyperlink" Target="https://statiz.sporki.com/player/?m=playerinfo&amp;p_no=10605" TargetMode="External"/><Relationship Id="rId8345" Type="http://schemas.openxmlformats.org/officeDocument/2006/relationships/hyperlink" Target="https://statiz.sporki.com/add/?m=draft_school01&amp;ps_school=50501" TargetMode="External"/><Relationship Id="rId11673" Type="http://schemas.openxmlformats.org/officeDocument/2006/relationships/hyperlink" Target="https://statiz.sporki.com/add/?m=draft_school02&amp;ps_school=60103" TargetMode="External"/><Relationship Id="rId12724" Type="http://schemas.openxmlformats.org/officeDocument/2006/relationships/hyperlink" Target="https://statiz.sporki.com/player/?m=playerinfo&amp;p_no=14627" TargetMode="External"/><Relationship Id="rId1732" Type="http://schemas.openxmlformats.org/officeDocument/2006/relationships/hyperlink" Target="https://statiz.sporki.com/player/?m=playerinfo&amp;p_no=14583" TargetMode="External"/><Relationship Id="rId10275" Type="http://schemas.openxmlformats.org/officeDocument/2006/relationships/hyperlink" Target="https://statiz.sporki.com/add/?m=draft_school02&amp;ps_school=60103" TargetMode="External"/><Relationship Id="rId11326" Type="http://schemas.openxmlformats.org/officeDocument/2006/relationships/hyperlink" Target="https://statiz.sporki.com/player/?m=playerinfo&amp;p_no=1234" TargetMode="External"/><Relationship Id="rId14896" Type="http://schemas.openxmlformats.org/officeDocument/2006/relationships/hyperlink" Target="https://statiz.sporki.com/player/?m=playerinfo&amp;p_no=2068" TargetMode="External"/><Relationship Id="rId15947" Type="http://schemas.openxmlformats.org/officeDocument/2006/relationships/hyperlink" Target="https://statiz.sporki.com/player/?m=playerinfo&amp;p_no=1203" TargetMode="External"/><Relationship Id="rId4955" Type="http://schemas.openxmlformats.org/officeDocument/2006/relationships/hyperlink" Target="https://statiz.sporki.com/add/?m=draft_school01&amp;ps_school=50105" TargetMode="External"/><Relationship Id="rId13498" Type="http://schemas.openxmlformats.org/officeDocument/2006/relationships/hyperlink" Target="https://statiz.sporki.com/player/?m=playerinfo&amp;p_no=11235" TargetMode="External"/><Relationship Id="rId14549" Type="http://schemas.openxmlformats.org/officeDocument/2006/relationships/hyperlink" Target="https://statiz.sporki.com/player/?m=playerinfo&amp;p_no=2402" TargetMode="External"/><Relationship Id="rId18420" Type="http://schemas.openxmlformats.org/officeDocument/2006/relationships/hyperlink" Target="https://statiz.sporki.com/add/?m=draft_school01&amp;ps_school=50702" TargetMode="External"/><Relationship Id="rId3557" Type="http://schemas.openxmlformats.org/officeDocument/2006/relationships/hyperlink" Target="https://statiz.sporki.com/add/?m=draft_school01&amp;ps_school=50103" TargetMode="External"/><Relationship Id="rId4608" Type="http://schemas.openxmlformats.org/officeDocument/2006/relationships/hyperlink" Target="https://statiz.sporki.com/add/?m=draft_school02&amp;ps_school=60803" TargetMode="External"/><Relationship Id="rId17022" Type="http://schemas.openxmlformats.org/officeDocument/2006/relationships/hyperlink" Target="https://statiz.sporki.com/add/?m=draft_school01&amp;ps_school=50601" TargetMode="External"/><Relationship Id="rId478" Type="http://schemas.openxmlformats.org/officeDocument/2006/relationships/hyperlink" Target="https://statiz.sporki.com/player/?m=playerinfo&amp;p_no=15089" TargetMode="External"/><Relationship Id="rId2159" Type="http://schemas.openxmlformats.org/officeDocument/2006/relationships/hyperlink" Target="https://statiz.sporki.com/add/?m=draft_school01&amp;ps_school=50501" TargetMode="External"/><Relationship Id="rId6030" Type="http://schemas.openxmlformats.org/officeDocument/2006/relationships/hyperlink" Target="https://statiz.sporki.com/add/?m=draft_school02&amp;ps_school=60704" TargetMode="External"/><Relationship Id="rId12581" Type="http://schemas.openxmlformats.org/officeDocument/2006/relationships/hyperlink" Target="https://statiz.sporki.com/player/?m=playerinfo&amp;p_no=14757" TargetMode="External"/><Relationship Id="rId19194" Type="http://schemas.openxmlformats.org/officeDocument/2006/relationships/hyperlink" Target="https://statiz.sporki.com/add/?m=draft_school01&amp;ps_school=50608" TargetMode="External"/><Relationship Id="rId2640" Type="http://schemas.openxmlformats.org/officeDocument/2006/relationships/hyperlink" Target="https://statiz.sporki.com/add/?m=draft_school02&amp;ps_school=" TargetMode="External"/><Relationship Id="rId9253" Type="http://schemas.openxmlformats.org/officeDocument/2006/relationships/hyperlink" Target="https://statiz.sporki.com/player/?m=playerinfo&amp;p_no=1900" TargetMode="External"/><Relationship Id="rId11183" Type="http://schemas.openxmlformats.org/officeDocument/2006/relationships/hyperlink" Target="https://statiz.sporki.com/add/?m=draft_school01&amp;ps_school=50804" TargetMode="External"/><Relationship Id="rId12234" Type="http://schemas.openxmlformats.org/officeDocument/2006/relationships/hyperlink" Target="https://statiz.sporki.com/player/?m=playerinfo&amp;p_no=15448" TargetMode="External"/><Relationship Id="rId13632" Type="http://schemas.openxmlformats.org/officeDocument/2006/relationships/hyperlink" Target="https://statiz.sporki.com/player/?m=playerinfo&amp;p_no=13237" TargetMode="External"/><Relationship Id="rId612" Type="http://schemas.openxmlformats.org/officeDocument/2006/relationships/hyperlink" Target="https://statiz.sporki.com/add/?m=draft_school02&amp;ps_school=" TargetMode="External"/><Relationship Id="rId1242" Type="http://schemas.openxmlformats.org/officeDocument/2006/relationships/hyperlink" Target="https://statiz.sporki.com/add/?m=draft_school02&amp;ps_school=60603" TargetMode="External"/><Relationship Id="rId16855" Type="http://schemas.openxmlformats.org/officeDocument/2006/relationships/hyperlink" Target="https://statiz.sporki.com/add/?m=draft_school01&amp;ps_school=50209" TargetMode="External"/><Relationship Id="rId17906" Type="http://schemas.openxmlformats.org/officeDocument/2006/relationships/hyperlink" Target="https://statiz.sporki.com/add/?m=draft_school01&amp;ps_school=50403" TargetMode="External"/><Relationship Id="rId4465" Type="http://schemas.openxmlformats.org/officeDocument/2006/relationships/hyperlink" Target="https://statiz.sporki.com/player/?m=playerinfo&amp;p_no=11127" TargetMode="External"/><Relationship Id="rId5863" Type="http://schemas.openxmlformats.org/officeDocument/2006/relationships/hyperlink" Target="https://statiz.sporki.com/player/?m=playerinfo&amp;p_no=10365" TargetMode="External"/><Relationship Id="rId6914" Type="http://schemas.openxmlformats.org/officeDocument/2006/relationships/hyperlink" Target="https://statiz.sporki.com/add/?m=draft_school01&amp;ps_school=50206" TargetMode="External"/><Relationship Id="rId15457" Type="http://schemas.openxmlformats.org/officeDocument/2006/relationships/hyperlink" Target="https://statiz.sporki.com/player/?m=playerinfo&amp;p_no=1816" TargetMode="External"/><Relationship Id="rId16508" Type="http://schemas.openxmlformats.org/officeDocument/2006/relationships/hyperlink" Target="https://statiz.sporki.com/add/?m=draft_school01&amp;ps_school=50809" TargetMode="External"/><Relationship Id="rId3067" Type="http://schemas.openxmlformats.org/officeDocument/2006/relationships/hyperlink" Target="https://statiz.sporki.com/player/?m=playerinfo&amp;p_no=13005" TargetMode="External"/><Relationship Id="rId4118" Type="http://schemas.openxmlformats.org/officeDocument/2006/relationships/hyperlink" Target="https://statiz.sporki.com/add/?m=draft_school01&amp;ps_school=50803" TargetMode="External"/><Relationship Id="rId5516" Type="http://schemas.openxmlformats.org/officeDocument/2006/relationships/hyperlink" Target="https://statiz.sporki.com/add/?m=draft_school01&amp;ps_school=50601" TargetMode="External"/><Relationship Id="rId14059" Type="http://schemas.openxmlformats.org/officeDocument/2006/relationships/hyperlink" Target="https://statiz.sporki.com/player/?m=playerinfo&amp;p_no=10554" TargetMode="External"/><Relationship Id="rId7688" Type="http://schemas.openxmlformats.org/officeDocument/2006/relationships/hyperlink" Target="https://statiz.sporki.com/add/?m=draft_school01&amp;ps_school=50107" TargetMode="External"/><Relationship Id="rId8739" Type="http://schemas.openxmlformats.org/officeDocument/2006/relationships/hyperlink" Target="https://statiz.sporki.com/add/?m=draft_school02&amp;ps_school=60101" TargetMode="External"/><Relationship Id="rId10669" Type="http://schemas.openxmlformats.org/officeDocument/2006/relationships/hyperlink" Target="https://statiz.sporki.com/player/?m=playerinfo&amp;p_no=1445" TargetMode="External"/><Relationship Id="rId14540" Type="http://schemas.openxmlformats.org/officeDocument/2006/relationships/hyperlink" Target="https://statiz.sporki.com/player/?m=playerinfo&amp;p_no=10202" TargetMode="External"/><Relationship Id="rId12091" Type="http://schemas.openxmlformats.org/officeDocument/2006/relationships/hyperlink" Target="https://statiz.sporki.com/player/?m=playerinfo&amp;p_no=1085" TargetMode="External"/><Relationship Id="rId13142" Type="http://schemas.openxmlformats.org/officeDocument/2006/relationships/hyperlink" Target="https://statiz.sporki.com/player/?m=playerinfo&amp;p_no=12875" TargetMode="External"/><Relationship Id="rId2150" Type="http://schemas.openxmlformats.org/officeDocument/2006/relationships/hyperlink" Target="https://statiz.sporki.com/add/?m=draft_school01&amp;ps_school=50214" TargetMode="External"/><Relationship Id="rId3201" Type="http://schemas.openxmlformats.org/officeDocument/2006/relationships/hyperlink" Target="https://statiz.sporki.com/add/?m=draft_school02&amp;ps_school=" TargetMode="External"/><Relationship Id="rId6771" Type="http://schemas.openxmlformats.org/officeDocument/2006/relationships/hyperlink" Target="https://statiz.sporki.com/add/?m=draft_school02&amp;ps_school=60112" TargetMode="External"/><Relationship Id="rId7822" Type="http://schemas.openxmlformats.org/officeDocument/2006/relationships/hyperlink" Target="https://statiz.sporki.com/player/?m=playerinfo&amp;p_no=10239" TargetMode="External"/><Relationship Id="rId16365" Type="http://schemas.openxmlformats.org/officeDocument/2006/relationships/hyperlink" Target="https://statiz.sporki.com/add/?m=draft_school01&amp;ps_school=50207" TargetMode="External"/><Relationship Id="rId17416" Type="http://schemas.openxmlformats.org/officeDocument/2006/relationships/hyperlink" Target="https://statiz.sporki.com/add/?m=draft_school01&amp;ps_school=50105" TargetMode="External"/><Relationship Id="rId17763" Type="http://schemas.openxmlformats.org/officeDocument/2006/relationships/hyperlink" Target="https://statiz.sporki.com/add/?m=draft_school01&amp;ps_school=50802" TargetMode="External"/><Relationship Id="rId18814" Type="http://schemas.openxmlformats.org/officeDocument/2006/relationships/hyperlink" Target="https://statiz.sporki.com/add/?m=draft_school01&amp;ps_school=50401" TargetMode="External"/><Relationship Id="rId122" Type="http://schemas.openxmlformats.org/officeDocument/2006/relationships/hyperlink" Target="https://statiz.sporki.com/add/?m=draft_school01&amp;ps_school=50402" TargetMode="External"/><Relationship Id="rId5373" Type="http://schemas.openxmlformats.org/officeDocument/2006/relationships/hyperlink" Target="https://statiz.sporki.com/add/?m=draft_school02&amp;ps_school=" TargetMode="External"/><Relationship Id="rId6424" Type="http://schemas.openxmlformats.org/officeDocument/2006/relationships/hyperlink" Target="https://statiz.sporki.com/player/?m=playerinfo&amp;p_no=10216" TargetMode="External"/><Relationship Id="rId10803" Type="http://schemas.openxmlformats.org/officeDocument/2006/relationships/hyperlink" Target="https://statiz.sporki.com/add/?m=draft_school02&amp;ps_school=60705" TargetMode="External"/><Relationship Id="rId16018" Type="http://schemas.openxmlformats.org/officeDocument/2006/relationships/hyperlink" Target="https://statiz.sporki.com/player/?m=playerinfo&amp;p_no=1138" TargetMode="External"/><Relationship Id="rId5026" Type="http://schemas.openxmlformats.org/officeDocument/2006/relationships/hyperlink" Target="https://statiz.sporki.com/player/?m=playerinfo&amp;p_no=11144" TargetMode="External"/><Relationship Id="rId8596" Type="http://schemas.openxmlformats.org/officeDocument/2006/relationships/hyperlink" Target="https://statiz.sporki.com/player/?m=playerinfo&amp;p_no=10334" TargetMode="External"/><Relationship Id="rId9994" Type="http://schemas.openxmlformats.org/officeDocument/2006/relationships/hyperlink" Target="https://statiz.sporki.com/player/?m=playerinfo&amp;p_no=1589" TargetMode="External"/><Relationship Id="rId12975" Type="http://schemas.openxmlformats.org/officeDocument/2006/relationships/hyperlink" Target="https://statiz.sporki.com/player/?m=playerinfo&amp;p_no=13120" TargetMode="External"/><Relationship Id="rId19588" Type="http://schemas.openxmlformats.org/officeDocument/2006/relationships/hyperlink" Target="https://statiz.sporki.com/add/?m=draft_school01&amp;ps_school=50401" TargetMode="External"/><Relationship Id="rId1983" Type="http://schemas.openxmlformats.org/officeDocument/2006/relationships/hyperlink" Target="https://statiz.sporki.com/add/?m=draft_school02&amp;ps_school=" TargetMode="External"/><Relationship Id="rId7198" Type="http://schemas.openxmlformats.org/officeDocument/2006/relationships/hyperlink" Target="https://statiz.sporki.com/player/?m=playerinfo&amp;p_no=10149" TargetMode="External"/><Relationship Id="rId8249" Type="http://schemas.openxmlformats.org/officeDocument/2006/relationships/hyperlink" Target="https://statiz.sporki.com/add/?m=draft_school01&amp;ps_school=" TargetMode="External"/><Relationship Id="rId9647" Type="http://schemas.openxmlformats.org/officeDocument/2006/relationships/hyperlink" Target="https://statiz.sporki.com/add/?m=draft_school01&amp;ps_school=50701" TargetMode="External"/><Relationship Id="rId11577" Type="http://schemas.openxmlformats.org/officeDocument/2006/relationships/hyperlink" Target="https://statiz.sporki.com/add/?m=draft_school02&amp;ps_school=" TargetMode="External"/><Relationship Id="rId12628" Type="http://schemas.openxmlformats.org/officeDocument/2006/relationships/hyperlink" Target="https://statiz.sporki.com/player/?m=playerinfo&amp;p_no=14623" TargetMode="External"/><Relationship Id="rId1636" Type="http://schemas.openxmlformats.org/officeDocument/2006/relationships/hyperlink" Target="https://statiz.sporki.com/player/?m=playerinfo&amp;p_no=14738" TargetMode="External"/><Relationship Id="rId10179" Type="http://schemas.openxmlformats.org/officeDocument/2006/relationships/hyperlink" Target="https://statiz.sporki.com/add/?m=draft_school02&amp;ps_school=" TargetMode="External"/><Relationship Id="rId14050" Type="http://schemas.openxmlformats.org/officeDocument/2006/relationships/hyperlink" Target="https://statiz.sporki.com/player/?m=playerinfo&amp;p_no=11331" TargetMode="External"/><Relationship Id="rId15101" Type="http://schemas.openxmlformats.org/officeDocument/2006/relationships/hyperlink" Target="https://statiz.sporki.com/player/?m=playerinfo&amp;p_no=2151" TargetMode="External"/><Relationship Id="rId18671" Type="http://schemas.openxmlformats.org/officeDocument/2006/relationships/hyperlink" Target="https://statiz.sporki.com/add/?m=draft_school01&amp;ps_school=50803" TargetMode="External"/><Relationship Id="rId4859" Type="http://schemas.openxmlformats.org/officeDocument/2006/relationships/hyperlink" Target="https://statiz.sporki.com/add/?m=draft_school01&amp;ps_school=50703" TargetMode="External"/><Relationship Id="rId8730" Type="http://schemas.openxmlformats.org/officeDocument/2006/relationships/hyperlink" Target="https://statiz.sporki.com/add/?m=draft_school02&amp;ps_school=" TargetMode="External"/><Relationship Id="rId10660" Type="http://schemas.openxmlformats.org/officeDocument/2006/relationships/hyperlink" Target="https://statiz.sporki.com/player/?m=playerinfo&amp;p_no=1432" TargetMode="External"/><Relationship Id="rId17273" Type="http://schemas.openxmlformats.org/officeDocument/2006/relationships/hyperlink" Target="https://statiz.sporki.com/add/?m=draft_school01&amp;ps_school=50808" TargetMode="External"/><Relationship Id="rId18324" Type="http://schemas.openxmlformats.org/officeDocument/2006/relationships/hyperlink" Target="https://statiz.sporki.com/add/?m=draft_school01&amp;ps_school=50202" TargetMode="External"/><Relationship Id="rId6281" Type="http://schemas.openxmlformats.org/officeDocument/2006/relationships/hyperlink" Target="https://statiz.sporki.com/add/?m=draft_school01&amp;ps_school=50602" TargetMode="External"/><Relationship Id="rId7332" Type="http://schemas.openxmlformats.org/officeDocument/2006/relationships/hyperlink" Target="https://statiz.sporki.com/add/?m=draft_school02&amp;ps_school=60114" TargetMode="External"/><Relationship Id="rId10313" Type="http://schemas.openxmlformats.org/officeDocument/2006/relationships/hyperlink" Target="https://statiz.sporki.com/add/?m=draft_school01&amp;ps_school=50602" TargetMode="External"/><Relationship Id="rId11711" Type="http://schemas.openxmlformats.org/officeDocument/2006/relationships/hyperlink" Target="https://statiz.sporki.com/add/?m=draft_school01&amp;ps_school=50711" TargetMode="External"/><Relationship Id="rId13883" Type="http://schemas.openxmlformats.org/officeDocument/2006/relationships/hyperlink" Target="https://statiz.sporki.com/player/?m=playerinfo&amp;p_no=10700" TargetMode="External"/><Relationship Id="rId14934" Type="http://schemas.openxmlformats.org/officeDocument/2006/relationships/hyperlink" Target="https://statiz.sporki.com/player/?m=playerinfo&amp;p_no=2034" TargetMode="External"/><Relationship Id="rId19098" Type="http://schemas.openxmlformats.org/officeDocument/2006/relationships/hyperlink" Target="https://statiz.sporki.com/add/?m=draft_school01&amp;ps_school=50115" TargetMode="External"/><Relationship Id="rId863" Type="http://schemas.openxmlformats.org/officeDocument/2006/relationships/hyperlink" Target="https://statiz.sporki.com/add/?m=draft_school01&amp;ps_school=" TargetMode="External"/><Relationship Id="rId1493" Type="http://schemas.openxmlformats.org/officeDocument/2006/relationships/hyperlink" Target="https://statiz.sporki.com/add/?m=draft_school01&amp;ps_school=50203" TargetMode="External"/><Relationship Id="rId2544" Type="http://schemas.openxmlformats.org/officeDocument/2006/relationships/hyperlink" Target="https://statiz.sporki.com/add/?m=draft_school02&amp;ps_school=" TargetMode="External"/><Relationship Id="rId2891" Type="http://schemas.openxmlformats.org/officeDocument/2006/relationships/hyperlink" Target="https://statiz.sporki.com/add/?m=draft_school01&amp;ps_school=50209" TargetMode="External"/><Relationship Id="rId3942" Type="http://schemas.openxmlformats.org/officeDocument/2006/relationships/hyperlink" Target="https://statiz.sporki.com/add/?m=draft_school02&amp;ps_school=" TargetMode="External"/><Relationship Id="rId9157" Type="http://schemas.openxmlformats.org/officeDocument/2006/relationships/hyperlink" Target="https://statiz.sporki.com/player/?m=playerinfo&amp;p_no=1881" TargetMode="External"/><Relationship Id="rId11087" Type="http://schemas.openxmlformats.org/officeDocument/2006/relationships/hyperlink" Target="https://statiz.sporki.com/add/?m=draft_school01&amp;ps_school=50114" TargetMode="External"/><Relationship Id="rId12485" Type="http://schemas.openxmlformats.org/officeDocument/2006/relationships/hyperlink" Target="https://statiz.sporki.com/player/?m=playerinfo&amp;p_no=14770" TargetMode="External"/><Relationship Id="rId13536" Type="http://schemas.openxmlformats.org/officeDocument/2006/relationships/hyperlink" Target="https://statiz.sporki.com/player/?m=playerinfo&amp;p_no=12527" TargetMode="External"/><Relationship Id="rId516" Type="http://schemas.openxmlformats.org/officeDocument/2006/relationships/hyperlink" Target="https://statiz.sporki.com/add/?m=draft_school02&amp;ps_school=" TargetMode="External"/><Relationship Id="rId1146" Type="http://schemas.openxmlformats.org/officeDocument/2006/relationships/hyperlink" Target="https://statiz.sporki.com/add/?m=draft_school02&amp;ps_school=" TargetMode="External"/><Relationship Id="rId12138" Type="http://schemas.openxmlformats.org/officeDocument/2006/relationships/hyperlink" Target="https://statiz.sporki.com/add/?m=draft_school02&amp;ps_school=60104" TargetMode="External"/><Relationship Id="rId16759" Type="http://schemas.openxmlformats.org/officeDocument/2006/relationships/hyperlink" Target="https://statiz.sporki.com/add/?m=draft_school01&amp;ps_school=50213" TargetMode="External"/><Relationship Id="rId5767" Type="http://schemas.openxmlformats.org/officeDocument/2006/relationships/hyperlink" Target="https://statiz.sporki.com/player/?m=playerinfo&amp;p_no=10539" TargetMode="External"/><Relationship Id="rId6818" Type="http://schemas.openxmlformats.org/officeDocument/2006/relationships/hyperlink" Target="https://statiz.sporki.com/add/?m=draft_school01&amp;ps_school=50403" TargetMode="External"/><Relationship Id="rId18181" Type="http://schemas.openxmlformats.org/officeDocument/2006/relationships/hyperlink" Target="https://statiz.sporki.com/add/?m=draft_school01&amp;ps_school=50104" TargetMode="External"/><Relationship Id="rId19232" Type="http://schemas.openxmlformats.org/officeDocument/2006/relationships/hyperlink" Target="https://statiz.sporki.com/add/?m=draft_school01&amp;ps_school=50121" TargetMode="External"/><Relationship Id="rId4369" Type="http://schemas.openxmlformats.org/officeDocument/2006/relationships/hyperlink" Target="https://statiz.sporki.com/player/?m=playerinfo&amp;p_no=11194" TargetMode="External"/><Relationship Id="rId8240" Type="http://schemas.openxmlformats.org/officeDocument/2006/relationships/hyperlink" Target="https://statiz.sporki.com/add/?m=draft_school01&amp;ps_school=50403" TargetMode="External"/><Relationship Id="rId10170" Type="http://schemas.openxmlformats.org/officeDocument/2006/relationships/hyperlink" Target="https://statiz.sporki.com/add/?m=draft_school02&amp;ps_school=" TargetMode="External"/><Relationship Id="rId11221" Type="http://schemas.openxmlformats.org/officeDocument/2006/relationships/hyperlink" Target="https://statiz.sporki.com/player/?m=playerinfo&amp;p_no=1333" TargetMode="External"/><Relationship Id="rId14791" Type="http://schemas.openxmlformats.org/officeDocument/2006/relationships/hyperlink" Target="https://statiz.sporki.com/player/?m=playerinfo&amp;p_no=10138" TargetMode="External"/><Relationship Id="rId4850" Type="http://schemas.openxmlformats.org/officeDocument/2006/relationships/hyperlink" Target="https://statiz.sporki.com/add/?m=draft_school01&amp;ps_school=50114" TargetMode="External"/><Relationship Id="rId5901" Type="http://schemas.openxmlformats.org/officeDocument/2006/relationships/hyperlink" Target="https://statiz.sporki.com/add/?m=draft_school02&amp;ps_school=60803" TargetMode="External"/><Relationship Id="rId13393" Type="http://schemas.openxmlformats.org/officeDocument/2006/relationships/hyperlink" Target="https://statiz.sporki.com/player/?m=playerinfo&amp;p_no=11378" TargetMode="External"/><Relationship Id="rId14444" Type="http://schemas.openxmlformats.org/officeDocument/2006/relationships/hyperlink" Target="https://statiz.sporki.com/player/?m=playerinfo&amp;p_no=10650" TargetMode="External"/><Relationship Id="rId15842" Type="http://schemas.openxmlformats.org/officeDocument/2006/relationships/hyperlink" Target="https://statiz.sporki.com/player/?m=playerinfo&amp;p_no=1306" TargetMode="External"/><Relationship Id="rId3452" Type="http://schemas.openxmlformats.org/officeDocument/2006/relationships/hyperlink" Target="https://statiz.sporki.com/add/?m=draft_school01&amp;ps_school=50401" TargetMode="External"/><Relationship Id="rId4503" Type="http://schemas.openxmlformats.org/officeDocument/2006/relationships/hyperlink" Target="https://statiz.sporki.com/add/?m=draft_school02&amp;ps_school=60105" TargetMode="External"/><Relationship Id="rId13046" Type="http://schemas.openxmlformats.org/officeDocument/2006/relationships/hyperlink" Target="https://statiz.sporki.com/player/?m=playerinfo&amp;p_no=13224" TargetMode="External"/><Relationship Id="rId373" Type="http://schemas.openxmlformats.org/officeDocument/2006/relationships/hyperlink" Target="https://statiz.sporki.com/player/?m=playerinfo&amp;p_no=15651" TargetMode="External"/><Relationship Id="rId2054" Type="http://schemas.openxmlformats.org/officeDocument/2006/relationships/hyperlink" Target="https://statiz.sporki.com/add/?m=draft_school01&amp;ps_school=50604" TargetMode="External"/><Relationship Id="rId3105" Type="http://schemas.openxmlformats.org/officeDocument/2006/relationships/hyperlink" Target="https://statiz.sporki.com/add/?m=draft_school02&amp;ps_school=" TargetMode="External"/><Relationship Id="rId6675" Type="http://schemas.openxmlformats.org/officeDocument/2006/relationships/hyperlink" Target="https://statiz.sporki.com/add/?m=draft_school02&amp;ps_school=60602" TargetMode="External"/><Relationship Id="rId16269" Type="http://schemas.openxmlformats.org/officeDocument/2006/relationships/hyperlink" Target="https://statiz.sporki.com/add/?m=draft_school01&amp;ps_school=50801" TargetMode="External"/><Relationship Id="rId17667" Type="http://schemas.openxmlformats.org/officeDocument/2006/relationships/hyperlink" Target="https://statiz.sporki.com/add/?m=draft_school01&amp;ps_school=51001" TargetMode="External"/><Relationship Id="rId18718" Type="http://schemas.openxmlformats.org/officeDocument/2006/relationships/hyperlink" Target="https://statiz.sporki.com/add/?m=draft_school01&amp;ps_school=50105" TargetMode="External"/><Relationship Id="rId5277" Type="http://schemas.openxmlformats.org/officeDocument/2006/relationships/hyperlink" Target="https://statiz.sporki.com/add/?m=draft_school02&amp;ps_school=" TargetMode="External"/><Relationship Id="rId6328" Type="http://schemas.openxmlformats.org/officeDocument/2006/relationships/hyperlink" Target="https://statiz.sporki.com/player/?m=playerinfo&amp;p_no=10218" TargetMode="External"/><Relationship Id="rId7726" Type="http://schemas.openxmlformats.org/officeDocument/2006/relationships/hyperlink" Target="https://statiz.sporki.com/player/?m=playerinfo&amp;p_no=2209" TargetMode="External"/><Relationship Id="rId10707" Type="http://schemas.openxmlformats.org/officeDocument/2006/relationships/hyperlink" Target="https://statiz.sporki.com/add/?m=draft_school02&amp;ps_school=60802" TargetMode="External"/><Relationship Id="rId9898" Type="http://schemas.openxmlformats.org/officeDocument/2006/relationships/hyperlink" Target="https://statiz.sporki.com/player/?m=playerinfo&amp;p_no=1659" TargetMode="External"/><Relationship Id="rId12879" Type="http://schemas.openxmlformats.org/officeDocument/2006/relationships/hyperlink" Target="https://statiz.sporki.com/player/?m=playerinfo&amp;p_no=13933" TargetMode="External"/><Relationship Id="rId16750" Type="http://schemas.openxmlformats.org/officeDocument/2006/relationships/hyperlink" Target="https://statiz.sporki.com/add/?m=draft_school01&amp;ps_school=50203" TargetMode="External"/><Relationship Id="rId17801" Type="http://schemas.openxmlformats.org/officeDocument/2006/relationships/hyperlink" Target="https://statiz.sporki.com/add/?m=draft_school01&amp;ps_school=50606" TargetMode="External"/><Relationship Id="rId1887" Type="http://schemas.openxmlformats.org/officeDocument/2006/relationships/hyperlink" Target="https://statiz.sporki.com/add/?m=draft_school02&amp;ps_school=" TargetMode="External"/><Relationship Id="rId2938" Type="http://schemas.openxmlformats.org/officeDocument/2006/relationships/hyperlink" Target="https://statiz.sporki.com/player/?m=playerinfo&amp;p_no=12892" TargetMode="External"/><Relationship Id="rId15352" Type="http://schemas.openxmlformats.org/officeDocument/2006/relationships/hyperlink" Target="https://statiz.sporki.com/player/?m=playerinfo&amp;p_no=1768" TargetMode="External"/><Relationship Id="rId16403" Type="http://schemas.openxmlformats.org/officeDocument/2006/relationships/hyperlink" Target="https://statiz.sporki.com/add/?m=draft_school01&amp;ps_school=50502" TargetMode="External"/><Relationship Id="rId4360" Type="http://schemas.openxmlformats.org/officeDocument/2006/relationships/hyperlink" Target="https://statiz.sporki.com/player/?m=playerinfo&amp;p_no=11293" TargetMode="External"/><Relationship Id="rId5411" Type="http://schemas.openxmlformats.org/officeDocument/2006/relationships/hyperlink" Target="https://statiz.sporki.com/add/?m=draft_school01&amp;ps_school=" TargetMode="External"/><Relationship Id="rId8981" Type="http://schemas.openxmlformats.org/officeDocument/2006/relationships/hyperlink" Target="https://statiz.sporki.com/add/?m=draft_school01&amp;ps_school=50802" TargetMode="External"/><Relationship Id="rId15005" Type="http://schemas.openxmlformats.org/officeDocument/2006/relationships/hyperlink" Target="https://statiz.sporki.com/player/?m=playerinfo&amp;p_no=2008" TargetMode="External"/><Relationship Id="rId18575" Type="http://schemas.openxmlformats.org/officeDocument/2006/relationships/hyperlink" Target="https://statiz.sporki.com/add/?m=draft_school01&amp;ps_school=50209" TargetMode="External"/><Relationship Id="rId19626" Type="http://schemas.openxmlformats.org/officeDocument/2006/relationships/hyperlink" Target="https://statiz.sporki.com/add/?m=draft_school01&amp;ps_school=50109" TargetMode="External"/><Relationship Id="rId4013" Type="http://schemas.openxmlformats.org/officeDocument/2006/relationships/hyperlink" Target="https://statiz.sporki.com/add/?m=draft_school01&amp;ps_school=50606" TargetMode="External"/><Relationship Id="rId7583" Type="http://schemas.openxmlformats.org/officeDocument/2006/relationships/hyperlink" Target="https://statiz.sporki.com/add/?m=draft_school01&amp;ps_school=50706" TargetMode="External"/><Relationship Id="rId8634" Type="http://schemas.openxmlformats.org/officeDocument/2006/relationships/hyperlink" Target="https://statiz.sporki.com/add/?m=draft_school02&amp;ps_school=60501" TargetMode="External"/><Relationship Id="rId11962" Type="http://schemas.openxmlformats.org/officeDocument/2006/relationships/hyperlink" Target="https://statiz.sporki.com/player/?m=playerinfo&amp;p_no=1089" TargetMode="External"/><Relationship Id="rId17177" Type="http://schemas.openxmlformats.org/officeDocument/2006/relationships/hyperlink" Target="https://statiz.sporki.com/add/?m=draft_school01&amp;ps_school=50801" TargetMode="External"/><Relationship Id="rId18228" Type="http://schemas.openxmlformats.org/officeDocument/2006/relationships/hyperlink" Target="https://statiz.sporki.com/add/?m=draft_school01&amp;ps_school=50107" TargetMode="External"/><Relationship Id="rId6185" Type="http://schemas.openxmlformats.org/officeDocument/2006/relationships/hyperlink" Target="https://statiz.sporki.com/add/?m=draft_school01&amp;ps_school=" TargetMode="External"/><Relationship Id="rId7236" Type="http://schemas.openxmlformats.org/officeDocument/2006/relationships/hyperlink" Target="https://statiz.sporki.com/add/?m=draft_school02&amp;ps_school=" TargetMode="External"/><Relationship Id="rId10564" Type="http://schemas.openxmlformats.org/officeDocument/2006/relationships/hyperlink" Target="https://statiz.sporki.com/player/?m=playerinfo&amp;p_no=1459" TargetMode="External"/><Relationship Id="rId11615" Type="http://schemas.openxmlformats.org/officeDocument/2006/relationships/hyperlink" Target="https://statiz.sporki.com/add/?m=draft_school01&amp;ps_school=50807" TargetMode="External"/><Relationship Id="rId10217" Type="http://schemas.openxmlformats.org/officeDocument/2006/relationships/hyperlink" Target="https://statiz.sporki.com/add/?m=draft_school01&amp;ps_school=50126" TargetMode="External"/><Relationship Id="rId13787" Type="http://schemas.openxmlformats.org/officeDocument/2006/relationships/hyperlink" Target="https://statiz.sporki.com/player/?m=playerinfo&amp;p_no=10788" TargetMode="External"/><Relationship Id="rId14838" Type="http://schemas.openxmlformats.org/officeDocument/2006/relationships/hyperlink" Target="https://statiz.sporki.com/player/?m=playerinfo&amp;p_no=2081" TargetMode="External"/><Relationship Id="rId1397" Type="http://schemas.openxmlformats.org/officeDocument/2006/relationships/hyperlink" Target="https://statiz.sporki.com/add/?m=draft_school01&amp;ps_school=50108" TargetMode="External"/><Relationship Id="rId2795" Type="http://schemas.openxmlformats.org/officeDocument/2006/relationships/hyperlink" Target="https://statiz.sporki.com/add/?m=draft_school01&amp;ps_school=50805" TargetMode="External"/><Relationship Id="rId3846" Type="http://schemas.openxmlformats.org/officeDocument/2006/relationships/hyperlink" Target="https://statiz.sporki.com/add/?m=draft_school02&amp;ps_school=" TargetMode="External"/><Relationship Id="rId12389" Type="http://schemas.openxmlformats.org/officeDocument/2006/relationships/hyperlink" Target="https://statiz.sporki.com/player/?m=playerinfo&amp;p_no=15020" TargetMode="External"/><Relationship Id="rId16260" Type="http://schemas.openxmlformats.org/officeDocument/2006/relationships/hyperlink" Target="https://statiz.sporki.com/add/?m=draft_school01&amp;ps_school=50206" TargetMode="External"/><Relationship Id="rId17311" Type="http://schemas.openxmlformats.org/officeDocument/2006/relationships/hyperlink" Target="https://statiz.sporki.com/add/?m=draft_school01&amp;ps_school=50804" TargetMode="External"/><Relationship Id="rId767" Type="http://schemas.openxmlformats.org/officeDocument/2006/relationships/hyperlink" Target="https://statiz.sporki.com/add/?m=draft_school01&amp;ps_school=50701" TargetMode="External"/><Relationship Id="rId2448" Type="http://schemas.openxmlformats.org/officeDocument/2006/relationships/hyperlink" Target="https://statiz.sporki.com/add/?m=draft_school02&amp;ps_school=60109" TargetMode="External"/><Relationship Id="rId12870" Type="http://schemas.openxmlformats.org/officeDocument/2006/relationships/hyperlink" Target="https://statiz.sporki.com/player/?m=playerinfo&amp;p_no=13941" TargetMode="External"/><Relationship Id="rId19483" Type="http://schemas.openxmlformats.org/officeDocument/2006/relationships/hyperlink" Target="https://statiz.sporki.com/add/?m=draft_school01&amp;ps_school=50601" TargetMode="External"/><Relationship Id="rId8491" Type="http://schemas.openxmlformats.org/officeDocument/2006/relationships/hyperlink" Target="https://statiz.sporki.com/player/?m=playerinfo&amp;p_no=2245" TargetMode="External"/><Relationship Id="rId9542" Type="http://schemas.openxmlformats.org/officeDocument/2006/relationships/hyperlink" Target="https://statiz.sporki.com/add/?m=draft_school01&amp;ps_school=50107" TargetMode="External"/><Relationship Id="rId11472" Type="http://schemas.openxmlformats.org/officeDocument/2006/relationships/hyperlink" Target="https://statiz.sporki.com/add/?m=draft_school02&amp;ps_school=" TargetMode="External"/><Relationship Id="rId12523" Type="http://schemas.openxmlformats.org/officeDocument/2006/relationships/hyperlink" Target="https://statiz.sporki.com/player/?m=playerinfo&amp;p_no=14827" TargetMode="External"/><Relationship Id="rId13921" Type="http://schemas.openxmlformats.org/officeDocument/2006/relationships/hyperlink" Target="https://statiz.sporki.com/player/?m=playerinfo&amp;p_no=10728" TargetMode="External"/><Relationship Id="rId18085" Type="http://schemas.openxmlformats.org/officeDocument/2006/relationships/hyperlink" Target="https://statiz.sporki.com/add/?m=draft_school01&amp;ps_school=50805" TargetMode="External"/><Relationship Id="rId19136" Type="http://schemas.openxmlformats.org/officeDocument/2006/relationships/hyperlink" Target="https://statiz.sporki.com/add/?m=draft_school01&amp;ps_school=50602" TargetMode="External"/><Relationship Id="rId901" Type="http://schemas.openxmlformats.org/officeDocument/2006/relationships/hyperlink" Target="https://statiz.sporki.com/player/?m=playerinfo&amp;p_no=15122" TargetMode="External"/><Relationship Id="rId1531" Type="http://schemas.openxmlformats.org/officeDocument/2006/relationships/hyperlink" Target="https://statiz.sporki.com/player/?m=playerinfo&amp;p_no=14645" TargetMode="External"/><Relationship Id="rId7093" Type="http://schemas.openxmlformats.org/officeDocument/2006/relationships/hyperlink" Target="https://statiz.sporki.com/player/?m=playerinfo&amp;p_no=2313" TargetMode="External"/><Relationship Id="rId8144" Type="http://schemas.openxmlformats.org/officeDocument/2006/relationships/hyperlink" Target="https://statiz.sporki.com/add/?m=draft_school01&amp;ps_school=50110" TargetMode="External"/><Relationship Id="rId10074" Type="http://schemas.openxmlformats.org/officeDocument/2006/relationships/hyperlink" Target="https://statiz.sporki.com/add/?m=draft_school02&amp;ps_school=60104" TargetMode="External"/><Relationship Id="rId11125" Type="http://schemas.openxmlformats.org/officeDocument/2006/relationships/hyperlink" Target="https://statiz.sporki.com/player/?m=playerinfo&amp;p_no=1336" TargetMode="External"/><Relationship Id="rId4754" Type="http://schemas.openxmlformats.org/officeDocument/2006/relationships/hyperlink" Target="https://statiz.sporki.com/add/?m=draft_school01&amp;ps_school=51102" TargetMode="External"/><Relationship Id="rId13297" Type="http://schemas.openxmlformats.org/officeDocument/2006/relationships/hyperlink" Target="https://statiz.sporki.com/player/?m=playerinfo&amp;p_no=12611" TargetMode="External"/><Relationship Id="rId14695" Type="http://schemas.openxmlformats.org/officeDocument/2006/relationships/hyperlink" Target="https://statiz.sporki.com/player/?m=playerinfo&amp;p_no=10161" TargetMode="External"/><Relationship Id="rId15746" Type="http://schemas.openxmlformats.org/officeDocument/2006/relationships/hyperlink" Target="https://statiz.sporki.com/player/?m=playerinfo&amp;p_no=12724" TargetMode="External"/><Relationship Id="rId3356" Type="http://schemas.openxmlformats.org/officeDocument/2006/relationships/hyperlink" Target="https://statiz.sporki.com/add/?m=draft_school01&amp;ps_school=50207" TargetMode="External"/><Relationship Id="rId4407" Type="http://schemas.openxmlformats.org/officeDocument/2006/relationships/hyperlink" Target="https://statiz.sporki.com/add/?m=draft_school02&amp;ps_school=60203" TargetMode="External"/><Relationship Id="rId5805" Type="http://schemas.openxmlformats.org/officeDocument/2006/relationships/hyperlink" Target="https://statiz.sporki.com/add/?m=draft_school02&amp;ps_school=" TargetMode="External"/><Relationship Id="rId14348" Type="http://schemas.openxmlformats.org/officeDocument/2006/relationships/hyperlink" Target="https://statiz.sporki.com/player/?m=playerinfo&amp;p_no=10165" TargetMode="External"/><Relationship Id="rId18969" Type="http://schemas.openxmlformats.org/officeDocument/2006/relationships/hyperlink" Target="https://statiz.sporki.com/add/?m=draft_school01&amp;ps_school=50502" TargetMode="External"/><Relationship Id="rId277" Type="http://schemas.openxmlformats.org/officeDocument/2006/relationships/hyperlink" Target="https://statiz.sporki.com/player/?m=playerinfo&amp;p_no=15448" TargetMode="External"/><Relationship Id="rId3009" Type="http://schemas.openxmlformats.org/officeDocument/2006/relationships/hyperlink" Target="https://statiz.sporki.com/add/?m=draft_school02&amp;ps_school=" TargetMode="External"/><Relationship Id="rId7977" Type="http://schemas.openxmlformats.org/officeDocument/2006/relationships/hyperlink" Target="https://statiz.sporki.com/add/?m=draft_school02&amp;ps_school=" TargetMode="External"/><Relationship Id="rId10958" Type="http://schemas.openxmlformats.org/officeDocument/2006/relationships/hyperlink" Target="https://statiz.sporki.com/add/?m=draft_school01&amp;ps_school=50805" TargetMode="External"/><Relationship Id="rId6579" Type="http://schemas.openxmlformats.org/officeDocument/2006/relationships/hyperlink" Target="https://statiz.sporki.com/add/?m=draft_school02&amp;ps_school=60704" TargetMode="External"/><Relationship Id="rId9052" Type="http://schemas.openxmlformats.org/officeDocument/2006/relationships/hyperlink" Target="https://statiz.sporki.com/player/?m=playerinfo&amp;p_no=1969" TargetMode="External"/><Relationship Id="rId12380" Type="http://schemas.openxmlformats.org/officeDocument/2006/relationships/hyperlink" Target="https://statiz.sporki.com/player/?m=playerinfo&amp;p_no=15064" TargetMode="External"/><Relationship Id="rId13431" Type="http://schemas.openxmlformats.org/officeDocument/2006/relationships/hyperlink" Target="https://statiz.sporki.com/player/?m=playerinfo&amp;p_no=13010" TargetMode="External"/><Relationship Id="rId12033" Type="http://schemas.openxmlformats.org/officeDocument/2006/relationships/hyperlink" Target="https://statiz.sporki.com/add/?m=draft_school02&amp;ps_school=60108" TargetMode="External"/><Relationship Id="rId16654" Type="http://schemas.openxmlformats.org/officeDocument/2006/relationships/hyperlink" Target="https://statiz.sporki.com/add/?m=draft_school01&amp;ps_school=50109" TargetMode="External"/><Relationship Id="rId17705" Type="http://schemas.openxmlformats.org/officeDocument/2006/relationships/hyperlink" Target="https://statiz.sporki.com/add/?m=draft_school01&amp;ps_school=50703" TargetMode="External"/><Relationship Id="rId411" Type="http://schemas.openxmlformats.org/officeDocument/2006/relationships/hyperlink" Target="https://statiz.sporki.com/add/?m=draft_school02&amp;ps_school=60111" TargetMode="External"/><Relationship Id="rId1041" Type="http://schemas.openxmlformats.org/officeDocument/2006/relationships/hyperlink" Target="https://statiz.sporki.com/add/?m=draft_school02&amp;ps_school=" TargetMode="External"/><Relationship Id="rId5662" Type="http://schemas.openxmlformats.org/officeDocument/2006/relationships/hyperlink" Target="https://statiz.sporki.com/player/?m=playerinfo&amp;p_no=10520" TargetMode="External"/><Relationship Id="rId6713" Type="http://schemas.openxmlformats.org/officeDocument/2006/relationships/hyperlink" Target="https://statiz.sporki.com/add/?m=draft_school01&amp;ps_school=50807" TargetMode="External"/><Relationship Id="rId15256" Type="http://schemas.openxmlformats.org/officeDocument/2006/relationships/hyperlink" Target="https://statiz.sporki.com/player/?m=playerinfo&amp;p_no=12964" TargetMode="External"/><Relationship Id="rId16307" Type="http://schemas.openxmlformats.org/officeDocument/2006/relationships/hyperlink" Target="https://statiz.sporki.com/add/?m=draft_school01&amp;ps_school=50113" TargetMode="External"/><Relationship Id="rId4264" Type="http://schemas.openxmlformats.org/officeDocument/2006/relationships/hyperlink" Target="https://statiz.sporki.com/player/?m=playerinfo&amp;p_no=11199" TargetMode="External"/><Relationship Id="rId5315" Type="http://schemas.openxmlformats.org/officeDocument/2006/relationships/hyperlink" Target="https://statiz.sporki.com/add/?m=draft_school01&amp;ps_school=" TargetMode="External"/><Relationship Id="rId8885" Type="http://schemas.openxmlformats.org/officeDocument/2006/relationships/hyperlink" Target="https://statiz.sporki.com/add/?m=draft_school01&amp;ps_school=50113" TargetMode="External"/><Relationship Id="rId18479" Type="http://schemas.openxmlformats.org/officeDocument/2006/relationships/hyperlink" Target="https://statiz.sporki.com/add/?m=draft_school01&amp;ps_school=50110" TargetMode="External"/><Relationship Id="rId7487" Type="http://schemas.openxmlformats.org/officeDocument/2006/relationships/hyperlink" Target="https://statiz.sporki.com/add/?m=draft_school01&amp;ps_school=" TargetMode="External"/><Relationship Id="rId8538" Type="http://schemas.openxmlformats.org/officeDocument/2006/relationships/hyperlink" Target="https://statiz.sporki.com/add/?m=draft_school02&amp;ps_school=" TargetMode="External"/><Relationship Id="rId9936" Type="http://schemas.openxmlformats.org/officeDocument/2006/relationships/hyperlink" Target="https://statiz.sporki.com/add/?m=draft_school02&amp;ps_school=" TargetMode="External"/><Relationship Id="rId11866" Type="http://schemas.openxmlformats.org/officeDocument/2006/relationships/hyperlink" Target="https://statiz.sporki.com/player/?m=playerinfo&amp;p_no=1023" TargetMode="External"/><Relationship Id="rId12917" Type="http://schemas.openxmlformats.org/officeDocument/2006/relationships/hyperlink" Target="https://statiz.sporki.com/player/?m=playerinfo&amp;p_no=13103" TargetMode="External"/><Relationship Id="rId1925" Type="http://schemas.openxmlformats.org/officeDocument/2006/relationships/hyperlink" Target="https://statiz.sporki.com/add/?m=draft_school01&amp;ps_school=50107" TargetMode="External"/><Relationship Id="rId6089" Type="http://schemas.openxmlformats.org/officeDocument/2006/relationships/hyperlink" Target="https://statiz.sporki.com/add/?m=draft_school01&amp;ps_school=50107" TargetMode="External"/><Relationship Id="rId10468" Type="http://schemas.openxmlformats.org/officeDocument/2006/relationships/hyperlink" Target="https://statiz.sporki.com/player/?m=playerinfo&amp;p_no=1512" TargetMode="External"/><Relationship Id="rId11519" Type="http://schemas.openxmlformats.org/officeDocument/2006/relationships/hyperlink" Target="https://statiz.sporki.com/add/?m=draft_school01&amp;ps_school=" TargetMode="External"/><Relationship Id="rId18960" Type="http://schemas.openxmlformats.org/officeDocument/2006/relationships/hyperlink" Target="https://statiz.sporki.com/add/?m=draft_school01&amp;ps_school=50604" TargetMode="External"/><Relationship Id="rId17562" Type="http://schemas.openxmlformats.org/officeDocument/2006/relationships/hyperlink" Target="https://statiz.sporki.com/add/?m=draft_school01&amp;ps_school=50701" TargetMode="External"/><Relationship Id="rId18613" Type="http://schemas.openxmlformats.org/officeDocument/2006/relationships/hyperlink" Target="https://statiz.sporki.com/add/?m=draft_school01&amp;ps_school=50114" TargetMode="External"/><Relationship Id="rId2699" Type="http://schemas.openxmlformats.org/officeDocument/2006/relationships/hyperlink" Target="https://statiz.sporki.com/add/?m=draft_school01&amp;ps_school=50102" TargetMode="External"/><Relationship Id="rId3000" Type="http://schemas.openxmlformats.org/officeDocument/2006/relationships/hyperlink" Target="https://statiz.sporki.com/add/?m=draft_school02&amp;ps_school=" TargetMode="External"/><Relationship Id="rId6570" Type="http://schemas.openxmlformats.org/officeDocument/2006/relationships/hyperlink" Target="https://statiz.sporki.com/add/?m=draft_school02&amp;ps_school=" TargetMode="External"/><Relationship Id="rId7621" Type="http://schemas.openxmlformats.org/officeDocument/2006/relationships/hyperlink" Target="https://statiz.sporki.com/player/?m=playerinfo&amp;p_no=2331" TargetMode="External"/><Relationship Id="rId10602" Type="http://schemas.openxmlformats.org/officeDocument/2006/relationships/hyperlink" Target="https://statiz.sporki.com/add/?m=draft_school02&amp;ps_school=60104" TargetMode="External"/><Relationship Id="rId16164" Type="http://schemas.openxmlformats.org/officeDocument/2006/relationships/hyperlink" Target="https://statiz.sporki.com/player/?m=playerinfo&amp;p_no=1037" TargetMode="External"/><Relationship Id="rId17215" Type="http://schemas.openxmlformats.org/officeDocument/2006/relationships/hyperlink" Target="https://statiz.sporki.com/add/?m=draft_school01&amp;ps_school=50403" TargetMode="External"/><Relationship Id="rId5172" Type="http://schemas.openxmlformats.org/officeDocument/2006/relationships/hyperlink" Target="https://statiz.sporki.com/add/?m=draft_school02&amp;ps_school=" TargetMode="External"/><Relationship Id="rId6223" Type="http://schemas.openxmlformats.org/officeDocument/2006/relationships/hyperlink" Target="https://statiz.sporki.com/player/?m=playerinfo&amp;p_no=10494" TargetMode="External"/><Relationship Id="rId9793" Type="http://schemas.openxmlformats.org/officeDocument/2006/relationships/hyperlink" Target="https://statiz.sporki.com/player/?m=playerinfo&amp;p_no=10123" TargetMode="External"/><Relationship Id="rId19387" Type="http://schemas.openxmlformats.org/officeDocument/2006/relationships/hyperlink" Target="https://statiz.sporki.com/add/?m=draft_school01&amp;ps_school=50602" TargetMode="External"/><Relationship Id="rId1782" Type="http://schemas.openxmlformats.org/officeDocument/2006/relationships/hyperlink" Target="https://statiz.sporki.com/add/?m=draft_school02&amp;ps_school=60114" TargetMode="External"/><Relationship Id="rId2833" Type="http://schemas.openxmlformats.org/officeDocument/2006/relationships/hyperlink" Target="https://statiz.sporki.com/player/?m=playerinfo&amp;p_no=12941" TargetMode="External"/><Relationship Id="rId8395" Type="http://schemas.openxmlformats.org/officeDocument/2006/relationships/hyperlink" Target="https://statiz.sporki.com/player/?m=playerinfo&amp;p_no=10455" TargetMode="External"/><Relationship Id="rId9446" Type="http://schemas.openxmlformats.org/officeDocument/2006/relationships/hyperlink" Target="https://statiz.sporki.com/add/?m=draft_school01&amp;ps_school=" TargetMode="External"/><Relationship Id="rId11376" Type="http://schemas.openxmlformats.org/officeDocument/2006/relationships/hyperlink" Target="https://statiz.sporki.com/add/?m=draft_school02&amp;ps_school=60104" TargetMode="External"/><Relationship Id="rId12774" Type="http://schemas.openxmlformats.org/officeDocument/2006/relationships/hyperlink" Target="https://statiz.sporki.com/player/?m=playerinfo&amp;p_no=14160" TargetMode="External"/><Relationship Id="rId13825" Type="http://schemas.openxmlformats.org/officeDocument/2006/relationships/hyperlink" Target="https://statiz.sporki.com/player/?m=playerinfo&amp;p_no=10937" TargetMode="External"/><Relationship Id="rId805" Type="http://schemas.openxmlformats.org/officeDocument/2006/relationships/hyperlink" Target="https://statiz.sporki.com/player/?m=playerinfo&amp;p_no=15147" TargetMode="External"/><Relationship Id="rId1435" Type="http://schemas.openxmlformats.org/officeDocument/2006/relationships/hyperlink" Target="https://statiz.sporki.com/player/?m=playerinfo&amp;p_no=14576" TargetMode="External"/><Relationship Id="rId8048" Type="http://schemas.openxmlformats.org/officeDocument/2006/relationships/hyperlink" Target="https://statiz.sporki.com/add/?m=draft_school01&amp;ps_school=50301" TargetMode="External"/><Relationship Id="rId11029" Type="http://schemas.openxmlformats.org/officeDocument/2006/relationships/hyperlink" Target="https://statiz.sporki.com/player/?m=playerinfo&amp;p_no=1369" TargetMode="External"/><Relationship Id="rId12427" Type="http://schemas.openxmlformats.org/officeDocument/2006/relationships/hyperlink" Target="https://statiz.sporki.com/player/?m=playerinfo&amp;p_no=15153" TargetMode="External"/><Relationship Id="rId15997" Type="http://schemas.openxmlformats.org/officeDocument/2006/relationships/hyperlink" Target="https://statiz.sporki.com/player/?m=playerinfo&amp;p_no=1177" TargetMode="External"/><Relationship Id="rId14599" Type="http://schemas.openxmlformats.org/officeDocument/2006/relationships/hyperlink" Target="https://statiz.sporki.com/player/?m=playerinfo&amp;p_no=10462" TargetMode="External"/><Relationship Id="rId18470" Type="http://schemas.openxmlformats.org/officeDocument/2006/relationships/hyperlink" Target="https://statiz.sporki.com/add/?m=draft_school01&amp;ps_school=50402" TargetMode="External"/><Relationship Id="rId19521" Type="http://schemas.openxmlformats.org/officeDocument/2006/relationships/hyperlink" Target="https://statiz.sporki.com/add/?m=draft_school01&amp;ps_school=50209" TargetMode="External"/><Relationship Id="rId4658" Type="http://schemas.openxmlformats.org/officeDocument/2006/relationships/hyperlink" Target="https://statiz.sporki.com/add/?m=draft_school01&amp;ps_school=50403" TargetMode="External"/><Relationship Id="rId5709" Type="http://schemas.openxmlformats.org/officeDocument/2006/relationships/hyperlink" Target="https://statiz.sporki.com/add/?m=draft_school02&amp;ps_school=60103" TargetMode="External"/><Relationship Id="rId6080" Type="http://schemas.openxmlformats.org/officeDocument/2006/relationships/hyperlink" Target="https://statiz.sporki.com/add/?m=draft_school01&amp;ps_school=50702" TargetMode="External"/><Relationship Id="rId7131" Type="http://schemas.openxmlformats.org/officeDocument/2006/relationships/hyperlink" Target="https://statiz.sporki.com/add/?m=draft_school02&amp;ps_school=" TargetMode="External"/><Relationship Id="rId11510" Type="http://schemas.openxmlformats.org/officeDocument/2006/relationships/hyperlink" Target="https://statiz.sporki.com/add/?m=draft_school01&amp;ps_school=50121" TargetMode="External"/><Relationship Id="rId17072" Type="http://schemas.openxmlformats.org/officeDocument/2006/relationships/hyperlink" Target="https://statiz.sporki.com/add/?m=draft_school01&amp;ps_school=50207" TargetMode="External"/><Relationship Id="rId18123" Type="http://schemas.openxmlformats.org/officeDocument/2006/relationships/hyperlink" Target="https://statiz.sporki.com/add/?m=draft_school01&amp;ps_school=50805" TargetMode="External"/><Relationship Id="rId10112" Type="http://schemas.openxmlformats.org/officeDocument/2006/relationships/hyperlink" Target="https://statiz.sporki.com/add/?m=draft_school01&amp;ps_school=50609" TargetMode="External"/><Relationship Id="rId13682" Type="http://schemas.openxmlformats.org/officeDocument/2006/relationships/hyperlink" Target="https://statiz.sporki.com/player/?m=playerinfo&amp;p_no=11074" TargetMode="External"/><Relationship Id="rId14733" Type="http://schemas.openxmlformats.org/officeDocument/2006/relationships/hyperlink" Target="https://statiz.sporki.com/player/?m=playerinfo&amp;p_no=2211" TargetMode="External"/><Relationship Id="rId2690" Type="http://schemas.openxmlformats.org/officeDocument/2006/relationships/hyperlink" Target="https://statiz.sporki.com/add/?m=draft_school01&amp;ps_school=50901" TargetMode="External"/><Relationship Id="rId3741" Type="http://schemas.openxmlformats.org/officeDocument/2006/relationships/hyperlink" Target="https://statiz.sporki.com/add/?m=draft_school02&amp;ps_school=60111" TargetMode="External"/><Relationship Id="rId12284" Type="http://schemas.openxmlformats.org/officeDocument/2006/relationships/hyperlink" Target="https://statiz.sporki.com/player/?m=playerinfo&amp;p_no=15621" TargetMode="External"/><Relationship Id="rId13335" Type="http://schemas.openxmlformats.org/officeDocument/2006/relationships/hyperlink" Target="https://statiz.sporki.com/player/?m=playerinfo&amp;p_no=12974" TargetMode="External"/><Relationship Id="rId662" Type="http://schemas.openxmlformats.org/officeDocument/2006/relationships/hyperlink" Target="https://statiz.sporki.com/add/?m=draft_school01&amp;ps_school=50805" TargetMode="External"/><Relationship Id="rId1292" Type="http://schemas.openxmlformats.org/officeDocument/2006/relationships/hyperlink" Target="https://statiz.sporki.com/add/?m=draft_school01&amp;ps_school=" TargetMode="External"/><Relationship Id="rId2343" Type="http://schemas.openxmlformats.org/officeDocument/2006/relationships/hyperlink" Target="https://statiz.sporki.com/add/?m=draft_school02&amp;ps_school=" TargetMode="External"/><Relationship Id="rId6964" Type="http://schemas.openxmlformats.org/officeDocument/2006/relationships/hyperlink" Target="https://statiz.sporki.com/player/?m=playerinfo&amp;p_no=10682" TargetMode="External"/><Relationship Id="rId16558" Type="http://schemas.openxmlformats.org/officeDocument/2006/relationships/hyperlink" Target="https://statiz.sporki.com/add/?m=draft_school01&amp;ps_school=50504" TargetMode="External"/><Relationship Id="rId17956" Type="http://schemas.openxmlformats.org/officeDocument/2006/relationships/hyperlink" Target="https://statiz.sporki.com/add/?m=draft_school01&amp;ps_school=50112" TargetMode="External"/><Relationship Id="rId315" Type="http://schemas.openxmlformats.org/officeDocument/2006/relationships/hyperlink" Target="https://statiz.sporki.com/add/?m=draft_school02&amp;ps_school=60114" TargetMode="External"/><Relationship Id="rId5566" Type="http://schemas.openxmlformats.org/officeDocument/2006/relationships/hyperlink" Target="https://statiz.sporki.com/player/?m=playerinfo&amp;p_no=10403" TargetMode="External"/><Relationship Id="rId6617" Type="http://schemas.openxmlformats.org/officeDocument/2006/relationships/hyperlink" Target="https://statiz.sporki.com/add/?m=draft_school01&amp;ps_school=50403" TargetMode="External"/><Relationship Id="rId17609" Type="http://schemas.openxmlformats.org/officeDocument/2006/relationships/hyperlink" Target="https://statiz.sporki.com/add/?m=draft_school01&amp;ps_school=50403" TargetMode="External"/><Relationship Id="rId19031" Type="http://schemas.openxmlformats.org/officeDocument/2006/relationships/hyperlink" Target="https://statiz.sporki.com/add/?m=draft_school01&amp;ps_school=50109" TargetMode="External"/><Relationship Id="rId4168" Type="http://schemas.openxmlformats.org/officeDocument/2006/relationships/hyperlink" Target="https://statiz.sporki.com/player/?m=playerinfo&amp;p_no=11503" TargetMode="External"/><Relationship Id="rId5219" Type="http://schemas.openxmlformats.org/officeDocument/2006/relationships/hyperlink" Target="https://statiz.sporki.com/add/?m=draft_school01&amp;ps_school=50605" TargetMode="External"/><Relationship Id="rId8789" Type="http://schemas.openxmlformats.org/officeDocument/2006/relationships/hyperlink" Target="https://statiz.sporki.com/add/?m=draft_school01&amp;ps_school=50401" TargetMode="External"/><Relationship Id="rId11020" Type="http://schemas.openxmlformats.org/officeDocument/2006/relationships/hyperlink" Target="https://statiz.sporki.com/player/?m=playerinfo&amp;p_no=1352" TargetMode="External"/><Relationship Id="rId14590" Type="http://schemas.openxmlformats.org/officeDocument/2006/relationships/hyperlink" Target="https://statiz.sporki.com/player/?m=playerinfo&amp;p_no=10329" TargetMode="External"/><Relationship Id="rId15641" Type="http://schemas.openxmlformats.org/officeDocument/2006/relationships/hyperlink" Target="https://statiz.sporki.com/player/?m=playerinfo&amp;p_no=1611" TargetMode="External"/><Relationship Id="rId1829" Type="http://schemas.openxmlformats.org/officeDocument/2006/relationships/hyperlink" Target="https://statiz.sporki.com/add/?m=draft_school01&amp;ps_school=50105" TargetMode="External"/><Relationship Id="rId5700" Type="http://schemas.openxmlformats.org/officeDocument/2006/relationships/hyperlink" Target="https://statiz.sporki.com/add/?m=draft_school02&amp;ps_school=60804" TargetMode="External"/><Relationship Id="rId13192" Type="http://schemas.openxmlformats.org/officeDocument/2006/relationships/hyperlink" Target="https://statiz.sporki.com/player/?m=playerinfo&amp;p_no=12572" TargetMode="External"/><Relationship Id="rId14243" Type="http://schemas.openxmlformats.org/officeDocument/2006/relationships/hyperlink" Target="https://statiz.sporki.com/player/?m=playerinfo&amp;p_no=10831" TargetMode="External"/><Relationship Id="rId18864" Type="http://schemas.openxmlformats.org/officeDocument/2006/relationships/hyperlink" Target="https://statiz.sporki.com/add/?m=draft_school01&amp;ps_school=51100" TargetMode="External"/><Relationship Id="rId3251" Type="http://schemas.openxmlformats.org/officeDocument/2006/relationships/hyperlink" Target="https://statiz.sporki.com/add/?m=draft_school01&amp;ps_school=50807" TargetMode="External"/><Relationship Id="rId4302" Type="http://schemas.openxmlformats.org/officeDocument/2006/relationships/hyperlink" Target="https://statiz.sporki.com/add/?m=draft_school02&amp;ps_school=60605" TargetMode="External"/><Relationship Id="rId7872" Type="http://schemas.openxmlformats.org/officeDocument/2006/relationships/hyperlink" Target="https://statiz.sporki.com/add/?m=draft_school02&amp;ps_school=60109" TargetMode="External"/><Relationship Id="rId8923" Type="http://schemas.openxmlformats.org/officeDocument/2006/relationships/hyperlink" Target="https://statiz.sporki.com/player/?m=playerinfo&amp;p_no=10575" TargetMode="External"/><Relationship Id="rId17466" Type="http://schemas.openxmlformats.org/officeDocument/2006/relationships/hyperlink" Target="https://statiz.sporki.com/add/?m=draft_school01&amp;ps_school=50403" TargetMode="External"/><Relationship Id="rId18517" Type="http://schemas.openxmlformats.org/officeDocument/2006/relationships/hyperlink" Target="https://statiz.sporki.com/add/?m=draft_school01&amp;ps_school=50703" TargetMode="External"/><Relationship Id="rId172" Type="http://schemas.openxmlformats.org/officeDocument/2006/relationships/hyperlink" Target="https://statiz.sporki.com/player/?m=playerinfo&amp;p_no=15502" TargetMode="External"/><Relationship Id="rId6474" Type="http://schemas.openxmlformats.org/officeDocument/2006/relationships/hyperlink" Target="https://statiz.sporki.com/add/?m=draft_school02&amp;ps_school=60203" TargetMode="External"/><Relationship Id="rId7525" Type="http://schemas.openxmlformats.org/officeDocument/2006/relationships/hyperlink" Target="https://statiz.sporki.com/player/?m=playerinfo&amp;p_no=2248" TargetMode="External"/><Relationship Id="rId10853" Type="http://schemas.openxmlformats.org/officeDocument/2006/relationships/hyperlink" Target="https://statiz.sporki.com/add/?m=draft_school01&amp;ps_school=50701" TargetMode="External"/><Relationship Id="rId11904" Type="http://schemas.openxmlformats.org/officeDocument/2006/relationships/hyperlink" Target="https://statiz.sporki.com/add/?m=draft_school02&amp;ps_school=60803" TargetMode="External"/><Relationship Id="rId16068" Type="http://schemas.openxmlformats.org/officeDocument/2006/relationships/hyperlink" Target="https://statiz.sporki.com/player/?m=playerinfo&amp;p_no=1029" TargetMode="External"/><Relationship Id="rId17119" Type="http://schemas.openxmlformats.org/officeDocument/2006/relationships/hyperlink" Target="https://statiz.sporki.com/add/?m=draft_school01&amp;ps_school=50114" TargetMode="External"/><Relationship Id="rId5076" Type="http://schemas.openxmlformats.org/officeDocument/2006/relationships/hyperlink" Target="https://statiz.sporki.com/add/?m=draft_school02&amp;ps_school=60103" TargetMode="External"/><Relationship Id="rId6127" Type="http://schemas.openxmlformats.org/officeDocument/2006/relationships/hyperlink" Target="https://statiz.sporki.com/player/?m=playerinfo&amp;p_no=10132" TargetMode="External"/><Relationship Id="rId9697" Type="http://schemas.openxmlformats.org/officeDocument/2006/relationships/hyperlink" Target="https://statiz.sporki.com/player/?m=playerinfo&amp;p_no=1799" TargetMode="External"/><Relationship Id="rId10506" Type="http://schemas.openxmlformats.org/officeDocument/2006/relationships/hyperlink" Target="https://statiz.sporki.com/add/?m=draft_school02&amp;ps_school=" TargetMode="External"/><Relationship Id="rId1686" Type="http://schemas.openxmlformats.org/officeDocument/2006/relationships/hyperlink" Target="https://statiz.sporki.com/add/?m=draft_school02&amp;ps_school=" TargetMode="External"/><Relationship Id="rId8299" Type="http://schemas.openxmlformats.org/officeDocument/2006/relationships/hyperlink" Target="https://statiz.sporki.com/player/?m=playerinfo&amp;p_no=10298" TargetMode="External"/><Relationship Id="rId12678" Type="http://schemas.openxmlformats.org/officeDocument/2006/relationships/hyperlink" Target="https://statiz.sporki.com/player/?m=playerinfo&amp;p_no=14631" TargetMode="External"/><Relationship Id="rId13729" Type="http://schemas.openxmlformats.org/officeDocument/2006/relationships/hyperlink" Target="https://statiz.sporki.com/player/?m=playerinfo&amp;p_no=10913" TargetMode="External"/><Relationship Id="rId17600" Type="http://schemas.openxmlformats.org/officeDocument/2006/relationships/hyperlink" Target="https://statiz.sporki.com/add/?m=draft_school01&amp;ps_school=50403" TargetMode="External"/><Relationship Id="rId1339" Type="http://schemas.openxmlformats.org/officeDocument/2006/relationships/hyperlink" Target="https://statiz.sporki.com/player/?m=playerinfo&amp;p_no=14760" TargetMode="External"/><Relationship Id="rId2737" Type="http://schemas.openxmlformats.org/officeDocument/2006/relationships/hyperlink" Target="https://statiz.sporki.com/player/?m=playerinfo&amp;p_no=13256" TargetMode="External"/><Relationship Id="rId5210" Type="http://schemas.openxmlformats.org/officeDocument/2006/relationships/hyperlink" Target="https://statiz.sporki.com/add/?m=draft_school01&amp;ps_school=50809" TargetMode="External"/><Relationship Id="rId15151" Type="http://schemas.openxmlformats.org/officeDocument/2006/relationships/hyperlink" Target="https://statiz.sporki.com/player/?m=playerinfo&amp;p_no=2129" TargetMode="External"/><Relationship Id="rId16202" Type="http://schemas.openxmlformats.org/officeDocument/2006/relationships/hyperlink" Target="https://statiz.sporki.com/add/?m=draft_school01&amp;ps_school=50701" TargetMode="External"/><Relationship Id="rId709" Type="http://schemas.openxmlformats.org/officeDocument/2006/relationships/hyperlink" Target="https://statiz.sporki.com/player/?m=playerinfo&amp;p_no=15074" TargetMode="External"/><Relationship Id="rId8780" Type="http://schemas.openxmlformats.org/officeDocument/2006/relationships/hyperlink" Target="https://statiz.sporki.com/add/?m=draft_school01&amp;ps_school=50114" TargetMode="External"/><Relationship Id="rId9831" Type="http://schemas.openxmlformats.org/officeDocument/2006/relationships/hyperlink" Target="https://statiz.sporki.com/add/?m=draft_school02&amp;ps_school=60114" TargetMode="External"/><Relationship Id="rId11761" Type="http://schemas.openxmlformats.org/officeDocument/2006/relationships/hyperlink" Target="https://statiz.sporki.com/player/?m=playerinfo&amp;p_no=1130" TargetMode="External"/><Relationship Id="rId12812" Type="http://schemas.openxmlformats.org/officeDocument/2006/relationships/hyperlink" Target="https://statiz.sporki.com/player/?m=playerinfo&amp;p_no=14212" TargetMode="External"/><Relationship Id="rId18374" Type="http://schemas.openxmlformats.org/officeDocument/2006/relationships/hyperlink" Target="https://statiz.sporki.com/add/?m=draft_school01&amp;ps_school=50701" TargetMode="External"/><Relationship Id="rId19425" Type="http://schemas.openxmlformats.org/officeDocument/2006/relationships/hyperlink" Target="https://statiz.sporki.com/add/?m=draft_school01&amp;ps_school=50807" TargetMode="External"/><Relationship Id="rId45" Type="http://schemas.openxmlformats.org/officeDocument/2006/relationships/hyperlink" Target="https://statiz.sporki.com/add/?m=draft_school02&amp;ps_school=" TargetMode="External"/><Relationship Id="rId1820" Type="http://schemas.openxmlformats.org/officeDocument/2006/relationships/hyperlink" Target="https://statiz.sporki.com/add/?m=draft_school01&amp;ps_school=50802" TargetMode="External"/><Relationship Id="rId7382" Type="http://schemas.openxmlformats.org/officeDocument/2006/relationships/hyperlink" Target="https://statiz.sporki.com/add/?m=draft_school01&amp;ps_school=50202" TargetMode="External"/><Relationship Id="rId8433" Type="http://schemas.openxmlformats.org/officeDocument/2006/relationships/hyperlink" Target="https://statiz.sporki.com/add/?m=draft_school02&amp;ps_school=60102" TargetMode="External"/><Relationship Id="rId10363" Type="http://schemas.openxmlformats.org/officeDocument/2006/relationships/hyperlink" Target="https://statiz.sporki.com/player/?m=playerinfo&amp;p_no=1509" TargetMode="External"/><Relationship Id="rId11414" Type="http://schemas.openxmlformats.org/officeDocument/2006/relationships/hyperlink" Target="https://statiz.sporki.com/add/?m=draft_school01&amp;ps_school=50116" TargetMode="External"/><Relationship Id="rId18027" Type="http://schemas.openxmlformats.org/officeDocument/2006/relationships/hyperlink" Target="https://statiz.sporki.com/add/?m=draft_school01&amp;ps_school=50602" TargetMode="External"/><Relationship Id="rId3992" Type="http://schemas.openxmlformats.org/officeDocument/2006/relationships/hyperlink" Target="https://statiz.sporki.com/add/?m=draft_school01&amp;ps_school=50208" TargetMode="External"/><Relationship Id="rId7035" Type="http://schemas.openxmlformats.org/officeDocument/2006/relationships/hyperlink" Target="https://statiz.sporki.com/add/?m=draft_school02&amp;ps_school=61002" TargetMode="External"/><Relationship Id="rId10016" Type="http://schemas.openxmlformats.org/officeDocument/2006/relationships/hyperlink" Target="https://statiz.sporki.com/add/?m=draft_school01&amp;ps_school=50701" TargetMode="External"/><Relationship Id="rId13586" Type="http://schemas.openxmlformats.org/officeDocument/2006/relationships/hyperlink" Target="https://statiz.sporki.com/player/?m=playerinfo&amp;p_no=11282" TargetMode="External"/><Relationship Id="rId14984" Type="http://schemas.openxmlformats.org/officeDocument/2006/relationships/hyperlink" Target="https://statiz.sporki.com/player/?m=playerinfo&amp;p_no=2055" TargetMode="External"/><Relationship Id="rId2594" Type="http://schemas.openxmlformats.org/officeDocument/2006/relationships/hyperlink" Target="https://statiz.sporki.com/add/?m=draft_school01&amp;ps_school=50208" TargetMode="External"/><Relationship Id="rId3645" Type="http://schemas.openxmlformats.org/officeDocument/2006/relationships/hyperlink" Target="https://statiz.sporki.com/add/?m=draft_school02&amp;ps_school=60203" TargetMode="External"/><Relationship Id="rId12188" Type="http://schemas.openxmlformats.org/officeDocument/2006/relationships/hyperlink" Target="https://statiz.sporki.com/player/?m=playerinfo&amp;p_no=15488" TargetMode="External"/><Relationship Id="rId13239" Type="http://schemas.openxmlformats.org/officeDocument/2006/relationships/hyperlink" Target="https://statiz.sporki.com/player/?m=playerinfo&amp;p_no=12562" TargetMode="External"/><Relationship Id="rId14637" Type="http://schemas.openxmlformats.org/officeDocument/2006/relationships/hyperlink" Target="https://statiz.sporki.com/player/?m=playerinfo&amp;p_no=2247" TargetMode="External"/><Relationship Id="rId17110" Type="http://schemas.openxmlformats.org/officeDocument/2006/relationships/hyperlink" Target="https://statiz.sporki.com/add/?m=draft_school01&amp;ps_school=50101" TargetMode="External"/><Relationship Id="rId566" Type="http://schemas.openxmlformats.org/officeDocument/2006/relationships/hyperlink" Target="https://statiz.sporki.com/add/?m=draft_school01&amp;ps_school=50105" TargetMode="External"/><Relationship Id="rId1196" Type="http://schemas.openxmlformats.org/officeDocument/2006/relationships/hyperlink" Target="https://statiz.sporki.com/add/?m=draft_school01&amp;ps_school=50601" TargetMode="External"/><Relationship Id="rId2247" Type="http://schemas.openxmlformats.org/officeDocument/2006/relationships/hyperlink" Target="https://statiz.sporki.com/add/?m=draft_school02&amp;ps_school=" TargetMode="External"/><Relationship Id="rId219" Type="http://schemas.openxmlformats.org/officeDocument/2006/relationships/hyperlink" Target="https://statiz.sporki.com/add/?m=draft_school02&amp;ps_school=" TargetMode="External"/><Relationship Id="rId6868" Type="http://schemas.openxmlformats.org/officeDocument/2006/relationships/hyperlink" Target="https://statiz.sporki.com/player/?m=playerinfo&amp;p_no=2368" TargetMode="External"/><Relationship Id="rId7919" Type="http://schemas.openxmlformats.org/officeDocument/2006/relationships/hyperlink" Target="https://statiz.sporki.com/add/?m=draft_school01&amp;ps_school=50104" TargetMode="External"/><Relationship Id="rId8290" Type="http://schemas.openxmlformats.org/officeDocument/2006/relationships/hyperlink" Target="https://statiz.sporki.com/player/?m=playerinfo&amp;p_no=10379" TargetMode="External"/><Relationship Id="rId9341" Type="http://schemas.openxmlformats.org/officeDocument/2006/relationships/hyperlink" Target="https://statiz.sporki.com/add/?m=draft_school01&amp;ps_school=50107" TargetMode="External"/><Relationship Id="rId13720" Type="http://schemas.openxmlformats.org/officeDocument/2006/relationships/hyperlink" Target="https://statiz.sporki.com/player/?m=playerinfo&amp;p_no=11358" TargetMode="External"/><Relationship Id="rId19282" Type="http://schemas.openxmlformats.org/officeDocument/2006/relationships/hyperlink" Target="https://statiz.sporki.com/add/?m=draft_school01&amp;ps_school=50209" TargetMode="External"/><Relationship Id="rId11271" Type="http://schemas.openxmlformats.org/officeDocument/2006/relationships/hyperlink" Target="https://statiz.sporki.com/add/?m=draft_school02&amp;ps_school=60111" TargetMode="External"/><Relationship Id="rId12322" Type="http://schemas.openxmlformats.org/officeDocument/2006/relationships/hyperlink" Target="https://statiz.sporki.com/player/?m=playerinfo&amp;p_no=15080" TargetMode="External"/><Relationship Id="rId15892" Type="http://schemas.openxmlformats.org/officeDocument/2006/relationships/hyperlink" Target="https://statiz.sporki.com/player/?m=playerinfo&amp;p_no=1354" TargetMode="External"/><Relationship Id="rId16943" Type="http://schemas.openxmlformats.org/officeDocument/2006/relationships/hyperlink" Target="https://statiz.sporki.com/add/?m=draft_school01&amp;ps_school=50105" TargetMode="External"/><Relationship Id="rId700" Type="http://schemas.openxmlformats.org/officeDocument/2006/relationships/hyperlink" Target="https://statiz.sporki.com/player/?m=playerinfo&amp;p_no=15106" TargetMode="External"/><Relationship Id="rId1330" Type="http://schemas.openxmlformats.org/officeDocument/2006/relationships/hyperlink" Target="https://statiz.sporki.com/player/?m=playerinfo&amp;p_no=14762" TargetMode="External"/><Relationship Id="rId5951" Type="http://schemas.openxmlformats.org/officeDocument/2006/relationships/hyperlink" Target="https://statiz.sporki.com/add/?m=draft_school01&amp;ps_school=" TargetMode="External"/><Relationship Id="rId14494" Type="http://schemas.openxmlformats.org/officeDocument/2006/relationships/hyperlink" Target="https://statiz.sporki.com/player/?m=playerinfo&amp;p_no=2335" TargetMode="External"/><Relationship Id="rId15545" Type="http://schemas.openxmlformats.org/officeDocument/2006/relationships/hyperlink" Target="https://statiz.sporki.com/player/?m=playerinfo&amp;p_no=1679" TargetMode="External"/><Relationship Id="rId4553" Type="http://schemas.openxmlformats.org/officeDocument/2006/relationships/hyperlink" Target="https://statiz.sporki.com/add/?m=draft_school01&amp;ps_school=50207" TargetMode="External"/><Relationship Id="rId5604" Type="http://schemas.openxmlformats.org/officeDocument/2006/relationships/hyperlink" Target="https://statiz.sporki.com/add/?m=draft_school02&amp;ps_school=60106" TargetMode="External"/><Relationship Id="rId13096" Type="http://schemas.openxmlformats.org/officeDocument/2006/relationships/hyperlink" Target="https://statiz.sporki.com/player/?m=playerinfo&amp;p_no=13226" TargetMode="External"/><Relationship Id="rId14147" Type="http://schemas.openxmlformats.org/officeDocument/2006/relationships/hyperlink" Target="https://statiz.sporki.com/player/?m=playerinfo&amp;p_no=10070" TargetMode="External"/><Relationship Id="rId18768" Type="http://schemas.openxmlformats.org/officeDocument/2006/relationships/hyperlink" Target="https://statiz.sporki.com/add/?m=draft_school01&amp;ps_school=50803" TargetMode="External"/><Relationship Id="rId3155" Type="http://schemas.openxmlformats.org/officeDocument/2006/relationships/hyperlink" Target="https://statiz.sporki.com/add/?m=draft_school01&amp;ps_school=50109" TargetMode="External"/><Relationship Id="rId4206" Type="http://schemas.openxmlformats.org/officeDocument/2006/relationships/hyperlink" Target="https://statiz.sporki.com/add/?m=draft_school02&amp;ps_school=" TargetMode="External"/><Relationship Id="rId7776" Type="http://schemas.openxmlformats.org/officeDocument/2006/relationships/hyperlink" Target="https://statiz.sporki.com/add/?m=draft_school02&amp;ps_school=" TargetMode="External"/><Relationship Id="rId8827" Type="http://schemas.openxmlformats.org/officeDocument/2006/relationships/hyperlink" Target="https://statiz.sporki.com/player/?m=playerinfo&amp;p_no=14564" TargetMode="External"/><Relationship Id="rId6378" Type="http://schemas.openxmlformats.org/officeDocument/2006/relationships/hyperlink" Target="https://statiz.sporki.com/add/?m=draft_school02&amp;ps_school=" TargetMode="External"/><Relationship Id="rId7429" Type="http://schemas.openxmlformats.org/officeDocument/2006/relationships/hyperlink" Target="https://statiz.sporki.com/player/?m=playerinfo&amp;p_no=10344" TargetMode="External"/><Relationship Id="rId10757" Type="http://schemas.openxmlformats.org/officeDocument/2006/relationships/hyperlink" Target="https://statiz.sporki.com/add/?m=draft_school01&amp;ps_school=50901" TargetMode="External"/><Relationship Id="rId11808" Type="http://schemas.openxmlformats.org/officeDocument/2006/relationships/hyperlink" Target="https://statiz.sporki.com/add/?m=draft_school02&amp;ps_school=" TargetMode="External"/><Relationship Id="rId13230" Type="http://schemas.openxmlformats.org/officeDocument/2006/relationships/hyperlink" Target="https://statiz.sporki.com/player/?m=playerinfo&amp;p_no=12582" TargetMode="External"/><Relationship Id="rId17851" Type="http://schemas.openxmlformats.org/officeDocument/2006/relationships/hyperlink" Target="https://statiz.sporki.com/add/?m=draft_school01&amp;ps_school=50606" TargetMode="External"/><Relationship Id="rId18902" Type="http://schemas.openxmlformats.org/officeDocument/2006/relationships/hyperlink" Target="https://statiz.sporki.com/add/?m=draft_school01&amp;ps_school=50602" TargetMode="External"/><Relationship Id="rId210" Type="http://schemas.openxmlformats.org/officeDocument/2006/relationships/hyperlink" Target="https://statiz.sporki.com/add/?m=draft_school02&amp;ps_school=60203" TargetMode="External"/><Relationship Id="rId2988" Type="http://schemas.openxmlformats.org/officeDocument/2006/relationships/hyperlink" Target="https://statiz.sporki.com/add/?m=draft_school02&amp;ps_school=" TargetMode="External"/><Relationship Id="rId7910" Type="http://schemas.openxmlformats.org/officeDocument/2006/relationships/hyperlink" Target="https://statiz.sporki.com/add/?m=draft_school01&amp;ps_school=50114" TargetMode="External"/><Relationship Id="rId16453" Type="http://schemas.openxmlformats.org/officeDocument/2006/relationships/hyperlink" Target="https://statiz.sporki.com/add/?m=draft_school01&amp;ps_school=50207" TargetMode="External"/><Relationship Id="rId17504" Type="http://schemas.openxmlformats.org/officeDocument/2006/relationships/hyperlink" Target="https://statiz.sporki.com/add/?m=draft_school01&amp;ps_school=50207" TargetMode="External"/><Relationship Id="rId5461" Type="http://schemas.openxmlformats.org/officeDocument/2006/relationships/hyperlink" Target="https://statiz.sporki.com/player/?m=playerinfo&amp;p_no=10877" TargetMode="External"/><Relationship Id="rId6512" Type="http://schemas.openxmlformats.org/officeDocument/2006/relationships/hyperlink" Target="https://statiz.sporki.com/add/?m=draft_school01&amp;ps_school=50602" TargetMode="External"/><Relationship Id="rId15055" Type="http://schemas.openxmlformats.org/officeDocument/2006/relationships/hyperlink" Target="https://statiz.sporki.com/player/?m=playerinfo&amp;p_no=10098" TargetMode="External"/><Relationship Id="rId16106" Type="http://schemas.openxmlformats.org/officeDocument/2006/relationships/hyperlink" Target="https://statiz.sporki.com/player/?m=playerinfo&amp;p_no=1110" TargetMode="External"/><Relationship Id="rId4063" Type="http://schemas.openxmlformats.org/officeDocument/2006/relationships/hyperlink" Target="https://statiz.sporki.com/player/?m=playerinfo&amp;p_no=11212" TargetMode="External"/><Relationship Id="rId5114" Type="http://schemas.openxmlformats.org/officeDocument/2006/relationships/hyperlink" Target="https://statiz.sporki.com/add/?m=draft_school01&amp;ps_school=50207" TargetMode="External"/><Relationship Id="rId8684" Type="http://schemas.openxmlformats.org/officeDocument/2006/relationships/hyperlink" Target="https://statiz.sporki.com/add/?m=draft_school01&amp;ps_school=50706" TargetMode="External"/><Relationship Id="rId9735" Type="http://schemas.openxmlformats.org/officeDocument/2006/relationships/hyperlink" Target="https://statiz.sporki.com/add/?m=draft_school02&amp;ps_school=" TargetMode="External"/><Relationship Id="rId11665" Type="http://schemas.openxmlformats.org/officeDocument/2006/relationships/hyperlink" Target="https://statiz.sporki.com/player/?m=playerinfo&amp;p_no=1169" TargetMode="External"/><Relationship Id="rId18278" Type="http://schemas.openxmlformats.org/officeDocument/2006/relationships/hyperlink" Target="https://statiz.sporki.com/add/?m=draft_school01&amp;ps_school=50401" TargetMode="External"/><Relationship Id="rId19329" Type="http://schemas.openxmlformats.org/officeDocument/2006/relationships/hyperlink" Target="https://statiz.sporki.com/add/?m=draft_school01&amp;ps_school=50112" TargetMode="External"/><Relationship Id="rId1724" Type="http://schemas.openxmlformats.org/officeDocument/2006/relationships/hyperlink" Target="https://statiz.sporki.com/add/?m=draft_school01&amp;ps_school=" TargetMode="External"/><Relationship Id="rId7286" Type="http://schemas.openxmlformats.org/officeDocument/2006/relationships/hyperlink" Target="https://statiz.sporki.com/add/?m=draft_school01&amp;ps_school=50606" TargetMode="External"/><Relationship Id="rId8337" Type="http://schemas.openxmlformats.org/officeDocument/2006/relationships/hyperlink" Target="https://statiz.sporki.com/add/?m=draft_school02&amp;ps_school=" TargetMode="External"/><Relationship Id="rId10267" Type="http://schemas.openxmlformats.org/officeDocument/2006/relationships/hyperlink" Target="https://statiz.sporki.com/player/?m=playerinfo&amp;p_no=14565" TargetMode="External"/><Relationship Id="rId11318" Type="http://schemas.openxmlformats.org/officeDocument/2006/relationships/hyperlink" Target="https://statiz.sporki.com/add/?m=draft_school01&amp;ps_school=50121" TargetMode="External"/><Relationship Id="rId12716" Type="http://schemas.openxmlformats.org/officeDocument/2006/relationships/hyperlink" Target="https://statiz.sporki.com/player/?m=playerinfo&amp;p_no=14596" TargetMode="External"/><Relationship Id="rId3896" Type="http://schemas.openxmlformats.org/officeDocument/2006/relationships/hyperlink" Target="https://statiz.sporki.com/add/?m=draft_school01&amp;ps_school=" TargetMode="External"/><Relationship Id="rId14888" Type="http://schemas.openxmlformats.org/officeDocument/2006/relationships/hyperlink" Target="https://statiz.sporki.com/player/?m=playerinfo&amp;p_no=10594" TargetMode="External"/><Relationship Id="rId15939" Type="http://schemas.openxmlformats.org/officeDocument/2006/relationships/hyperlink" Target="https://statiz.sporki.com/player/?m=playerinfo&amp;p_no=1253" TargetMode="External"/><Relationship Id="rId2498" Type="http://schemas.openxmlformats.org/officeDocument/2006/relationships/hyperlink" Target="https://statiz.sporki.com/add/?m=draft_school01&amp;ps_school=50211" TargetMode="External"/><Relationship Id="rId3549" Type="http://schemas.openxmlformats.org/officeDocument/2006/relationships/hyperlink" Target="https://statiz.sporki.com/add/?m=draft_school02&amp;ps_school=" TargetMode="External"/><Relationship Id="rId4947" Type="http://schemas.openxmlformats.org/officeDocument/2006/relationships/hyperlink" Target="https://statiz.sporki.com/add/?m=draft_school02&amp;ps_school=" TargetMode="External"/><Relationship Id="rId7420" Type="http://schemas.openxmlformats.org/officeDocument/2006/relationships/hyperlink" Target="https://statiz.sporki.com/player/?m=playerinfo&amp;p_no=10135" TargetMode="External"/><Relationship Id="rId17361" Type="http://schemas.openxmlformats.org/officeDocument/2006/relationships/hyperlink" Target="https://statiz.sporki.com/add/?m=draft_school01&amp;ps_school=50101" TargetMode="External"/><Relationship Id="rId18412" Type="http://schemas.openxmlformats.org/officeDocument/2006/relationships/hyperlink" Target="https://statiz.sporki.com/add/?m=draft_school01&amp;ps_school=50805" TargetMode="External"/><Relationship Id="rId6022" Type="http://schemas.openxmlformats.org/officeDocument/2006/relationships/hyperlink" Target="https://statiz.sporki.com/player/?m=playerinfo&amp;p_no=10873" TargetMode="External"/><Relationship Id="rId10401" Type="http://schemas.openxmlformats.org/officeDocument/2006/relationships/hyperlink" Target="https://statiz.sporki.com/add/?m=draft_school02&amp;ps_school=60113" TargetMode="External"/><Relationship Id="rId13971" Type="http://schemas.openxmlformats.org/officeDocument/2006/relationships/hyperlink" Target="https://statiz.sporki.com/player/?m=playerinfo&amp;p_no=10130" TargetMode="External"/><Relationship Id="rId17014" Type="http://schemas.openxmlformats.org/officeDocument/2006/relationships/hyperlink" Target="https://statiz.sporki.com/add/?m=draft_school01&amp;ps_school=50710" TargetMode="External"/><Relationship Id="rId8194" Type="http://schemas.openxmlformats.org/officeDocument/2006/relationships/hyperlink" Target="https://statiz.sporki.com/player/?m=playerinfo&amp;p_no=2108" TargetMode="External"/><Relationship Id="rId9592" Type="http://schemas.openxmlformats.org/officeDocument/2006/relationships/hyperlink" Target="https://statiz.sporki.com/player/?m=playerinfo&amp;p_no=1737" TargetMode="External"/><Relationship Id="rId12573" Type="http://schemas.openxmlformats.org/officeDocument/2006/relationships/hyperlink" Target="https://statiz.sporki.com/player/?m=playerinfo&amp;p_no=14753" TargetMode="External"/><Relationship Id="rId13624" Type="http://schemas.openxmlformats.org/officeDocument/2006/relationships/hyperlink" Target="https://statiz.sporki.com/player/?m=playerinfo&amp;p_no=11087" TargetMode="External"/><Relationship Id="rId19186" Type="http://schemas.openxmlformats.org/officeDocument/2006/relationships/hyperlink" Target="https://statiz.sporki.com/add/?m=draft_school01&amp;ps_school=50609" TargetMode="External"/><Relationship Id="rId951" Type="http://schemas.openxmlformats.org/officeDocument/2006/relationships/hyperlink" Target="https://statiz.sporki.com/add/?m=draft_school02&amp;ps_school=60902" TargetMode="External"/><Relationship Id="rId1581" Type="http://schemas.openxmlformats.org/officeDocument/2006/relationships/hyperlink" Target="https://statiz.sporki.com/add/?m=draft_school02&amp;ps_school=" TargetMode="External"/><Relationship Id="rId2632" Type="http://schemas.openxmlformats.org/officeDocument/2006/relationships/hyperlink" Target="https://statiz.sporki.com/player/?m=playerinfo&amp;p_no=13288" TargetMode="External"/><Relationship Id="rId9245" Type="http://schemas.openxmlformats.org/officeDocument/2006/relationships/hyperlink" Target="https://statiz.sporki.com/add/?m=draft_school01&amp;ps_school=50103" TargetMode="External"/><Relationship Id="rId11175" Type="http://schemas.openxmlformats.org/officeDocument/2006/relationships/hyperlink" Target="https://statiz.sporki.com/add/?m=draft_school02&amp;ps_school=60108" TargetMode="External"/><Relationship Id="rId12226" Type="http://schemas.openxmlformats.org/officeDocument/2006/relationships/hyperlink" Target="https://statiz.sporki.com/player/?m=playerinfo&amp;p_no=15469" TargetMode="External"/><Relationship Id="rId15796" Type="http://schemas.openxmlformats.org/officeDocument/2006/relationships/hyperlink" Target="https://statiz.sporki.com/player/?m=playerinfo&amp;p_no=1439" TargetMode="External"/><Relationship Id="rId604" Type="http://schemas.openxmlformats.org/officeDocument/2006/relationships/hyperlink" Target="https://statiz.sporki.com/player/?m=playerinfo&amp;p_no=15055" TargetMode="External"/><Relationship Id="rId1234" Type="http://schemas.openxmlformats.org/officeDocument/2006/relationships/hyperlink" Target="https://statiz.sporki.com/player/?m=playerinfo&amp;p_no=14830" TargetMode="External"/><Relationship Id="rId5855" Type="http://schemas.openxmlformats.org/officeDocument/2006/relationships/hyperlink" Target="https://statiz.sporki.com/add/?m=draft_school01&amp;ps_school=50708" TargetMode="External"/><Relationship Id="rId6906" Type="http://schemas.openxmlformats.org/officeDocument/2006/relationships/hyperlink" Target="https://statiz.sporki.com/add/?m=draft_school02&amp;ps_school=60203" TargetMode="External"/><Relationship Id="rId14398" Type="http://schemas.openxmlformats.org/officeDocument/2006/relationships/hyperlink" Target="https://statiz.sporki.com/player/?m=playerinfo&amp;p_no=10425" TargetMode="External"/><Relationship Id="rId15449" Type="http://schemas.openxmlformats.org/officeDocument/2006/relationships/hyperlink" Target="https://statiz.sporki.com/player/?m=playerinfo&amp;p_no=1731" TargetMode="External"/><Relationship Id="rId16847" Type="http://schemas.openxmlformats.org/officeDocument/2006/relationships/hyperlink" Target="https://statiz.sporki.com/add/?m=draft_school01&amp;ps_school=50103" TargetMode="External"/><Relationship Id="rId19320" Type="http://schemas.openxmlformats.org/officeDocument/2006/relationships/hyperlink" Target="https://statiz.sporki.com/add/?m=draft_school01&amp;ps_school=50110" TargetMode="External"/><Relationship Id="rId4457" Type="http://schemas.openxmlformats.org/officeDocument/2006/relationships/hyperlink" Target="https://statiz.sporki.com/add/?m=draft_school01&amp;ps_school=50805" TargetMode="External"/><Relationship Id="rId5508" Type="http://schemas.openxmlformats.org/officeDocument/2006/relationships/hyperlink" Target="https://statiz.sporki.com/add/?m=draft_school02&amp;ps_school=60605" TargetMode="External"/><Relationship Id="rId3059" Type="http://schemas.openxmlformats.org/officeDocument/2006/relationships/hyperlink" Target="https://statiz.sporki.com/add/?m=draft_school01&amp;ps_school=" TargetMode="External"/><Relationship Id="rId15930" Type="http://schemas.openxmlformats.org/officeDocument/2006/relationships/hyperlink" Target="https://statiz.sporki.com/player/?m=playerinfo&amp;p_no=14223" TargetMode="External"/><Relationship Id="rId13481" Type="http://schemas.openxmlformats.org/officeDocument/2006/relationships/hyperlink" Target="https://statiz.sporki.com/player/?m=playerinfo&amp;p_no=11211" TargetMode="External"/><Relationship Id="rId14532" Type="http://schemas.openxmlformats.org/officeDocument/2006/relationships/hyperlink" Target="https://statiz.sporki.com/player/?m=playerinfo&amp;p_no=10433" TargetMode="External"/><Relationship Id="rId1091" Type="http://schemas.openxmlformats.org/officeDocument/2006/relationships/hyperlink" Target="https://statiz.sporki.com/add/?m=draft_school01&amp;ps_school=50302" TargetMode="External"/><Relationship Id="rId3540" Type="http://schemas.openxmlformats.org/officeDocument/2006/relationships/hyperlink" Target="https://statiz.sporki.com/add/?m=draft_school02&amp;ps_school=" TargetMode="External"/><Relationship Id="rId12083" Type="http://schemas.openxmlformats.org/officeDocument/2006/relationships/hyperlink" Target="https://statiz.sporki.com/add/?m=draft_school01&amp;ps_school=50602" TargetMode="External"/><Relationship Id="rId13134" Type="http://schemas.openxmlformats.org/officeDocument/2006/relationships/hyperlink" Target="https://statiz.sporki.com/player/?m=playerinfo&amp;p_no=12874" TargetMode="External"/><Relationship Id="rId17755" Type="http://schemas.openxmlformats.org/officeDocument/2006/relationships/hyperlink" Target="https://statiz.sporki.com/add/?m=draft_school01&amp;ps_school=50110" TargetMode="External"/><Relationship Id="rId18806" Type="http://schemas.openxmlformats.org/officeDocument/2006/relationships/hyperlink" Target="https://statiz.sporki.com/add/?m=draft_school01&amp;ps_school=50711" TargetMode="External"/><Relationship Id="rId114" Type="http://schemas.openxmlformats.org/officeDocument/2006/relationships/hyperlink" Target="https://statiz.sporki.com/add/?m=draft_school02&amp;ps_school=" TargetMode="External"/><Relationship Id="rId461" Type="http://schemas.openxmlformats.org/officeDocument/2006/relationships/hyperlink" Target="https://statiz.sporki.com/add/?m=draft_school01&amp;ps_school=50302" TargetMode="External"/><Relationship Id="rId2142" Type="http://schemas.openxmlformats.org/officeDocument/2006/relationships/hyperlink" Target="https://statiz.sporki.com/add/?m=draft_school02&amp;ps_school=" TargetMode="External"/><Relationship Id="rId6763" Type="http://schemas.openxmlformats.org/officeDocument/2006/relationships/hyperlink" Target="https://statiz.sporki.com/player/?m=playerinfo&amp;p_no=10040" TargetMode="External"/><Relationship Id="rId7814" Type="http://schemas.openxmlformats.org/officeDocument/2006/relationships/hyperlink" Target="https://statiz.sporki.com/add/?m=draft_school01&amp;ps_school=50904" TargetMode="External"/><Relationship Id="rId16357" Type="http://schemas.openxmlformats.org/officeDocument/2006/relationships/hyperlink" Target="https://statiz.sporki.com/add/?m=draft_school01&amp;ps_school=50116" TargetMode="External"/><Relationship Id="rId17408" Type="http://schemas.openxmlformats.org/officeDocument/2006/relationships/hyperlink" Target="https://statiz.sporki.com/add/?m=draft_school01&amp;ps_school=51001" TargetMode="External"/><Relationship Id="rId5365" Type="http://schemas.openxmlformats.org/officeDocument/2006/relationships/hyperlink" Target="https://statiz.sporki.com/player/?m=playerinfo&amp;p_no=10426" TargetMode="External"/><Relationship Id="rId6416" Type="http://schemas.openxmlformats.org/officeDocument/2006/relationships/hyperlink" Target="https://statiz.sporki.com/add/?m=draft_school01&amp;ps_school=50602" TargetMode="External"/><Relationship Id="rId9986" Type="http://schemas.openxmlformats.org/officeDocument/2006/relationships/hyperlink" Target="https://statiz.sporki.com/add/?m=draft_school01&amp;ps_school=50804" TargetMode="External"/><Relationship Id="rId5018" Type="http://schemas.openxmlformats.org/officeDocument/2006/relationships/hyperlink" Target="https://statiz.sporki.com/add/?m=draft_school01&amp;ps_school=50202" TargetMode="External"/><Relationship Id="rId8588" Type="http://schemas.openxmlformats.org/officeDocument/2006/relationships/hyperlink" Target="https://statiz.sporki.com/add/?m=draft_school01&amp;ps_school=50109" TargetMode="External"/><Relationship Id="rId9639" Type="http://schemas.openxmlformats.org/officeDocument/2006/relationships/hyperlink" Target="https://statiz.sporki.com/add/?m=draft_school02&amp;ps_school=60103" TargetMode="External"/><Relationship Id="rId12967" Type="http://schemas.openxmlformats.org/officeDocument/2006/relationships/hyperlink" Target="https://statiz.sporki.com/player/?m=playerinfo&amp;p_no=13108" TargetMode="External"/><Relationship Id="rId1628" Type="http://schemas.openxmlformats.org/officeDocument/2006/relationships/hyperlink" Target="https://statiz.sporki.com/add/?m=draft_school01&amp;ps_school=50108" TargetMode="External"/><Relationship Id="rId1975" Type="http://schemas.openxmlformats.org/officeDocument/2006/relationships/hyperlink" Target="https://statiz.sporki.com/player/?m=playerinfo&amp;p_no=14158" TargetMode="External"/><Relationship Id="rId11569" Type="http://schemas.openxmlformats.org/officeDocument/2006/relationships/hyperlink" Target="https://statiz.sporki.com/player/?m=playerinfo&amp;p_no=1139" TargetMode="External"/><Relationship Id="rId14042" Type="http://schemas.openxmlformats.org/officeDocument/2006/relationships/hyperlink" Target="https://statiz.sporki.com/player/?m=playerinfo&amp;p_no=10875" TargetMode="External"/><Relationship Id="rId15440" Type="http://schemas.openxmlformats.org/officeDocument/2006/relationships/hyperlink" Target="https://statiz.sporki.com/player/?m=playerinfo&amp;p_no=1709" TargetMode="External"/><Relationship Id="rId3050" Type="http://schemas.openxmlformats.org/officeDocument/2006/relationships/hyperlink" Target="https://statiz.sporki.com/add/?m=draft_school01&amp;ps_school=50113" TargetMode="External"/><Relationship Id="rId4101" Type="http://schemas.openxmlformats.org/officeDocument/2006/relationships/hyperlink" Target="https://statiz.sporki.com/add/?m=draft_school02&amp;ps_school=" TargetMode="External"/><Relationship Id="rId18663" Type="http://schemas.openxmlformats.org/officeDocument/2006/relationships/hyperlink" Target="https://statiz.sporki.com/add/?m=draft_school01&amp;ps_school=50608" TargetMode="External"/><Relationship Id="rId7671" Type="http://schemas.openxmlformats.org/officeDocument/2006/relationships/hyperlink" Target="https://statiz.sporki.com/add/?m=draft_school02&amp;ps_school=60109" TargetMode="External"/><Relationship Id="rId8722" Type="http://schemas.openxmlformats.org/officeDocument/2006/relationships/hyperlink" Target="https://statiz.sporki.com/player/?m=playerinfo&amp;p_no=2218" TargetMode="External"/><Relationship Id="rId10652" Type="http://schemas.openxmlformats.org/officeDocument/2006/relationships/hyperlink" Target="https://statiz.sporki.com/add/?m=draft_school01&amp;ps_school=50706" TargetMode="External"/><Relationship Id="rId11703" Type="http://schemas.openxmlformats.org/officeDocument/2006/relationships/hyperlink" Target="https://statiz.sporki.com/add/?m=draft_school02&amp;ps_school=" TargetMode="External"/><Relationship Id="rId17265" Type="http://schemas.openxmlformats.org/officeDocument/2006/relationships/hyperlink" Target="https://statiz.sporki.com/add/?m=draft_school01&amp;ps_school=50601" TargetMode="External"/><Relationship Id="rId18316" Type="http://schemas.openxmlformats.org/officeDocument/2006/relationships/hyperlink" Target="https://statiz.sporki.com/add/?m=draft_school01&amp;ps_school=50401" TargetMode="External"/><Relationship Id="rId6273" Type="http://schemas.openxmlformats.org/officeDocument/2006/relationships/hyperlink" Target="https://statiz.sporki.com/add/?m=draft_school02&amp;ps_school=60803" TargetMode="External"/><Relationship Id="rId7324" Type="http://schemas.openxmlformats.org/officeDocument/2006/relationships/hyperlink" Target="https://statiz.sporki.com/player/?m=playerinfo&amp;p_no=10157" TargetMode="External"/><Relationship Id="rId10305" Type="http://schemas.openxmlformats.org/officeDocument/2006/relationships/hyperlink" Target="https://statiz.sporki.com/add/?m=draft_school02&amp;ps_school=60501" TargetMode="External"/><Relationship Id="rId13875" Type="http://schemas.openxmlformats.org/officeDocument/2006/relationships/hyperlink" Target="https://statiz.sporki.com/player/?m=playerinfo&amp;p_no=10662" TargetMode="External"/><Relationship Id="rId2883" Type="http://schemas.openxmlformats.org/officeDocument/2006/relationships/hyperlink" Target="https://statiz.sporki.com/add/?m=draft_school02&amp;ps_school=" TargetMode="External"/><Relationship Id="rId3934" Type="http://schemas.openxmlformats.org/officeDocument/2006/relationships/hyperlink" Target="https://statiz.sporki.com/player/?m=playerinfo&amp;p_no=11496" TargetMode="External"/><Relationship Id="rId9496" Type="http://schemas.openxmlformats.org/officeDocument/2006/relationships/hyperlink" Target="https://statiz.sporki.com/player/?m=playerinfo&amp;p_no=1825" TargetMode="External"/><Relationship Id="rId12477" Type="http://schemas.openxmlformats.org/officeDocument/2006/relationships/hyperlink" Target="https://statiz.sporki.com/player/?m=playerinfo&amp;p_no=14799" TargetMode="External"/><Relationship Id="rId13528" Type="http://schemas.openxmlformats.org/officeDocument/2006/relationships/hyperlink" Target="https://statiz.sporki.com/player/?m=playerinfo&amp;p_no=11371" TargetMode="External"/><Relationship Id="rId14926" Type="http://schemas.openxmlformats.org/officeDocument/2006/relationships/hyperlink" Target="https://statiz.sporki.com/player/?m=playerinfo&amp;p_no=2032" TargetMode="External"/><Relationship Id="rId855" Type="http://schemas.openxmlformats.org/officeDocument/2006/relationships/hyperlink" Target="https://statiz.sporki.com/add/?m=draft_school02&amp;ps_school=61124" TargetMode="External"/><Relationship Id="rId1485" Type="http://schemas.openxmlformats.org/officeDocument/2006/relationships/hyperlink" Target="https://statiz.sporki.com/add/?m=draft_school02&amp;ps_school=60104" TargetMode="External"/><Relationship Id="rId2536" Type="http://schemas.openxmlformats.org/officeDocument/2006/relationships/hyperlink" Target="https://statiz.sporki.com/player/?m=playerinfo&amp;p_no=13110" TargetMode="External"/><Relationship Id="rId8098" Type="http://schemas.openxmlformats.org/officeDocument/2006/relationships/hyperlink" Target="https://statiz.sporki.com/player/?m=playerinfo&amp;p_no=10193" TargetMode="External"/><Relationship Id="rId9149" Type="http://schemas.openxmlformats.org/officeDocument/2006/relationships/hyperlink" Target="https://statiz.sporki.com/add/?m=draft_school01&amp;ps_school=50105" TargetMode="External"/><Relationship Id="rId11079" Type="http://schemas.openxmlformats.org/officeDocument/2006/relationships/hyperlink" Target="https://statiz.sporki.com/add/?m=draft_school02&amp;ps_school=60108" TargetMode="External"/><Relationship Id="rId16001" Type="http://schemas.openxmlformats.org/officeDocument/2006/relationships/hyperlink" Target="https://statiz.sporki.com/player/?m=playerinfo&amp;p_no=1159" TargetMode="External"/><Relationship Id="rId508" Type="http://schemas.openxmlformats.org/officeDocument/2006/relationships/hyperlink" Target="https://statiz.sporki.com/player/?m=playerinfo&amp;p_no=15090" TargetMode="External"/><Relationship Id="rId1138" Type="http://schemas.openxmlformats.org/officeDocument/2006/relationships/hyperlink" Target="https://statiz.sporki.com/player/?m=playerinfo&amp;p_no=14870" TargetMode="External"/><Relationship Id="rId5759" Type="http://schemas.openxmlformats.org/officeDocument/2006/relationships/hyperlink" Target="https://statiz.sporki.com/add/?m=draft_school01&amp;ps_school=50107" TargetMode="External"/><Relationship Id="rId9630" Type="http://schemas.openxmlformats.org/officeDocument/2006/relationships/hyperlink" Target="https://statiz.sporki.com/add/?m=draft_school02&amp;ps_school=60703" TargetMode="External"/><Relationship Id="rId18173" Type="http://schemas.openxmlformats.org/officeDocument/2006/relationships/hyperlink" Target="https://statiz.sporki.com/add/?m=draft_school01&amp;ps_school=50303" TargetMode="External"/><Relationship Id="rId19571" Type="http://schemas.openxmlformats.org/officeDocument/2006/relationships/hyperlink" Target="https://statiz.sporki.com/add/?m=draft_school01&amp;ps_school=50122" TargetMode="External"/><Relationship Id="rId7181" Type="http://schemas.openxmlformats.org/officeDocument/2006/relationships/hyperlink" Target="https://statiz.sporki.com/add/?m=draft_school01&amp;ps_school=50702" TargetMode="External"/><Relationship Id="rId8232" Type="http://schemas.openxmlformats.org/officeDocument/2006/relationships/hyperlink" Target="https://statiz.sporki.com/add/?m=draft_school02&amp;ps_school=" TargetMode="External"/><Relationship Id="rId11560" Type="http://schemas.openxmlformats.org/officeDocument/2006/relationships/hyperlink" Target="https://statiz.sporki.com/player/?m=playerinfo&amp;p_no=1148" TargetMode="External"/><Relationship Id="rId12611" Type="http://schemas.openxmlformats.org/officeDocument/2006/relationships/hyperlink" Target="https://statiz.sporki.com/player/?m=playerinfo&amp;p_no=14620" TargetMode="External"/><Relationship Id="rId19224" Type="http://schemas.openxmlformats.org/officeDocument/2006/relationships/hyperlink" Target="https://statiz.sporki.com/add/?m=draft_school01&amp;ps_school=50121" TargetMode="External"/><Relationship Id="rId10162" Type="http://schemas.openxmlformats.org/officeDocument/2006/relationships/hyperlink" Target="https://statiz.sporki.com/player/?m=playerinfo&amp;p_no=1665" TargetMode="External"/><Relationship Id="rId11213" Type="http://schemas.openxmlformats.org/officeDocument/2006/relationships/hyperlink" Target="https://statiz.sporki.com/add/?m=draft_school01&amp;ps_school=50602" TargetMode="External"/><Relationship Id="rId14783" Type="http://schemas.openxmlformats.org/officeDocument/2006/relationships/hyperlink" Target="https://statiz.sporki.com/player/?m=playerinfo&amp;p_no=10096" TargetMode="External"/><Relationship Id="rId15834" Type="http://schemas.openxmlformats.org/officeDocument/2006/relationships/hyperlink" Target="https://statiz.sporki.com/player/?m=playerinfo&amp;p_no=1289" TargetMode="External"/><Relationship Id="rId3791" Type="http://schemas.openxmlformats.org/officeDocument/2006/relationships/hyperlink" Target="https://statiz.sporki.com/add/?m=draft_school01&amp;ps_school=50701" TargetMode="External"/><Relationship Id="rId4842" Type="http://schemas.openxmlformats.org/officeDocument/2006/relationships/hyperlink" Target="https://statiz.sporki.com/add/?m=draft_school02&amp;ps_school=" TargetMode="External"/><Relationship Id="rId13385" Type="http://schemas.openxmlformats.org/officeDocument/2006/relationships/hyperlink" Target="https://statiz.sporki.com/player/?m=playerinfo&amp;p_no=11422" TargetMode="External"/><Relationship Id="rId14436" Type="http://schemas.openxmlformats.org/officeDocument/2006/relationships/hyperlink" Target="https://statiz.sporki.com/player/?m=playerinfo&amp;p_no=2339" TargetMode="External"/><Relationship Id="rId2393" Type="http://schemas.openxmlformats.org/officeDocument/2006/relationships/hyperlink" Target="https://statiz.sporki.com/add/?m=draft_school01&amp;ps_school=50108" TargetMode="External"/><Relationship Id="rId3444" Type="http://schemas.openxmlformats.org/officeDocument/2006/relationships/hyperlink" Target="https://statiz.sporki.com/add/?m=draft_school02&amp;ps_school=60108" TargetMode="External"/><Relationship Id="rId13038" Type="http://schemas.openxmlformats.org/officeDocument/2006/relationships/hyperlink" Target="https://statiz.sporki.com/player/?m=playerinfo&amp;p_no=13254" TargetMode="External"/><Relationship Id="rId17659" Type="http://schemas.openxmlformats.org/officeDocument/2006/relationships/hyperlink" Target="https://statiz.sporki.com/add/?m=draft_school01&amp;ps_school=50401" TargetMode="External"/><Relationship Id="rId365" Type="http://schemas.openxmlformats.org/officeDocument/2006/relationships/hyperlink" Target="https://statiz.sporki.com/add/?m=draft_school01&amp;ps_school=" TargetMode="External"/><Relationship Id="rId2046" Type="http://schemas.openxmlformats.org/officeDocument/2006/relationships/hyperlink" Target="https://statiz.sporki.com/add/?m=draft_school02&amp;ps_school=" TargetMode="External"/><Relationship Id="rId6667" Type="http://schemas.openxmlformats.org/officeDocument/2006/relationships/hyperlink" Target="https://statiz.sporki.com/player/?m=playerinfo&amp;p_no=10346" TargetMode="External"/><Relationship Id="rId7718" Type="http://schemas.openxmlformats.org/officeDocument/2006/relationships/hyperlink" Target="https://statiz.sporki.com/add/?m=draft_school01&amp;ps_school=" TargetMode="External"/><Relationship Id="rId19081" Type="http://schemas.openxmlformats.org/officeDocument/2006/relationships/hyperlink" Target="https://statiz.sporki.com/add/?m=draft_school01&amp;ps_school=50806" TargetMode="External"/><Relationship Id="rId5269" Type="http://schemas.openxmlformats.org/officeDocument/2006/relationships/hyperlink" Target="https://statiz.sporki.com/player/?m=playerinfo&amp;p_no=10702" TargetMode="External"/><Relationship Id="rId9140" Type="http://schemas.openxmlformats.org/officeDocument/2006/relationships/hyperlink" Target="https://statiz.sporki.com/add/?m=draft_school01&amp;ps_school=50116" TargetMode="External"/><Relationship Id="rId11070" Type="http://schemas.openxmlformats.org/officeDocument/2006/relationships/hyperlink" Target="https://statiz.sporki.com/add/?m=draft_school02&amp;ps_school=60101" TargetMode="External"/><Relationship Id="rId12121" Type="http://schemas.openxmlformats.org/officeDocument/2006/relationships/hyperlink" Target="https://statiz.sporki.com/player/?m=playerinfo&amp;p_no=1005" TargetMode="External"/><Relationship Id="rId15691" Type="http://schemas.openxmlformats.org/officeDocument/2006/relationships/hyperlink" Target="https://statiz.sporki.com/player/?m=playerinfo&amp;p_no=1482" TargetMode="External"/><Relationship Id="rId16742" Type="http://schemas.openxmlformats.org/officeDocument/2006/relationships/hyperlink" Target="https://statiz.sporki.com/add/?m=draft_school01&amp;ps_school=50701" TargetMode="External"/><Relationship Id="rId1879" Type="http://schemas.openxmlformats.org/officeDocument/2006/relationships/hyperlink" Target="https://statiz.sporki.com/player/?m=playerinfo&amp;p_no=11907" TargetMode="External"/><Relationship Id="rId5750" Type="http://schemas.openxmlformats.org/officeDocument/2006/relationships/hyperlink" Target="https://statiz.sporki.com/add/?m=draft_school01&amp;ps_school=50701" TargetMode="External"/><Relationship Id="rId6801" Type="http://schemas.openxmlformats.org/officeDocument/2006/relationships/hyperlink" Target="https://statiz.sporki.com/add/?m=draft_school02&amp;ps_school=60113" TargetMode="External"/><Relationship Id="rId14293" Type="http://schemas.openxmlformats.org/officeDocument/2006/relationships/hyperlink" Target="https://statiz.sporki.com/player/?m=playerinfo&amp;p_no=2406" TargetMode="External"/><Relationship Id="rId15344" Type="http://schemas.openxmlformats.org/officeDocument/2006/relationships/hyperlink" Target="https://statiz.sporki.com/player/?m=playerinfo&amp;p_no=1754" TargetMode="External"/><Relationship Id="rId4005" Type="http://schemas.openxmlformats.org/officeDocument/2006/relationships/hyperlink" Target="https://statiz.sporki.com/add/?m=draft_school02&amp;ps_school=60705" TargetMode="External"/><Relationship Id="rId4352" Type="http://schemas.openxmlformats.org/officeDocument/2006/relationships/hyperlink" Target="https://statiz.sporki.com/add/?m=draft_school01&amp;ps_school=" TargetMode="External"/><Relationship Id="rId5403" Type="http://schemas.openxmlformats.org/officeDocument/2006/relationships/hyperlink" Target="https://statiz.sporki.com/add/?m=draft_school02&amp;ps_school=" TargetMode="External"/><Relationship Id="rId8973" Type="http://schemas.openxmlformats.org/officeDocument/2006/relationships/hyperlink" Target="https://statiz.sporki.com/add/?m=draft_school02&amp;ps_school=60103" TargetMode="External"/><Relationship Id="rId11954" Type="http://schemas.openxmlformats.org/officeDocument/2006/relationships/hyperlink" Target="https://statiz.sporki.com/add/?m=draft_school01&amp;ps_school=50803" TargetMode="External"/><Relationship Id="rId18567" Type="http://schemas.openxmlformats.org/officeDocument/2006/relationships/hyperlink" Target="https://statiz.sporki.com/add/?m=draft_school01&amp;ps_school=50803" TargetMode="External"/><Relationship Id="rId19618" Type="http://schemas.openxmlformats.org/officeDocument/2006/relationships/hyperlink" Target="https://statiz.sporki.com/add/?m=draft_school01&amp;ps_school=50202" TargetMode="External"/><Relationship Id="rId7575" Type="http://schemas.openxmlformats.org/officeDocument/2006/relationships/hyperlink" Target="https://statiz.sporki.com/add/?m=draft_school02&amp;ps_school=60704" TargetMode="External"/><Relationship Id="rId8626" Type="http://schemas.openxmlformats.org/officeDocument/2006/relationships/hyperlink" Target="https://statiz.sporki.com/player/?m=playerinfo&amp;p_no=1989" TargetMode="External"/><Relationship Id="rId10556" Type="http://schemas.openxmlformats.org/officeDocument/2006/relationships/hyperlink" Target="https://statiz.sporki.com/add/?m=draft_school01&amp;ps_school=50402" TargetMode="External"/><Relationship Id="rId11607" Type="http://schemas.openxmlformats.org/officeDocument/2006/relationships/hyperlink" Target="https://statiz.sporki.com/add/?m=draft_school02&amp;ps_school=60803" TargetMode="External"/><Relationship Id="rId17169" Type="http://schemas.openxmlformats.org/officeDocument/2006/relationships/hyperlink" Target="https://statiz.sporki.com/add/?m=draft_school01&amp;ps_school=50802" TargetMode="External"/><Relationship Id="rId6177" Type="http://schemas.openxmlformats.org/officeDocument/2006/relationships/hyperlink" Target="https://statiz.sporki.com/add/?m=draft_school02&amp;ps_school=" TargetMode="External"/><Relationship Id="rId7228" Type="http://schemas.openxmlformats.org/officeDocument/2006/relationships/hyperlink" Target="https://statiz.sporki.com/player/?m=playerinfo&amp;p_no=10159" TargetMode="External"/><Relationship Id="rId10209" Type="http://schemas.openxmlformats.org/officeDocument/2006/relationships/hyperlink" Target="https://statiz.sporki.com/add/?m=draft_school02&amp;ps_school=" TargetMode="External"/><Relationship Id="rId2787" Type="http://schemas.openxmlformats.org/officeDocument/2006/relationships/hyperlink" Target="https://statiz.sporki.com/add/?m=draft_school02&amp;ps_school=" TargetMode="External"/><Relationship Id="rId3838" Type="http://schemas.openxmlformats.org/officeDocument/2006/relationships/hyperlink" Target="https://statiz.sporki.com/player/?m=playerinfo&amp;p_no=13057" TargetMode="External"/><Relationship Id="rId13779" Type="http://schemas.openxmlformats.org/officeDocument/2006/relationships/hyperlink" Target="https://statiz.sporki.com/player/?m=playerinfo&amp;p_no=10914" TargetMode="External"/><Relationship Id="rId16252" Type="http://schemas.openxmlformats.org/officeDocument/2006/relationships/hyperlink" Target="https://statiz.sporki.com/add/?m=draft_school01&amp;ps_school=50803" TargetMode="External"/><Relationship Id="rId17650" Type="http://schemas.openxmlformats.org/officeDocument/2006/relationships/hyperlink" Target="https://statiz.sporki.com/add/?m=draft_school01&amp;ps_school=50501" TargetMode="External"/><Relationship Id="rId18701" Type="http://schemas.openxmlformats.org/officeDocument/2006/relationships/hyperlink" Target="https://statiz.sporki.com/add/?m=draft_school01&amp;ps_school=50403" TargetMode="External"/><Relationship Id="rId759" Type="http://schemas.openxmlformats.org/officeDocument/2006/relationships/hyperlink" Target="https://statiz.sporki.com/add/?m=draft_school02&amp;ps_school=" TargetMode="External"/><Relationship Id="rId1389" Type="http://schemas.openxmlformats.org/officeDocument/2006/relationships/hyperlink" Target="https://statiz.sporki.com/add/?m=draft_school02&amp;ps_school=" TargetMode="External"/><Relationship Id="rId5260" Type="http://schemas.openxmlformats.org/officeDocument/2006/relationships/hyperlink" Target="https://statiz.sporki.com/player/?m=playerinfo&amp;p_no=10742" TargetMode="External"/><Relationship Id="rId6311" Type="http://schemas.openxmlformats.org/officeDocument/2006/relationships/hyperlink" Target="https://statiz.sporki.com/add/?m=draft_school01&amp;ps_school=50401" TargetMode="External"/><Relationship Id="rId17303" Type="http://schemas.openxmlformats.org/officeDocument/2006/relationships/hyperlink" Target="https://statiz.sporki.com/add/?m=draft_school01&amp;ps_school=50116" TargetMode="External"/><Relationship Id="rId8483" Type="http://schemas.openxmlformats.org/officeDocument/2006/relationships/hyperlink" Target="https://statiz.sporki.com/add/?m=draft_school01&amp;ps_school=50703" TargetMode="External"/><Relationship Id="rId9881" Type="http://schemas.openxmlformats.org/officeDocument/2006/relationships/hyperlink" Target="https://statiz.sporki.com/add/?m=draft_school01&amp;ps_school=" TargetMode="External"/><Relationship Id="rId12862" Type="http://schemas.openxmlformats.org/officeDocument/2006/relationships/hyperlink" Target="https://statiz.sporki.com/player/?m=playerinfo&amp;p_no=14169" TargetMode="External"/><Relationship Id="rId13913" Type="http://schemas.openxmlformats.org/officeDocument/2006/relationships/hyperlink" Target="https://statiz.sporki.com/player/?m=playerinfo&amp;p_no=10704" TargetMode="External"/><Relationship Id="rId19475" Type="http://schemas.openxmlformats.org/officeDocument/2006/relationships/hyperlink" Target="https://statiz.sporki.com/add/?m=draft_school01&amp;ps_school=50209" TargetMode="External"/><Relationship Id="rId95" Type="http://schemas.openxmlformats.org/officeDocument/2006/relationships/hyperlink" Target="https://statiz.sporki.com/add/?m=draft_school01&amp;ps_school=50807" TargetMode="External"/><Relationship Id="rId1870" Type="http://schemas.openxmlformats.org/officeDocument/2006/relationships/hyperlink" Target="https://statiz.sporki.com/player/?m=playerinfo&amp;p_no=14113" TargetMode="External"/><Relationship Id="rId2921" Type="http://schemas.openxmlformats.org/officeDocument/2006/relationships/hyperlink" Target="https://statiz.sporki.com/add/?m=draft_school01&amp;ps_school=50103" TargetMode="External"/><Relationship Id="rId7085" Type="http://schemas.openxmlformats.org/officeDocument/2006/relationships/hyperlink" Target="https://statiz.sporki.com/add/?m=draft_school01&amp;ps_school=" TargetMode="External"/><Relationship Id="rId8136" Type="http://schemas.openxmlformats.org/officeDocument/2006/relationships/hyperlink" Target="https://statiz.sporki.com/add/?m=draft_school02&amp;ps_school=60801" TargetMode="External"/><Relationship Id="rId9534" Type="http://schemas.openxmlformats.org/officeDocument/2006/relationships/hyperlink" Target="https://statiz.sporki.com/add/?m=draft_school02&amp;ps_school=60606" TargetMode="External"/><Relationship Id="rId11464" Type="http://schemas.openxmlformats.org/officeDocument/2006/relationships/hyperlink" Target="https://statiz.sporki.com/player/?m=playerinfo&amp;p_no=1200" TargetMode="External"/><Relationship Id="rId12515" Type="http://schemas.openxmlformats.org/officeDocument/2006/relationships/hyperlink" Target="https://statiz.sporki.com/player/?m=playerinfo&amp;p_no=14772" TargetMode="External"/><Relationship Id="rId18077" Type="http://schemas.openxmlformats.org/officeDocument/2006/relationships/hyperlink" Target="https://statiz.sporki.com/add/?m=draft_school01&amp;ps_school=50101" TargetMode="External"/><Relationship Id="rId19128" Type="http://schemas.openxmlformats.org/officeDocument/2006/relationships/hyperlink" Target="https://statiz.sporki.com/add/?m=draft_school01&amp;ps_school=50403" TargetMode="External"/><Relationship Id="rId1523" Type="http://schemas.openxmlformats.org/officeDocument/2006/relationships/hyperlink" Target="https://statiz.sporki.com/add/?m=draft_school01&amp;ps_school=50703" TargetMode="External"/><Relationship Id="rId10066" Type="http://schemas.openxmlformats.org/officeDocument/2006/relationships/hyperlink" Target="https://statiz.sporki.com/player/?m=playerinfo&amp;p_no=1620" TargetMode="External"/><Relationship Id="rId11117" Type="http://schemas.openxmlformats.org/officeDocument/2006/relationships/hyperlink" Target="https://statiz.sporki.com/add/?m=draft_school01&amp;ps_school=50402" TargetMode="External"/><Relationship Id="rId14687" Type="http://schemas.openxmlformats.org/officeDocument/2006/relationships/hyperlink" Target="https://statiz.sporki.com/player/?m=playerinfo&amp;p_no=2262" TargetMode="External"/><Relationship Id="rId15738" Type="http://schemas.openxmlformats.org/officeDocument/2006/relationships/hyperlink" Target="https://statiz.sporki.com/player/?m=playerinfo&amp;p_no=1403" TargetMode="External"/><Relationship Id="rId3695" Type="http://schemas.openxmlformats.org/officeDocument/2006/relationships/hyperlink" Target="https://statiz.sporki.com/add/?m=draft_school01&amp;ps_school=50202" TargetMode="External"/><Relationship Id="rId4746" Type="http://schemas.openxmlformats.org/officeDocument/2006/relationships/hyperlink" Target="https://statiz.sporki.com/add/?m=draft_school02&amp;ps_school=60503" TargetMode="External"/><Relationship Id="rId13289" Type="http://schemas.openxmlformats.org/officeDocument/2006/relationships/hyperlink" Target="https://statiz.sporki.com/player/?m=playerinfo&amp;p_no=12642" TargetMode="External"/><Relationship Id="rId17160" Type="http://schemas.openxmlformats.org/officeDocument/2006/relationships/hyperlink" Target="https://statiz.sporki.com/add/?m=draft_school01&amp;ps_school=50209" TargetMode="External"/><Relationship Id="rId18211" Type="http://schemas.openxmlformats.org/officeDocument/2006/relationships/hyperlink" Target="https://statiz.sporki.com/add/?m=draft_school01&amp;ps_school=50805" TargetMode="External"/><Relationship Id="rId2297" Type="http://schemas.openxmlformats.org/officeDocument/2006/relationships/hyperlink" Target="https://statiz.sporki.com/add/?m=draft_school01&amp;ps_school=50109" TargetMode="External"/><Relationship Id="rId3348" Type="http://schemas.openxmlformats.org/officeDocument/2006/relationships/hyperlink" Target="https://statiz.sporki.com/add/?m=draft_school02&amp;ps_school=60104" TargetMode="External"/><Relationship Id="rId7969" Type="http://schemas.openxmlformats.org/officeDocument/2006/relationships/hyperlink" Target="https://statiz.sporki.com/player/?m=playerinfo&amp;p_no=2141" TargetMode="External"/><Relationship Id="rId10200" Type="http://schemas.openxmlformats.org/officeDocument/2006/relationships/hyperlink" Target="https://statiz.sporki.com/add/?m=draft_school02&amp;ps_school=" TargetMode="External"/><Relationship Id="rId269" Type="http://schemas.openxmlformats.org/officeDocument/2006/relationships/hyperlink" Target="https://statiz.sporki.com/add/?m=draft_school01&amp;ps_school=50219" TargetMode="External"/><Relationship Id="rId9391" Type="http://schemas.openxmlformats.org/officeDocument/2006/relationships/hyperlink" Target="https://statiz.sporki.com/player/?m=playerinfo&amp;p_no=1863" TargetMode="External"/><Relationship Id="rId13770" Type="http://schemas.openxmlformats.org/officeDocument/2006/relationships/hyperlink" Target="https://statiz.sporki.com/player/?m=playerinfo&amp;p_no=10902" TargetMode="External"/><Relationship Id="rId14821" Type="http://schemas.openxmlformats.org/officeDocument/2006/relationships/hyperlink" Target="https://statiz.sporki.com/player/?m=playerinfo&amp;p_no=2100" TargetMode="External"/><Relationship Id="rId1380" Type="http://schemas.openxmlformats.org/officeDocument/2006/relationships/hyperlink" Target="https://statiz.sporki.com/add/?m=draft_school02&amp;ps_school=60902" TargetMode="External"/><Relationship Id="rId9044" Type="http://schemas.openxmlformats.org/officeDocument/2006/relationships/hyperlink" Target="https://statiz.sporki.com/add/?m=draft_school01&amp;ps_school=50109" TargetMode="External"/><Relationship Id="rId12372" Type="http://schemas.openxmlformats.org/officeDocument/2006/relationships/hyperlink" Target="https://statiz.sporki.com/player/?m=playerinfo&amp;p_no=15085" TargetMode="External"/><Relationship Id="rId13423" Type="http://schemas.openxmlformats.org/officeDocument/2006/relationships/hyperlink" Target="https://statiz.sporki.com/player/?m=playerinfo&amp;p_no=14686" TargetMode="External"/><Relationship Id="rId16993" Type="http://schemas.openxmlformats.org/officeDocument/2006/relationships/hyperlink" Target="https://statiz.sporki.com/add/?m=draft_school01&amp;ps_school=50211" TargetMode="External"/><Relationship Id="rId403" Type="http://schemas.openxmlformats.org/officeDocument/2006/relationships/hyperlink" Target="https://statiz.sporki.com/player/?m=playerinfo&amp;p_no=15737" TargetMode="External"/><Relationship Id="rId750" Type="http://schemas.openxmlformats.org/officeDocument/2006/relationships/hyperlink" Target="https://statiz.sporki.com/add/?m=draft_school02&amp;ps_school=" TargetMode="External"/><Relationship Id="rId1033" Type="http://schemas.openxmlformats.org/officeDocument/2006/relationships/hyperlink" Target="https://statiz.sporki.com/player/?m=playerinfo&amp;p_no=14797" TargetMode="External"/><Relationship Id="rId2431" Type="http://schemas.openxmlformats.org/officeDocument/2006/relationships/hyperlink" Target="https://statiz.sporki.com/player/?m=playerinfo&amp;p_no=13149" TargetMode="External"/><Relationship Id="rId12025" Type="http://schemas.openxmlformats.org/officeDocument/2006/relationships/hyperlink" Target="https://statiz.sporki.com/player/?m=playerinfo&amp;p_no=1043" TargetMode="External"/><Relationship Id="rId15595" Type="http://schemas.openxmlformats.org/officeDocument/2006/relationships/hyperlink" Target="https://statiz.sporki.com/player/?m=playerinfo&amp;p_no=1537" TargetMode="External"/><Relationship Id="rId16646" Type="http://schemas.openxmlformats.org/officeDocument/2006/relationships/hyperlink" Target="https://statiz.sporki.com/add/?m=draft_school01&amp;ps_school=50105" TargetMode="External"/><Relationship Id="rId5654" Type="http://schemas.openxmlformats.org/officeDocument/2006/relationships/hyperlink" Target="https://statiz.sporki.com/add/?m=draft_school01&amp;ps_school=" TargetMode="External"/><Relationship Id="rId6705" Type="http://schemas.openxmlformats.org/officeDocument/2006/relationships/hyperlink" Target="https://statiz.sporki.com/add/?m=draft_school02&amp;ps_school=60704" TargetMode="External"/><Relationship Id="rId14197" Type="http://schemas.openxmlformats.org/officeDocument/2006/relationships/hyperlink" Target="https://statiz.sporki.com/player/?m=playerinfo&amp;p_no=2422" TargetMode="External"/><Relationship Id="rId15248" Type="http://schemas.openxmlformats.org/officeDocument/2006/relationships/hyperlink" Target="https://statiz.sporki.com/player/?m=playerinfo&amp;p_no=1842" TargetMode="External"/><Relationship Id="rId4256" Type="http://schemas.openxmlformats.org/officeDocument/2006/relationships/hyperlink" Target="https://statiz.sporki.com/add/?m=draft_school01&amp;ps_school=50802" TargetMode="External"/><Relationship Id="rId5307" Type="http://schemas.openxmlformats.org/officeDocument/2006/relationships/hyperlink" Target="https://statiz.sporki.com/add/?m=draft_school02&amp;ps_school=" TargetMode="External"/><Relationship Id="rId8877" Type="http://schemas.openxmlformats.org/officeDocument/2006/relationships/hyperlink" Target="https://statiz.sporki.com/add/?m=draft_school02&amp;ps_school=60501" TargetMode="External"/><Relationship Id="rId9928" Type="http://schemas.openxmlformats.org/officeDocument/2006/relationships/hyperlink" Target="https://statiz.sporki.com/player/?m=playerinfo&amp;p_no=1647" TargetMode="External"/><Relationship Id="rId1917" Type="http://schemas.openxmlformats.org/officeDocument/2006/relationships/hyperlink" Target="https://statiz.sporki.com/add/?m=draft_school02&amp;ps_school=" TargetMode="External"/><Relationship Id="rId7479" Type="http://schemas.openxmlformats.org/officeDocument/2006/relationships/hyperlink" Target="https://statiz.sporki.com/add/?m=draft_school02&amp;ps_school=" TargetMode="External"/><Relationship Id="rId11858" Type="http://schemas.openxmlformats.org/officeDocument/2006/relationships/hyperlink" Target="https://statiz.sporki.com/add/?m=draft_school01&amp;ps_school=50401" TargetMode="External"/><Relationship Id="rId12909" Type="http://schemas.openxmlformats.org/officeDocument/2006/relationships/hyperlink" Target="https://statiz.sporki.com/player/?m=playerinfo&amp;p_no=13124" TargetMode="External"/><Relationship Id="rId13280" Type="http://schemas.openxmlformats.org/officeDocument/2006/relationships/hyperlink" Target="https://statiz.sporki.com/player/?m=playerinfo&amp;p_no=12587" TargetMode="External"/><Relationship Id="rId14331" Type="http://schemas.openxmlformats.org/officeDocument/2006/relationships/hyperlink" Target="https://statiz.sporki.com/player/?m=playerinfo&amp;p_no=10050" TargetMode="External"/><Relationship Id="rId18952" Type="http://schemas.openxmlformats.org/officeDocument/2006/relationships/hyperlink" Target="https://statiz.sporki.com/add/?m=draft_school01&amp;ps_school=50110" TargetMode="External"/><Relationship Id="rId260" Type="http://schemas.openxmlformats.org/officeDocument/2006/relationships/hyperlink" Target="https://statiz.sporki.com/add/?m=draft_school01&amp;ps_school=50109" TargetMode="External"/><Relationship Id="rId7960" Type="http://schemas.openxmlformats.org/officeDocument/2006/relationships/hyperlink" Target="https://statiz.sporki.com/player/?m=playerinfo&amp;p_no=2115" TargetMode="External"/><Relationship Id="rId10941" Type="http://schemas.openxmlformats.org/officeDocument/2006/relationships/hyperlink" Target="https://statiz.sporki.com/add/?m=draft_school02&amp;ps_school=" TargetMode="External"/><Relationship Id="rId17554" Type="http://schemas.openxmlformats.org/officeDocument/2006/relationships/hyperlink" Target="https://statiz.sporki.com/add/?m=draft_school01&amp;ps_school=50901" TargetMode="External"/><Relationship Id="rId18605" Type="http://schemas.openxmlformats.org/officeDocument/2006/relationships/hyperlink" Target="https://statiz.sporki.com/add/?m=draft_school01&amp;ps_school=50105" TargetMode="External"/><Relationship Id="rId5164" Type="http://schemas.openxmlformats.org/officeDocument/2006/relationships/hyperlink" Target="https://statiz.sporki.com/player/?m=playerinfo&amp;p_no=10680" TargetMode="External"/><Relationship Id="rId6215" Type="http://schemas.openxmlformats.org/officeDocument/2006/relationships/hyperlink" Target="https://statiz.sporki.com/add/?m=draft_school01&amp;ps_school=" TargetMode="External"/><Relationship Id="rId6562" Type="http://schemas.openxmlformats.org/officeDocument/2006/relationships/hyperlink" Target="https://statiz.sporki.com/player/?m=playerinfo&amp;p_no=2390" TargetMode="External"/><Relationship Id="rId7613" Type="http://schemas.openxmlformats.org/officeDocument/2006/relationships/hyperlink" Target="https://statiz.sporki.com/add/?m=draft_school01&amp;ps_school=50801" TargetMode="External"/><Relationship Id="rId16156" Type="http://schemas.openxmlformats.org/officeDocument/2006/relationships/hyperlink" Target="https://statiz.sporki.com/player/?m=playerinfo&amp;p_no=1022" TargetMode="External"/><Relationship Id="rId17207" Type="http://schemas.openxmlformats.org/officeDocument/2006/relationships/hyperlink" Target="https://statiz.sporki.com/add/?m=draft_school01&amp;ps_school=50401" TargetMode="External"/><Relationship Id="rId9785" Type="http://schemas.openxmlformats.org/officeDocument/2006/relationships/hyperlink" Target="https://statiz.sporki.com/add/?m=draft_school01&amp;ps_school=" TargetMode="External"/><Relationship Id="rId12766" Type="http://schemas.openxmlformats.org/officeDocument/2006/relationships/hyperlink" Target="https://statiz.sporki.com/player/?m=playerinfo&amp;p_no=14124" TargetMode="External"/><Relationship Id="rId13817" Type="http://schemas.openxmlformats.org/officeDocument/2006/relationships/hyperlink" Target="https://statiz.sporki.com/player/?m=playerinfo&amp;p_no=11144" TargetMode="External"/><Relationship Id="rId19379" Type="http://schemas.openxmlformats.org/officeDocument/2006/relationships/hyperlink" Target="https://statiz.sporki.com/add/?m=draft_school01&amp;ps_school=50403" TargetMode="External"/><Relationship Id="rId1774" Type="http://schemas.openxmlformats.org/officeDocument/2006/relationships/hyperlink" Target="https://statiz.sporki.com/player/?m=playerinfo&amp;p_no=14728" TargetMode="External"/><Relationship Id="rId2825" Type="http://schemas.openxmlformats.org/officeDocument/2006/relationships/hyperlink" Target="https://statiz.sporki.com/add/?m=draft_school01&amp;ps_school=50301" TargetMode="External"/><Relationship Id="rId8387" Type="http://schemas.openxmlformats.org/officeDocument/2006/relationships/hyperlink" Target="https://statiz.sporki.com/add/?m=draft_school01&amp;ps_school=50802" TargetMode="External"/><Relationship Id="rId9438" Type="http://schemas.openxmlformats.org/officeDocument/2006/relationships/hyperlink" Target="https://statiz.sporki.com/add/?m=draft_school02&amp;ps_school=" TargetMode="External"/><Relationship Id="rId11368" Type="http://schemas.openxmlformats.org/officeDocument/2006/relationships/hyperlink" Target="https://statiz.sporki.com/player/?m=playerinfo&amp;p_no=1243" TargetMode="External"/><Relationship Id="rId12419" Type="http://schemas.openxmlformats.org/officeDocument/2006/relationships/hyperlink" Target="https://statiz.sporki.com/player/?m=playerinfo&amp;p_no=15002" TargetMode="External"/><Relationship Id="rId1427" Type="http://schemas.openxmlformats.org/officeDocument/2006/relationships/hyperlink" Target="https://statiz.sporki.com/add/?m=draft_school01&amp;ps_school=50101" TargetMode="External"/><Relationship Id="rId4997" Type="http://schemas.openxmlformats.org/officeDocument/2006/relationships/hyperlink" Target="https://statiz.sporki.com/add/?m=draft_school01&amp;ps_school=50801" TargetMode="External"/><Relationship Id="rId15989" Type="http://schemas.openxmlformats.org/officeDocument/2006/relationships/hyperlink" Target="https://statiz.sporki.com/player/?m=playerinfo&amp;p_no=1185" TargetMode="External"/><Relationship Id="rId18462" Type="http://schemas.openxmlformats.org/officeDocument/2006/relationships/hyperlink" Target="https://statiz.sporki.com/add/?m=draft_school01&amp;ps_school=50812" TargetMode="External"/><Relationship Id="rId3599" Type="http://schemas.openxmlformats.org/officeDocument/2006/relationships/hyperlink" Target="https://statiz.sporki.com/add/?m=draft_school01&amp;ps_school=50403" TargetMode="External"/><Relationship Id="rId7470" Type="http://schemas.openxmlformats.org/officeDocument/2006/relationships/hyperlink" Target="https://statiz.sporki.com/add/?m=draft_school02&amp;ps_school=60108" TargetMode="External"/><Relationship Id="rId8521" Type="http://schemas.openxmlformats.org/officeDocument/2006/relationships/hyperlink" Target="https://statiz.sporki.com/player/?m=playerinfo&amp;p_no=2045" TargetMode="External"/><Relationship Id="rId12900" Type="http://schemas.openxmlformats.org/officeDocument/2006/relationships/hyperlink" Target="https://statiz.sporki.com/player/?m=playerinfo&amp;p_no=14202" TargetMode="External"/><Relationship Id="rId17064" Type="http://schemas.openxmlformats.org/officeDocument/2006/relationships/hyperlink" Target="https://statiz.sporki.com/add/?m=draft_school01&amp;ps_school=50402" TargetMode="External"/><Relationship Id="rId18115" Type="http://schemas.openxmlformats.org/officeDocument/2006/relationships/hyperlink" Target="https://statiz.sporki.com/add/?m=draft_school01&amp;ps_school=50902" TargetMode="External"/><Relationship Id="rId19513" Type="http://schemas.openxmlformats.org/officeDocument/2006/relationships/hyperlink" Target="https://statiz.sporki.com/add/?m=draft_school01&amp;ps_school=50807" TargetMode="External"/><Relationship Id="rId6072" Type="http://schemas.openxmlformats.org/officeDocument/2006/relationships/hyperlink" Target="https://statiz.sporki.com/add/?m=draft_school02&amp;ps_school=60501" TargetMode="External"/><Relationship Id="rId7123" Type="http://schemas.openxmlformats.org/officeDocument/2006/relationships/hyperlink" Target="https://statiz.sporki.com/player/?m=playerinfo&amp;p_no=10168" TargetMode="External"/><Relationship Id="rId10451" Type="http://schemas.openxmlformats.org/officeDocument/2006/relationships/hyperlink" Target="https://statiz.sporki.com/add/?m=draft_school01&amp;ps_school=50121" TargetMode="External"/><Relationship Id="rId11502" Type="http://schemas.openxmlformats.org/officeDocument/2006/relationships/hyperlink" Target="https://statiz.sporki.com/add/?m=draft_school02&amp;ps_school=60501" TargetMode="External"/><Relationship Id="rId9295" Type="http://schemas.openxmlformats.org/officeDocument/2006/relationships/hyperlink" Target="https://statiz.sporki.com/player/?m=playerinfo&amp;p_no=11281" TargetMode="External"/><Relationship Id="rId10104" Type="http://schemas.openxmlformats.org/officeDocument/2006/relationships/hyperlink" Target="https://statiz.sporki.com/add/?m=draft_school02&amp;ps_school=60104" TargetMode="External"/><Relationship Id="rId13674" Type="http://schemas.openxmlformats.org/officeDocument/2006/relationships/hyperlink" Target="https://statiz.sporki.com/player/?m=playerinfo&amp;p_no=11070" TargetMode="External"/><Relationship Id="rId14725" Type="http://schemas.openxmlformats.org/officeDocument/2006/relationships/hyperlink" Target="https://statiz.sporki.com/player/?m=playerinfo&amp;p_no=2189" TargetMode="External"/><Relationship Id="rId2682" Type="http://schemas.openxmlformats.org/officeDocument/2006/relationships/hyperlink" Target="https://statiz.sporki.com/add/?m=draft_school02&amp;ps_school=" TargetMode="External"/><Relationship Id="rId3733" Type="http://schemas.openxmlformats.org/officeDocument/2006/relationships/hyperlink" Target="https://statiz.sporki.com/player/?m=playerinfo&amp;p_no=11400" TargetMode="External"/><Relationship Id="rId12276" Type="http://schemas.openxmlformats.org/officeDocument/2006/relationships/hyperlink" Target="https://statiz.sporki.com/player/?m=playerinfo&amp;p_no=15737" TargetMode="External"/><Relationship Id="rId13327" Type="http://schemas.openxmlformats.org/officeDocument/2006/relationships/hyperlink" Target="https://statiz.sporki.com/player/?m=playerinfo&amp;p_no=13183" TargetMode="External"/><Relationship Id="rId16897" Type="http://schemas.openxmlformats.org/officeDocument/2006/relationships/hyperlink" Target="https://statiz.sporki.com/add/?m=draft_school01&amp;ps_school=50209" TargetMode="External"/><Relationship Id="rId17948" Type="http://schemas.openxmlformats.org/officeDocument/2006/relationships/hyperlink" Target="https://statiz.sporki.com/add/?m=draft_school01&amp;ps_school=50112" TargetMode="External"/><Relationship Id="rId654" Type="http://schemas.openxmlformats.org/officeDocument/2006/relationships/hyperlink" Target="https://statiz.sporki.com/add/?m=draft_school02&amp;ps_school=" TargetMode="External"/><Relationship Id="rId1284" Type="http://schemas.openxmlformats.org/officeDocument/2006/relationships/hyperlink" Target="https://statiz.sporki.com/add/?m=draft_school02&amp;ps_school=61115" TargetMode="External"/><Relationship Id="rId2335" Type="http://schemas.openxmlformats.org/officeDocument/2006/relationships/hyperlink" Target="https://statiz.sporki.com/player/?m=playerinfo&amp;p_no=13092" TargetMode="External"/><Relationship Id="rId6956" Type="http://schemas.openxmlformats.org/officeDocument/2006/relationships/hyperlink" Target="https://statiz.sporki.com/add/?m=draft_school01&amp;ps_school=50104" TargetMode="External"/><Relationship Id="rId15499" Type="http://schemas.openxmlformats.org/officeDocument/2006/relationships/hyperlink" Target="https://statiz.sporki.com/player/?m=playerinfo&amp;p_no=1587" TargetMode="External"/><Relationship Id="rId19370" Type="http://schemas.openxmlformats.org/officeDocument/2006/relationships/hyperlink" Target="https://statiz.sporki.com/add/?m=draft_school01&amp;ps_school=50803" TargetMode="External"/><Relationship Id="rId307" Type="http://schemas.openxmlformats.org/officeDocument/2006/relationships/hyperlink" Target="https://statiz.sporki.com/player/?m=playerinfo&amp;p_no=15471" TargetMode="External"/><Relationship Id="rId5558" Type="http://schemas.openxmlformats.org/officeDocument/2006/relationships/hyperlink" Target="https://statiz.sporki.com/add/?m=draft_school01&amp;ps_school=50114" TargetMode="External"/><Relationship Id="rId6609" Type="http://schemas.openxmlformats.org/officeDocument/2006/relationships/hyperlink" Target="https://statiz.sporki.com/add/?m=draft_school02&amp;ps_school=" TargetMode="External"/><Relationship Id="rId12410" Type="http://schemas.openxmlformats.org/officeDocument/2006/relationships/hyperlink" Target="https://statiz.sporki.com/player/?m=playerinfo&amp;p_no=15147" TargetMode="External"/><Relationship Id="rId19023" Type="http://schemas.openxmlformats.org/officeDocument/2006/relationships/hyperlink" Target="https://statiz.sporki.com/add/?m=draft_school01&amp;ps_school=50210" TargetMode="External"/><Relationship Id="rId8031" Type="http://schemas.openxmlformats.org/officeDocument/2006/relationships/hyperlink" Target="https://statiz.sporki.com/add/?m=draft_school02&amp;ps_school=60111" TargetMode="External"/><Relationship Id="rId11012" Type="http://schemas.openxmlformats.org/officeDocument/2006/relationships/hyperlink" Target="https://statiz.sporki.com/add/?m=draft_school01&amp;ps_school=50805" TargetMode="External"/><Relationship Id="rId15980" Type="http://schemas.openxmlformats.org/officeDocument/2006/relationships/hyperlink" Target="https://statiz.sporki.com/player/?m=playerinfo&amp;p_no=1197" TargetMode="External"/><Relationship Id="rId3590" Type="http://schemas.openxmlformats.org/officeDocument/2006/relationships/hyperlink" Target="https://statiz.sporki.com/add/?m=draft_school01&amp;ps_school=50105" TargetMode="External"/><Relationship Id="rId13184" Type="http://schemas.openxmlformats.org/officeDocument/2006/relationships/hyperlink" Target="https://statiz.sporki.com/player/?m=playerinfo&amp;p_no=13261" TargetMode="External"/><Relationship Id="rId14582" Type="http://schemas.openxmlformats.org/officeDocument/2006/relationships/hyperlink" Target="https://statiz.sporki.com/player/?m=playerinfo&amp;p_no=10090" TargetMode="External"/><Relationship Id="rId15633" Type="http://schemas.openxmlformats.org/officeDocument/2006/relationships/hyperlink" Target="https://statiz.sporki.com/player/?m=playerinfo&amp;p_no=1521" TargetMode="External"/><Relationship Id="rId2192" Type="http://schemas.openxmlformats.org/officeDocument/2006/relationships/hyperlink" Target="https://statiz.sporki.com/add/?m=draft_school01&amp;ps_school=" TargetMode="External"/><Relationship Id="rId3243" Type="http://schemas.openxmlformats.org/officeDocument/2006/relationships/hyperlink" Target="https://statiz.sporki.com/add/?m=draft_school02&amp;ps_school=" TargetMode="External"/><Relationship Id="rId4641" Type="http://schemas.openxmlformats.org/officeDocument/2006/relationships/hyperlink" Target="https://statiz.sporki.com/add/?m=draft_school02&amp;ps_school=60113" TargetMode="External"/><Relationship Id="rId14235" Type="http://schemas.openxmlformats.org/officeDocument/2006/relationships/hyperlink" Target="https://statiz.sporki.com/player/?m=playerinfo&amp;p_no=2431" TargetMode="External"/><Relationship Id="rId18856" Type="http://schemas.openxmlformats.org/officeDocument/2006/relationships/hyperlink" Target="https://statiz.sporki.com/add/?m=draft_school01&amp;ps_school=50804" TargetMode="External"/><Relationship Id="rId164" Type="http://schemas.openxmlformats.org/officeDocument/2006/relationships/hyperlink" Target="https://statiz.sporki.com/add/?m=draft_school01&amp;ps_school=50207" TargetMode="External"/><Relationship Id="rId7864" Type="http://schemas.openxmlformats.org/officeDocument/2006/relationships/hyperlink" Target="https://statiz.sporki.com/player/?m=playerinfo&amp;p_no=2304" TargetMode="External"/><Relationship Id="rId8915" Type="http://schemas.openxmlformats.org/officeDocument/2006/relationships/hyperlink" Target="https://statiz.sporki.com/add/?m=draft_school01&amp;ps_school=50806" TargetMode="External"/><Relationship Id="rId10845" Type="http://schemas.openxmlformats.org/officeDocument/2006/relationships/hyperlink" Target="https://statiz.sporki.com/add/?m=draft_school02&amp;ps_school=60803" TargetMode="External"/><Relationship Id="rId17458" Type="http://schemas.openxmlformats.org/officeDocument/2006/relationships/hyperlink" Target="https://statiz.sporki.com/add/?m=draft_school01&amp;ps_school=50201" TargetMode="External"/><Relationship Id="rId18509" Type="http://schemas.openxmlformats.org/officeDocument/2006/relationships/hyperlink" Target="https://statiz.sporki.com/add/?m=draft_school01&amp;ps_school=50110" TargetMode="External"/><Relationship Id="rId5068" Type="http://schemas.openxmlformats.org/officeDocument/2006/relationships/hyperlink" Target="https://statiz.sporki.com/player/?m=playerinfo&amp;p_no=10908" TargetMode="External"/><Relationship Id="rId6466" Type="http://schemas.openxmlformats.org/officeDocument/2006/relationships/hyperlink" Target="https://statiz.sporki.com/player/?m=playerinfo&amp;p_no=2410" TargetMode="External"/><Relationship Id="rId7517" Type="http://schemas.openxmlformats.org/officeDocument/2006/relationships/hyperlink" Target="https://statiz.sporki.com/add/?m=draft_school01&amp;ps_school=" TargetMode="External"/><Relationship Id="rId6119" Type="http://schemas.openxmlformats.org/officeDocument/2006/relationships/hyperlink" Target="https://statiz.sporki.com/add/?m=draft_school01&amp;ps_school=50109" TargetMode="External"/><Relationship Id="rId9689" Type="http://schemas.openxmlformats.org/officeDocument/2006/relationships/hyperlink" Target="https://statiz.sporki.com/add/?m=draft_school01&amp;ps_school=" TargetMode="External"/><Relationship Id="rId15490" Type="http://schemas.openxmlformats.org/officeDocument/2006/relationships/hyperlink" Target="https://statiz.sporki.com/player/?m=playerinfo&amp;p_no=1772" TargetMode="External"/><Relationship Id="rId16541" Type="http://schemas.openxmlformats.org/officeDocument/2006/relationships/hyperlink" Target="https://statiz.sporki.com/add/?m=draft_school01&amp;ps_school=50219" TargetMode="External"/><Relationship Id="rId1678" Type="http://schemas.openxmlformats.org/officeDocument/2006/relationships/hyperlink" Target="https://statiz.sporki.com/player/?m=playerinfo&amp;p_no=14710" TargetMode="External"/><Relationship Id="rId2729" Type="http://schemas.openxmlformats.org/officeDocument/2006/relationships/hyperlink" Target="https://statiz.sporki.com/add/?m=draft_school01&amp;ps_school=50111" TargetMode="External"/><Relationship Id="rId6600" Type="http://schemas.openxmlformats.org/officeDocument/2006/relationships/hyperlink" Target="https://statiz.sporki.com/add/?m=draft_school02&amp;ps_school=60108" TargetMode="External"/><Relationship Id="rId14092" Type="http://schemas.openxmlformats.org/officeDocument/2006/relationships/hyperlink" Target="https://statiz.sporki.com/player/?m=playerinfo&amp;p_no=10057" TargetMode="External"/><Relationship Id="rId15143" Type="http://schemas.openxmlformats.org/officeDocument/2006/relationships/hyperlink" Target="https://statiz.sporki.com/player/?m=playerinfo&amp;p_no=10531" TargetMode="External"/><Relationship Id="rId4151" Type="http://schemas.openxmlformats.org/officeDocument/2006/relationships/hyperlink" Target="https://statiz.sporki.com/add/?m=draft_school01&amp;ps_school=50301" TargetMode="External"/><Relationship Id="rId5202" Type="http://schemas.openxmlformats.org/officeDocument/2006/relationships/hyperlink" Target="https://statiz.sporki.com/add/?m=draft_school02&amp;ps_school=60109" TargetMode="External"/><Relationship Id="rId7374" Type="http://schemas.openxmlformats.org/officeDocument/2006/relationships/hyperlink" Target="https://statiz.sporki.com/add/?m=draft_school02&amp;ps_school=" TargetMode="External"/><Relationship Id="rId8425" Type="http://schemas.openxmlformats.org/officeDocument/2006/relationships/hyperlink" Target="https://statiz.sporki.com/player/?m=playerinfo&amp;p_no=2229" TargetMode="External"/><Relationship Id="rId8772" Type="http://schemas.openxmlformats.org/officeDocument/2006/relationships/hyperlink" Target="https://statiz.sporki.com/add/?m=draft_school02&amp;ps_school=60102" TargetMode="External"/><Relationship Id="rId9823" Type="http://schemas.openxmlformats.org/officeDocument/2006/relationships/hyperlink" Target="https://statiz.sporki.com/player/?m=playerinfo&amp;p_no=1658" TargetMode="External"/><Relationship Id="rId11753" Type="http://schemas.openxmlformats.org/officeDocument/2006/relationships/hyperlink" Target="https://statiz.sporki.com/add/?m=draft_school01&amp;ps_school=50102" TargetMode="External"/><Relationship Id="rId12804" Type="http://schemas.openxmlformats.org/officeDocument/2006/relationships/hyperlink" Target="https://statiz.sporki.com/player/?m=playerinfo&amp;p_no=14163" TargetMode="External"/><Relationship Id="rId18366" Type="http://schemas.openxmlformats.org/officeDocument/2006/relationships/hyperlink" Target="https://statiz.sporki.com/add/?m=draft_school01&amp;ps_school=50107" TargetMode="External"/><Relationship Id="rId19417" Type="http://schemas.openxmlformats.org/officeDocument/2006/relationships/hyperlink" Target="https://statiz.sporki.com/add/?m=draft_school01&amp;ps_school=50122" TargetMode="External"/><Relationship Id="rId37" Type="http://schemas.openxmlformats.org/officeDocument/2006/relationships/hyperlink" Target="https://statiz.sporki.com/player/?m=playerinfo&amp;p_no=15441" TargetMode="External"/><Relationship Id="rId1812" Type="http://schemas.openxmlformats.org/officeDocument/2006/relationships/hyperlink" Target="https://statiz.sporki.com/add/?m=draft_school02&amp;ps_school=60803" TargetMode="External"/><Relationship Id="rId7027" Type="http://schemas.openxmlformats.org/officeDocument/2006/relationships/hyperlink" Target="https://statiz.sporki.com/player/?m=playerinfo&amp;p_no=10306" TargetMode="External"/><Relationship Id="rId10355" Type="http://schemas.openxmlformats.org/officeDocument/2006/relationships/hyperlink" Target="https://statiz.sporki.com/add/?m=draft_school01&amp;ps_school=50815" TargetMode="External"/><Relationship Id="rId11406" Type="http://schemas.openxmlformats.org/officeDocument/2006/relationships/hyperlink" Target="https://statiz.sporki.com/add/?m=draft_school02&amp;ps_school=60103" TargetMode="External"/><Relationship Id="rId14976" Type="http://schemas.openxmlformats.org/officeDocument/2006/relationships/hyperlink" Target="https://statiz.sporki.com/player/?m=playerinfo&amp;p_no=10446" TargetMode="External"/><Relationship Id="rId18019" Type="http://schemas.openxmlformats.org/officeDocument/2006/relationships/hyperlink" Target="https://statiz.sporki.com/add/?m=draft_school01&amp;ps_school=50112" TargetMode="External"/><Relationship Id="rId3984" Type="http://schemas.openxmlformats.org/officeDocument/2006/relationships/hyperlink" Target="https://statiz.sporki.com/add/?m=draft_school02&amp;ps_school=" TargetMode="External"/><Relationship Id="rId9199" Type="http://schemas.openxmlformats.org/officeDocument/2006/relationships/hyperlink" Target="https://statiz.sporki.com/player/?m=playerinfo&amp;p_no=14993" TargetMode="External"/><Relationship Id="rId10008" Type="http://schemas.openxmlformats.org/officeDocument/2006/relationships/hyperlink" Target="https://statiz.sporki.com/add/?m=draft_school02&amp;ps_school=60109" TargetMode="External"/><Relationship Id="rId13578" Type="http://schemas.openxmlformats.org/officeDocument/2006/relationships/hyperlink" Target="https://statiz.sporki.com/player/?m=playerinfo&amp;p_no=11262" TargetMode="External"/><Relationship Id="rId14629" Type="http://schemas.openxmlformats.org/officeDocument/2006/relationships/hyperlink" Target="https://statiz.sporki.com/player/?m=playerinfo&amp;p_no=10555" TargetMode="External"/><Relationship Id="rId18500" Type="http://schemas.openxmlformats.org/officeDocument/2006/relationships/hyperlink" Target="https://statiz.sporki.com/add/?m=draft_school01&amp;ps_school=50502" TargetMode="External"/><Relationship Id="rId2586" Type="http://schemas.openxmlformats.org/officeDocument/2006/relationships/hyperlink" Target="https://statiz.sporki.com/add/?m=draft_school02&amp;ps_school=" TargetMode="External"/><Relationship Id="rId3637" Type="http://schemas.openxmlformats.org/officeDocument/2006/relationships/hyperlink" Target="https://statiz.sporki.com/player/?m=playerinfo&amp;p_no=11411" TargetMode="External"/><Relationship Id="rId16051" Type="http://schemas.openxmlformats.org/officeDocument/2006/relationships/hyperlink" Target="https://statiz.sporki.com/player/?m=playerinfo&amp;p_no=1141" TargetMode="External"/><Relationship Id="rId17102" Type="http://schemas.openxmlformats.org/officeDocument/2006/relationships/hyperlink" Target="https://statiz.sporki.com/add/?m=draft_school01&amp;ps_school=50114" TargetMode="External"/><Relationship Id="rId558" Type="http://schemas.openxmlformats.org/officeDocument/2006/relationships/hyperlink" Target="https://statiz.sporki.com/add/?m=draft_school02&amp;ps_school=60803" TargetMode="External"/><Relationship Id="rId1188" Type="http://schemas.openxmlformats.org/officeDocument/2006/relationships/hyperlink" Target="https://statiz.sporki.com/add/?m=draft_school02&amp;ps_school=" TargetMode="External"/><Relationship Id="rId2239" Type="http://schemas.openxmlformats.org/officeDocument/2006/relationships/hyperlink" Target="https://statiz.sporki.com/player/?m=playerinfo&amp;p_no=14230" TargetMode="External"/><Relationship Id="rId6110" Type="http://schemas.openxmlformats.org/officeDocument/2006/relationships/hyperlink" Target="https://statiz.sporki.com/add/?m=draft_school01&amp;ps_school=50601" TargetMode="External"/><Relationship Id="rId9680" Type="http://schemas.openxmlformats.org/officeDocument/2006/relationships/hyperlink" Target="https://statiz.sporki.com/add/?m=draft_school01&amp;ps_school=50202" TargetMode="External"/><Relationship Id="rId19274" Type="http://schemas.openxmlformats.org/officeDocument/2006/relationships/hyperlink" Target="https://statiz.sporki.com/add/?m=draft_school01&amp;ps_school=50103" TargetMode="External"/><Relationship Id="rId8282" Type="http://schemas.openxmlformats.org/officeDocument/2006/relationships/hyperlink" Target="https://statiz.sporki.com/add/?m=draft_school01&amp;ps_school=51100" TargetMode="External"/><Relationship Id="rId9333" Type="http://schemas.openxmlformats.org/officeDocument/2006/relationships/hyperlink" Target="https://statiz.sporki.com/add/?m=draft_school02&amp;ps_school=60203" TargetMode="External"/><Relationship Id="rId11263" Type="http://schemas.openxmlformats.org/officeDocument/2006/relationships/hyperlink" Target="https://statiz.sporki.com/player/?m=playerinfo&amp;p_no=1252" TargetMode="External"/><Relationship Id="rId12661" Type="http://schemas.openxmlformats.org/officeDocument/2006/relationships/hyperlink" Target="https://statiz.sporki.com/player/?m=playerinfo&amp;p_no=14714" TargetMode="External"/><Relationship Id="rId13712" Type="http://schemas.openxmlformats.org/officeDocument/2006/relationships/hyperlink" Target="https://statiz.sporki.com/player/?m=playerinfo&amp;p_no=12993" TargetMode="External"/><Relationship Id="rId1322" Type="http://schemas.openxmlformats.org/officeDocument/2006/relationships/hyperlink" Target="https://statiz.sporki.com/add/?m=draft_school01&amp;ps_school=" TargetMode="External"/><Relationship Id="rId2720" Type="http://schemas.openxmlformats.org/officeDocument/2006/relationships/hyperlink" Target="https://statiz.sporki.com/add/?m=draft_school01&amp;ps_school=50206" TargetMode="External"/><Relationship Id="rId12314" Type="http://schemas.openxmlformats.org/officeDocument/2006/relationships/hyperlink" Target="https://statiz.sporki.com/player/?m=playerinfo&amp;p_no=15024" TargetMode="External"/><Relationship Id="rId15884" Type="http://schemas.openxmlformats.org/officeDocument/2006/relationships/hyperlink" Target="https://statiz.sporki.com/player/?m=playerinfo&amp;p_no=1335" TargetMode="External"/><Relationship Id="rId16935" Type="http://schemas.openxmlformats.org/officeDocument/2006/relationships/hyperlink" Target="https://statiz.sporki.com/add/?m=draft_school01&amp;ps_school=50101" TargetMode="External"/><Relationship Id="rId4892" Type="http://schemas.openxmlformats.org/officeDocument/2006/relationships/hyperlink" Target="https://statiz.sporki.com/add/?m=draft_school01&amp;ps_school=50302" TargetMode="External"/><Relationship Id="rId5943" Type="http://schemas.openxmlformats.org/officeDocument/2006/relationships/hyperlink" Target="https://statiz.sporki.com/add/?m=draft_school02&amp;ps_school=" TargetMode="External"/><Relationship Id="rId14486" Type="http://schemas.openxmlformats.org/officeDocument/2006/relationships/hyperlink" Target="https://statiz.sporki.com/player/?m=playerinfo&amp;p_no=2324" TargetMode="External"/><Relationship Id="rId15537" Type="http://schemas.openxmlformats.org/officeDocument/2006/relationships/hyperlink" Target="https://statiz.sporki.com/player/?m=playerinfo&amp;p_no=1637" TargetMode="External"/><Relationship Id="rId2096" Type="http://schemas.openxmlformats.org/officeDocument/2006/relationships/hyperlink" Target="https://statiz.sporki.com/add/?m=draft_school01&amp;ps_school=50705" TargetMode="External"/><Relationship Id="rId3494" Type="http://schemas.openxmlformats.org/officeDocument/2006/relationships/hyperlink" Target="https://statiz.sporki.com/add/?m=draft_school01&amp;ps_school=" TargetMode="External"/><Relationship Id="rId4545" Type="http://schemas.openxmlformats.org/officeDocument/2006/relationships/hyperlink" Target="https://statiz.sporki.com/add/?m=draft_school02&amp;ps_school=" TargetMode="External"/><Relationship Id="rId13088" Type="http://schemas.openxmlformats.org/officeDocument/2006/relationships/hyperlink" Target="https://statiz.sporki.com/player/?m=playerinfo&amp;p_no=12900" TargetMode="External"/><Relationship Id="rId14139" Type="http://schemas.openxmlformats.org/officeDocument/2006/relationships/hyperlink" Target="https://statiz.sporki.com/player/?m=playerinfo&amp;p_no=11341" TargetMode="External"/><Relationship Id="rId18010" Type="http://schemas.openxmlformats.org/officeDocument/2006/relationships/hyperlink" Target="https://statiz.sporki.com/add/?m=draft_school01&amp;ps_school=50803" TargetMode="External"/><Relationship Id="rId3147" Type="http://schemas.openxmlformats.org/officeDocument/2006/relationships/hyperlink" Target="https://statiz.sporki.com/add/?m=draft_school02&amp;ps_school=60803" TargetMode="External"/><Relationship Id="rId7768" Type="http://schemas.openxmlformats.org/officeDocument/2006/relationships/hyperlink" Target="https://statiz.sporki.com/player/?m=playerinfo&amp;p_no=2195" TargetMode="External"/><Relationship Id="rId8819" Type="http://schemas.openxmlformats.org/officeDocument/2006/relationships/hyperlink" Target="https://statiz.sporki.com/add/?m=draft_school01&amp;ps_school=50706" TargetMode="External"/><Relationship Id="rId10749" Type="http://schemas.openxmlformats.org/officeDocument/2006/relationships/hyperlink" Target="https://statiz.sporki.com/add/?m=draft_school02&amp;ps_school=" TargetMode="External"/><Relationship Id="rId14620" Type="http://schemas.openxmlformats.org/officeDocument/2006/relationships/hyperlink" Target="https://statiz.sporki.com/player/?m=playerinfo&amp;p_no=11123" TargetMode="External"/><Relationship Id="rId9190" Type="http://schemas.openxmlformats.org/officeDocument/2006/relationships/hyperlink" Target="https://statiz.sporki.com/player/?m=playerinfo&amp;p_no=1998" TargetMode="External"/><Relationship Id="rId12171" Type="http://schemas.openxmlformats.org/officeDocument/2006/relationships/hyperlink" Target="https://statiz.sporki.com/player/?m=playerinfo&amp;p_no=15520" TargetMode="External"/><Relationship Id="rId13222" Type="http://schemas.openxmlformats.org/officeDocument/2006/relationships/hyperlink" Target="https://statiz.sporki.com/player/?m=playerinfo&amp;p_no=12574" TargetMode="External"/><Relationship Id="rId2230" Type="http://schemas.openxmlformats.org/officeDocument/2006/relationships/hyperlink" Target="https://statiz.sporki.com/player/?m=playerinfo&amp;p_no=13936" TargetMode="External"/><Relationship Id="rId15394" Type="http://schemas.openxmlformats.org/officeDocument/2006/relationships/hyperlink" Target="https://statiz.sporki.com/player/?m=playerinfo&amp;p_no=1778" TargetMode="External"/><Relationship Id="rId16792" Type="http://schemas.openxmlformats.org/officeDocument/2006/relationships/hyperlink" Target="https://statiz.sporki.com/add/?m=draft_school01&amp;ps_school=50701" TargetMode="External"/><Relationship Id="rId17843" Type="http://schemas.openxmlformats.org/officeDocument/2006/relationships/hyperlink" Target="https://statiz.sporki.com/add/?m=draft_school01&amp;ps_school=50101" TargetMode="External"/><Relationship Id="rId202" Type="http://schemas.openxmlformats.org/officeDocument/2006/relationships/hyperlink" Target="https://statiz.sporki.com/player/?m=playerinfo&amp;p_no=15503" TargetMode="External"/><Relationship Id="rId5453" Type="http://schemas.openxmlformats.org/officeDocument/2006/relationships/hyperlink" Target="https://statiz.sporki.com/add/?m=draft_school01&amp;ps_school=50208" TargetMode="External"/><Relationship Id="rId6504" Type="http://schemas.openxmlformats.org/officeDocument/2006/relationships/hyperlink" Target="https://statiz.sporki.com/add/?m=draft_school02&amp;ps_school=60101" TargetMode="External"/><Relationship Id="rId6851" Type="http://schemas.openxmlformats.org/officeDocument/2006/relationships/hyperlink" Target="https://statiz.sporki.com/add/?m=draft_school01&amp;ps_school=" TargetMode="External"/><Relationship Id="rId7902" Type="http://schemas.openxmlformats.org/officeDocument/2006/relationships/hyperlink" Target="https://statiz.sporki.com/add/?m=draft_school02&amp;ps_school=60602" TargetMode="External"/><Relationship Id="rId15047" Type="http://schemas.openxmlformats.org/officeDocument/2006/relationships/hyperlink" Target="https://statiz.sporki.com/player/?m=playerinfo&amp;p_no=1994" TargetMode="External"/><Relationship Id="rId16445" Type="http://schemas.openxmlformats.org/officeDocument/2006/relationships/hyperlink" Target="https://statiz.sporki.com/add/?m=draft_school01&amp;ps_school=50902" TargetMode="External"/><Relationship Id="rId4055" Type="http://schemas.openxmlformats.org/officeDocument/2006/relationships/hyperlink" Target="https://statiz.sporki.com/add/?m=draft_school01&amp;ps_school=50202" TargetMode="External"/><Relationship Id="rId5106" Type="http://schemas.openxmlformats.org/officeDocument/2006/relationships/hyperlink" Target="https://statiz.sporki.com/add/?m=draft_school02&amp;ps_school=" TargetMode="External"/><Relationship Id="rId19668" Type="http://schemas.openxmlformats.org/officeDocument/2006/relationships/hyperlink" Target="https://statiz.sporki.com/add/?m=draft_school01&amp;ps_school=50608" TargetMode="External"/><Relationship Id="rId7278" Type="http://schemas.openxmlformats.org/officeDocument/2006/relationships/hyperlink" Target="https://statiz.sporki.com/add/?m=draft_school02&amp;ps_school=" TargetMode="External"/><Relationship Id="rId8676" Type="http://schemas.openxmlformats.org/officeDocument/2006/relationships/hyperlink" Target="https://statiz.sporki.com/add/?m=draft_school02&amp;ps_school=60111" TargetMode="External"/><Relationship Id="rId9727" Type="http://schemas.openxmlformats.org/officeDocument/2006/relationships/hyperlink" Target="https://statiz.sporki.com/player/?m=playerinfo&amp;p_no=10543" TargetMode="External"/><Relationship Id="rId11657" Type="http://schemas.openxmlformats.org/officeDocument/2006/relationships/hyperlink" Target="https://statiz.sporki.com/add/?m=draft_school01&amp;ps_school=50711" TargetMode="External"/><Relationship Id="rId12708" Type="http://schemas.openxmlformats.org/officeDocument/2006/relationships/hyperlink" Target="https://statiz.sporki.com/player/?m=playerinfo&amp;p_no=14637" TargetMode="External"/><Relationship Id="rId1716" Type="http://schemas.openxmlformats.org/officeDocument/2006/relationships/hyperlink" Target="https://statiz.sporki.com/add/?m=draft_school02&amp;ps_school=61114" TargetMode="External"/><Relationship Id="rId8329" Type="http://schemas.openxmlformats.org/officeDocument/2006/relationships/hyperlink" Target="https://statiz.sporki.com/player/?m=playerinfo&amp;p_no=2059" TargetMode="External"/><Relationship Id="rId10259" Type="http://schemas.openxmlformats.org/officeDocument/2006/relationships/hyperlink" Target="https://statiz.sporki.com/add/?m=draft_school01&amp;ps_school=50604" TargetMode="External"/><Relationship Id="rId14130" Type="http://schemas.openxmlformats.org/officeDocument/2006/relationships/hyperlink" Target="https://statiz.sporki.com/player/?m=playerinfo&amp;p_no=10566" TargetMode="External"/><Relationship Id="rId18751" Type="http://schemas.openxmlformats.org/officeDocument/2006/relationships/hyperlink" Target="https://statiz.sporki.com/add/?m=draft_school01&amp;ps_school=50602" TargetMode="External"/><Relationship Id="rId3888" Type="http://schemas.openxmlformats.org/officeDocument/2006/relationships/hyperlink" Target="https://statiz.sporki.com/add/?m=draft_school02&amp;ps_school=" TargetMode="External"/><Relationship Id="rId4939" Type="http://schemas.openxmlformats.org/officeDocument/2006/relationships/hyperlink" Target="https://statiz.sporki.com/player/?m=playerinfo&amp;p_no=11163" TargetMode="External"/><Relationship Id="rId8810" Type="http://schemas.openxmlformats.org/officeDocument/2006/relationships/hyperlink" Target="https://statiz.sporki.com/add/?m=draft_school01&amp;ps_school=50703" TargetMode="External"/><Relationship Id="rId17353" Type="http://schemas.openxmlformats.org/officeDocument/2006/relationships/hyperlink" Target="https://statiz.sporki.com/add/?m=draft_school01&amp;ps_school=50802" TargetMode="External"/><Relationship Id="rId18404" Type="http://schemas.openxmlformats.org/officeDocument/2006/relationships/hyperlink" Target="https://statiz.sporki.com/add/?m=draft_school01&amp;ps_school=50105" TargetMode="External"/><Relationship Id="rId6361" Type="http://schemas.openxmlformats.org/officeDocument/2006/relationships/hyperlink" Target="https://statiz.sporki.com/player/?m=playerinfo&amp;p_no=10528" TargetMode="External"/><Relationship Id="rId7412" Type="http://schemas.openxmlformats.org/officeDocument/2006/relationships/hyperlink" Target="https://statiz.sporki.com/add/?m=draft_school01&amp;ps_school=50705" TargetMode="External"/><Relationship Id="rId10740" Type="http://schemas.openxmlformats.org/officeDocument/2006/relationships/hyperlink" Target="https://statiz.sporki.com/add/?m=draft_school02&amp;ps_school=" TargetMode="External"/><Relationship Id="rId17006" Type="http://schemas.openxmlformats.org/officeDocument/2006/relationships/hyperlink" Target="https://statiz.sporki.com/add/?m=draft_school01&amp;ps_school=50705" TargetMode="External"/><Relationship Id="rId6014" Type="http://schemas.openxmlformats.org/officeDocument/2006/relationships/hyperlink" Target="https://statiz.sporki.com/add/?m=draft_school01&amp;ps_school=50402" TargetMode="External"/><Relationship Id="rId9584" Type="http://schemas.openxmlformats.org/officeDocument/2006/relationships/hyperlink" Target="https://statiz.sporki.com/add/?m=draft_school01&amp;ps_school=50608" TargetMode="External"/><Relationship Id="rId13963" Type="http://schemas.openxmlformats.org/officeDocument/2006/relationships/hyperlink" Target="https://statiz.sporki.com/player/?m=playerinfo&amp;p_no=10726" TargetMode="External"/><Relationship Id="rId19178" Type="http://schemas.openxmlformats.org/officeDocument/2006/relationships/hyperlink" Target="https://statiz.sporki.com/add/?m=draft_school01&amp;ps_school=50701" TargetMode="External"/><Relationship Id="rId2971" Type="http://schemas.openxmlformats.org/officeDocument/2006/relationships/hyperlink" Target="https://statiz.sporki.com/player/?m=playerinfo&amp;p_no=12880" TargetMode="External"/><Relationship Id="rId8186" Type="http://schemas.openxmlformats.org/officeDocument/2006/relationships/hyperlink" Target="https://statiz.sporki.com/add/?m=draft_school01&amp;ps_school=50602" TargetMode="External"/><Relationship Id="rId9237" Type="http://schemas.openxmlformats.org/officeDocument/2006/relationships/hyperlink" Target="https://statiz.sporki.com/add/?m=draft_school02&amp;ps_school=" TargetMode="External"/><Relationship Id="rId12565" Type="http://schemas.openxmlformats.org/officeDocument/2006/relationships/hyperlink" Target="https://statiz.sporki.com/player/?m=playerinfo&amp;p_no=14840" TargetMode="External"/><Relationship Id="rId13616" Type="http://schemas.openxmlformats.org/officeDocument/2006/relationships/hyperlink" Target="https://statiz.sporki.com/player/?m=playerinfo&amp;p_no=11402" TargetMode="External"/><Relationship Id="rId943" Type="http://schemas.openxmlformats.org/officeDocument/2006/relationships/hyperlink" Target="https://statiz.sporki.com/player/?m=playerinfo&amp;p_no=15138" TargetMode="External"/><Relationship Id="rId1573" Type="http://schemas.openxmlformats.org/officeDocument/2006/relationships/hyperlink" Target="https://statiz.sporki.com/player/?m=playerinfo&amp;p_no=14586" TargetMode="External"/><Relationship Id="rId2624" Type="http://schemas.openxmlformats.org/officeDocument/2006/relationships/hyperlink" Target="https://statiz.sporki.com/add/?m=draft_school01&amp;ps_school=" TargetMode="External"/><Relationship Id="rId11167" Type="http://schemas.openxmlformats.org/officeDocument/2006/relationships/hyperlink" Target="https://statiz.sporki.com/player/?m=playerinfo&amp;p_no=1300" TargetMode="External"/><Relationship Id="rId12218" Type="http://schemas.openxmlformats.org/officeDocument/2006/relationships/hyperlink" Target="https://statiz.sporki.com/player/?m=playerinfo&amp;p_no=15492" TargetMode="External"/><Relationship Id="rId15788" Type="http://schemas.openxmlformats.org/officeDocument/2006/relationships/hyperlink" Target="https://statiz.sporki.com/player/?m=playerinfo&amp;p_no=1536" TargetMode="External"/><Relationship Id="rId16839" Type="http://schemas.openxmlformats.org/officeDocument/2006/relationships/hyperlink" Target="https://statiz.sporki.com/add/?m=draft_school01&amp;ps_school=50803" TargetMode="External"/><Relationship Id="rId1226" Type="http://schemas.openxmlformats.org/officeDocument/2006/relationships/hyperlink" Target="https://statiz.sporki.com/add/?m=draft_school01&amp;ps_school=50901" TargetMode="External"/><Relationship Id="rId4796" Type="http://schemas.openxmlformats.org/officeDocument/2006/relationships/hyperlink" Target="https://statiz.sporki.com/add/?m=draft_school01&amp;ps_school=50703" TargetMode="External"/><Relationship Id="rId5847" Type="http://schemas.openxmlformats.org/officeDocument/2006/relationships/hyperlink" Target="https://statiz.sporki.com/add/?m=draft_school02&amp;ps_school=60803" TargetMode="External"/><Relationship Id="rId18261" Type="http://schemas.openxmlformats.org/officeDocument/2006/relationships/hyperlink" Target="https://statiz.sporki.com/add/?m=draft_school01&amp;ps_school=50402" TargetMode="External"/><Relationship Id="rId19312" Type="http://schemas.openxmlformats.org/officeDocument/2006/relationships/hyperlink" Target="https://statiz.sporki.com/add/?m=draft_school01&amp;ps_school=50108" TargetMode="External"/><Relationship Id="rId3398" Type="http://schemas.openxmlformats.org/officeDocument/2006/relationships/hyperlink" Target="https://statiz.sporki.com/add/?m=draft_school01&amp;ps_school=50107" TargetMode="External"/><Relationship Id="rId4449" Type="http://schemas.openxmlformats.org/officeDocument/2006/relationships/hyperlink" Target="https://statiz.sporki.com/add/?m=draft_school02&amp;ps_school=" TargetMode="External"/><Relationship Id="rId8320" Type="http://schemas.openxmlformats.org/officeDocument/2006/relationships/hyperlink" Target="https://statiz.sporki.com/player/?m=playerinfo&amp;p_no=10117" TargetMode="External"/><Relationship Id="rId10250" Type="http://schemas.openxmlformats.org/officeDocument/2006/relationships/hyperlink" Target="https://statiz.sporki.com/add/?m=draft_school01&amp;ps_school=50203" TargetMode="External"/><Relationship Id="rId11301" Type="http://schemas.openxmlformats.org/officeDocument/2006/relationships/hyperlink" Target="https://statiz.sporki.com/add/?m=draft_school02&amp;ps_school=60803" TargetMode="External"/><Relationship Id="rId13473" Type="http://schemas.openxmlformats.org/officeDocument/2006/relationships/hyperlink" Target="https://statiz.sporki.com/player/?m=playerinfo&amp;p_no=12699" TargetMode="External"/><Relationship Id="rId14871" Type="http://schemas.openxmlformats.org/officeDocument/2006/relationships/hyperlink" Target="https://statiz.sporki.com/player/?m=playerinfo&amp;p_no=2318" TargetMode="External"/><Relationship Id="rId15922" Type="http://schemas.openxmlformats.org/officeDocument/2006/relationships/hyperlink" Target="https://statiz.sporki.com/player/?m=playerinfo&amp;p_no=1237" TargetMode="External"/><Relationship Id="rId2481" Type="http://schemas.openxmlformats.org/officeDocument/2006/relationships/hyperlink" Target="https://statiz.sporki.com/add/?m=draft_school02&amp;ps_school=60802" TargetMode="External"/><Relationship Id="rId3532" Type="http://schemas.openxmlformats.org/officeDocument/2006/relationships/hyperlink" Target="https://statiz.sporki.com/player/?m=playerinfo&amp;p_no=12666" TargetMode="External"/><Relationship Id="rId4930" Type="http://schemas.openxmlformats.org/officeDocument/2006/relationships/hyperlink" Target="https://statiz.sporki.com/player/?m=playerinfo&amp;p_no=10895" TargetMode="External"/><Relationship Id="rId9094" Type="http://schemas.openxmlformats.org/officeDocument/2006/relationships/hyperlink" Target="https://statiz.sporki.com/player/?m=playerinfo&amp;p_no=1903" TargetMode="External"/><Relationship Id="rId12075" Type="http://schemas.openxmlformats.org/officeDocument/2006/relationships/hyperlink" Target="https://statiz.sporki.com/add/?m=draft_school02&amp;ps_school=60102" TargetMode="External"/><Relationship Id="rId13126" Type="http://schemas.openxmlformats.org/officeDocument/2006/relationships/hyperlink" Target="https://statiz.sporki.com/player/?m=playerinfo&amp;p_no=12940" TargetMode="External"/><Relationship Id="rId14524" Type="http://schemas.openxmlformats.org/officeDocument/2006/relationships/hyperlink" Target="https://statiz.sporki.com/player/?m=playerinfo&amp;p_no=10490" TargetMode="External"/><Relationship Id="rId453" Type="http://schemas.openxmlformats.org/officeDocument/2006/relationships/hyperlink" Target="https://statiz.sporki.com/add/?m=draft_school02&amp;ps_school=60204" TargetMode="External"/><Relationship Id="rId1083" Type="http://schemas.openxmlformats.org/officeDocument/2006/relationships/hyperlink" Target="https://statiz.sporki.com/add/?m=draft_school02&amp;ps_school=60902" TargetMode="External"/><Relationship Id="rId2134" Type="http://schemas.openxmlformats.org/officeDocument/2006/relationships/hyperlink" Target="https://statiz.sporki.com/player/?m=playerinfo&amp;p_no=14168" TargetMode="External"/><Relationship Id="rId16696" Type="http://schemas.openxmlformats.org/officeDocument/2006/relationships/hyperlink" Target="https://statiz.sporki.com/add/?m=draft_school01&amp;ps_school=50209" TargetMode="External"/><Relationship Id="rId17747" Type="http://schemas.openxmlformats.org/officeDocument/2006/relationships/hyperlink" Target="https://statiz.sporki.com/add/?m=draft_school01&amp;ps_school=51100" TargetMode="External"/><Relationship Id="rId106" Type="http://schemas.openxmlformats.org/officeDocument/2006/relationships/hyperlink" Target="https://statiz.sporki.com/player/?m=playerinfo&amp;p_no=15476" TargetMode="External"/><Relationship Id="rId5357" Type="http://schemas.openxmlformats.org/officeDocument/2006/relationships/hyperlink" Target="https://statiz.sporki.com/add/?m=draft_school01&amp;ps_school=50602" TargetMode="External"/><Relationship Id="rId6755" Type="http://schemas.openxmlformats.org/officeDocument/2006/relationships/hyperlink" Target="https://statiz.sporki.com/add/?m=draft_school01&amp;ps_school=50102" TargetMode="External"/><Relationship Id="rId7806" Type="http://schemas.openxmlformats.org/officeDocument/2006/relationships/hyperlink" Target="https://statiz.sporki.com/add/?m=draft_school02&amp;ps_school=" TargetMode="External"/><Relationship Id="rId15298" Type="http://schemas.openxmlformats.org/officeDocument/2006/relationships/hyperlink" Target="https://statiz.sporki.com/player/?m=playerinfo&amp;p_no=1808" TargetMode="External"/><Relationship Id="rId16349" Type="http://schemas.openxmlformats.org/officeDocument/2006/relationships/hyperlink" Target="https://statiz.sporki.com/add/?m=draft_school01&amp;ps_school=50701" TargetMode="External"/><Relationship Id="rId6408" Type="http://schemas.openxmlformats.org/officeDocument/2006/relationships/hyperlink" Target="https://statiz.sporki.com/add/?m=draft_school02&amp;ps_school=" TargetMode="External"/><Relationship Id="rId9978" Type="http://schemas.openxmlformats.org/officeDocument/2006/relationships/hyperlink" Target="https://statiz.sporki.com/add/?m=draft_school02&amp;ps_school=" TargetMode="External"/><Relationship Id="rId12959" Type="http://schemas.openxmlformats.org/officeDocument/2006/relationships/hyperlink" Target="https://statiz.sporki.com/player/?m=playerinfo&amp;p_no=13129" TargetMode="External"/><Relationship Id="rId16830" Type="http://schemas.openxmlformats.org/officeDocument/2006/relationships/hyperlink" Target="https://statiz.sporki.com/add/?m=draft_school01&amp;ps_school=50803" TargetMode="External"/><Relationship Id="rId1967" Type="http://schemas.openxmlformats.org/officeDocument/2006/relationships/hyperlink" Target="https://statiz.sporki.com/add/?m=draft_school01&amp;ps_school=50604" TargetMode="External"/><Relationship Id="rId14381" Type="http://schemas.openxmlformats.org/officeDocument/2006/relationships/hyperlink" Target="https://statiz.sporki.com/player/?m=playerinfo&amp;p_no=10655" TargetMode="External"/><Relationship Id="rId15432" Type="http://schemas.openxmlformats.org/officeDocument/2006/relationships/hyperlink" Target="https://statiz.sporki.com/player/?m=playerinfo&amp;p_no=1654" TargetMode="External"/><Relationship Id="rId4440" Type="http://schemas.openxmlformats.org/officeDocument/2006/relationships/hyperlink" Target="https://statiz.sporki.com/add/?m=draft_school02&amp;ps_school=" TargetMode="External"/><Relationship Id="rId14034" Type="http://schemas.openxmlformats.org/officeDocument/2006/relationships/hyperlink" Target="https://statiz.sporki.com/player/?m=playerinfo&amp;p_no=10282" TargetMode="External"/><Relationship Id="rId3042" Type="http://schemas.openxmlformats.org/officeDocument/2006/relationships/hyperlink" Target="https://statiz.sporki.com/add/?m=draft_school02&amp;ps_school=" TargetMode="External"/><Relationship Id="rId7663" Type="http://schemas.openxmlformats.org/officeDocument/2006/relationships/hyperlink" Target="https://statiz.sporki.com/player/?m=playerinfo&amp;p_no=10406" TargetMode="External"/><Relationship Id="rId8714" Type="http://schemas.openxmlformats.org/officeDocument/2006/relationships/hyperlink" Target="https://statiz.sporki.com/add/?m=draft_school01&amp;ps_school=50502" TargetMode="External"/><Relationship Id="rId10991" Type="http://schemas.openxmlformats.org/officeDocument/2006/relationships/hyperlink" Target="https://statiz.sporki.com/add/?m=draft_school01&amp;ps_school=50701" TargetMode="External"/><Relationship Id="rId17257" Type="http://schemas.openxmlformats.org/officeDocument/2006/relationships/hyperlink" Target="https://statiz.sporki.com/add/?m=draft_school01&amp;ps_school=50403" TargetMode="External"/><Relationship Id="rId18655" Type="http://schemas.openxmlformats.org/officeDocument/2006/relationships/hyperlink" Target="https://statiz.sporki.com/add/?m=draft_school01&amp;ps_school=50114" TargetMode="External"/><Relationship Id="rId6265" Type="http://schemas.openxmlformats.org/officeDocument/2006/relationships/hyperlink" Target="https://statiz.sporki.com/player/?m=playerinfo&amp;p_no=10312" TargetMode="External"/><Relationship Id="rId7316" Type="http://schemas.openxmlformats.org/officeDocument/2006/relationships/hyperlink" Target="https://statiz.sporki.com/add/?m=draft_school01&amp;ps_school=50604" TargetMode="External"/><Relationship Id="rId10644" Type="http://schemas.openxmlformats.org/officeDocument/2006/relationships/hyperlink" Target="https://statiz.sporki.com/add/?m=draft_school02&amp;ps_school=60803" TargetMode="External"/><Relationship Id="rId18308" Type="http://schemas.openxmlformats.org/officeDocument/2006/relationships/hyperlink" Target="https://statiz.sporki.com/add/?m=draft_school01&amp;ps_school=50604" TargetMode="External"/><Relationship Id="rId9488" Type="http://schemas.openxmlformats.org/officeDocument/2006/relationships/hyperlink" Target="https://statiz.sporki.com/add/?m=draft_school01&amp;ps_school=50101" TargetMode="External"/><Relationship Id="rId13867" Type="http://schemas.openxmlformats.org/officeDocument/2006/relationships/hyperlink" Target="https://statiz.sporki.com/player/?m=playerinfo&amp;p_no=10696" TargetMode="External"/><Relationship Id="rId14918" Type="http://schemas.openxmlformats.org/officeDocument/2006/relationships/hyperlink" Target="https://statiz.sporki.com/player/?m=playerinfo&amp;p_no=2059" TargetMode="External"/><Relationship Id="rId2875" Type="http://schemas.openxmlformats.org/officeDocument/2006/relationships/hyperlink" Target="https://statiz.sporki.com/player/?m=playerinfo&amp;p_no=12856" TargetMode="External"/><Relationship Id="rId3926" Type="http://schemas.openxmlformats.org/officeDocument/2006/relationships/hyperlink" Target="https://statiz.sporki.com/add/?m=draft_school01&amp;ps_school=" TargetMode="External"/><Relationship Id="rId12469" Type="http://schemas.openxmlformats.org/officeDocument/2006/relationships/hyperlink" Target="https://statiz.sporki.com/player/?m=playerinfo&amp;p_no=14813" TargetMode="External"/><Relationship Id="rId16340" Type="http://schemas.openxmlformats.org/officeDocument/2006/relationships/hyperlink" Target="https://statiz.sporki.com/add/?m=draft_school01&amp;ps_school=50811" TargetMode="External"/><Relationship Id="rId847" Type="http://schemas.openxmlformats.org/officeDocument/2006/relationships/hyperlink" Target="https://statiz.sporki.com/player/?m=playerinfo&amp;p_no=15007" TargetMode="External"/><Relationship Id="rId1477" Type="http://schemas.openxmlformats.org/officeDocument/2006/relationships/hyperlink" Target="https://statiz.sporki.com/player/?m=playerinfo&amp;p_no=14590" TargetMode="External"/><Relationship Id="rId2528" Type="http://schemas.openxmlformats.org/officeDocument/2006/relationships/hyperlink" Target="https://statiz.sporki.com/add/?m=draft_school01&amp;ps_school=50103" TargetMode="External"/><Relationship Id="rId19563" Type="http://schemas.openxmlformats.org/officeDocument/2006/relationships/hyperlink" Target="https://statiz.sporki.com/add/?m=draft_school01&amp;ps_school=50113" TargetMode="External"/><Relationship Id="rId5001" Type="http://schemas.openxmlformats.org/officeDocument/2006/relationships/hyperlink" Target="https://statiz.sporki.com/add/?m=draft_school02&amp;ps_school=" TargetMode="External"/><Relationship Id="rId8571" Type="http://schemas.openxmlformats.org/officeDocument/2006/relationships/hyperlink" Target="https://statiz.sporki.com/add/?m=draft_school02&amp;ps_school=60103" TargetMode="External"/><Relationship Id="rId9622" Type="http://schemas.openxmlformats.org/officeDocument/2006/relationships/hyperlink" Target="https://statiz.sporki.com/player/?m=playerinfo&amp;p_no=1805" TargetMode="External"/><Relationship Id="rId11552" Type="http://schemas.openxmlformats.org/officeDocument/2006/relationships/hyperlink" Target="https://statiz.sporki.com/add/?m=draft_school01&amp;ps_school=50114" TargetMode="External"/><Relationship Id="rId12950" Type="http://schemas.openxmlformats.org/officeDocument/2006/relationships/hyperlink" Target="https://statiz.sporki.com/player/?m=playerinfo&amp;p_no=13095" TargetMode="External"/><Relationship Id="rId18165" Type="http://schemas.openxmlformats.org/officeDocument/2006/relationships/hyperlink" Target="https://statiz.sporki.com/add/?m=draft_school01&amp;ps_school=50703" TargetMode="External"/><Relationship Id="rId19216" Type="http://schemas.openxmlformats.org/officeDocument/2006/relationships/hyperlink" Target="https://statiz.sporki.com/add/?m=draft_school01&amp;ps_school=50701" TargetMode="External"/><Relationship Id="rId1611" Type="http://schemas.openxmlformats.org/officeDocument/2006/relationships/hyperlink" Target="https://statiz.sporki.com/add/?m=draft_school02&amp;ps_school=" TargetMode="External"/><Relationship Id="rId7173" Type="http://schemas.openxmlformats.org/officeDocument/2006/relationships/hyperlink" Target="https://statiz.sporki.com/add/?m=draft_school02&amp;ps_school=" TargetMode="External"/><Relationship Id="rId8224" Type="http://schemas.openxmlformats.org/officeDocument/2006/relationships/hyperlink" Target="https://statiz.sporki.com/player/?m=playerinfo&amp;p_no=2103" TargetMode="External"/><Relationship Id="rId10154" Type="http://schemas.openxmlformats.org/officeDocument/2006/relationships/hyperlink" Target="https://statiz.sporki.com/add/?m=draft_school01&amp;ps_school=50807" TargetMode="External"/><Relationship Id="rId11205" Type="http://schemas.openxmlformats.org/officeDocument/2006/relationships/hyperlink" Target="https://statiz.sporki.com/add/?m=draft_school02&amp;ps_school=60111" TargetMode="External"/><Relationship Id="rId12603" Type="http://schemas.openxmlformats.org/officeDocument/2006/relationships/hyperlink" Target="https://statiz.sporki.com/player/?m=playerinfo&amp;p_no=14600" TargetMode="External"/><Relationship Id="rId14775" Type="http://schemas.openxmlformats.org/officeDocument/2006/relationships/hyperlink" Target="https://statiz.sporki.com/player/?m=playerinfo&amp;p_no=10007" TargetMode="External"/><Relationship Id="rId15826" Type="http://schemas.openxmlformats.org/officeDocument/2006/relationships/hyperlink" Target="https://statiz.sporki.com/player/?m=playerinfo&amp;p_no=1360" TargetMode="External"/><Relationship Id="rId2385" Type="http://schemas.openxmlformats.org/officeDocument/2006/relationships/hyperlink" Target="https://statiz.sporki.com/add/?m=draft_school02&amp;ps_school=" TargetMode="External"/><Relationship Id="rId3783" Type="http://schemas.openxmlformats.org/officeDocument/2006/relationships/hyperlink" Target="https://statiz.sporki.com/add/?m=draft_school02&amp;ps_school=" TargetMode="External"/><Relationship Id="rId4834" Type="http://schemas.openxmlformats.org/officeDocument/2006/relationships/hyperlink" Target="https://statiz.sporki.com/player/?m=playerinfo&amp;p_no=10804" TargetMode="External"/><Relationship Id="rId13377" Type="http://schemas.openxmlformats.org/officeDocument/2006/relationships/hyperlink" Target="https://statiz.sporki.com/player/?m=playerinfo&amp;p_no=11412" TargetMode="External"/><Relationship Id="rId14428" Type="http://schemas.openxmlformats.org/officeDocument/2006/relationships/hyperlink" Target="https://statiz.sporki.com/player/?m=playerinfo&amp;p_no=2370" TargetMode="External"/><Relationship Id="rId17998" Type="http://schemas.openxmlformats.org/officeDocument/2006/relationships/hyperlink" Target="https://statiz.sporki.com/add/?m=draft_school01&amp;ps_school=50802" TargetMode="External"/><Relationship Id="rId357" Type="http://schemas.openxmlformats.org/officeDocument/2006/relationships/hyperlink" Target="https://statiz.sporki.com/add/?m=draft_school02&amp;ps_school=" TargetMode="External"/><Relationship Id="rId2038" Type="http://schemas.openxmlformats.org/officeDocument/2006/relationships/hyperlink" Target="https://statiz.sporki.com/player/?m=playerinfo&amp;p_no=14151" TargetMode="External"/><Relationship Id="rId3436" Type="http://schemas.openxmlformats.org/officeDocument/2006/relationships/hyperlink" Target="https://statiz.sporki.com/player/?m=playerinfo&amp;p_no=12610" TargetMode="External"/><Relationship Id="rId6659" Type="http://schemas.openxmlformats.org/officeDocument/2006/relationships/hyperlink" Target="https://statiz.sporki.com/add/?m=draft_school01&amp;ps_school=" TargetMode="External"/><Relationship Id="rId12460" Type="http://schemas.openxmlformats.org/officeDocument/2006/relationships/hyperlink" Target="https://statiz.sporki.com/player/?m=playerinfo&amp;p_no=15140" TargetMode="External"/><Relationship Id="rId13511" Type="http://schemas.openxmlformats.org/officeDocument/2006/relationships/hyperlink" Target="https://statiz.sporki.com/player/?m=playerinfo&amp;p_no=11232" TargetMode="External"/><Relationship Id="rId19073" Type="http://schemas.openxmlformats.org/officeDocument/2006/relationships/hyperlink" Target="https://statiz.sporki.com/add/?m=draft_school01&amp;ps_school=50502" TargetMode="External"/><Relationship Id="rId8081" Type="http://schemas.openxmlformats.org/officeDocument/2006/relationships/hyperlink" Target="https://statiz.sporki.com/add/?m=draft_school01&amp;ps_school=50110" TargetMode="External"/><Relationship Id="rId9132" Type="http://schemas.openxmlformats.org/officeDocument/2006/relationships/hyperlink" Target="https://statiz.sporki.com/add/?m=draft_school02&amp;ps_school=60203" TargetMode="External"/><Relationship Id="rId11062" Type="http://schemas.openxmlformats.org/officeDocument/2006/relationships/hyperlink" Target="https://statiz.sporki.com/player/?m=playerinfo&amp;p_no=13282" TargetMode="External"/><Relationship Id="rId12113" Type="http://schemas.openxmlformats.org/officeDocument/2006/relationships/hyperlink" Target="https://statiz.sporki.com/add/?m=draft_school01&amp;ps_school=50501" TargetMode="External"/><Relationship Id="rId15683" Type="http://schemas.openxmlformats.org/officeDocument/2006/relationships/hyperlink" Target="https://statiz.sporki.com/player/?m=playerinfo&amp;p_no=1442" TargetMode="External"/><Relationship Id="rId1121" Type="http://schemas.openxmlformats.org/officeDocument/2006/relationships/hyperlink" Target="https://statiz.sporki.com/add/?m=draft_school01&amp;ps_school=50102" TargetMode="External"/><Relationship Id="rId4691" Type="http://schemas.openxmlformats.org/officeDocument/2006/relationships/hyperlink" Target="https://statiz.sporki.com/add/?m=draft_school01&amp;ps_school=" TargetMode="External"/><Relationship Id="rId5742" Type="http://schemas.openxmlformats.org/officeDocument/2006/relationships/hyperlink" Target="https://statiz.sporki.com/add/?m=draft_school02&amp;ps_school=" TargetMode="External"/><Relationship Id="rId14285" Type="http://schemas.openxmlformats.org/officeDocument/2006/relationships/hyperlink" Target="https://statiz.sporki.com/player/?m=playerinfo&amp;p_no=10331" TargetMode="External"/><Relationship Id="rId15336" Type="http://schemas.openxmlformats.org/officeDocument/2006/relationships/hyperlink" Target="https://statiz.sporki.com/player/?m=playerinfo&amp;p_no=1763" TargetMode="External"/><Relationship Id="rId16734" Type="http://schemas.openxmlformats.org/officeDocument/2006/relationships/hyperlink" Target="https://statiz.sporki.com/add/?m=draft_school01&amp;ps_school=50601" TargetMode="External"/><Relationship Id="rId3293" Type="http://schemas.openxmlformats.org/officeDocument/2006/relationships/hyperlink" Target="https://statiz.sporki.com/add/?m=draft_school01&amp;ps_school=50601" TargetMode="External"/><Relationship Id="rId4344" Type="http://schemas.openxmlformats.org/officeDocument/2006/relationships/hyperlink" Target="https://statiz.sporki.com/add/?m=draft_school02&amp;ps_school=" TargetMode="External"/><Relationship Id="rId7567" Type="http://schemas.openxmlformats.org/officeDocument/2006/relationships/hyperlink" Target="https://statiz.sporki.com/player/?m=playerinfo&amp;p_no=10552" TargetMode="External"/><Relationship Id="rId8965" Type="http://schemas.openxmlformats.org/officeDocument/2006/relationships/hyperlink" Target="https://statiz.sporki.com/player/?m=playerinfo&amp;p_no=2154" TargetMode="External"/><Relationship Id="rId10895" Type="http://schemas.openxmlformats.org/officeDocument/2006/relationships/hyperlink" Target="https://statiz.sporki.com/add/?m=draft_school01&amp;ps_school=50602" TargetMode="External"/><Relationship Id="rId11946" Type="http://schemas.openxmlformats.org/officeDocument/2006/relationships/hyperlink" Target="https://statiz.sporki.com/add/?m=draft_school02&amp;ps_school=60101" TargetMode="External"/><Relationship Id="rId18559" Type="http://schemas.openxmlformats.org/officeDocument/2006/relationships/hyperlink" Target="https://statiz.sporki.com/add/?m=draft_school01&amp;ps_school=50111" TargetMode="External"/><Relationship Id="rId6169" Type="http://schemas.openxmlformats.org/officeDocument/2006/relationships/hyperlink" Target="https://statiz.sporki.com/player/?m=playerinfo&amp;p_no=2429" TargetMode="External"/><Relationship Id="rId8618" Type="http://schemas.openxmlformats.org/officeDocument/2006/relationships/hyperlink" Target="https://statiz.sporki.com/add/?m=draft_school01&amp;ps_school=50701" TargetMode="External"/><Relationship Id="rId10548" Type="http://schemas.openxmlformats.org/officeDocument/2006/relationships/hyperlink" Target="https://statiz.sporki.com/add/?m=draft_school02&amp;ps_school=60108" TargetMode="External"/><Relationship Id="rId13021" Type="http://schemas.openxmlformats.org/officeDocument/2006/relationships/hyperlink" Target="https://statiz.sporki.com/player/?m=playerinfo&amp;p_no=13286" TargetMode="External"/><Relationship Id="rId16591" Type="http://schemas.openxmlformats.org/officeDocument/2006/relationships/hyperlink" Target="https://statiz.sporki.com/add/?m=draft_school01&amp;ps_school=50302" TargetMode="External"/><Relationship Id="rId17642" Type="http://schemas.openxmlformats.org/officeDocument/2006/relationships/hyperlink" Target="https://statiz.sporki.com/add/?m=draft_school01&amp;ps_school=50202" TargetMode="External"/><Relationship Id="rId2779" Type="http://schemas.openxmlformats.org/officeDocument/2006/relationships/hyperlink" Target="https://statiz.sporki.com/player/?m=playerinfo&amp;p_no=12901" TargetMode="External"/><Relationship Id="rId6650" Type="http://schemas.openxmlformats.org/officeDocument/2006/relationships/hyperlink" Target="https://statiz.sporki.com/add/?m=draft_school01&amp;ps_school=" TargetMode="External"/><Relationship Id="rId7701" Type="http://schemas.openxmlformats.org/officeDocument/2006/relationships/hyperlink" Target="https://statiz.sporki.com/add/?m=draft_school02&amp;ps_school=60113" TargetMode="External"/><Relationship Id="rId15193" Type="http://schemas.openxmlformats.org/officeDocument/2006/relationships/hyperlink" Target="https://statiz.sporki.com/player/?m=playerinfo&amp;p_no=1910" TargetMode="External"/><Relationship Id="rId16244" Type="http://schemas.openxmlformats.org/officeDocument/2006/relationships/hyperlink" Target="https://statiz.sporki.com/add/?m=draft_school01&amp;ps_school=50114" TargetMode="External"/><Relationship Id="rId5252" Type="http://schemas.openxmlformats.org/officeDocument/2006/relationships/hyperlink" Target="https://statiz.sporki.com/add/?m=draft_school01&amp;ps_school=50602" TargetMode="External"/><Relationship Id="rId6303" Type="http://schemas.openxmlformats.org/officeDocument/2006/relationships/hyperlink" Target="https://statiz.sporki.com/add/?m=draft_school02&amp;ps_school=60204" TargetMode="External"/><Relationship Id="rId9873" Type="http://schemas.openxmlformats.org/officeDocument/2006/relationships/hyperlink" Target="https://statiz.sporki.com/add/?m=draft_school02&amp;ps_school=60114" TargetMode="External"/><Relationship Id="rId19467" Type="http://schemas.openxmlformats.org/officeDocument/2006/relationships/hyperlink" Target="https://statiz.sporki.com/add/?m=draft_school01&amp;ps_school=50112" TargetMode="External"/><Relationship Id="rId87" Type="http://schemas.openxmlformats.org/officeDocument/2006/relationships/hyperlink" Target="https://statiz.sporki.com/add/?m=draft_school02&amp;ps_school=" TargetMode="External"/><Relationship Id="rId8475" Type="http://schemas.openxmlformats.org/officeDocument/2006/relationships/hyperlink" Target="https://statiz.sporki.com/add/?m=draft_school02&amp;ps_school=" TargetMode="External"/><Relationship Id="rId9526" Type="http://schemas.openxmlformats.org/officeDocument/2006/relationships/hyperlink" Target="https://statiz.sporki.com/player/?m=playerinfo&amp;p_no=1891" TargetMode="External"/><Relationship Id="rId12854" Type="http://schemas.openxmlformats.org/officeDocument/2006/relationships/hyperlink" Target="https://statiz.sporki.com/player/?m=playerinfo&amp;p_no=14122" TargetMode="External"/><Relationship Id="rId13905" Type="http://schemas.openxmlformats.org/officeDocument/2006/relationships/hyperlink" Target="https://statiz.sporki.com/player/?m=playerinfo&amp;p_no=10769" TargetMode="External"/><Relationship Id="rId18069" Type="http://schemas.openxmlformats.org/officeDocument/2006/relationships/hyperlink" Target="https://statiz.sporki.com/add/?m=draft_school01&amp;ps_school=50110" TargetMode="External"/><Relationship Id="rId1862" Type="http://schemas.openxmlformats.org/officeDocument/2006/relationships/hyperlink" Target="https://statiz.sporki.com/add/?m=draft_school01&amp;ps_school=50101" TargetMode="External"/><Relationship Id="rId2913" Type="http://schemas.openxmlformats.org/officeDocument/2006/relationships/hyperlink" Target="https://statiz.sporki.com/add/?m=draft_school02&amp;ps_school=" TargetMode="External"/><Relationship Id="rId7077" Type="http://schemas.openxmlformats.org/officeDocument/2006/relationships/hyperlink" Target="https://statiz.sporki.com/add/?m=draft_school02&amp;ps_school=" TargetMode="External"/><Relationship Id="rId8128" Type="http://schemas.openxmlformats.org/officeDocument/2006/relationships/hyperlink" Target="https://statiz.sporki.com/player/?m=playerinfo&amp;p_no=10372" TargetMode="External"/><Relationship Id="rId10058" Type="http://schemas.openxmlformats.org/officeDocument/2006/relationships/hyperlink" Target="https://statiz.sporki.com/add/?m=draft_school01&amp;ps_school=50209" TargetMode="External"/><Relationship Id="rId11456" Type="http://schemas.openxmlformats.org/officeDocument/2006/relationships/hyperlink" Target="https://statiz.sporki.com/add/?m=draft_school01&amp;ps_school=50805" TargetMode="External"/><Relationship Id="rId12507" Type="http://schemas.openxmlformats.org/officeDocument/2006/relationships/hyperlink" Target="https://statiz.sporki.com/player/?m=playerinfo&amp;p_no=14802" TargetMode="External"/><Relationship Id="rId1515" Type="http://schemas.openxmlformats.org/officeDocument/2006/relationships/hyperlink" Target="https://statiz.sporki.com/add/?m=draft_school02&amp;ps_school=" TargetMode="External"/><Relationship Id="rId11109" Type="http://schemas.openxmlformats.org/officeDocument/2006/relationships/hyperlink" Target="https://statiz.sporki.com/add/?m=draft_school02&amp;ps_school=60109" TargetMode="External"/><Relationship Id="rId14679" Type="http://schemas.openxmlformats.org/officeDocument/2006/relationships/hyperlink" Target="https://statiz.sporki.com/player/?m=playerinfo&amp;p_no=11398" TargetMode="External"/><Relationship Id="rId18550" Type="http://schemas.openxmlformats.org/officeDocument/2006/relationships/hyperlink" Target="https://statiz.sporki.com/add/?m=draft_school01&amp;ps_school=50807" TargetMode="External"/><Relationship Id="rId19601" Type="http://schemas.openxmlformats.org/officeDocument/2006/relationships/hyperlink" Target="https://statiz.sporki.com/add/?m=draft_school01&amp;ps_school=50805" TargetMode="External"/><Relationship Id="rId3687" Type="http://schemas.openxmlformats.org/officeDocument/2006/relationships/hyperlink" Target="https://statiz.sporki.com/add/?m=draft_school02&amp;ps_school=" TargetMode="External"/><Relationship Id="rId4738" Type="http://schemas.openxmlformats.org/officeDocument/2006/relationships/hyperlink" Target="https://statiz.sporki.com/player/?m=playerinfo&amp;p_no=13185" TargetMode="External"/><Relationship Id="rId17152" Type="http://schemas.openxmlformats.org/officeDocument/2006/relationships/hyperlink" Target="https://statiz.sporki.com/add/?m=draft_school01&amp;ps_school=50109" TargetMode="External"/><Relationship Id="rId18203" Type="http://schemas.openxmlformats.org/officeDocument/2006/relationships/hyperlink" Target="https://statiz.sporki.com/add/?m=draft_school01&amp;ps_school=50601" TargetMode="External"/><Relationship Id="rId2289" Type="http://schemas.openxmlformats.org/officeDocument/2006/relationships/hyperlink" Target="https://statiz.sporki.com/add/?m=draft_school02&amp;ps_school=60102" TargetMode="External"/><Relationship Id="rId6160" Type="http://schemas.openxmlformats.org/officeDocument/2006/relationships/hyperlink" Target="https://statiz.sporki.com/player/?m=playerinfo&amp;p_no=10205" TargetMode="External"/><Relationship Id="rId7211" Type="http://schemas.openxmlformats.org/officeDocument/2006/relationships/hyperlink" Target="https://statiz.sporki.com/add/?m=draft_school01&amp;ps_school=50802" TargetMode="External"/><Relationship Id="rId13762" Type="http://schemas.openxmlformats.org/officeDocument/2006/relationships/hyperlink" Target="https://statiz.sporki.com/player/?m=playerinfo&amp;p_no=10866" TargetMode="External"/><Relationship Id="rId2770" Type="http://schemas.openxmlformats.org/officeDocument/2006/relationships/hyperlink" Target="https://statiz.sporki.com/player/?m=playerinfo&amp;p_no=12865" TargetMode="External"/><Relationship Id="rId3821" Type="http://schemas.openxmlformats.org/officeDocument/2006/relationships/hyperlink" Target="https://statiz.sporki.com/add/?m=draft_school01&amp;ps_school=50207" TargetMode="External"/><Relationship Id="rId9383" Type="http://schemas.openxmlformats.org/officeDocument/2006/relationships/hyperlink" Target="https://statiz.sporki.com/add/?m=draft_school01&amp;ps_school=50802" TargetMode="External"/><Relationship Id="rId12364" Type="http://schemas.openxmlformats.org/officeDocument/2006/relationships/hyperlink" Target="https://statiz.sporki.com/player/?m=playerinfo&amp;p_no=15029" TargetMode="External"/><Relationship Id="rId13415" Type="http://schemas.openxmlformats.org/officeDocument/2006/relationships/hyperlink" Target="https://statiz.sporki.com/player/?m=playerinfo&amp;p_no=11300" TargetMode="External"/><Relationship Id="rId14813" Type="http://schemas.openxmlformats.org/officeDocument/2006/relationships/hyperlink" Target="https://statiz.sporki.com/player/?m=playerinfo&amp;p_no=2125" TargetMode="External"/><Relationship Id="rId742" Type="http://schemas.openxmlformats.org/officeDocument/2006/relationships/hyperlink" Target="https://statiz.sporki.com/player/?m=playerinfo&amp;p_no=15020" TargetMode="External"/><Relationship Id="rId1372" Type="http://schemas.openxmlformats.org/officeDocument/2006/relationships/hyperlink" Target="https://statiz.sporki.com/player/?m=playerinfo&amp;p_no=14880" TargetMode="External"/><Relationship Id="rId2423" Type="http://schemas.openxmlformats.org/officeDocument/2006/relationships/hyperlink" Target="https://statiz.sporki.com/add/?m=draft_school01&amp;ps_school=50111" TargetMode="External"/><Relationship Id="rId9036" Type="http://schemas.openxmlformats.org/officeDocument/2006/relationships/hyperlink" Target="https://statiz.sporki.com/add/?m=draft_school02&amp;ps_school=60705" TargetMode="External"/><Relationship Id="rId12017" Type="http://schemas.openxmlformats.org/officeDocument/2006/relationships/hyperlink" Target="https://statiz.sporki.com/add/?m=draft_school01&amp;ps_school=50701" TargetMode="External"/><Relationship Id="rId16985" Type="http://schemas.openxmlformats.org/officeDocument/2006/relationships/hyperlink" Target="https://statiz.sporki.com/add/?m=draft_school01&amp;ps_school=50206" TargetMode="External"/><Relationship Id="rId1025" Type="http://schemas.openxmlformats.org/officeDocument/2006/relationships/hyperlink" Target="https://statiz.sporki.com/add/?m=draft_school01&amp;ps_school=50117" TargetMode="External"/><Relationship Id="rId4595" Type="http://schemas.openxmlformats.org/officeDocument/2006/relationships/hyperlink" Target="https://statiz.sporki.com/add/?m=draft_school01&amp;ps_school=50403" TargetMode="External"/><Relationship Id="rId5646" Type="http://schemas.openxmlformats.org/officeDocument/2006/relationships/hyperlink" Target="https://statiz.sporki.com/add/?m=draft_school02&amp;ps_school=60301" TargetMode="External"/><Relationship Id="rId5993" Type="http://schemas.openxmlformats.org/officeDocument/2006/relationships/hyperlink" Target="https://statiz.sporki.com/add/?m=draft_school01&amp;ps_school=50202" TargetMode="External"/><Relationship Id="rId14189" Type="http://schemas.openxmlformats.org/officeDocument/2006/relationships/hyperlink" Target="https://statiz.sporki.com/player/?m=playerinfo&amp;p_no=10342" TargetMode="External"/><Relationship Id="rId15587" Type="http://schemas.openxmlformats.org/officeDocument/2006/relationships/hyperlink" Target="https://statiz.sporki.com/player/?m=playerinfo&amp;p_no=1641" TargetMode="External"/><Relationship Id="rId16638" Type="http://schemas.openxmlformats.org/officeDocument/2006/relationships/hyperlink" Target="https://statiz.sporki.com/add/?m=draft_school01&amp;ps_school=50807" TargetMode="External"/><Relationship Id="rId18060" Type="http://schemas.openxmlformats.org/officeDocument/2006/relationships/hyperlink" Target="https://statiz.sporki.com/add/?m=draft_school01&amp;ps_school=50104" TargetMode="External"/><Relationship Id="rId3197" Type="http://schemas.openxmlformats.org/officeDocument/2006/relationships/hyperlink" Target="https://statiz.sporki.com/add/?m=draft_school01&amp;ps_school=50901" TargetMode="External"/><Relationship Id="rId4248" Type="http://schemas.openxmlformats.org/officeDocument/2006/relationships/hyperlink" Target="https://statiz.sporki.com/add/?m=draft_school02&amp;ps_school=60101" TargetMode="External"/><Relationship Id="rId19111" Type="http://schemas.openxmlformats.org/officeDocument/2006/relationships/hyperlink" Target="https://statiz.sporki.com/add/?m=draft_school01&amp;ps_school=50203" TargetMode="External"/><Relationship Id="rId8869" Type="http://schemas.openxmlformats.org/officeDocument/2006/relationships/hyperlink" Target="https://statiz.sporki.com/player/?m=playerinfo&amp;p_no=1948" TargetMode="External"/><Relationship Id="rId10799" Type="http://schemas.openxmlformats.org/officeDocument/2006/relationships/hyperlink" Target="https://statiz.sporki.com/add/?m=draft_school01&amp;ps_school=50706" TargetMode="External"/><Relationship Id="rId11100" Type="http://schemas.openxmlformats.org/officeDocument/2006/relationships/hyperlink" Target="https://statiz.sporki.com/add/?m=draft_school02&amp;ps_school=60101" TargetMode="External"/><Relationship Id="rId14670" Type="http://schemas.openxmlformats.org/officeDocument/2006/relationships/hyperlink" Target="https://statiz.sporki.com/player/?m=playerinfo&amp;p_no=2263" TargetMode="External"/><Relationship Id="rId15721" Type="http://schemas.openxmlformats.org/officeDocument/2006/relationships/hyperlink" Target="https://statiz.sporki.com/player/?m=playerinfo&amp;p_no=1458" TargetMode="External"/><Relationship Id="rId1909" Type="http://schemas.openxmlformats.org/officeDocument/2006/relationships/hyperlink" Target="https://statiz.sporki.com/player/?m=playerinfo&amp;p_no=14107" TargetMode="External"/><Relationship Id="rId13272" Type="http://schemas.openxmlformats.org/officeDocument/2006/relationships/hyperlink" Target="https://statiz.sporki.com/player/?m=playerinfo&amp;p_no=12559" TargetMode="External"/><Relationship Id="rId14323" Type="http://schemas.openxmlformats.org/officeDocument/2006/relationships/hyperlink" Target="https://statiz.sporki.com/player/?m=playerinfo&amp;p_no=10716" TargetMode="External"/><Relationship Id="rId17893" Type="http://schemas.openxmlformats.org/officeDocument/2006/relationships/hyperlink" Target="https://statiz.sporki.com/add/?m=draft_school01&amp;ps_school=50601" TargetMode="External"/><Relationship Id="rId2280" Type="http://schemas.openxmlformats.org/officeDocument/2006/relationships/hyperlink" Target="https://statiz.sporki.com/add/?m=draft_school02&amp;ps_school=60902" TargetMode="External"/><Relationship Id="rId3331" Type="http://schemas.openxmlformats.org/officeDocument/2006/relationships/hyperlink" Target="https://statiz.sporki.com/player/?m=playerinfo&amp;p_no=12578" TargetMode="External"/><Relationship Id="rId7952" Type="http://schemas.openxmlformats.org/officeDocument/2006/relationships/hyperlink" Target="https://statiz.sporki.com/add/?m=draft_school01&amp;ps_school=50602" TargetMode="External"/><Relationship Id="rId16495" Type="http://schemas.openxmlformats.org/officeDocument/2006/relationships/hyperlink" Target="https://statiz.sporki.com/add/?m=draft_school01&amp;ps_school=50501" TargetMode="External"/><Relationship Id="rId17546" Type="http://schemas.openxmlformats.org/officeDocument/2006/relationships/hyperlink" Target="https://statiz.sporki.com/add/?m=draft_school01&amp;ps_school=50111" TargetMode="External"/><Relationship Id="rId18944" Type="http://schemas.openxmlformats.org/officeDocument/2006/relationships/hyperlink" Target="https://statiz.sporki.com/add/?m=draft_school01&amp;ps_school=50107" TargetMode="External"/><Relationship Id="rId252" Type="http://schemas.openxmlformats.org/officeDocument/2006/relationships/hyperlink" Target="https://statiz.sporki.com/add/?m=draft_school02&amp;ps_school=" TargetMode="External"/><Relationship Id="rId6554" Type="http://schemas.openxmlformats.org/officeDocument/2006/relationships/hyperlink" Target="https://statiz.sporki.com/add/?m=draft_school01&amp;ps_school=50104" TargetMode="External"/><Relationship Id="rId7605" Type="http://schemas.openxmlformats.org/officeDocument/2006/relationships/hyperlink" Target="https://statiz.sporki.com/add/?m=draft_school02&amp;ps_school=" TargetMode="External"/><Relationship Id="rId10933" Type="http://schemas.openxmlformats.org/officeDocument/2006/relationships/hyperlink" Target="https://statiz.sporki.com/player/?m=playerinfo&amp;p_no=13921" TargetMode="External"/><Relationship Id="rId15097" Type="http://schemas.openxmlformats.org/officeDocument/2006/relationships/hyperlink" Target="https://statiz.sporki.com/player/?m=playerinfo&amp;p_no=10574" TargetMode="External"/><Relationship Id="rId16148" Type="http://schemas.openxmlformats.org/officeDocument/2006/relationships/hyperlink" Target="https://statiz.sporki.com/player/?m=playerinfo&amp;p_no=1052" TargetMode="External"/><Relationship Id="rId5156" Type="http://schemas.openxmlformats.org/officeDocument/2006/relationships/hyperlink" Target="https://statiz.sporki.com/add/?m=draft_school01&amp;ps_school=50116" TargetMode="External"/><Relationship Id="rId6207" Type="http://schemas.openxmlformats.org/officeDocument/2006/relationships/hyperlink" Target="https://statiz.sporki.com/add/?m=draft_school02&amp;ps_school=" TargetMode="External"/><Relationship Id="rId9777" Type="http://schemas.openxmlformats.org/officeDocument/2006/relationships/hyperlink" Target="https://statiz.sporki.com/add/?m=draft_school02&amp;ps_school=60705" TargetMode="External"/><Relationship Id="rId8379" Type="http://schemas.openxmlformats.org/officeDocument/2006/relationships/hyperlink" Target="https://statiz.sporki.com/add/?m=draft_school02&amp;ps_school=60204" TargetMode="External"/><Relationship Id="rId12758" Type="http://schemas.openxmlformats.org/officeDocument/2006/relationships/hyperlink" Target="https://statiz.sporki.com/player/?m=playerinfo&amp;p_no=14106" TargetMode="External"/><Relationship Id="rId13809" Type="http://schemas.openxmlformats.org/officeDocument/2006/relationships/hyperlink" Target="https://statiz.sporki.com/player/?m=playerinfo&amp;p_no=10915" TargetMode="External"/><Relationship Id="rId1766" Type="http://schemas.openxmlformats.org/officeDocument/2006/relationships/hyperlink" Target="https://statiz.sporki.com/add/?m=draft_school01&amp;ps_school=" TargetMode="External"/><Relationship Id="rId2817" Type="http://schemas.openxmlformats.org/officeDocument/2006/relationships/hyperlink" Target="https://statiz.sporki.com/add/?m=draft_school02&amp;ps_school=" TargetMode="External"/><Relationship Id="rId14180" Type="http://schemas.openxmlformats.org/officeDocument/2006/relationships/hyperlink" Target="https://statiz.sporki.com/player/?m=playerinfo&amp;p_no=10417" TargetMode="External"/><Relationship Id="rId15231" Type="http://schemas.openxmlformats.org/officeDocument/2006/relationships/hyperlink" Target="https://statiz.sporki.com/player/?m=playerinfo&amp;p_no=10881" TargetMode="External"/><Relationship Id="rId1419" Type="http://schemas.openxmlformats.org/officeDocument/2006/relationships/hyperlink" Target="https://statiz.sporki.com/add/?m=draft_school02&amp;ps_school=" TargetMode="External"/><Relationship Id="rId4989" Type="http://schemas.openxmlformats.org/officeDocument/2006/relationships/hyperlink" Target="https://statiz.sporki.com/add/?m=draft_school02&amp;ps_school=60102" TargetMode="External"/><Relationship Id="rId8860" Type="http://schemas.openxmlformats.org/officeDocument/2006/relationships/hyperlink" Target="https://statiz.sporki.com/player/?m=playerinfo&amp;p_no=1949" TargetMode="External"/><Relationship Id="rId9911" Type="http://schemas.openxmlformats.org/officeDocument/2006/relationships/hyperlink" Target="https://statiz.sporki.com/add/?m=draft_school01&amp;ps_school=50115" TargetMode="External"/><Relationship Id="rId10790" Type="http://schemas.openxmlformats.org/officeDocument/2006/relationships/hyperlink" Target="https://statiz.sporki.com/add/?m=draft_school01&amp;ps_school=50804" TargetMode="External"/><Relationship Id="rId11841" Type="http://schemas.openxmlformats.org/officeDocument/2006/relationships/hyperlink" Target="https://statiz.sporki.com/add/?m=draft_school02&amp;ps_school=" TargetMode="External"/><Relationship Id="rId18454" Type="http://schemas.openxmlformats.org/officeDocument/2006/relationships/hyperlink" Target="https://statiz.sporki.com/add/?m=draft_school01&amp;ps_school=50403" TargetMode="External"/><Relationship Id="rId19505" Type="http://schemas.openxmlformats.org/officeDocument/2006/relationships/hyperlink" Target="https://statiz.sporki.com/add/?m=draft_school01&amp;ps_school=50109" TargetMode="External"/><Relationship Id="rId1900" Type="http://schemas.openxmlformats.org/officeDocument/2006/relationships/hyperlink" Target="https://statiz.sporki.com/player/?m=playerinfo&amp;p_no=14114" TargetMode="External"/><Relationship Id="rId7462" Type="http://schemas.openxmlformats.org/officeDocument/2006/relationships/hyperlink" Target="https://statiz.sporki.com/player/?m=playerinfo&amp;p_no=10555" TargetMode="External"/><Relationship Id="rId8513" Type="http://schemas.openxmlformats.org/officeDocument/2006/relationships/hyperlink" Target="https://statiz.sporki.com/add/?m=draft_school01&amp;ps_school=50402" TargetMode="External"/><Relationship Id="rId10443" Type="http://schemas.openxmlformats.org/officeDocument/2006/relationships/hyperlink" Target="https://statiz.sporki.com/add/?m=draft_school02&amp;ps_school=" TargetMode="External"/><Relationship Id="rId17056" Type="http://schemas.openxmlformats.org/officeDocument/2006/relationships/hyperlink" Target="https://statiz.sporki.com/add/?m=draft_school01&amp;ps_school=50110" TargetMode="External"/><Relationship Id="rId18107" Type="http://schemas.openxmlformats.org/officeDocument/2006/relationships/hyperlink" Target="https://statiz.sporki.com/add/?m=draft_school01&amp;ps_school=50208" TargetMode="External"/><Relationship Id="rId6064" Type="http://schemas.openxmlformats.org/officeDocument/2006/relationships/hyperlink" Target="https://statiz.sporki.com/player/?m=playerinfo&amp;p_no=10544" TargetMode="External"/><Relationship Id="rId7115" Type="http://schemas.openxmlformats.org/officeDocument/2006/relationships/hyperlink" Target="https://statiz.sporki.com/add/?m=draft_school01&amp;ps_school=50202" TargetMode="External"/><Relationship Id="rId993" Type="http://schemas.openxmlformats.org/officeDocument/2006/relationships/hyperlink" Target="https://statiz.sporki.com/add/?m=draft_school02&amp;ps_school=" TargetMode="External"/><Relationship Id="rId2674" Type="http://schemas.openxmlformats.org/officeDocument/2006/relationships/hyperlink" Target="https://statiz.sporki.com/player/?m=playerinfo&amp;p_no=13228" TargetMode="External"/><Relationship Id="rId9287" Type="http://schemas.openxmlformats.org/officeDocument/2006/relationships/hyperlink" Target="https://statiz.sporki.com/add/?m=draft_school01&amp;ps_school=50401" TargetMode="External"/><Relationship Id="rId12268" Type="http://schemas.openxmlformats.org/officeDocument/2006/relationships/hyperlink" Target="https://statiz.sporki.com/player/?m=playerinfo&amp;p_no=15652" TargetMode="External"/><Relationship Id="rId13666" Type="http://schemas.openxmlformats.org/officeDocument/2006/relationships/hyperlink" Target="https://statiz.sporki.com/player/?m=playerinfo&amp;p_no=11122" TargetMode="External"/><Relationship Id="rId14717" Type="http://schemas.openxmlformats.org/officeDocument/2006/relationships/hyperlink" Target="https://statiz.sporki.com/player/?m=playerinfo&amp;p_no=2209" TargetMode="External"/><Relationship Id="rId646" Type="http://schemas.openxmlformats.org/officeDocument/2006/relationships/hyperlink" Target="https://statiz.sporki.com/player/?m=playerinfo&amp;p_no=15039" TargetMode="External"/><Relationship Id="rId1276" Type="http://schemas.openxmlformats.org/officeDocument/2006/relationships/hyperlink" Target="https://statiz.sporki.com/player/?m=playerinfo&amp;p_no=14868" TargetMode="External"/><Relationship Id="rId2327" Type="http://schemas.openxmlformats.org/officeDocument/2006/relationships/hyperlink" Target="https://statiz.sporki.com/add/?m=draft_school01&amp;ps_school=50111" TargetMode="External"/><Relationship Id="rId3725" Type="http://schemas.openxmlformats.org/officeDocument/2006/relationships/hyperlink" Target="https://statiz.sporki.com/add/?m=draft_school01&amp;ps_school=50111" TargetMode="External"/><Relationship Id="rId13319" Type="http://schemas.openxmlformats.org/officeDocument/2006/relationships/hyperlink" Target="https://statiz.sporki.com/player/?m=playerinfo&amp;p_no=12666" TargetMode="External"/><Relationship Id="rId16889" Type="http://schemas.openxmlformats.org/officeDocument/2006/relationships/hyperlink" Target="https://statiz.sporki.com/add/?m=draft_school01&amp;ps_school=50807" TargetMode="External"/><Relationship Id="rId5897" Type="http://schemas.openxmlformats.org/officeDocument/2006/relationships/hyperlink" Target="https://statiz.sporki.com/add/?m=draft_school01&amp;ps_school=50601" TargetMode="External"/><Relationship Id="rId6948" Type="http://schemas.openxmlformats.org/officeDocument/2006/relationships/hyperlink" Target="https://statiz.sporki.com/add/?m=draft_school02&amp;ps_school=60203" TargetMode="External"/><Relationship Id="rId13800" Type="http://schemas.openxmlformats.org/officeDocument/2006/relationships/hyperlink" Target="https://statiz.sporki.com/player/?m=playerinfo&amp;p_no=10836" TargetMode="External"/><Relationship Id="rId19362" Type="http://schemas.openxmlformats.org/officeDocument/2006/relationships/hyperlink" Target="https://statiz.sporki.com/add/?m=draft_school01&amp;ps_school=50109" TargetMode="External"/><Relationship Id="rId4499" Type="http://schemas.openxmlformats.org/officeDocument/2006/relationships/hyperlink" Target="https://statiz.sporki.com/add/?m=draft_school01&amp;ps_school=50103" TargetMode="External"/><Relationship Id="rId8370" Type="http://schemas.openxmlformats.org/officeDocument/2006/relationships/hyperlink" Target="https://statiz.sporki.com/add/?m=draft_school02&amp;ps_school=60103" TargetMode="External"/><Relationship Id="rId9421" Type="http://schemas.openxmlformats.org/officeDocument/2006/relationships/hyperlink" Target="https://statiz.sporki.com/player/?m=playerinfo&amp;p_no=1784" TargetMode="External"/><Relationship Id="rId11351" Type="http://schemas.openxmlformats.org/officeDocument/2006/relationships/hyperlink" Target="https://statiz.sporki.com/add/?m=draft_school01&amp;ps_school=50608" TargetMode="External"/><Relationship Id="rId12402" Type="http://schemas.openxmlformats.org/officeDocument/2006/relationships/hyperlink" Target="https://statiz.sporki.com/player/?m=playerinfo&amp;p_no=15088" TargetMode="External"/><Relationship Id="rId15972" Type="http://schemas.openxmlformats.org/officeDocument/2006/relationships/hyperlink" Target="https://statiz.sporki.com/player/?m=playerinfo&amp;p_no=1222" TargetMode="External"/><Relationship Id="rId19015" Type="http://schemas.openxmlformats.org/officeDocument/2006/relationships/hyperlink" Target="https://statiz.sporki.com/add/?m=draft_school01&amp;ps_school=50703" TargetMode="External"/><Relationship Id="rId1410" Type="http://schemas.openxmlformats.org/officeDocument/2006/relationships/hyperlink" Target="https://statiz.sporki.com/add/?m=draft_school02&amp;ps_school=" TargetMode="External"/><Relationship Id="rId4980" Type="http://schemas.openxmlformats.org/officeDocument/2006/relationships/hyperlink" Target="https://statiz.sporki.com/add/?m=draft_school02&amp;ps_school=" TargetMode="External"/><Relationship Id="rId8023" Type="http://schemas.openxmlformats.org/officeDocument/2006/relationships/hyperlink" Target="https://statiz.sporki.com/player/?m=playerinfo&amp;p_no=2186" TargetMode="External"/><Relationship Id="rId11004" Type="http://schemas.openxmlformats.org/officeDocument/2006/relationships/hyperlink" Target="https://statiz.sporki.com/add/?m=draft_school02&amp;ps_school=60104" TargetMode="External"/><Relationship Id="rId14574" Type="http://schemas.openxmlformats.org/officeDocument/2006/relationships/hyperlink" Target="https://statiz.sporki.com/player/?m=playerinfo&amp;p_no=10177" TargetMode="External"/><Relationship Id="rId15625" Type="http://schemas.openxmlformats.org/officeDocument/2006/relationships/hyperlink" Target="https://statiz.sporki.com/player/?m=playerinfo&amp;p_no=1551" TargetMode="External"/><Relationship Id="rId3582" Type="http://schemas.openxmlformats.org/officeDocument/2006/relationships/hyperlink" Target="https://statiz.sporki.com/add/?m=draft_school02&amp;ps_school=" TargetMode="External"/><Relationship Id="rId4633" Type="http://schemas.openxmlformats.org/officeDocument/2006/relationships/hyperlink" Target="https://statiz.sporki.com/player/?m=playerinfo&amp;p_no=13238" TargetMode="External"/><Relationship Id="rId13176" Type="http://schemas.openxmlformats.org/officeDocument/2006/relationships/hyperlink" Target="https://statiz.sporki.com/player/?m=playerinfo&amp;p_no=12961" TargetMode="External"/><Relationship Id="rId14227" Type="http://schemas.openxmlformats.org/officeDocument/2006/relationships/hyperlink" Target="https://statiz.sporki.com/player/?m=playerinfo&amp;p_no=10170" TargetMode="External"/><Relationship Id="rId2184" Type="http://schemas.openxmlformats.org/officeDocument/2006/relationships/hyperlink" Target="https://statiz.sporki.com/add/?m=draft_school02&amp;ps_school=61108" TargetMode="External"/><Relationship Id="rId3235" Type="http://schemas.openxmlformats.org/officeDocument/2006/relationships/hyperlink" Target="https://statiz.sporki.com/player/?m=playerinfo&amp;p_no=12526" TargetMode="External"/><Relationship Id="rId7856" Type="http://schemas.openxmlformats.org/officeDocument/2006/relationships/hyperlink" Target="https://statiz.sporki.com/add/?m=draft_school01&amp;ps_school=50802" TargetMode="External"/><Relationship Id="rId16399" Type="http://schemas.openxmlformats.org/officeDocument/2006/relationships/hyperlink" Target="https://statiz.sporki.com/add/?m=draft_school01&amp;ps_school=50210" TargetMode="External"/><Relationship Id="rId17797" Type="http://schemas.openxmlformats.org/officeDocument/2006/relationships/hyperlink" Target="https://statiz.sporki.com/add/?m=draft_school01&amp;ps_school=50802" TargetMode="External"/><Relationship Id="rId18848" Type="http://schemas.openxmlformats.org/officeDocument/2006/relationships/hyperlink" Target="https://statiz.sporki.com/add/?m=draft_school01&amp;ps_school=50126" TargetMode="External"/><Relationship Id="rId156" Type="http://schemas.openxmlformats.org/officeDocument/2006/relationships/hyperlink" Target="https://statiz.sporki.com/add/?m=draft_school02&amp;ps_school=" TargetMode="External"/><Relationship Id="rId6458" Type="http://schemas.openxmlformats.org/officeDocument/2006/relationships/hyperlink" Target="https://statiz.sporki.com/add/?m=draft_school01&amp;ps_school=" TargetMode="External"/><Relationship Id="rId7509" Type="http://schemas.openxmlformats.org/officeDocument/2006/relationships/hyperlink" Target="https://statiz.sporki.com/add/?m=draft_school02&amp;ps_school=" TargetMode="External"/><Relationship Id="rId8907" Type="http://schemas.openxmlformats.org/officeDocument/2006/relationships/hyperlink" Target="https://statiz.sporki.com/add/?m=draft_school02&amp;ps_school=60113" TargetMode="External"/><Relationship Id="rId10837" Type="http://schemas.openxmlformats.org/officeDocument/2006/relationships/hyperlink" Target="https://statiz.sporki.com/player/?m=playerinfo&amp;p_no=1410" TargetMode="External"/><Relationship Id="rId13310" Type="http://schemas.openxmlformats.org/officeDocument/2006/relationships/hyperlink" Target="https://statiz.sporki.com/player/?m=playerinfo&amp;p_no=12670" TargetMode="External"/><Relationship Id="rId16880" Type="http://schemas.openxmlformats.org/officeDocument/2006/relationships/hyperlink" Target="https://statiz.sporki.com/add/?m=draft_school01&amp;ps_school=50107" TargetMode="External"/><Relationship Id="rId17931" Type="http://schemas.openxmlformats.org/officeDocument/2006/relationships/hyperlink" Target="https://statiz.sporki.com/add/?m=draft_school01&amp;ps_school=50110" TargetMode="External"/><Relationship Id="rId15482" Type="http://schemas.openxmlformats.org/officeDocument/2006/relationships/hyperlink" Target="https://statiz.sporki.com/player/?m=playerinfo&amp;p_no=1627" TargetMode="External"/><Relationship Id="rId16533" Type="http://schemas.openxmlformats.org/officeDocument/2006/relationships/hyperlink" Target="https://statiz.sporki.com/add/?m=draft_school01&amp;ps_school=50803" TargetMode="External"/><Relationship Id="rId4490" Type="http://schemas.openxmlformats.org/officeDocument/2006/relationships/hyperlink" Target="https://statiz.sporki.com/add/?m=draft_school01&amp;ps_school=50605" TargetMode="External"/><Relationship Id="rId5541" Type="http://schemas.openxmlformats.org/officeDocument/2006/relationships/hyperlink" Target="https://statiz.sporki.com/add/?m=draft_school02&amp;ps_school=61001" TargetMode="External"/><Relationship Id="rId14084" Type="http://schemas.openxmlformats.org/officeDocument/2006/relationships/hyperlink" Target="https://statiz.sporki.com/player/?m=playerinfo&amp;p_no=10143" TargetMode="External"/><Relationship Id="rId15135" Type="http://schemas.openxmlformats.org/officeDocument/2006/relationships/hyperlink" Target="https://statiz.sporki.com/player/?m=playerinfo&amp;p_no=2015" TargetMode="External"/><Relationship Id="rId3092" Type="http://schemas.openxmlformats.org/officeDocument/2006/relationships/hyperlink" Target="https://statiz.sporki.com/add/?m=draft_school01&amp;ps_school=" TargetMode="External"/><Relationship Id="rId4143" Type="http://schemas.openxmlformats.org/officeDocument/2006/relationships/hyperlink" Target="https://statiz.sporki.com/add/?m=draft_school02&amp;ps_school=60801" TargetMode="External"/><Relationship Id="rId8764" Type="http://schemas.openxmlformats.org/officeDocument/2006/relationships/hyperlink" Target="https://statiz.sporki.com/player/?m=playerinfo&amp;p_no=1996" TargetMode="External"/><Relationship Id="rId9815" Type="http://schemas.openxmlformats.org/officeDocument/2006/relationships/hyperlink" Target="https://statiz.sporki.com/add/?m=draft_school01&amp;ps_school=50903" TargetMode="External"/><Relationship Id="rId10694" Type="http://schemas.openxmlformats.org/officeDocument/2006/relationships/hyperlink" Target="https://statiz.sporki.com/add/?m=draft_school01&amp;ps_school=50101" TargetMode="External"/><Relationship Id="rId18358" Type="http://schemas.openxmlformats.org/officeDocument/2006/relationships/hyperlink" Target="https://statiz.sporki.com/add/?m=draft_school01&amp;ps_school=50804" TargetMode="External"/><Relationship Id="rId19409" Type="http://schemas.openxmlformats.org/officeDocument/2006/relationships/hyperlink" Target="https://statiz.sporki.com/add/?m=draft_school01&amp;ps_school=50301" TargetMode="External"/><Relationship Id="rId29" Type="http://schemas.openxmlformats.org/officeDocument/2006/relationships/hyperlink" Target="https://statiz.sporki.com/add/?m=draft_school01&amp;ps_school=50703" TargetMode="External"/><Relationship Id="rId7366" Type="http://schemas.openxmlformats.org/officeDocument/2006/relationships/hyperlink" Target="https://statiz.sporki.com/player/?m=playerinfo&amp;p_no=10155" TargetMode="External"/><Relationship Id="rId8417" Type="http://schemas.openxmlformats.org/officeDocument/2006/relationships/hyperlink" Target="https://statiz.sporki.com/add/?m=draft_school01&amp;ps_school=50203" TargetMode="External"/><Relationship Id="rId10347" Type="http://schemas.openxmlformats.org/officeDocument/2006/relationships/hyperlink" Target="https://statiz.sporki.com/add/?m=draft_school02&amp;ps_school=60802" TargetMode="External"/><Relationship Id="rId11745" Type="http://schemas.openxmlformats.org/officeDocument/2006/relationships/hyperlink" Target="https://statiz.sporki.com/add/?m=draft_school02&amp;ps_school=60103" TargetMode="External"/><Relationship Id="rId1804" Type="http://schemas.openxmlformats.org/officeDocument/2006/relationships/hyperlink" Target="https://statiz.sporki.com/player/?m=playerinfo&amp;p_no=14691" TargetMode="External"/><Relationship Id="rId7019" Type="http://schemas.openxmlformats.org/officeDocument/2006/relationships/hyperlink" Target="https://statiz.sporki.com/add/?m=draft_school01&amp;ps_school=50701" TargetMode="External"/><Relationship Id="rId14968" Type="http://schemas.openxmlformats.org/officeDocument/2006/relationships/hyperlink" Target="https://statiz.sporki.com/player/?m=playerinfo&amp;p_no=10164" TargetMode="External"/><Relationship Id="rId3976" Type="http://schemas.openxmlformats.org/officeDocument/2006/relationships/hyperlink" Target="https://statiz.sporki.com/player/?m=playerinfo&amp;p_no=14217" TargetMode="External"/><Relationship Id="rId16390" Type="http://schemas.openxmlformats.org/officeDocument/2006/relationships/hyperlink" Target="https://statiz.sporki.com/add/?m=draft_school01&amp;ps_school=50116" TargetMode="External"/><Relationship Id="rId17441" Type="http://schemas.openxmlformats.org/officeDocument/2006/relationships/hyperlink" Target="https://statiz.sporki.com/add/?m=draft_school01&amp;ps_school=50403" TargetMode="External"/><Relationship Id="rId897" Type="http://schemas.openxmlformats.org/officeDocument/2006/relationships/hyperlink" Target="https://statiz.sporki.com/add/?m=draft_school02&amp;ps_school=60603" TargetMode="External"/><Relationship Id="rId2578" Type="http://schemas.openxmlformats.org/officeDocument/2006/relationships/hyperlink" Target="https://statiz.sporki.com/player/?m=playerinfo&amp;p_no=13078" TargetMode="External"/><Relationship Id="rId3629" Type="http://schemas.openxmlformats.org/officeDocument/2006/relationships/hyperlink" Target="https://statiz.sporki.com/add/?m=draft_school01&amp;ps_school=50107" TargetMode="External"/><Relationship Id="rId5051" Type="http://schemas.openxmlformats.org/officeDocument/2006/relationships/hyperlink" Target="https://statiz.sporki.com/add/?m=draft_school01&amp;ps_school=" TargetMode="External"/><Relationship Id="rId7500" Type="http://schemas.openxmlformats.org/officeDocument/2006/relationships/hyperlink" Target="https://statiz.sporki.com/add/?m=draft_school02&amp;ps_school=" TargetMode="External"/><Relationship Id="rId16043" Type="http://schemas.openxmlformats.org/officeDocument/2006/relationships/hyperlink" Target="https://statiz.sporki.com/player/?m=playerinfo&amp;p_no=1304" TargetMode="External"/><Relationship Id="rId6102" Type="http://schemas.openxmlformats.org/officeDocument/2006/relationships/hyperlink" Target="https://statiz.sporki.com/add/?m=draft_school02&amp;ps_school=60106" TargetMode="External"/><Relationship Id="rId9672" Type="http://schemas.openxmlformats.org/officeDocument/2006/relationships/hyperlink" Target="https://statiz.sporki.com/add/?m=draft_school02&amp;ps_school=60103" TargetMode="External"/><Relationship Id="rId12653" Type="http://schemas.openxmlformats.org/officeDocument/2006/relationships/hyperlink" Target="https://statiz.sporki.com/player/?m=playerinfo&amp;p_no=14723" TargetMode="External"/><Relationship Id="rId13704" Type="http://schemas.openxmlformats.org/officeDocument/2006/relationships/hyperlink" Target="https://statiz.sporki.com/player/?m=playerinfo&amp;p_no=11104" TargetMode="External"/><Relationship Id="rId19266" Type="http://schemas.openxmlformats.org/officeDocument/2006/relationships/hyperlink" Target="https://statiz.sporki.com/add/?m=draft_school01&amp;ps_school=50604" TargetMode="External"/><Relationship Id="rId1661" Type="http://schemas.openxmlformats.org/officeDocument/2006/relationships/hyperlink" Target="https://statiz.sporki.com/add/?m=draft_school01&amp;ps_school=50501" TargetMode="External"/><Relationship Id="rId2712" Type="http://schemas.openxmlformats.org/officeDocument/2006/relationships/hyperlink" Target="https://statiz.sporki.com/add/?m=draft_school02&amp;ps_school=60109" TargetMode="External"/><Relationship Id="rId8274" Type="http://schemas.openxmlformats.org/officeDocument/2006/relationships/hyperlink" Target="https://statiz.sporki.com/add/?m=draft_school02&amp;ps_school=61100" TargetMode="External"/><Relationship Id="rId9325" Type="http://schemas.openxmlformats.org/officeDocument/2006/relationships/hyperlink" Target="https://statiz.sporki.com/player/?m=playerinfo&amp;p_no=1814" TargetMode="External"/><Relationship Id="rId11255" Type="http://schemas.openxmlformats.org/officeDocument/2006/relationships/hyperlink" Target="https://statiz.sporki.com/add/?m=draft_school01&amp;ps_school=50202" TargetMode="External"/><Relationship Id="rId12306" Type="http://schemas.openxmlformats.org/officeDocument/2006/relationships/hyperlink" Target="https://statiz.sporki.com/player/?m=playerinfo&amp;p_no=15045" TargetMode="External"/><Relationship Id="rId1314" Type="http://schemas.openxmlformats.org/officeDocument/2006/relationships/hyperlink" Target="https://statiz.sporki.com/add/?m=draft_school02&amp;ps_school=" TargetMode="External"/><Relationship Id="rId4884" Type="http://schemas.openxmlformats.org/officeDocument/2006/relationships/hyperlink" Target="https://statiz.sporki.com/add/?m=draft_school02&amp;ps_school=60103" TargetMode="External"/><Relationship Id="rId5935" Type="http://schemas.openxmlformats.org/officeDocument/2006/relationships/hyperlink" Target="https://statiz.sporki.com/player/?m=playerinfo&amp;p_no=10534" TargetMode="External"/><Relationship Id="rId14478" Type="http://schemas.openxmlformats.org/officeDocument/2006/relationships/hyperlink" Target="https://statiz.sporki.com/player/?m=playerinfo&amp;p_no=10654" TargetMode="External"/><Relationship Id="rId15876" Type="http://schemas.openxmlformats.org/officeDocument/2006/relationships/hyperlink" Target="https://statiz.sporki.com/player/?m=playerinfo&amp;p_no=1361" TargetMode="External"/><Relationship Id="rId16927" Type="http://schemas.openxmlformats.org/officeDocument/2006/relationships/hyperlink" Target="https://statiz.sporki.com/add/?m=draft_school01&amp;ps_school=50211" TargetMode="External"/><Relationship Id="rId3486" Type="http://schemas.openxmlformats.org/officeDocument/2006/relationships/hyperlink" Target="https://statiz.sporki.com/add/?m=draft_school02&amp;ps_school=" TargetMode="External"/><Relationship Id="rId4537" Type="http://schemas.openxmlformats.org/officeDocument/2006/relationships/hyperlink" Target="https://statiz.sporki.com/player/?m=playerinfo&amp;p_no=11088" TargetMode="External"/><Relationship Id="rId15529" Type="http://schemas.openxmlformats.org/officeDocument/2006/relationships/hyperlink" Target="https://statiz.sporki.com/player/?m=playerinfo&amp;p_no=1665" TargetMode="External"/><Relationship Id="rId18002" Type="http://schemas.openxmlformats.org/officeDocument/2006/relationships/hyperlink" Target="https://statiz.sporki.com/add/?m=draft_school01&amp;ps_school=50403" TargetMode="External"/><Relationship Id="rId19400" Type="http://schemas.openxmlformats.org/officeDocument/2006/relationships/hyperlink" Target="https://statiz.sporki.com/add/?m=draft_school01&amp;ps_school=50703" TargetMode="External"/><Relationship Id="rId20" Type="http://schemas.openxmlformats.org/officeDocument/2006/relationships/hyperlink" Target="https://statiz.sporki.com/add/?m=draft_school01&amp;ps_school=50802" TargetMode="External"/><Relationship Id="rId2088" Type="http://schemas.openxmlformats.org/officeDocument/2006/relationships/hyperlink" Target="https://statiz.sporki.com/add/?m=draft_school02&amp;ps_school=60802" TargetMode="External"/><Relationship Id="rId3139" Type="http://schemas.openxmlformats.org/officeDocument/2006/relationships/hyperlink" Target="https://statiz.sporki.com/player/?m=playerinfo&amp;p_no=13266" TargetMode="External"/><Relationship Id="rId7010" Type="http://schemas.openxmlformats.org/officeDocument/2006/relationships/hyperlink" Target="https://statiz.sporki.com/add/?m=draft_school01&amp;ps_school=50116" TargetMode="External"/><Relationship Id="rId9182" Type="http://schemas.openxmlformats.org/officeDocument/2006/relationships/hyperlink" Target="https://statiz.sporki.com/add/?m=draft_school01&amp;ps_school=" TargetMode="External"/><Relationship Id="rId13561" Type="http://schemas.openxmlformats.org/officeDocument/2006/relationships/hyperlink" Target="https://statiz.sporki.com/player/?m=playerinfo&amp;p_no=14697" TargetMode="External"/><Relationship Id="rId14612" Type="http://schemas.openxmlformats.org/officeDocument/2006/relationships/hyperlink" Target="https://statiz.sporki.com/player/?m=playerinfo&amp;p_no=10364" TargetMode="External"/><Relationship Id="rId3620" Type="http://schemas.openxmlformats.org/officeDocument/2006/relationships/hyperlink" Target="https://statiz.sporki.com/add/?m=draft_school01&amp;ps_school=50105" TargetMode="External"/><Relationship Id="rId12163" Type="http://schemas.openxmlformats.org/officeDocument/2006/relationships/hyperlink" Target="https://statiz.sporki.com/player/?m=playerinfo&amp;p_no=15433" TargetMode="External"/><Relationship Id="rId13214" Type="http://schemas.openxmlformats.org/officeDocument/2006/relationships/hyperlink" Target="https://statiz.sporki.com/player/?m=playerinfo&amp;p_no=12565" TargetMode="External"/><Relationship Id="rId16784" Type="http://schemas.openxmlformats.org/officeDocument/2006/relationships/hyperlink" Target="https://statiz.sporki.com/add/?m=draft_school01&amp;ps_school=50105" TargetMode="External"/><Relationship Id="rId17835" Type="http://schemas.openxmlformats.org/officeDocument/2006/relationships/hyperlink" Target="https://statiz.sporki.com/add/?m=draft_school01&amp;ps_school=50403" TargetMode="External"/><Relationship Id="rId541" Type="http://schemas.openxmlformats.org/officeDocument/2006/relationships/hyperlink" Target="https://statiz.sporki.com/player/?m=playerinfo&amp;p_no=15080" TargetMode="External"/><Relationship Id="rId1171" Type="http://schemas.openxmlformats.org/officeDocument/2006/relationships/hyperlink" Target="https://statiz.sporki.com/player/?m=playerinfo&amp;p_no=14842" TargetMode="External"/><Relationship Id="rId2222" Type="http://schemas.openxmlformats.org/officeDocument/2006/relationships/hyperlink" Target="https://statiz.sporki.com/add/?m=draft_school01&amp;ps_school=" TargetMode="External"/><Relationship Id="rId5792" Type="http://schemas.openxmlformats.org/officeDocument/2006/relationships/hyperlink" Target="https://statiz.sporki.com/add/?m=draft_school01&amp;ps_school=50403" TargetMode="External"/><Relationship Id="rId6843" Type="http://schemas.openxmlformats.org/officeDocument/2006/relationships/hyperlink" Target="https://statiz.sporki.com/add/?m=draft_school02&amp;ps_school=" TargetMode="External"/><Relationship Id="rId15386" Type="http://schemas.openxmlformats.org/officeDocument/2006/relationships/hyperlink" Target="https://statiz.sporki.com/player/?m=playerinfo&amp;p_no=1853" TargetMode="External"/><Relationship Id="rId16437" Type="http://schemas.openxmlformats.org/officeDocument/2006/relationships/hyperlink" Target="https://statiz.sporki.com/add/?m=draft_school01&amp;ps_school=51129" TargetMode="External"/><Relationship Id="rId4394" Type="http://schemas.openxmlformats.org/officeDocument/2006/relationships/hyperlink" Target="https://statiz.sporki.com/add/?m=draft_school01&amp;ps_school=50109" TargetMode="External"/><Relationship Id="rId5445" Type="http://schemas.openxmlformats.org/officeDocument/2006/relationships/hyperlink" Target="https://statiz.sporki.com/add/?m=draft_school02&amp;ps_school=" TargetMode="External"/><Relationship Id="rId15039" Type="http://schemas.openxmlformats.org/officeDocument/2006/relationships/hyperlink" Target="https://statiz.sporki.com/player/?m=playerinfo&amp;p_no=1972" TargetMode="External"/><Relationship Id="rId4047" Type="http://schemas.openxmlformats.org/officeDocument/2006/relationships/hyperlink" Target="https://statiz.sporki.com/add/?m=draft_school02&amp;ps_school=60104" TargetMode="External"/><Relationship Id="rId8668" Type="http://schemas.openxmlformats.org/officeDocument/2006/relationships/hyperlink" Target="https://statiz.sporki.com/player/?m=playerinfo&amp;p_no=2083" TargetMode="External"/><Relationship Id="rId9719" Type="http://schemas.openxmlformats.org/officeDocument/2006/relationships/hyperlink" Target="https://statiz.sporki.com/add/?m=draft_school01&amp;ps_school=50121" TargetMode="External"/><Relationship Id="rId11996" Type="http://schemas.openxmlformats.org/officeDocument/2006/relationships/hyperlink" Target="https://statiz.sporki.com/add/?m=draft_school01&amp;ps_school=50109" TargetMode="External"/><Relationship Id="rId10598" Type="http://schemas.openxmlformats.org/officeDocument/2006/relationships/hyperlink" Target="https://statiz.sporki.com/add/?m=draft_school01&amp;ps_school=50701" TargetMode="External"/><Relationship Id="rId11649" Type="http://schemas.openxmlformats.org/officeDocument/2006/relationships/hyperlink" Target="https://statiz.sporki.com/add/?m=draft_school02&amp;ps_school=60103" TargetMode="External"/><Relationship Id="rId13071" Type="http://schemas.openxmlformats.org/officeDocument/2006/relationships/hyperlink" Target="https://statiz.sporki.com/player/?m=playerinfo&amp;p_no=12850" TargetMode="External"/><Relationship Id="rId15520" Type="http://schemas.openxmlformats.org/officeDocument/2006/relationships/hyperlink" Target="https://statiz.sporki.com/player/?m=playerinfo&amp;p_no=1612" TargetMode="External"/><Relationship Id="rId1708" Type="http://schemas.openxmlformats.org/officeDocument/2006/relationships/hyperlink" Target="https://statiz.sporki.com/player/?m=playerinfo&amp;p_no=14711" TargetMode="External"/><Relationship Id="rId3130" Type="http://schemas.openxmlformats.org/officeDocument/2006/relationships/hyperlink" Target="https://statiz.sporki.com/player/?m=playerinfo&amp;p_no=13267" TargetMode="External"/><Relationship Id="rId14122" Type="http://schemas.openxmlformats.org/officeDocument/2006/relationships/hyperlink" Target="https://statiz.sporki.com/player/?m=playerinfo&amp;p_no=10125" TargetMode="External"/><Relationship Id="rId17692" Type="http://schemas.openxmlformats.org/officeDocument/2006/relationships/hyperlink" Target="https://statiz.sporki.com/add/?m=draft_school01&amp;ps_school=50601" TargetMode="External"/><Relationship Id="rId18743" Type="http://schemas.openxmlformats.org/officeDocument/2006/relationships/hyperlink" Target="https://statiz.sporki.com/add/?m=draft_school01&amp;ps_school=50803" TargetMode="External"/><Relationship Id="rId7751" Type="http://schemas.openxmlformats.org/officeDocument/2006/relationships/hyperlink" Target="https://statiz.sporki.com/add/?m=draft_school01&amp;ps_school=" TargetMode="External"/><Relationship Id="rId8802" Type="http://schemas.openxmlformats.org/officeDocument/2006/relationships/hyperlink" Target="https://statiz.sporki.com/add/?m=draft_school02&amp;ps_school=60606" TargetMode="External"/><Relationship Id="rId10732" Type="http://schemas.openxmlformats.org/officeDocument/2006/relationships/hyperlink" Target="https://statiz.sporki.com/player/?m=playerinfo&amp;p_no=1446" TargetMode="External"/><Relationship Id="rId16294" Type="http://schemas.openxmlformats.org/officeDocument/2006/relationships/hyperlink" Target="https://statiz.sporki.com/add/?m=draft_school01&amp;ps_school=50302" TargetMode="External"/><Relationship Id="rId17345" Type="http://schemas.openxmlformats.org/officeDocument/2006/relationships/hyperlink" Target="https://statiz.sporki.com/add/?m=draft_school01&amp;ps_school=51101" TargetMode="External"/><Relationship Id="rId6353" Type="http://schemas.openxmlformats.org/officeDocument/2006/relationships/hyperlink" Target="https://statiz.sporki.com/add/?m=draft_school01&amp;ps_school=50501" TargetMode="External"/><Relationship Id="rId7404" Type="http://schemas.openxmlformats.org/officeDocument/2006/relationships/hyperlink" Target="https://statiz.sporki.com/add/?m=draft_school02&amp;ps_school=" TargetMode="External"/><Relationship Id="rId2963" Type="http://schemas.openxmlformats.org/officeDocument/2006/relationships/hyperlink" Target="https://statiz.sporki.com/add/?m=draft_school01&amp;ps_school=50111" TargetMode="External"/><Relationship Id="rId6006" Type="http://schemas.openxmlformats.org/officeDocument/2006/relationships/hyperlink" Target="https://statiz.sporki.com/add/?m=draft_school02&amp;ps_school=60108" TargetMode="External"/><Relationship Id="rId9576" Type="http://schemas.openxmlformats.org/officeDocument/2006/relationships/hyperlink" Target="https://statiz.sporki.com/add/?m=draft_school02&amp;ps_school=60104" TargetMode="External"/><Relationship Id="rId12557" Type="http://schemas.openxmlformats.org/officeDocument/2006/relationships/hyperlink" Target="https://statiz.sporki.com/player/?m=playerinfo&amp;p_no=14867" TargetMode="External"/><Relationship Id="rId13955" Type="http://schemas.openxmlformats.org/officeDocument/2006/relationships/hyperlink" Target="https://statiz.sporki.com/player/?m=playerinfo&amp;p_no=10845" TargetMode="External"/><Relationship Id="rId935" Type="http://schemas.openxmlformats.org/officeDocument/2006/relationships/hyperlink" Target="https://statiz.sporki.com/add/?m=draft_school01&amp;ps_school=50810" TargetMode="External"/><Relationship Id="rId1565" Type="http://schemas.openxmlformats.org/officeDocument/2006/relationships/hyperlink" Target="https://statiz.sporki.com/add/?m=draft_school01&amp;ps_school=50109" TargetMode="External"/><Relationship Id="rId2616" Type="http://schemas.openxmlformats.org/officeDocument/2006/relationships/hyperlink" Target="https://statiz.sporki.com/add/?m=draft_school02&amp;ps_school=" TargetMode="External"/><Relationship Id="rId8178" Type="http://schemas.openxmlformats.org/officeDocument/2006/relationships/hyperlink" Target="https://statiz.sporki.com/add/?m=draft_school02&amp;ps_school=60103" TargetMode="External"/><Relationship Id="rId9229" Type="http://schemas.openxmlformats.org/officeDocument/2006/relationships/hyperlink" Target="https://statiz.sporki.com/player/?m=playerinfo&amp;p_no=1933" TargetMode="External"/><Relationship Id="rId11159" Type="http://schemas.openxmlformats.org/officeDocument/2006/relationships/hyperlink" Target="https://statiz.sporki.com/add/?m=draft_school01&amp;ps_school=50502" TargetMode="External"/><Relationship Id="rId13608" Type="http://schemas.openxmlformats.org/officeDocument/2006/relationships/hyperlink" Target="https://statiz.sporki.com/player/?m=playerinfo&amp;p_no=11279" TargetMode="External"/><Relationship Id="rId15030" Type="http://schemas.openxmlformats.org/officeDocument/2006/relationships/hyperlink" Target="https://statiz.sporki.com/player/?m=playerinfo&amp;p_no=10336" TargetMode="External"/><Relationship Id="rId1218" Type="http://schemas.openxmlformats.org/officeDocument/2006/relationships/hyperlink" Target="https://statiz.sporki.com/add/?m=draft_school02&amp;ps_school=60902" TargetMode="External"/><Relationship Id="rId19651" Type="http://schemas.openxmlformats.org/officeDocument/2006/relationships/hyperlink" Target="https://statiz.sporki.com/add/?m=draft_school01&amp;ps_school=50701" TargetMode="External"/><Relationship Id="rId4788" Type="http://schemas.openxmlformats.org/officeDocument/2006/relationships/hyperlink" Target="https://statiz.sporki.com/add/?m=draft_school02&amp;ps_school=" TargetMode="External"/><Relationship Id="rId5839" Type="http://schemas.openxmlformats.org/officeDocument/2006/relationships/hyperlink" Target="https://statiz.sporki.com/player/?m=playerinfo&amp;p_no=10536" TargetMode="External"/><Relationship Id="rId7261" Type="http://schemas.openxmlformats.org/officeDocument/2006/relationships/hyperlink" Target="https://statiz.sporki.com/player/?m=playerinfo&amp;p_no=2295" TargetMode="External"/><Relationship Id="rId9710" Type="http://schemas.openxmlformats.org/officeDocument/2006/relationships/hyperlink" Target="https://statiz.sporki.com/add/?m=draft_school01&amp;ps_school=50604" TargetMode="External"/><Relationship Id="rId11640" Type="http://schemas.openxmlformats.org/officeDocument/2006/relationships/hyperlink" Target="https://statiz.sporki.com/add/?m=draft_school02&amp;ps_school=60108" TargetMode="External"/><Relationship Id="rId18253" Type="http://schemas.openxmlformats.org/officeDocument/2006/relationships/hyperlink" Target="https://statiz.sporki.com/add/?m=draft_school01&amp;ps_school=50402" TargetMode="External"/><Relationship Id="rId19304" Type="http://schemas.openxmlformats.org/officeDocument/2006/relationships/hyperlink" Target="https://statiz.sporki.com/add/?m=draft_school01&amp;ps_school=50403" TargetMode="External"/><Relationship Id="rId8312" Type="http://schemas.openxmlformats.org/officeDocument/2006/relationships/hyperlink" Target="https://statiz.sporki.com/add/?m=draft_school01&amp;ps_school=50602" TargetMode="External"/><Relationship Id="rId10242" Type="http://schemas.openxmlformats.org/officeDocument/2006/relationships/hyperlink" Target="https://statiz.sporki.com/add/?m=draft_school02&amp;ps_school=" TargetMode="External"/><Relationship Id="rId14863" Type="http://schemas.openxmlformats.org/officeDocument/2006/relationships/hyperlink" Target="https://statiz.sporki.com/player/?m=playerinfo&amp;p_no=10254" TargetMode="External"/><Relationship Id="rId15914" Type="http://schemas.openxmlformats.org/officeDocument/2006/relationships/hyperlink" Target="https://statiz.sporki.com/player/?m=playerinfo&amp;p_no=1254" TargetMode="External"/><Relationship Id="rId3871" Type="http://schemas.openxmlformats.org/officeDocument/2006/relationships/hyperlink" Target="https://statiz.sporki.com/player/?m=playerinfo&amp;p_no=12977" TargetMode="External"/><Relationship Id="rId4922" Type="http://schemas.openxmlformats.org/officeDocument/2006/relationships/hyperlink" Target="https://statiz.sporki.com/add/?m=draft_school01&amp;ps_school=50101" TargetMode="External"/><Relationship Id="rId13465" Type="http://schemas.openxmlformats.org/officeDocument/2006/relationships/hyperlink" Target="https://statiz.sporki.com/player/?m=playerinfo&amp;p_no=14197" TargetMode="External"/><Relationship Id="rId14516" Type="http://schemas.openxmlformats.org/officeDocument/2006/relationships/hyperlink" Target="https://statiz.sporki.com/player/?m=playerinfo&amp;p_no=10168" TargetMode="External"/><Relationship Id="rId792" Type="http://schemas.openxmlformats.org/officeDocument/2006/relationships/hyperlink" Target="https://statiz.sporki.com/add/?m=draft_school02&amp;ps_school=" TargetMode="External"/><Relationship Id="rId2473" Type="http://schemas.openxmlformats.org/officeDocument/2006/relationships/hyperlink" Target="https://statiz.sporki.com/player/?m=playerinfo&amp;p_no=13173" TargetMode="External"/><Relationship Id="rId3524" Type="http://schemas.openxmlformats.org/officeDocument/2006/relationships/hyperlink" Target="https://statiz.sporki.com/add/?m=draft_school01&amp;ps_school=" TargetMode="External"/><Relationship Id="rId9086" Type="http://schemas.openxmlformats.org/officeDocument/2006/relationships/hyperlink" Target="https://statiz.sporki.com/add/?m=draft_school01&amp;ps_school=50501" TargetMode="External"/><Relationship Id="rId12067" Type="http://schemas.openxmlformats.org/officeDocument/2006/relationships/hyperlink" Target="https://statiz.sporki.com/player/?m=playerinfo&amp;p_no=1037" TargetMode="External"/><Relationship Id="rId13118" Type="http://schemas.openxmlformats.org/officeDocument/2006/relationships/hyperlink" Target="https://statiz.sporki.com/player/?m=playerinfo&amp;p_no=12904" TargetMode="External"/><Relationship Id="rId16688" Type="http://schemas.openxmlformats.org/officeDocument/2006/relationships/hyperlink" Target="https://statiz.sporki.com/add/?m=draft_school01&amp;ps_school=50805" TargetMode="External"/><Relationship Id="rId445" Type="http://schemas.openxmlformats.org/officeDocument/2006/relationships/hyperlink" Target="https://statiz.sporki.com/player/?m=playerinfo&amp;p_no=15627" TargetMode="External"/><Relationship Id="rId1075" Type="http://schemas.openxmlformats.org/officeDocument/2006/relationships/hyperlink" Target="https://statiz.sporki.com/player/?m=playerinfo&amp;p_no=14790" TargetMode="External"/><Relationship Id="rId2126" Type="http://schemas.openxmlformats.org/officeDocument/2006/relationships/hyperlink" Target="https://statiz.sporki.com/add/?m=draft_school01&amp;ps_school=50202" TargetMode="External"/><Relationship Id="rId5696" Type="http://schemas.openxmlformats.org/officeDocument/2006/relationships/hyperlink" Target="https://statiz.sporki.com/add/?m=draft_school01&amp;ps_school=50107" TargetMode="External"/><Relationship Id="rId6747" Type="http://schemas.openxmlformats.org/officeDocument/2006/relationships/hyperlink" Target="https://statiz.sporki.com/add/?m=draft_school02&amp;ps_school=" TargetMode="External"/><Relationship Id="rId17739" Type="http://schemas.openxmlformats.org/officeDocument/2006/relationships/hyperlink" Target="https://statiz.sporki.com/add/?m=draft_school01&amp;ps_school=50201" TargetMode="External"/><Relationship Id="rId19161" Type="http://schemas.openxmlformats.org/officeDocument/2006/relationships/hyperlink" Target="https://statiz.sporki.com/add/?m=draft_school01&amp;ps_school=50806" TargetMode="External"/><Relationship Id="rId4298" Type="http://schemas.openxmlformats.org/officeDocument/2006/relationships/hyperlink" Target="https://statiz.sporki.com/add/?m=draft_school01&amp;ps_school=50403" TargetMode="External"/><Relationship Id="rId5349" Type="http://schemas.openxmlformats.org/officeDocument/2006/relationships/hyperlink" Target="https://statiz.sporki.com/add/?m=draft_school02&amp;ps_school=" TargetMode="External"/><Relationship Id="rId9220" Type="http://schemas.openxmlformats.org/officeDocument/2006/relationships/hyperlink" Target="https://statiz.sporki.com/player/?m=playerinfo&amp;p_no=1976" TargetMode="External"/><Relationship Id="rId11150" Type="http://schemas.openxmlformats.org/officeDocument/2006/relationships/hyperlink" Target="https://statiz.sporki.com/add/?m=draft_school01&amp;ps_school=50202" TargetMode="External"/><Relationship Id="rId12201" Type="http://schemas.openxmlformats.org/officeDocument/2006/relationships/hyperlink" Target="https://statiz.sporki.com/player/?m=playerinfo&amp;p_no=15522" TargetMode="External"/><Relationship Id="rId15771" Type="http://schemas.openxmlformats.org/officeDocument/2006/relationships/hyperlink" Target="https://statiz.sporki.com/player/?m=playerinfo&amp;p_no=11472" TargetMode="External"/><Relationship Id="rId16822" Type="http://schemas.openxmlformats.org/officeDocument/2006/relationships/hyperlink" Target="https://statiz.sporki.com/add/?m=draft_school01&amp;ps_school=50402" TargetMode="External"/><Relationship Id="rId1959" Type="http://schemas.openxmlformats.org/officeDocument/2006/relationships/hyperlink" Target="https://statiz.sporki.com/add/?m=draft_school02&amp;ps_school=" TargetMode="External"/><Relationship Id="rId5830" Type="http://schemas.openxmlformats.org/officeDocument/2006/relationships/hyperlink" Target="https://statiz.sporki.com/player/?m=playerinfo&amp;p_no=10078" TargetMode="External"/><Relationship Id="rId14373" Type="http://schemas.openxmlformats.org/officeDocument/2006/relationships/hyperlink" Target="https://statiz.sporki.com/player/?m=playerinfo&amp;p_no=10470" TargetMode="External"/><Relationship Id="rId15424" Type="http://schemas.openxmlformats.org/officeDocument/2006/relationships/hyperlink" Target="https://statiz.sporki.com/player/?m=playerinfo&amp;p_no=1660" TargetMode="External"/><Relationship Id="rId18994" Type="http://schemas.openxmlformats.org/officeDocument/2006/relationships/hyperlink" Target="https://statiz.sporki.com/add/?m=draft_school01&amp;ps_school=50802" TargetMode="External"/><Relationship Id="rId3381" Type="http://schemas.openxmlformats.org/officeDocument/2006/relationships/hyperlink" Target="https://statiz.sporki.com/add/?m=draft_school02&amp;ps_school=60607" TargetMode="External"/><Relationship Id="rId4432" Type="http://schemas.openxmlformats.org/officeDocument/2006/relationships/hyperlink" Target="https://statiz.sporki.com/player/?m=playerinfo&amp;p_no=11164" TargetMode="External"/><Relationship Id="rId10983" Type="http://schemas.openxmlformats.org/officeDocument/2006/relationships/hyperlink" Target="https://statiz.sporki.com/add/?m=draft_school02&amp;ps_school=60803" TargetMode="External"/><Relationship Id="rId14026" Type="http://schemas.openxmlformats.org/officeDocument/2006/relationships/hyperlink" Target="https://statiz.sporki.com/player/?m=playerinfo&amp;p_no=10047" TargetMode="External"/><Relationship Id="rId17596" Type="http://schemas.openxmlformats.org/officeDocument/2006/relationships/hyperlink" Target="https://statiz.sporki.com/add/?m=draft_school01&amp;ps_school=50802" TargetMode="External"/><Relationship Id="rId18647" Type="http://schemas.openxmlformats.org/officeDocument/2006/relationships/hyperlink" Target="https://statiz.sporki.com/add/?m=draft_school01&amp;ps_school=50401" TargetMode="External"/><Relationship Id="rId3034" Type="http://schemas.openxmlformats.org/officeDocument/2006/relationships/hyperlink" Target="https://statiz.sporki.com/player/?m=playerinfo&amp;p_no=14721" TargetMode="External"/><Relationship Id="rId7655" Type="http://schemas.openxmlformats.org/officeDocument/2006/relationships/hyperlink" Target="https://statiz.sporki.com/add/?m=draft_school01&amp;ps_school=50804" TargetMode="External"/><Relationship Id="rId8706" Type="http://schemas.openxmlformats.org/officeDocument/2006/relationships/hyperlink" Target="https://statiz.sporki.com/add/?m=draft_school02&amp;ps_school=" TargetMode="External"/><Relationship Id="rId10636" Type="http://schemas.openxmlformats.org/officeDocument/2006/relationships/hyperlink" Target="https://statiz.sporki.com/player/?m=playerinfo&amp;p_no=1454" TargetMode="External"/><Relationship Id="rId16198" Type="http://schemas.openxmlformats.org/officeDocument/2006/relationships/hyperlink" Target="https://statiz.sporki.com/add/?m=draft_school01&amp;ps_school=50703" TargetMode="External"/><Relationship Id="rId17249" Type="http://schemas.openxmlformats.org/officeDocument/2006/relationships/hyperlink" Target="https://statiz.sporki.com/add/?m=draft_school01&amp;ps_school=50101" TargetMode="External"/><Relationship Id="rId6257" Type="http://schemas.openxmlformats.org/officeDocument/2006/relationships/hyperlink" Target="https://statiz.sporki.com/add/?m=draft_school01&amp;ps_school=50103" TargetMode="External"/><Relationship Id="rId7308" Type="http://schemas.openxmlformats.org/officeDocument/2006/relationships/hyperlink" Target="https://statiz.sporki.com/add/?m=draft_school02&amp;ps_school=60803" TargetMode="External"/><Relationship Id="rId13859" Type="http://schemas.openxmlformats.org/officeDocument/2006/relationships/hyperlink" Target="https://statiz.sporki.com/player/?m=playerinfo&amp;p_no=10678" TargetMode="External"/><Relationship Id="rId15281" Type="http://schemas.openxmlformats.org/officeDocument/2006/relationships/hyperlink" Target="https://statiz.sporki.com/player/?m=playerinfo&amp;p_no=1801" TargetMode="External"/><Relationship Id="rId17730" Type="http://schemas.openxmlformats.org/officeDocument/2006/relationships/hyperlink" Target="https://statiz.sporki.com/add/?m=draft_school01&amp;ps_school=50602" TargetMode="External"/><Relationship Id="rId839" Type="http://schemas.openxmlformats.org/officeDocument/2006/relationships/hyperlink" Target="https://statiz.sporki.com/add/?m=draft_school01&amp;ps_school=51129" TargetMode="External"/><Relationship Id="rId1469" Type="http://schemas.openxmlformats.org/officeDocument/2006/relationships/hyperlink" Target="https://statiz.sporki.com/add/?m=draft_school01&amp;ps_school=50805" TargetMode="External"/><Relationship Id="rId2867" Type="http://schemas.openxmlformats.org/officeDocument/2006/relationships/hyperlink" Target="https://statiz.sporki.com/add/?m=draft_school01&amp;ps_school=50108" TargetMode="External"/><Relationship Id="rId3918" Type="http://schemas.openxmlformats.org/officeDocument/2006/relationships/hyperlink" Target="https://statiz.sporki.com/add/?m=draft_school02&amp;ps_school=" TargetMode="External"/><Relationship Id="rId5340" Type="http://schemas.openxmlformats.org/officeDocument/2006/relationships/hyperlink" Target="https://statiz.sporki.com/add/?m=draft_school02&amp;ps_school=60602" TargetMode="External"/><Relationship Id="rId16332" Type="http://schemas.openxmlformats.org/officeDocument/2006/relationships/hyperlink" Target="https://statiz.sporki.com/add/?m=draft_school01&amp;ps_school=50604" TargetMode="External"/><Relationship Id="rId9961" Type="http://schemas.openxmlformats.org/officeDocument/2006/relationships/hyperlink" Target="https://statiz.sporki.com/player/?m=playerinfo&amp;p_no=1674" TargetMode="External"/><Relationship Id="rId11891" Type="http://schemas.openxmlformats.org/officeDocument/2006/relationships/hyperlink" Target="https://statiz.sporki.com/add/?m=draft_school01&amp;ps_school=50807" TargetMode="External"/><Relationship Id="rId12942" Type="http://schemas.openxmlformats.org/officeDocument/2006/relationships/hyperlink" Target="https://statiz.sporki.com/player/?m=playerinfo&amp;p_no=13148" TargetMode="External"/><Relationship Id="rId19555" Type="http://schemas.openxmlformats.org/officeDocument/2006/relationships/hyperlink" Target="https://statiz.sporki.com/add/?m=draft_school01&amp;ps_school=50114" TargetMode="External"/><Relationship Id="rId1950" Type="http://schemas.openxmlformats.org/officeDocument/2006/relationships/hyperlink" Target="https://statiz.sporki.com/add/?m=draft_school02&amp;ps_school=" TargetMode="External"/><Relationship Id="rId8563" Type="http://schemas.openxmlformats.org/officeDocument/2006/relationships/hyperlink" Target="https://statiz.sporki.com/player/?m=playerinfo&amp;p_no=2010" TargetMode="External"/><Relationship Id="rId9614" Type="http://schemas.openxmlformats.org/officeDocument/2006/relationships/hyperlink" Target="https://statiz.sporki.com/add/?m=draft_school01&amp;ps_school=50602" TargetMode="External"/><Relationship Id="rId10493" Type="http://schemas.openxmlformats.org/officeDocument/2006/relationships/hyperlink" Target="https://statiz.sporki.com/add/?m=draft_school01&amp;ps_school=50208" TargetMode="External"/><Relationship Id="rId11544" Type="http://schemas.openxmlformats.org/officeDocument/2006/relationships/hyperlink" Target="https://statiz.sporki.com/add/?m=draft_school02&amp;ps_school=60102" TargetMode="External"/><Relationship Id="rId18157" Type="http://schemas.openxmlformats.org/officeDocument/2006/relationships/hyperlink" Target="https://statiz.sporki.com/add/?m=draft_school01&amp;ps_school=50204" TargetMode="External"/><Relationship Id="rId19208" Type="http://schemas.openxmlformats.org/officeDocument/2006/relationships/hyperlink" Target="https://statiz.sporki.com/add/?m=draft_school01&amp;ps_school=50706" TargetMode="External"/><Relationship Id="rId1603" Type="http://schemas.openxmlformats.org/officeDocument/2006/relationships/hyperlink" Target="https://statiz.sporki.com/player/?m=playerinfo&amp;p_no=14685" TargetMode="External"/><Relationship Id="rId7165" Type="http://schemas.openxmlformats.org/officeDocument/2006/relationships/hyperlink" Target="https://statiz.sporki.com/player/?m=playerinfo&amp;p_no=10523" TargetMode="External"/><Relationship Id="rId8216" Type="http://schemas.openxmlformats.org/officeDocument/2006/relationships/hyperlink" Target="https://statiz.sporki.com/add/?m=draft_school01&amp;ps_school=50501" TargetMode="External"/><Relationship Id="rId10146" Type="http://schemas.openxmlformats.org/officeDocument/2006/relationships/hyperlink" Target="https://statiz.sporki.com/add/?m=draft_school02&amp;ps_school=" TargetMode="External"/><Relationship Id="rId14767" Type="http://schemas.openxmlformats.org/officeDocument/2006/relationships/hyperlink" Target="https://statiz.sporki.com/player/?m=playerinfo&amp;p_no=10017" TargetMode="External"/><Relationship Id="rId3775" Type="http://schemas.openxmlformats.org/officeDocument/2006/relationships/hyperlink" Target="https://statiz.sporki.com/player/?m=playerinfo&amp;p_no=11365" TargetMode="External"/><Relationship Id="rId4826" Type="http://schemas.openxmlformats.org/officeDocument/2006/relationships/hyperlink" Target="https://statiz.sporki.com/add/?m=draft_school01&amp;ps_school=50207" TargetMode="External"/><Relationship Id="rId13369" Type="http://schemas.openxmlformats.org/officeDocument/2006/relationships/hyperlink" Target="https://statiz.sporki.com/player/?m=playerinfo&amp;p_no=11321" TargetMode="External"/><Relationship Id="rId15818" Type="http://schemas.openxmlformats.org/officeDocument/2006/relationships/hyperlink" Target="https://statiz.sporki.com/player/?m=playerinfo&amp;p_no=1369" TargetMode="External"/><Relationship Id="rId17240" Type="http://schemas.openxmlformats.org/officeDocument/2006/relationships/hyperlink" Target="https://statiz.sporki.com/add/?m=draft_school01&amp;ps_school=50210" TargetMode="External"/><Relationship Id="rId696" Type="http://schemas.openxmlformats.org/officeDocument/2006/relationships/hyperlink" Target="https://statiz.sporki.com/add/?m=draft_school02&amp;ps_school=" TargetMode="External"/><Relationship Id="rId2377" Type="http://schemas.openxmlformats.org/officeDocument/2006/relationships/hyperlink" Target="https://statiz.sporki.com/player/?m=playerinfo&amp;p_no=13136" TargetMode="External"/><Relationship Id="rId3428" Type="http://schemas.openxmlformats.org/officeDocument/2006/relationships/hyperlink" Target="https://statiz.sporki.com/add/?m=draft_school01&amp;ps_school=50116" TargetMode="External"/><Relationship Id="rId349" Type="http://schemas.openxmlformats.org/officeDocument/2006/relationships/hyperlink" Target="https://statiz.sporki.com/player/?m=playerinfo&amp;p_no=15536" TargetMode="External"/><Relationship Id="rId6998" Type="http://schemas.openxmlformats.org/officeDocument/2006/relationships/hyperlink" Target="https://statiz.sporki.com/add/?m=draft_school01&amp;ps_school=50206" TargetMode="External"/><Relationship Id="rId9471" Type="http://schemas.openxmlformats.org/officeDocument/2006/relationships/hyperlink" Target="https://statiz.sporki.com/add/?m=draft_school02&amp;ps_school=60204" TargetMode="External"/><Relationship Id="rId13850" Type="http://schemas.openxmlformats.org/officeDocument/2006/relationships/hyperlink" Target="https://statiz.sporki.com/player/?m=playerinfo&amp;p_no=10835" TargetMode="External"/><Relationship Id="rId14901" Type="http://schemas.openxmlformats.org/officeDocument/2006/relationships/hyperlink" Target="https://statiz.sporki.com/player/?m=playerinfo&amp;p_no=2067" TargetMode="External"/><Relationship Id="rId19065" Type="http://schemas.openxmlformats.org/officeDocument/2006/relationships/hyperlink" Target="https://statiz.sporki.com/add/?m=draft_school01&amp;ps_school=50110" TargetMode="External"/><Relationship Id="rId8073" Type="http://schemas.openxmlformats.org/officeDocument/2006/relationships/hyperlink" Target="https://statiz.sporki.com/add/?m=draft_school02&amp;ps_school=60113" TargetMode="External"/><Relationship Id="rId9124" Type="http://schemas.openxmlformats.org/officeDocument/2006/relationships/hyperlink" Target="https://statiz.sporki.com/player/?m=playerinfo&amp;p_no=1874" TargetMode="External"/><Relationship Id="rId12452" Type="http://schemas.openxmlformats.org/officeDocument/2006/relationships/hyperlink" Target="https://statiz.sporki.com/player/?m=playerinfo&amp;p_no=15132" TargetMode="External"/><Relationship Id="rId13503" Type="http://schemas.openxmlformats.org/officeDocument/2006/relationships/hyperlink" Target="https://statiz.sporki.com/player/?m=playerinfo&amp;p_no=11276" TargetMode="External"/><Relationship Id="rId830" Type="http://schemas.openxmlformats.org/officeDocument/2006/relationships/hyperlink" Target="https://statiz.sporki.com/add/?m=draft_school01&amp;ps_school=" TargetMode="External"/><Relationship Id="rId1460" Type="http://schemas.openxmlformats.org/officeDocument/2006/relationships/hyperlink" Target="https://statiz.sporki.com/add/?m=draft_school01&amp;ps_school=50502" TargetMode="External"/><Relationship Id="rId2511" Type="http://schemas.openxmlformats.org/officeDocument/2006/relationships/hyperlink" Target="https://statiz.sporki.com/add/?m=draft_school02&amp;ps_school=" TargetMode="External"/><Relationship Id="rId11054" Type="http://schemas.openxmlformats.org/officeDocument/2006/relationships/hyperlink" Target="https://statiz.sporki.com/add/?m=draft_school01&amp;ps_school=51100" TargetMode="External"/><Relationship Id="rId12105" Type="http://schemas.openxmlformats.org/officeDocument/2006/relationships/hyperlink" Target="https://statiz.sporki.com/add/?m=draft_school02&amp;ps_school=60113" TargetMode="External"/><Relationship Id="rId15675" Type="http://schemas.openxmlformats.org/officeDocument/2006/relationships/hyperlink" Target="https://statiz.sporki.com/player/?m=playerinfo&amp;p_no=1493" TargetMode="External"/><Relationship Id="rId16726" Type="http://schemas.openxmlformats.org/officeDocument/2006/relationships/hyperlink" Target="https://statiz.sporki.com/add/?m=draft_school01&amp;ps_school=50102" TargetMode="External"/><Relationship Id="rId1113" Type="http://schemas.openxmlformats.org/officeDocument/2006/relationships/hyperlink" Target="https://statiz.sporki.com/add/?m=draft_school02&amp;ps_school=" TargetMode="External"/><Relationship Id="rId4683" Type="http://schemas.openxmlformats.org/officeDocument/2006/relationships/hyperlink" Target="https://statiz.sporki.com/add/?m=draft_school02&amp;ps_school=" TargetMode="External"/><Relationship Id="rId5734" Type="http://schemas.openxmlformats.org/officeDocument/2006/relationships/hyperlink" Target="https://statiz.sporki.com/player/?m=playerinfo&amp;p_no=10071" TargetMode="External"/><Relationship Id="rId14277" Type="http://schemas.openxmlformats.org/officeDocument/2006/relationships/hyperlink" Target="https://statiz.sporki.com/player/?m=playerinfo&amp;p_no=11285" TargetMode="External"/><Relationship Id="rId15328" Type="http://schemas.openxmlformats.org/officeDocument/2006/relationships/hyperlink" Target="https://statiz.sporki.com/player/?m=playerinfo&amp;p_no=10580" TargetMode="External"/><Relationship Id="rId18898" Type="http://schemas.openxmlformats.org/officeDocument/2006/relationships/hyperlink" Target="https://statiz.sporki.com/add/?m=draft_school01&amp;ps_school=50711" TargetMode="External"/><Relationship Id="rId3285" Type="http://schemas.openxmlformats.org/officeDocument/2006/relationships/hyperlink" Target="https://statiz.sporki.com/add/?m=draft_school02&amp;ps_school=" TargetMode="External"/><Relationship Id="rId4336" Type="http://schemas.openxmlformats.org/officeDocument/2006/relationships/hyperlink" Target="https://statiz.sporki.com/player/?m=playerinfo&amp;p_no=11249" TargetMode="External"/><Relationship Id="rId8957" Type="http://schemas.openxmlformats.org/officeDocument/2006/relationships/hyperlink" Target="https://statiz.sporki.com/add/?m=draft_school01&amp;ps_school=50106" TargetMode="External"/><Relationship Id="rId7559" Type="http://schemas.openxmlformats.org/officeDocument/2006/relationships/hyperlink" Target="https://statiz.sporki.com/add/?m=draft_school01&amp;ps_school=50711" TargetMode="External"/><Relationship Id="rId10887" Type="http://schemas.openxmlformats.org/officeDocument/2006/relationships/hyperlink" Target="https://statiz.sporki.com/add/?m=draft_school02&amp;ps_school=60101" TargetMode="External"/><Relationship Id="rId11938" Type="http://schemas.openxmlformats.org/officeDocument/2006/relationships/hyperlink" Target="https://statiz.sporki.com/player/?m=playerinfo&amp;p_no=1129" TargetMode="External"/><Relationship Id="rId13360" Type="http://schemas.openxmlformats.org/officeDocument/2006/relationships/hyperlink" Target="https://statiz.sporki.com/player/?m=playerinfo&amp;p_no=11347" TargetMode="External"/><Relationship Id="rId13013" Type="http://schemas.openxmlformats.org/officeDocument/2006/relationships/hyperlink" Target="https://statiz.sporki.com/player/?m=playerinfo&amp;p_no=13144" TargetMode="External"/><Relationship Id="rId14411" Type="http://schemas.openxmlformats.org/officeDocument/2006/relationships/hyperlink" Target="https://statiz.sporki.com/player/?m=playerinfo&amp;p_no=10540" TargetMode="External"/><Relationship Id="rId17981" Type="http://schemas.openxmlformats.org/officeDocument/2006/relationships/hyperlink" Target="https://statiz.sporki.com/add/?m=draft_school01&amp;ps_school=50209" TargetMode="External"/><Relationship Id="rId340" Type="http://schemas.openxmlformats.org/officeDocument/2006/relationships/hyperlink" Target="https://statiz.sporki.com/player/?m=playerinfo&amp;p_no=15653" TargetMode="External"/><Relationship Id="rId2021" Type="http://schemas.openxmlformats.org/officeDocument/2006/relationships/hyperlink" Target="https://statiz.sporki.com/add/?m=draft_school01&amp;ps_school=50701" TargetMode="External"/><Relationship Id="rId16583" Type="http://schemas.openxmlformats.org/officeDocument/2006/relationships/hyperlink" Target="https://statiz.sporki.com/add/?m=draft_school01&amp;ps_school=50503" TargetMode="External"/><Relationship Id="rId17634" Type="http://schemas.openxmlformats.org/officeDocument/2006/relationships/hyperlink" Target="https://statiz.sporki.com/add/?m=draft_school01&amp;ps_school=50111" TargetMode="External"/><Relationship Id="rId4193" Type="http://schemas.openxmlformats.org/officeDocument/2006/relationships/hyperlink" Target="https://statiz.sporki.com/add/?m=draft_school01&amp;ps_school=50703" TargetMode="External"/><Relationship Id="rId5591" Type="http://schemas.openxmlformats.org/officeDocument/2006/relationships/hyperlink" Target="https://statiz.sporki.com/add/?m=draft_school01&amp;ps_school=50108" TargetMode="External"/><Relationship Id="rId6642" Type="http://schemas.openxmlformats.org/officeDocument/2006/relationships/hyperlink" Target="https://statiz.sporki.com/add/?m=draft_school02&amp;ps_school=" TargetMode="External"/><Relationship Id="rId15185" Type="http://schemas.openxmlformats.org/officeDocument/2006/relationships/hyperlink" Target="https://statiz.sporki.com/player/?m=playerinfo&amp;p_no=1883" TargetMode="External"/><Relationship Id="rId16236" Type="http://schemas.openxmlformats.org/officeDocument/2006/relationships/hyperlink" Target="https://statiz.sporki.com/add/?m=draft_school01&amp;ps_school=50806" TargetMode="External"/><Relationship Id="rId5244" Type="http://schemas.openxmlformats.org/officeDocument/2006/relationships/hyperlink" Target="https://statiz.sporki.com/add/?m=draft_school02&amp;ps_school=" TargetMode="External"/><Relationship Id="rId9865" Type="http://schemas.openxmlformats.org/officeDocument/2006/relationships/hyperlink" Target="https://statiz.sporki.com/player/?m=playerinfo&amp;p_no=11437" TargetMode="External"/><Relationship Id="rId11795" Type="http://schemas.openxmlformats.org/officeDocument/2006/relationships/hyperlink" Target="https://statiz.sporki.com/add/?m=draft_school01&amp;ps_school=50113" TargetMode="External"/><Relationship Id="rId12846" Type="http://schemas.openxmlformats.org/officeDocument/2006/relationships/hyperlink" Target="https://statiz.sporki.com/player/?m=playerinfo&amp;p_no=14185" TargetMode="External"/><Relationship Id="rId19459" Type="http://schemas.openxmlformats.org/officeDocument/2006/relationships/hyperlink" Target="https://statiz.sporki.com/add/?m=draft_school01&amp;ps_school=50401" TargetMode="External"/><Relationship Id="rId79" Type="http://schemas.openxmlformats.org/officeDocument/2006/relationships/hyperlink" Target="https://statiz.sporki.com/player/?m=playerinfo&amp;p_no=15486" TargetMode="External"/><Relationship Id="rId1854" Type="http://schemas.openxmlformats.org/officeDocument/2006/relationships/hyperlink" Target="https://statiz.sporki.com/add/?m=draft_school02&amp;ps_school=60803" TargetMode="External"/><Relationship Id="rId2905" Type="http://schemas.openxmlformats.org/officeDocument/2006/relationships/hyperlink" Target="https://statiz.sporki.com/player/?m=playerinfo&amp;p_no=12857" TargetMode="External"/><Relationship Id="rId8467" Type="http://schemas.openxmlformats.org/officeDocument/2006/relationships/hyperlink" Target="https://statiz.sporki.com/player/?m=playerinfo&amp;p_no=2082" TargetMode="External"/><Relationship Id="rId9518" Type="http://schemas.openxmlformats.org/officeDocument/2006/relationships/hyperlink" Target="https://statiz.sporki.com/add/?m=draft_school01&amp;ps_school=50202" TargetMode="External"/><Relationship Id="rId10397" Type="http://schemas.openxmlformats.org/officeDocument/2006/relationships/hyperlink" Target="https://statiz.sporki.com/add/?m=draft_school01&amp;ps_school=50803" TargetMode="External"/><Relationship Id="rId11448" Type="http://schemas.openxmlformats.org/officeDocument/2006/relationships/hyperlink" Target="https://statiz.sporki.com/add/?m=draft_school02&amp;ps_school=60108" TargetMode="External"/><Relationship Id="rId1507" Type="http://schemas.openxmlformats.org/officeDocument/2006/relationships/hyperlink" Target="https://statiz.sporki.com/player/?m=playerinfo&amp;p_no=14660" TargetMode="External"/><Relationship Id="rId7069" Type="http://schemas.openxmlformats.org/officeDocument/2006/relationships/hyperlink" Target="https://statiz.sporki.com/player/?m=playerinfo&amp;p_no=2315" TargetMode="External"/><Relationship Id="rId17491" Type="http://schemas.openxmlformats.org/officeDocument/2006/relationships/hyperlink" Target="https://statiz.sporki.com/add/?m=draft_school01&amp;ps_school=50210" TargetMode="External"/><Relationship Id="rId3679" Type="http://schemas.openxmlformats.org/officeDocument/2006/relationships/hyperlink" Target="https://statiz.sporki.com/player/?m=playerinfo&amp;p_no=11299" TargetMode="External"/><Relationship Id="rId7550" Type="http://schemas.openxmlformats.org/officeDocument/2006/relationships/hyperlink" Target="https://statiz.sporki.com/add/?m=draft_school01&amp;ps_school=50202" TargetMode="External"/><Relationship Id="rId16093" Type="http://schemas.openxmlformats.org/officeDocument/2006/relationships/hyperlink" Target="https://statiz.sporki.com/player/?m=playerinfo&amp;p_no=1048" TargetMode="External"/><Relationship Id="rId17144" Type="http://schemas.openxmlformats.org/officeDocument/2006/relationships/hyperlink" Target="https://statiz.sporki.com/add/?m=draft_school01&amp;ps_school=50113" TargetMode="External"/><Relationship Id="rId18542" Type="http://schemas.openxmlformats.org/officeDocument/2006/relationships/hyperlink" Target="https://statiz.sporki.com/add/?m=draft_school01&amp;ps_school=50105" TargetMode="External"/><Relationship Id="rId6152" Type="http://schemas.openxmlformats.org/officeDocument/2006/relationships/hyperlink" Target="https://statiz.sporki.com/add/?m=draft_school01&amp;ps_school=50601" TargetMode="External"/><Relationship Id="rId7203" Type="http://schemas.openxmlformats.org/officeDocument/2006/relationships/hyperlink" Target="https://statiz.sporki.com/add/?m=draft_school02&amp;ps_school=60203" TargetMode="External"/><Relationship Id="rId8601" Type="http://schemas.openxmlformats.org/officeDocument/2006/relationships/hyperlink" Target="https://statiz.sporki.com/add/?m=draft_school02&amp;ps_school=60203" TargetMode="External"/><Relationship Id="rId10531" Type="http://schemas.openxmlformats.org/officeDocument/2006/relationships/hyperlink" Target="https://statiz.sporki.com/player/?m=playerinfo&amp;p_no=1532" TargetMode="External"/><Relationship Id="rId13754" Type="http://schemas.openxmlformats.org/officeDocument/2006/relationships/hyperlink" Target="https://statiz.sporki.com/player/?m=playerinfo&amp;p_no=11153" TargetMode="External"/><Relationship Id="rId14805" Type="http://schemas.openxmlformats.org/officeDocument/2006/relationships/hyperlink" Target="https://statiz.sporki.com/player/?m=playerinfo&amp;p_no=2136" TargetMode="External"/><Relationship Id="rId2762" Type="http://schemas.openxmlformats.org/officeDocument/2006/relationships/hyperlink" Target="https://statiz.sporki.com/add/?m=draft_school01&amp;ps_school=50805" TargetMode="External"/><Relationship Id="rId3813" Type="http://schemas.openxmlformats.org/officeDocument/2006/relationships/hyperlink" Target="https://statiz.sporki.com/add/?m=draft_school02&amp;ps_school=60109" TargetMode="External"/><Relationship Id="rId9028" Type="http://schemas.openxmlformats.org/officeDocument/2006/relationships/hyperlink" Target="https://statiz.sporki.com/player/?m=playerinfo&amp;p_no=2129" TargetMode="External"/><Relationship Id="rId9375" Type="http://schemas.openxmlformats.org/officeDocument/2006/relationships/hyperlink" Target="https://statiz.sporki.com/add/?m=draft_school02&amp;ps_school=60803" TargetMode="External"/><Relationship Id="rId12356" Type="http://schemas.openxmlformats.org/officeDocument/2006/relationships/hyperlink" Target="https://statiz.sporki.com/player/?m=playerinfo&amp;p_no=15050" TargetMode="External"/><Relationship Id="rId13407" Type="http://schemas.openxmlformats.org/officeDocument/2006/relationships/hyperlink" Target="https://statiz.sporki.com/player/?m=playerinfo&amp;p_no=11322" TargetMode="External"/><Relationship Id="rId16977" Type="http://schemas.openxmlformats.org/officeDocument/2006/relationships/hyperlink" Target="https://statiz.sporki.com/add/?m=draft_school01&amp;ps_school=50403" TargetMode="External"/><Relationship Id="rId734" Type="http://schemas.openxmlformats.org/officeDocument/2006/relationships/hyperlink" Target="https://statiz.sporki.com/add/?m=draft_school01&amp;ps_school=50804" TargetMode="External"/><Relationship Id="rId1364" Type="http://schemas.openxmlformats.org/officeDocument/2006/relationships/hyperlink" Target="https://statiz.sporki.com/add/?m=draft_school01&amp;ps_school=50111" TargetMode="External"/><Relationship Id="rId2415" Type="http://schemas.openxmlformats.org/officeDocument/2006/relationships/hyperlink" Target="https://statiz.sporki.com/add/?m=draft_school02&amp;ps_school=" TargetMode="External"/><Relationship Id="rId5985" Type="http://schemas.openxmlformats.org/officeDocument/2006/relationships/hyperlink" Target="https://statiz.sporki.com/add/?m=draft_school02&amp;ps_school=61002" TargetMode="External"/><Relationship Id="rId12009" Type="http://schemas.openxmlformats.org/officeDocument/2006/relationships/hyperlink" Target="https://statiz.sporki.com/add/?m=draft_school02&amp;ps_school=" TargetMode="External"/><Relationship Id="rId15579" Type="http://schemas.openxmlformats.org/officeDocument/2006/relationships/hyperlink" Target="https://statiz.sporki.com/player/?m=playerinfo&amp;p_no=1496" TargetMode="External"/><Relationship Id="rId19450" Type="http://schemas.openxmlformats.org/officeDocument/2006/relationships/hyperlink" Target="https://statiz.sporki.com/add/?m=draft_school01&amp;ps_school=50114" TargetMode="External"/><Relationship Id="rId70" Type="http://schemas.openxmlformats.org/officeDocument/2006/relationships/hyperlink" Target="https://statiz.sporki.com/player/?m=playerinfo&amp;p_no=15452" TargetMode="External"/><Relationship Id="rId1017" Type="http://schemas.openxmlformats.org/officeDocument/2006/relationships/hyperlink" Target="https://statiz.sporki.com/add/?m=draft_school02&amp;ps_school=" TargetMode="External"/><Relationship Id="rId4587" Type="http://schemas.openxmlformats.org/officeDocument/2006/relationships/hyperlink" Target="https://statiz.sporki.com/add/?m=draft_school02&amp;ps_school=" TargetMode="External"/><Relationship Id="rId5638" Type="http://schemas.openxmlformats.org/officeDocument/2006/relationships/hyperlink" Target="https://statiz.sporki.com/player/?m=playerinfo&amp;p_no=10923" TargetMode="External"/><Relationship Id="rId18052" Type="http://schemas.openxmlformats.org/officeDocument/2006/relationships/hyperlink" Target="https://statiz.sporki.com/add/?m=draft_school01&amp;ps_school=50805" TargetMode="External"/><Relationship Id="rId19103" Type="http://schemas.openxmlformats.org/officeDocument/2006/relationships/hyperlink" Target="https://statiz.sporki.com/add/?m=draft_school01&amp;ps_school=50702" TargetMode="External"/><Relationship Id="rId3189" Type="http://schemas.openxmlformats.org/officeDocument/2006/relationships/hyperlink" Target="https://statiz.sporki.com/add/?m=draft_school02&amp;ps_school=" TargetMode="External"/><Relationship Id="rId7060" Type="http://schemas.openxmlformats.org/officeDocument/2006/relationships/hyperlink" Target="https://statiz.sporki.com/player/?m=playerinfo&amp;p_no=2338" TargetMode="External"/><Relationship Id="rId8111" Type="http://schemas.openxmlformats.org/officeDocument/2006/relationships/hyperlink" Target="https://statiz.sporki.com/add/?m=draft_school01&amp;ps_school=50208" TargetMode="External"/><Relationship Id="rId10041" Type="http://schemas.openxmlformats.org/officeDocument/2006/relationships/hyperlink" Target="https://statiz.sporki.com/add/?m=draft_school02&amp;ps_school=60113" TargetMode="External"/><Relationship Id="rId14662" Type="http://schemas.openxmlformats.org/officeDocument/2006/relationships/hyperlink" Target="https://statiz.sporki.com/player/?m=playerinfo&amp;p_no=10524" TargetMode="External"/><Relationship Id="rId15713" Type="http://schemas.openxmlformats.org/officeDocument/2006/relationships/hyperlink" Target="https://statiz.sporki.com/player/?m=playerinfo&amp;p_no=11430" TargetMode="External"/><Relationship Id="rId591" Type="http://schemas.openxmlformats.org/officeDocument/2006/relationships/hyperlink" Target="https://statiz.sporki.com/add/?m=draft_school02&amp;ps_school=" TargetMode="External"/><Relationship Id="rId2272" Type="http://schemas.openxmlformats.org/officeDocument/2006/relationships/hyperlink" Target="https://statiz.sporki.com/player/?m=playerinfo&amp;p_no=14195" TargetMode="External"/><Relationship Id="rId3670" Type="http://schemas.openxmlformats.org/officeDocument/2006/relationships/hyperlink" Target="https://statiz.sporki.com/player/?m=playerinfo&amp;p_no=11396" TargetMode="External"/><Relationship Id="rId4721" Type="http://schemas.openxmlformats.org/officeDocument/2006/relationships/hyperlink" Target="https://statiz.sporki.com/add/?m=draft_school01&amp;ps_school=50802" TargetMode="External"/><Relationship Id="rId13264" Type="http://schemas.openxmlformats.org/officeDocument/2006/relationships/hyperlink" Target="https://statiz.sporki.com/player/?m=playerinfo&amp;p_no=12623" TargetMode="External"/><Relationship Id="rId14315" Type="http://schemas.openxmlformats.org/officeDocument/2006/relationships/hyperlink" Target="https://statiz.sporki.com/player/?m=playerinfo&amp;p_no=10054" TargetMode="External"/><Relationship Id="rId17885" Type="http://schemas.openxmlformats.org/officeDocument/2006/relationships/hyperlink" Target="https://statiz.sporki.com/add/?m=draft_school01&amp;ps_school=50606" TargetMode="External"/><Relationship Id="rId18936" Type="http://schemas.openxmlformats.org/officeDocument/2006/relationships/hyperlink" Target="https://statiz.sporki.com/add/?m=draft_school01&amp;ps_school=50116" TargetMode="External"/><Relationship Id="rId244" Type="http://schemas.openxmlformats.org/officeDocument/2006/relationships/hyperlink" Target="https://statiz.sporki.com/player/?m=playerinfo&amp;p_no=15439" TargetMode="External"/><Relationship Id="rId3323" Type="http://schemas.openxmlformats.org/officeDocument/2006/relationships/hyperlink" Target="https://statiz.sporki.com/add/?m=draft_school01&amp;ps_school=50402" TargetMode="External"/><Relationship Id="rId6893" Type="http://schemas.openxmlformats.org/officeDocument/2006/relationships/hyperlink" Target="https://statiz.sporki.com/add/?m=draft_school01&amp;ps_school=50201" TargetMode="External"/><Relationship Id="rId7944" Type="http://schemas.openxmlformats.org/officeDocument/2006/relationships/hyperlink" Target="https://statiz.sporki.com/add/?m=draft_school02&amp;ps_school=" TargetMode="External"/><Relationship Id="rId10925" Type="http://schemas.openxmlformats.org/officeDocument/2006/relationships/hyperlink" Target="https://statiz.sporki.com/add/?m=draft_school01&amp;ps_school=50904" TargetMode="External"/><Relationship Id="rId16487" Type="http://schemas.openxmlformats.org/officeDocument/2006/relationships/hyperlink" Target="https://statiz.sporki.com/add/?m=draft_school01&amp;ps_school=50117" TargetMode="External"/><Relationship Id="rId17538" Type="http://schemas.openxmlformats.org/officeDocument/2006/relationships/hyperlink" Target="https://statiz.sporki.com/add/?m=draft_school01&amp;ps_school=50105" TargetMode="External"/><Relationship Id="rId5495" Type="http://schemas.openxmlformats.org/officeDocument/2006/relationships/hyperlink" Target="https://statiz.sporki.com/add/?m=draft_school01&amp;ps_school=50703" TargetMode="External"/><Relationship Id="rId6546" Type="http://schemas.openxmlformats.org/officeDocument/2006/relationships/hyperlink" Target="https://statiz.sporki.com/add/?m=draft_school02&amp;ps_school=" TargetMode="External"/><Relationship Id="rId15089" Type="http://schemas.openxmlformats.org/officeDocument/2006/relationships/hyperlink" Target="https://statiz.sporki.com/player/?m=playerinfo&amp;p_no=1951" TargetMode="External"/><Relationship Id="rId4097" Type="http://schemas.openxmlformats.org/officeDocument/2006/relationships/hyperlink" Target="https://statiz.sporki.com/add/?m=draft_school01&amp;ps_school=50116" TargetMode="External"/><Relationship Id="rId5148" Type="http://schemas.openxmlformats.org/officeDocument/2006/relationships/hyperlink" Target="https://statiz.sporki.com/add/?m=draft_school02&amp;ps_school=" TargetMode="External"/><Relationship Id="rId9769" Type="http://schemas.openxmlformats.org/officeDocument/2006/relationships/hyperlink" Target="https://statiz.sporki.com/player/?m=playerinfo&amp;p_no=1648" TargetMode="External"/><Relationship Id="rId11699" Type="http://schemas.openxmlformats.org/officeDocument/2006/relationships/hyperlink" Target="https://statiz.sporki.com/add/?m=draft_school01&amp;ps_school=" TargetMode="External"/><Relationship Id="rId12000" Type="http://schemas.openxmlformats.org/officeDocument/2006/relationships/hyperlink" Target="https://statiz.sporki.com/add/?m=draft_school02&amp;ps_school=" TargetMode="External"/><Relationship Id="rId15570" Type="http://schemas.openxmlformats.org/officeDocument/2006/relationships/hyperlink" Target="https://statiz.sporki.com/player/?m=playerinfo&amp;p_no=1503" TargetMode="External"/><Relationship Id="rId1758" Type="http://schemas.openxmlformats.org/officeDocument/2006/relationships/hyperlink" Target="https://statiz.sporki.com/add/?m=draft_school02&amp;ps_school=" TargetMode="External"/><Relationship Id="rId2809" Type="http://schemas.openxmlformats.org/officeDocument/2006/relationships/hyperlink" Target="https://statiz.sporki.com/player/?m=playerinfo&amp;p_no=12897" TargetMode="External"/><Relationship Id="rId14172" Type="http://schemas.openxmlformats.org/officeDocument/2006/relationships/hyperlink" Target="https://statiz.sporki.com/player/?m=playerinfo&amp;p_no=10710" TargetMode="External"/><Relationship Id="rId15223" Type="http://schemas.openxmlformats.org/officeDocument/2006/relationships/hyperlink" Target="https://statiz.sporki.com/player/?m=playerinfo&amp;p_no=10264" TargetMode="External"/><Relationship Id="rId16621" Type="http://schemas.openxmlformats.org/officeDocument/2006/relationships/hyperlink" Target="https://statiz.sporki.com/add/?m=draft_school01&amp;ps_school=50703" TargetMode="External"/><Relationship Id="rId3180" Type="http://schemas.openxmlformats.org/officeDocument/2006/relationships/hyperlink" Target="https://statiz.sporki.com/add/?m=draft_school02&amp;ps_school=" TargetMode="External"/><Relationship Id="rId4231" Type="http://schemas.openxmlformats.org/officeDocument/2006/relationships/hyperlink" Target="https://statiz.sporki.com/player/?m=playerinfo&amp;p_no=12997" TargetMode="External"/><Relationship Id="rId18793" Type="http://schemas.openxmlformats.org/officeDocument/2006/relationships/hyperlink" Target="https://statiz.sporki.com/add/?m=draft_school01&amp;ps_school=50501" TargetMode="External"/><Relationship Id="rId8852" Type="http://schemas.openxmlformats.org/officeDocument/2006/relationships/hyperlink" Target="https://statiz.sporki.com/add/?m=draft_school01&amp;ps_school=50114" TargetMode="External"/><Relationship Id="rId9903" Type="http://schemas.openxmlformats.org/officeDocument/2006/relationships/hyperlink" Target="https://statiz.sporki.com/add/?m=draft_school02&amp;ps_school=60208" TargetMode="External"/><Relationship Id="rId10782" Type="http://schemas.openxmlformats.org/officeDocument/2006/relationships/hyperlink" Target="https://statiz.sporki.com/add/?m=draft_school02&amp;ps_school=60705" TargetMode="External"/><Relationship Id="rId11833" Type="http://schemas.openxmlformats.org/officeDocument/2006/relationships/hyperlink" Target="https://statiz.sporki.com/player/?m=playerinfo&amp;p_no=1106" TargetMode="External"/><Relationship Id="rId17395" Type="http://schemas.openxmlformats.org/officeDocument/2006/relationships/hyperlink" Target="https://statiz.sporki.com/add/?m=draft_school01&amp;ps_school=50114" TargetMode="External"/><Relationship Id="rId18446" Type="http://schemas.openxmlformats.org/officeDocument/2006/relationships/hyperlink" Target="https://statiz.sporki.com/add/?m=draft_school01&amp;ps_school=50102" TargetMode="External"/><Relationship Id="rId6056" Type="http://schemas.openxmlformats.org/officeDocument/2006/relationships/hyperlink" Target="https://statiz.sporki.com/add/?m=draft_school01&amp;ps_school=50403" TargetMode="External"/><Relationship Id="rId7454" Type="http://schemas.openxmlformats.org/officeDocument/2006/relationships/hyperlink" Target="https://statiz.sporki.com/add/?m=draft_school01&amp;ps_school=50608" TargetMode="External"/><Relationship Id="rId8505" Type="http://schemas.openxmlformats.org/officeDocument/2006/relationships/hyperlink" Target="https://statiz.sporki.com/add/?m=draft_school02&amp;ps_school=60104" TargetMode="External"/><Relationship Id="rId10435" Type="http://schemas.openxmlformats.org/officeDocument/2006/relationships/hyperlink" Target="https://statiz.sporki.com/player/?m=playerinfo&amp;p_no=1597" TargetMode="External"/><Relationship Id="rId17048" Type="http://schemas.openxmlformats.org/officeDocument/2006/relationships/hyperlink" Target="https://statiz.sporki.com/add/?m=draft_school01&amp;ps_school=50403" TargetMode="External"/><Relationship Id="rId7107" Type="http://schemas.openxmlformats.org/officeDocument/2006/relationships/hyperlink" Target="https://statiz.sporki.com/add/?m=draft_school02&amp;ps_school=60106" TargetMode="External"/><Relationship Id="rId13658" Type="http://schemas.openxmlformats.org/officeDocument/2006/relationships/hyperlink" Target="https://statiz.sporki.com/player/?m=playerinfo&amp;p_no=11094" TargetMode="External"/><Relationship Id="rId14709" Type="http://schemas.openxmlformats.org/officeDocument/2006/relationships/hyperlink" Target="https://statiz.sporki.com/player/?m=playerinfo&amp;p_no=2196" TargetMode="External"/><Relationship Id="rId985" Type="http://schemas.openxmlformats.org/officeDocument/2006/relationships/hyperlink" Target="https://statiz.sporki.com/player/?m=playerinfo&amp;p_no=14786" TargetMode="External"/><Relationship Id="rId2666" Type="http://schemas.openxmlformats.org/officeDocument/2006/relationships/hyperlink" Target="https://statiz.sporki.com/add/?m=draft_school01&amp;ps_school=50210" TargetMode="External"/><Relationship Id="rId3717" Type="http://schemas.openxmlformats.org/officeDocument/2006/relationships/hyperlink" Target="https://statiz.sporki.com/add/?m=draft_school02&amp;ps_school=" TargetMode="External"/><Relationship Id="rId9279" Type="http://schemas.openxmlformats.org/officeDocument/2006/relationships/hyperlink" Target="https://statiz.sporki.com/add/?m=draft_school02&amp;ps_school=" TargetMode="External"/><Relationship Id="rId15080" Type="http://schemas.openxmlformats.org/officeDocument/2006/relationships/hyperlink" Target="https://statiz.sporki.com/player/?m=playerinfo&amp;p_no=2122" TargetMode="External"/><Relationship Id="rId16131" Type="http://schemas.openxmlformats.org/officeDocument/2006/relationships/hyperlink" Target="https://statiz.sporki.com/player/?m=playerinfo&amp;p_no=1126" TargetMode="External"/><Relationship Id="rId638" Type="http://schemas.openxmlformats.org/officeDocument/2006/relationships/hyperlink" Target="https://statiz.sporki.com/add/?m=draft_school01&amp;ps_school=50202" TargetMode="External"/><Relationship Id="rId1268" Type="http://schemas.openxmlformats.org/officeDocument/2006/relationships/hyperlink" Target="https://statiz.sporki.com/add/?m=draft_school01&amp;ps_school=50209" TargetMode="External"/><Relationship Id="rId2319" Type="http://schemas.openxmlformats.org/officeDocument/2006/relationships/hyperlink" Target="https://statiz.sporki.com/add/?m=draft_school02&amp;ps_school=" TargetMode="External"/><Relationship Id="rId5889" Type="http://schemas.openxmlformats.org/officeDocument/2006/relationships/hyperlink" Target="https://statiz.sporki.com/add/?m=draft_school02&amp;ps_school=" TargetMode="External"/><Relationship Id="rId9760" Type="http://schemas.openxmlformats.org/officeDocument/2006/relationships/hyperlink" Target="https://statiz.sporki.com/player/?m=playerinfo&amp;p_no=1745" TargetMode="External"/><Relationship Id="rId19354" Type="http://schemas.openxmlformats.org/officeDocument/2006/relationships/hyperlink" Target="https://statiz.sporki.com/add/?m=draft_school01&amp;ps_school=50711" TargetMode="External"/><Relationship Id="rId8362" Type="http://schemas.openxmlformats.org/officeDocument/2006/relationships/hyperlink" Target="https://statiz.sporki.com/player/?m=playerinfo&amp;p_no=2086" TargetMode="External"/><Relationship Id="rId9413" Type="http://schemas.openxmlformats.org/officeDocument/2006/relationships/hyperlink" Target="https://statiz.sporki.com/add/?m=draft_school01&amp;ps_school=50805" TargetMode="External"/><Relationship Id="rId11690" Type="http://schemas.openxmlformats.org/officeDocument/2006/relationships/hyperlink" Target="https://statiz.sporki.com/add/?m=draft_school01&amp;ps_school=" TargetMode="External"/><Relationship Id="rId12741" Type="http://schemas.openxmlformats.org/officeDocument/2006/relationships/hyperlink" Target="https://statiz.sporki.com/player/?m=playerinfo&amp;p_no=14661" TargetMode="External"/><Relationship Id="rId19007" Type="http://schemas.openxmlformats.org/officeDocument/2006/relationships/hyperlink" Target="https://statiz.sporki.com/add/?m=draft_school01&amp;ps_school=50121" TargetMode="External"/><Relationship Id="rId2800" Type="http://schemas.openxmlformats.org/officeDocument/2006/relationships/hyperlink" Target="https://statiz.sporki.com/player/?m=playerinfo&amp;p_no=12913" TargetMode="External"/><Relationship Id="rId8015" Type="http://schemas.openxmlformats.org/officeDocument/2006/relationships/hyperlink" Target="https://statiz.sporki.com/add/?m=draft_school01&amp;ps_school=" TargetMode="External"/><Relationship Id="rId10292" Type="http://schemas.openxmlformats.org/officeDocument/2006/relationships/hyperlink" Target="https://statiz.sporki.com/add/?m=draft_school01&amp;ps_school=50403" TargetMode="External"/><Relationship Id="rId11343" Type="http://schemas.openxmlformats.org/officeDocument/2006/relationships/hyperlink" Target="https://statiz.sporki.com/add/?m=draft_school02&amp;ps_school=60113" TargetMode="External"/><Relationship Id="rId15964" Type="http://schemas.openxmlformats.org/officeDocument/2006/relationships/hyperlink" Target="https://statiz.sporki.com/player/?m=playerinfo&amp;p_no=1215" TargetMode="External"/><Relationship Id="rId1402" Type="http://schemas.openxmlformats.org/officeDocument/2006/relationships/hyperlink" Target="https://statiz.sporki.com/player/?m=playerinfo&amp;p_no=14615" TargetMode="External"/><Relationship Id="rId4972" Type="http://schemas.openxmlformats.org/officeDocument/2006/relationships/hyperlink" Target="https://statiz.sporki.com/player/?m=playerinfo&amp;p_no=10859" TargetMode="External"/><Relationship Id="rId14566" Type="http://schemas.openxmlformats.org/officeDocument/2006/relationships/hyperlink" Target="https://statiz.sporki.com/player/?m=playerinfo&amp;p_no=10411" TargetMode="External"/><Relationship Id="rId15617" Type="http://schemas.openxmlformats.org/officeDocument/2006/relationships/hyperlink" Target="https://statiz.sporki.com/player/?m=playerinfo&amp;p_no=1568" TargetMode="External"/><Relationship Id="rId3574" Type="http://schemas.openxmlformats.org/officeDocument/2006/relationships/hyperlink" Target="https://statiz.sporki.com/player/?m=playerinfo&amp;p_no=12987" TargetMode="External"/><Relationship Id="rId4625" Type="http://schemas.openxmlformats.org/officeDocument/2006/relationships/hyperlink" Target="https://statiz.sporki.com/add/?m=draft_school01&amp;ps_school=50702" TargetMode="External"/><Relationship Id="rId13168" Type="http://schemas.openxmlformats.org/officeDocument/2006/relationships/hyperlink" Target="https://statiz.sporki.com/player/?m=playerinfo&amp;p_no=12951" TargetMode="External"/><Relationship Id="rId14219" Type="http://schemas.openxmlformats.org/officeDocument/2006/relationships/hyperlink" Target="https://statiz.sporki.com/player/?m=playerinfo&amp;p_no=10505" TargetMode="External"/><Relationship Id="rId17789" Type="http://schemas.openxmlformats.org/officeDocument/2006/relationships/hyperlink" Target="https://statiz.sporki.com/add/?m=draft_school01&amp;ps_school=50110" TargetMode="External"/><Relationship Id="rId495" Type="http://schemas.openxmlformats.org/officeDocument/2006/relationships/hyperlink" Target="https://statiz.sporki.com/add/?m=draft_school02&amp;ps_school=" TargetMode="External"/><Relationship Id="rId2176" Type="http://schemas.openxmlformats.org/officeDocument/2006/relationships/hyperlink" Target="https://statiz.sporki.com/player/?m=playerinfo&amp;p_no=13926" TargetMode="External"/><Relationship Id="rId3227" Type="http://schemas.openxmlformats.org/officeDocument/2006/relationships/hyperlink" Target="https://statiz.sporki.com/add/?m=draft_school01&amp;ps_school=50705" TargetMode="External"/><Relationship Id="rId6797" Type="http://schemas.openxmlformats.org/officeDocument/2006/relationships/hyperlink" Target="https://statiz.sporki.com/add/?m=draft_school01&amp;ps_school=50107" TargetMode="External"/><Relationship Id="rId7848" Type="http://schemas.openxmlformats.org/officeDocument/2006/relationships/hyperlink" Target="https://statiz.sporki.com/add/?m=draft_school02&amp;ps_school=" TargetMode="External"/><Relationship Id="rId148" Type="http://schemas.openxmlformats.org/officeDocument/2006/relationships/hyperlink" Target="https://statiz.sporki.com/player/?m=playerinfo&amp;p_no=15489" TargetMode="External"/><Relationship Id="rId5399" Type="http://schemas.openxmlformats.org/officeDocument/2006/relationships/hyperlink" Target="https://statiz.sporki.com/add/?m=draft_school01&amp;ps_school=" TargetMode="External"/><Relationship Id="rId9270" Type="http://schemas.openxmlformats.org/officeDocument/2006/relationships/hyperlink" Target="https://statiz.sporki.com/add/?m=draft_school02&amp;ps_school=" TargetMode="External"/><Relationship Id="rId10829" Type="http://schemas.openxmlformats.org/officeDocument/2006/relationships/hyperlink" Target="https://statiz.sporki.com/add/?m=draft_school01&amp;ps_school=50107" TargetMode="External"/><Relationship Id="rId12251" Type="http://schemas.openxmlformats.org/officeDocument/2006/relationships/hyperlink" Target="https://statiz.sporki.com/player/?m=playerinfo&amp;p_no=15533" TargetMode="External"/><Relationship Id="rId13302" Type="http://schemas.openxmlformats.org/officeDocument/2006/relationships/hyperlink" Target="https://statiz.sporki.com/player/?m=playerinfo&amp;p_no=12510" TargetMode="External"/><Relationship Id="rId14700" Type="http://schemas.openxmlformats.org/officeDocument/2006/relationships/hyperlink" Target="https://statiz.sporki.com/player/?m=playerinfo&amp;p_no=10006" TargetMode="External"/><Relationship Id="rId2310" Type="http://schemas.openxmlformats.org/officeDocument/2006/relationships/hyperlink" Target="https://statiz.sporki.com/add/?m=draft_school02&amp;ps_school=" TargetMode="External"/><Relationship Id="rId16872" Type="http://schemas.openxmlformats.org/officeDocument/2006/relationships/hyperlink" Target="https://statiz.sporki.com/add/?m=draft_school01&amp;ps_school=50113" TargetMode="External"/><Relationship Id="rId17923" Type="http://schemas.openxmlformats.org/officeDocument/2006/relationships/hyperlink" Target="https://statiz.sporki.com/add/?m=draft_school01&amp;ps_school=50108" TargetMode="External"/><Relationship Id="rId4482" Type="http://schemas.openxmlformats.org/officeDocument/2006/relationships/hyperlink" Target="https://statiz.sporki.com/add/?m=draft_school02&amp;ps_school=60203" TargetMode="External"/><Relationship Id="rId5880" Type="http://schemas.openxmlformats.org/officeDocument/2006/relationships/hyperlink" Target="https://statiz.sporki.com/add/?m=draft_school02&amp;ps_school=60111" TargetMode="External"/><Relationship Id="rId6931" Type="http://schemas.openxmlformats.org/officeDocument/2006/relationships/hyperlink" Target="https://statiz.sporki.com/player/?m=playerinfo&amp;p_no=10273" TargetMode="External"/><Relationship Id="rId14076" Type="http://schemas.openxmlformats.org/officeDocument/2006/relationships/hyperlink" Target="https://statiz.sporki.com/player/?m=playerinfo&amp;p_no=10072" TargetMode="External"/><Relationship Id="rId15474" Type="http://schemas.openxmlformats.org/officeDocument/2006/relationships/hyperlink" Target="https://statiz.sporki.com/player/?m=playerinfo&amp;p_no=1760" TargetMode="External"/><Relationship Id="rId16525" Type="http://schemas.openxmlformats.org/officeDocument/2006/relationships/hyperlink" Target="https://statiz.sporki.com/add/?m=draft_school01&amp;ps_school=50601" TargetMode="External"/><Relationship Id="rId3084" Type="http://schemas.openxmlformats.org/officeDocument/2006/relationships/hyperlink" Target="https://statiz.sporki.com/add/?m=draft_school02&amp;ps_school=" TargetMode="External"/><Relationship Id="rId4135" Type="http://schemas.openxmlformats.org/officeDocument/2006/relationships/hyperlink" Target="https://statiz.sporki.com/player/?m=playerinfo&amp;p_no=11206" TargetMode="External"/><Relationship Id="rId5533" Type="http://schemas.openxmlformats.org/officeDocument/2006/relationships/hyperlink" Target="https://statiz.sporki.com/player/?m=playerinfo&amp;p_no=10224" TargetMode="External"/><Relationship Id="rId15127" Type="http://schemas.openxmlformats.org/officeDocument/2006/relationships/hyperlink" Target="https://statiz.sporki.com/player/?m=playerinfo&amp;p_no=10105" TargetMode="External"/><Relationship Id="rId18697" Type="http://schemas.openxmlformats.org/officeDocument/2006/relationships/hyperlink" Target="https://statiz.sporki.com/add/?m=draft_school01&amp;ps_school=50106" TargetMode="External"/><Relationship Id="rId8756" Type="http://schemas.openxmlformats.org/officeDocument/2006/relationships/hyperlink" Target="https://statiz.sporki.com/add/?m=draft_school01&amp;ps_school=50401" TargetMode="External"/><Relationship Id="rId9807" Type="http://schemas.openxmlformats.org/officeDocument/2006/relationships/hyperlink" Target="https://statiz.sporki.com/add/?m=draft_school02&amp;ps_school=" TargetMode="External"/><Relationship Id="rId10686" Type="http://schemas.openxmlformats.org/officeDocument/2006/relationships/hyperlink" Target="https://statiz.sporki.com/add/?m=draft_school02&amp;ps_school=" TargetMode="External"/><Relationship Id="rId11737" Type="http://schemas.openxmlformats.org/officeDocument/2006/relationships/hyperlink" Target="https://statiz.sporki.com/player/?m=playerinfo&amp;p_no=1101" TargetMode="External"/><Relationship Id="rId17299" Type="http://schemas.openxmlformats.org/officeDocument/2006/relationships/hyperlink" Target="https://statiz.sporki.com/add/?m=draft_school01&amp;ps_school=50209" TargetMode="External"/><Relationship Id="rId7358" Type="http://schemas.openxmlformats.org/officeDocument/2006/relationships/hyperlink" Target="https://statiz.sporki.com/add/?m=draft_school01&amp;ps_school=50701" TargetMode="External"/><Relationship Id="rId8409" Type="http://schemas.openxmlformats.org/officeDocument/2006/relationships/hyperlink" Target="https://statiz.sporki.com/add/?m=draft_school02&amp;ps_school=60803" TargetMode="External"/><Relationship Id="rId10339" Type="http://schemas.openxmlformats.org/officeDocument/2006/relationships/hyperlink" Target="https://statiz.sporki.com/player/?m=playerinfo&amp;p_no=1573" TargetMode="External"/><Relationship Id="rId14210" Type="http://schemas.openxmlformats.org/officeDocument/2006/relationships/hyperlink" Target="https://statiz.sporki.com/player/?m=playerinfo&amp;p_no=2430" TargetMode="External"/><Relationship Id="rId17780" Type="http://schemas.openxmlformats.org/officeDocument/2006/relationships/hyperlink" Target="https://statiz.sporki.com/add/?m=draft_school01&amp;ps_school=50303" TargetMode="External"/><Relationship Id="rId3968" Type="http://schemas.openxmlformats.org/officeDocument/2006/relationships/hyperlink" Target="https://statiz.sporki.com/add/?m=draft_school01&amp;ps_school=50110" TargetMode="External"/><Relationship Id="rId16382" Type="http://schemas.openxmlformats.org/officeDocument/2006/relationships/hyperlink" Target="https://statiz.sporki.com/add/?m=draft_school01&amp;ps_school=50111" TargetMode="External"/><Relationship Id="rId17433" Type="http://schemas.openxmlformats.org/officeDocument/2006/relationships/hyperlink" Target="https://statiz.sporki.com/add/?m=draft_school01&amp;ps_school=50601" TargetMode="External"/><Relationship Id="rId18831" Type="http://schemas.openxmlformats.org/officeDocument/2006/relationships/hyperlink" Target="https://statiz.sporki.com/add/?m=draft_school01&amp;ps_school=50108" TargetMode="External"/><Relationship Id="rId5" Type="http://schemas.openxmlformats.org/officeDocument/2006/relationships/hyperlink" Target="https://statiz.sporki.com/add/?m=draft_school01&amp;ps_school=50114" TargetMode="External"/><Relationship Id="rId889" Type="http://schemas.openxmlformats.org/officeDocument/2006/relationships/hyperlink" Target="https://statiz.sporki.com/player/?m=playerinfo&amp;p_no=15125" TargetMode="External"/><Relationship Id="rId5390" Type="http://schemas.openxmlformats.org/officeDocument/2006/relationships/hyperlink" Target="https://statiz.sporki.com/add/?m=draft_school01&amp;ps_school=" TargetMode="External"/><Relationship Id="rId6441" Type="http://schemas.openxmlformats.org/officeDocument/2006/relationships/hyperlink" Target="https://statiz.sporki.com/add/?m=draft_school02&amp;ps_school=" TargetMode="External"/><Relationship Id="rId10820" Type="http://schemas.openxmlformats.org/officeDocument/2006/relationships/hyperlink" Target="https://statiz.sporki.com/add/?m=draft_school01&amp;ps_school=50301" TargetMode="External"/><Relationship Id="rId16035" Type="http://schemas.openxmlformats.org/officeDocument/2006/relationships/hyperlink" Target="https://statiz.sporki.com/player/?m=playerinfo&amp;p_no=1163" TargetMode="External"/><Relationship Id="rId5043" Type="http://schemas.openxmlformats.org/officeDocument/2006/relationships/hyperlink" Target="https://statiz.sporki.com/add/?m=draft_school02&amp;ps_school=60104" TargetMode="External"/><Relationship Id="rId12992" Type="http://schemas.openxmlformats.org/officeDocument/2006/relationships/hyperlink" Target="https://statiz.sporki.com/player/?m=playerinfo&amp;p_no=13153" TargetMode="External"/><Relationship Id="rId8266" Type="http://schemas.openxmlformats.org/officeDocument/2006/relationships/hyperlink" Target="https://statiz.sporki.com/player/?m=playerinfo&amp;p_no=2088" TargetMode="External"/><Relationship Id="rId9317" Type="http://schemas.openxmlformats.org/officeDocument/2006/relationships/hyperlink" Target="https://statiz.sporki.com/add/?m=draft_school01&amp;ps_school=50209" TargetMode="External"/><Relationship Id="rId9664" Type="http://schemas.openxmlformats.org/officeDocument/2006/relationships/hyperlink" Target="https://statiz.sporki.com/player/?m=playerinfo&amp;p_no=1824" TargetMode="External"/><Relationship Id="rId11594" Type="http://schemas.openxmlformats.org/officeDocument/2006/relationships/hyperlink" Target="https://statiz.sporki.com/add/?m=draft_school01&amp;ps_school=50802" TargetMode="External"/><Relationship Id="rId12645" Type="http://schemas.openxmlformats.org/officeDocument/2006/relationships/hyperlink" Target="https://statiz.sporki.com/player/?m=playerinfo&amp;p_no=14594" TargetMode="External"/><Relationship Id="rId19258" Type="http://schemas.openxmlformats.org/officeDocument/2006/relationships/hyperlink" Target="https://statiz.sporki.com/add/?m=draft_school01&amp;ps_school=50814" TargetMode="External"/><Relationship Id="rId1653" Type="http://schemas.openxmlformats.org/officeDocument/2006/relationships/hyperlink" Target="https://statiz.sporki.com/add/?m=draft_school02&amp;ps_school=60902" TargetMode="External"/><Relationship Id="rId2704" Type="http://schemas.openxmlformats.org/officeDocument/2006/relationships/hyperlink" Target="https://statiz.sporki.com/player/?m=playerinfo&amp;p_no=13433" TargetMode="External"/><Relationship Id="rId10196" Type="http://schemas.openxmlformats.org/officeDocument/2006/relationships/hyperlink" Target="https://statiz.sporki.com/add/?m=draft_school01&amp;ps_school=50111" TargetMode="External"/><Relationship Id="rId11247" Type="http://schemas.openxmlformats.org/officeDocument/2006/relationships/hyperlink" Target="https://statiz.sporki.com/add/?m=draft_school02&amp;ps_school=" TargetMode="External"/><Relationship Id="rId15868" Type="http://schemas.openxmlformats.org/officeDocument/2006/relationships/hyperlink" Target="https://statiz.sporki.com/player/?m=playerinfo&amp;p_no=1280" TargetMode="External"/><Relationship Id="rId16919" Type="http://schemas.openxmlformats.org/officeDocument/2006/relationships/hyperlink" Target="https://statiz.sporki.com/add/?m=draft_school01&amp;ps_school=50116" TargetMode="External"/><Relationship Id="rId1306" Type="http://schemas.openxmlformats.org/officeDocument/2006/relationships/hyperlink" Target="https://statiz.sporki.com/player/?m=playerinfo&amp;p_no=14896" TargetMode="External"/><Relationship Id="rId4876" Type="http://schemas.openxmlformats.org/officeDocument/2006/relationships/hyperlink" Target="https://statiz.sporki.com/player/?m=playerinfo&amp;p_no=10818" TargetMode="External"/><Relationship Id="rId5927" Type="http://schemas.openxmlformats.org/officeDocument/2006/relationships/hyperlink" Target="https://statiz.sporki.com/add/?m=draft_school01&amp;ps_school=" TargetMode="External"/><Relationship Id="rId17290" Type="http://schemas.openxmlformats.org/officeDocument/2006/relationships/hyperlink" Target="https://statiz.sporki.com/add/?m=draft_school01&amp;ps_school=50803" TargetMode="External"/><Relationship Id="rId18341" Type="http://schemas.openxmlformats.org/officeDocument/2006/relationships/hyperlink" Target="https://statiz.sporki.com/add/?m=draft_school01&amp;ps_school=50115" TargetMode="External"/><Relationship Id="rId12" Type="http://schemas.openxmlformats.org/officeDocument/2006/relationships/hyperlink" Target="https://statiz.sporki.com/add/?m=draft_school02&amp;ps_school=" TargetMode="External"/><Relationship Id="rId3478" Type="http://schemas.openxmlformats.org/officeDocument/2006/relationships/hyperlink" Target="https://statiz.sporki.com/player/?m=playerinfo&amp;p_no=12509" TargetMode="External"/><Relationship Id="rId4529" Type="http://schemas.openxmlformats.org/officeDocument/2006/relationships/hyperlink" Target="https://statiz.sporki.com/add/?m=draft_school01&amp;ps_school=50111" TargetMode="External"/><Relationship Id="rId8400" Type="http://schemas.openxmlformats.org/officeDocument/2006/relationships/hyperlink" Target="https://statiz.sporki.com/add/?m=draft_school02&amp;ps_school=" TargetMode="External"/><Relationship Id="rId10330" Type="http://schemas.openxmlformats.org/officeDocument/2006/relationships/hyperlink" Target="https://statiz.sporki.com/player/?m=playerinfo&amp;p_no=1534" TargetMode="External"/><Relationship Id="rId399" Type="http://schemas.openxmlformats.org/officeDocument/2006/relationships/hyperlink" Target="https://statiz.sporki.com/add/?m=draft_school02&amp;ps_school=60203" TargetMode="External"/><Relationship Id="rId7002" Type="http://schemas.openxmlformats.org/officeDocument/2006/relationships/hyperlink" Target="https://statiz.sporki.com/add/?m=draft_school02&amp;ps_school=" TargetMode="External"/><Relationship Id="rId14951" Type="http://schemas.openxmlformats.org/officeDocument/2006/relationships/hyperlink" Target="https://statiz.sporki.com/player/?m=playerinfo&amp;p_no=2233" TargetMode="External"/><Relationship Id="rId880" Type="http://schemas.openxmlformats.org/officeDocument/2006/relationships/hyperlink" Target="https://statiz.sporki.com/player/?m=playerinfo&amp;p_no=15146" TargetMode="External"/><Relationship Id="rId2561" Type="http://schemas.openxmlformats.org/officeDocument/2006/relationships/hyperlink" Target="https://statiz.sporki.com/add/?m=draft_school01&amp;ps_school=50602" TargetMode="External"/><Relationship Id="rId9174" Type="http://schemas.openxmlformats.org/officeDocument/2006/relationships/hyperlink" Target="https://statiz.sporki.com/add/?m=draft_school02&amp;ps_school=60104" TargetMode="External"/><Relationship Id="rId12155" Type="http://schemas.openxmlformats.org/officeDocument/2006/relationships/hyperlink" Target="https://statiz.sporki.com/player/?m=playerinfo&amp;p_no=15451" TargetMode="External"/><Relationship Id="rId13553" Type="http://schemas.openxmlformats.org/officeDocument/2006/relationships/hyperlink" Target="https://statiz.sporki.com/player/?m=playerinfo&amp;p_no=11295" TargetMode="External"/><Relationship Id="rId14604" Type="http://schemas.openxmlformats.org/officeDocument/2006/relationships/hyperlink" Target="https://statiz.sporki.com/player/?m=playerinfo&amp;p_no=11139" TargetMode="External"/><Relationship Id="rId533" Type="http://schemas.openxmlformats.org/officeDocument/2006/relationships/hyperlink" Target="https://statiz.sporki.com/add/?m=draft_school01&amp;ps_school=50301" TargetMode="External"/><Relationship Id="rId1163" Type="http://schemas.openxmlformats.org/officeDocument/2006/relationships/hyperlink" Target="https://statiz.sporki.com/add/?m=draft_school01&amp;ps_school=50803" TargetMode="External"/><Relationship Id="rId2214" Type="http://schemas.openxmlformats.org/officeDocument/2006/relationships/hyperlink" Target="https://statiz.sporki.com/add/?m=draft_school02&amp;ps_school=" TargetMode="External"/><Relationship Id="rId3612" Type="http://schemas.openxmlformats.org/officeDocument/2006/relationships/hyperlink" Target="https://statiz.sporki.com/add/?m=draft_school02&amp;ps_school=60802" TargetMode="External"/><Relationship Id="rId13206" Type="http://schemas.openxmlformats.org/officeDocument/2006/relationships/hyperlink" Target="https://statiz.sporki.com/player/?m=playerinfo&amp;p_no=12627" TargetMode="External"/><Relationship Id="rId16776" Type="http://schemas.openxmlformats.org/officeDocument/2006/relationships/hyperlink" Target="https://statiz.sporki.com/add/?m=draft_school01&amp;ps_school=50804" TargetMode="External"/><Relationship Id="rId17827" Type="http://schemas.openxmlformats.org/officeDocument/2006/relationships/hyperlink" Target="https://statiz.sporki.com/add/?m=draft_school01&amp;ps_school=50112" TargetMode="External"/><Relationship Id="rId5784" Type="http://schemas.openxmlformats.org/officeDocument/2006/relationships/hyperlink" Target="https://statiz.sporki.com/add/?m=draft_school02&amp;ps_school=" TargetMode="External"/><Relationship Id="rId6835" Type="http://schemas.openxmlformats.org/officeDocument/2006/relationships/hyperlink" Target="https://statiz.sporki.com/player/?m=playerinfo&amp;p_no=2349" TargetMode="External"/><Relationship Id="rId15378" Type="http://schemas.openxmlformats.org/officeDocument/2006/relationships/hyperlink" Target="https://statiz.sporki.com/player/?m=playerinfo&amp;p_no=11438" TargetMode="External"/><Relationship Id="rId16429" Type="http://schemas.openxmlformats.org/officeDocument/2006/relationships/hyperlink" Target="https://statiz.sporki.com/add/?m=draft_school01&amp;ps_school=50120" TargetMode="External"/><Relationship Id="rId4386" Type="http://schemas.openxmlformats.org/officeDocument/2006/relationships/hyperlink" Target="https://statiz.sporki.com/add/?m=draft_school02&amp;ps_school=60803" TargetMode="External"/><Relationship Id="rId5437" Type="http://schemas.openxmlformats.org/officeDocument/2006/relationships/hyperlink" Target="https://statiz.sporki.com/player/?m=playerinfo&amp;p_no=12967" TargetMode="External"/><Relationship Id="rId11988" Type="http://schemas.openxmlformats.org/officeDocument/2006/relationships/hyperlink" Target="https://statiz.sporki.com/add/?m=draft_school02&amp;ps_school=" TargetMode="External"/><Relationship Id="rId4039" Type="http://schemas.openxmlformats.org/officeDocument/2006/relationships/hyperlink" Target="https://statiz.sporki.com/player/?m=playerinfo&amp;p_no=11278" TargetMode="External"/><Relationship Id="rId14461" Type="http://schemas.openxmlformats.org/officeDocument/2006/relationships/hyperlink" Target="https://statiz.sporki.com/player/?m=playerinfo&amp;p_no=10156" TargetMode="External"/><Relationship Id="rId15512" Type="http://schemas.openxmlformats.org/officeDocument/2006/relationships/hyperlink" Target="https://statiz.sporki.com/player/?m=playerinfo&amp;p_no=1572" TargetMode="External"/><Relationship Id="rId16910" Type="http://schemas.openxmlformats.org/officeDocument/2006/relationships/hyperlink" Target="https://statiz.sporki.com/add/?m=draft_school01&amp;ps_school=50114" TargetMode="External"/><Relationship Id="rId4520" Type="http://schemas.openxmlformats.org/officeDocument/2006/relationships/hyperlink" Target="https://statiz.sporki.com/add/?m=draft_school01&amp;ps_school=50109" TargetMode="External"/><Relationship Id="rId13063" Type="http://schemas.openxmlformats.org/officeDocument/2006/relationships/hyperlink" Target="https://statiz.sporki.com/player/?m=playerinfo&amp;p_no=12933" TargetMode="External"/><Relationship Id="rId14114" Type="http://schemas.openxmlformats.org/officeDocument/2006/relationships/hyperlink" Target="https://statiz.sporki.com/player/?m=playerinfo&amp;p_no=10033" TargetMode="External"/><Relationship Id="rId390" Type="http://schemas.openxmlformats.org/officeDocument/2006/relationships/hyperlink" Target="https://statiz.sporki.com/add/?m=draft_school02&amp;ps_school=" TargetMode="External"/><Relationship Id="rId2071" Type="http://schemas.openxmlformats.org/officeDocument/2006/relationships/hyperlink" Target="https://statiz.sporki.com/player/?m=playerinfo&amp;p_no=14677" TargetMode="External"/><Relationship Id="rId3122" Type="http://schemas.openxmlformats.org/officeDocument/2006/relationships/hyperlink" Target="https://statiz.sporki.com/add/?m=draft_school01&amp;ps_school=50701" TargetMode="External"/><Relationship Id="rId6692" Type="http://schemas.openxmlformats.org/officeDocument/2006/relationships/hyperlink" Target="https://statiz.sporki.com/add/?m=draft_school01&amp;ps_school=50602" TargetMode="External"/><Relationship Id="rId16286" Type="http://schemas.openxmlformats.org/officeDocument/2006/relationships/hyperlink" Target="https://statiz.sporki.com/add/?m=draft_school01&amp;ps_school=50703" TargetMode="External"/><Relationship Id="rId17684" Type="http://schemas.openxmlformats.org/officeDocument/2006/relationships/hyperlink" Target="https://statiz.sporki.com/add/?m=draft_school01&amp;ps_school=50103" TargetMode="External"/><Relationship Id="rId18735" Type="http://schemas.openxmlformats.org/officeDocument/2006/relationships/hyperlink" Target="https://statiz.sporki.com/add/?m=draft_school01&amp;ps_school=50209" TargetMode="External"/><Relationship Id="rId5294" Type="http://schemas.openxmlformats.org/officeDocument/2006/relationships/hyperlink" Target="https://statiz.sporki.com/add/?m=draft_school01&amp;ps_school=50103" TargetMode="External"/><Relationship Id="rId6345" Type="http://schemas.openxmlformats.org/officeDocument/2006/relationships/hyperlink" Target="https://statiz.sporki.com/add/?m=draft_school02&amp;ps_school=60109" TargetMode="External"/><Relationship Id="rId7743" Type="http://schemas.openxmlformats.org/officeDocument/2006/relationships/hyperlink" Target="https://statiz.sporki.com/add/?m=draft_school02&amp;ps_school=" TargetMode="External"/><Relationship Id="rId10724" Type="http://schemas.openxmlformats.org/officeDocument/2006/relationships/hyperlink" Target="https://statiz.sporki.com/add/?m=draft_school01&amp;ps_school=50127" TargetMode="External"/><Relationship Id="rId17337" Type="http://schemas.openxmlformats.org/officeDocument/2006/relationships/hyperlink" Target="https://statiz.sporki.com/add/?m=draft_school01&amp;ps_school=50403" TargetMode="External"/><Relationship Id="rId12896" Type="http://schemas.openxmlformats.org/officeDocument/2006/relationships/hyperlink" Target="https://statiz.sporki.com/player/?m=playerinfo&amp;p_no=14198" TargetMode="External"/><Relationship Id="rId13947" Type="http://schemas.openxmlformats.org/officeDocument/2006/relationships/hyperlink" Target="https://statiz.sporki.com/player/?m=playerinfo&amp;p_no=10829" TargetMode="External"/><Relationship Id="rId2955" Type="http://schemas.openxmlformats.org/officeDocument/2006/relationships/hyperlink" Target="https://statiz.sporki.com/add/?m=draft_school02&amp;ps_school=60802" TargetMode="External"/><Relationship Id="rId9568" Type="http://schemas.openxmlformats.org/officeDocument/2006/relationships/hyperlink" Target="https://statiz.sporki.com/player/?m=playerinfo&amp;p_no=1727" TargetMode="External"/><Relationship Id="rId11498" Type="http://schemas.openxmlformats.org/officeDocument/2006/relationships/hyperlink" Target="https://statiz.sporki.com/add/?m=draft_school01&amp;ps_school=50601" TargetMode="External"/><Relationship Id="rId12549" Type="http://schemas.openxmlformats.org/officeDocument/2006/relationships/hyperlink" Target="https://statiz.sporki.com/player/?m=playerinfo&amp;p_no=14871" TargetMode="External"/><Relationship Id="rId16420" Type="http://schemas.openxmlformats.org/officeDocument/2006/relationships/hyperlink" Target="https://statiz.sporki.com/add/?m=draft_school01&amp;ps_school=50801" TargetMode="External"/><Relationship Id="rId927" Type="http://schemas.openxmlformats.org/officeDocument/2006/relationships/hyperlink" Target="https://statiz.sporki.com/add/?m=draft_school02&amp;ps_school=60204" TargetMode="External"/><Relationship Id="rId1557" Type="http://schemas.openxmlformats.org/officeDocument/2006/relationships/hyperlink" Target="https://statiz.sporki.com/add/?m=draft_school02&amp;ps_school=60204" TargetMode="External"/><Relationship Id="rId2608" Type="http://schemas.openxmlformats.org/officeDocument/2006/relationships/hyperlink" Target="https://statiz.sporki.com/player/?m=playerinfo&amp;p_no=13155" TargetMode="External"/><Relationship Id="rId15022" Type="http://schemas.openxmlformats.org/officeDocument/2006/relationships/hyperlink" Target="https://statiz.sporki.com/player/?m=playerinfo&amp;p_no=2007" TargetMode="External"/><Relationship Id="rId18592" Type="http://schemas.openxmlformats.org/officeDocument/2006/relationships/hyperlink" Target="https://statiz.sporki.com/add/?m=draft_school01&amp;ps_school=50109" TargetMode="External"/><Relationship Id="rId19643" Type="http://schemas.openxmlformats.org/officeDocument/2006/relationships/hyperlink" Target="https://statiz.sporki.com/add/?m=draft_school01&amp;ps_school=50711" TargetMode="External"/><Relationship Id="rId4030" Type="http://schemas.openxmlformats.org/officeDocument/2006/relationships/hyperlink" Target="https://statiz.sporki.com/player/?m=playerinfo&amp;p_no=11203" TargetMode="External"/><Relationship Id="rId8651" Type="http://schemas.openxmlformats.org/officeDocument/2006/relationships/hyperlink" Target="https://statiz.sporki.com/add/?m=draft_school01&amp;ps_school=50105" TargetMode="External"/><Relationship Id="rId9702" Type="http://schemas.openxmlformats.org/officeDocument/2006/relationships/hyperlink" Target="https://statiz.sporki.com/add/?m=draft_school02&amp;ps_school=" TargetMode="External"/><Relationship Id="rId17194" Type="http://schemas.openxmlformats.org/officeDocument/2006/relationships/hyperlink" Target="https://statiz.sporki.com/add/?m=draft_school01&amp;ps_school=50703" TargetMode="External"/><Relationship Id="rId18245" Type="http://schemas.openxmlformats.org/officeDocument/2006/relationships/hyperlink" Target="https://statiz.sporki.com/add/?m=draft_school01&amp;ps_school=50105" TargetMode="External"/><Relationship Id="rId7253" Type="http://schemas.openxmlformats.org/officeDocument/2006/relationships/hyperlink" Target="https://statiz.sporki.com/add/?m=draft_school01&amp;ps_school=" TargetMode="External"/><Relationship Id="rId8304" Type="http://schemas.openxmlformats.org/officeDocument/2006/relationships/hyperlink" Target="https://statiz.sporki.com/add/?m=draft_school02&amp;ps_school=60109" TargetMode="External"/><Relationship Id="rId10234" Type="http://schemas.openxmlformats.org/officeDocument/2006/relationships/hyperlink" Target="https://statiz.sporki.com/player/?m=playerinfo&amp;p_no=1830" TargetMode="External"/><Relationship Id="rId10581" Type="http://schemas.openxmlformats.org/officeDocument/2006/relationships/hyperlink" Target="https://statiz.sporki.com/add/?m=draft_school02&amp;ps_school=60501" TargetMode="External"/><Relationship Id="rId11632" Type="http://schemas.openxmlformats.org/officeDocument/2006/relationships/hyperlink" Target="https://statiz.sporki.com/player/?m=playerinfo&amp;p_no=1175" TargetMode="External"/><Relationship Id="rId14855" Type="http://schemas.openxmlformats.org/officeDocument/2006/relationships/hyperlink" Target="https://statiz.sporki.com/player/?m=playerinfo&amp;p_no=2293" TargetMode="External"/><Relationship Id="rId15906" Type="http://schemas.openxmlformats.org/officeDocument/2006/relationships/hyperlink" Target="https://statiz.sporki.com/player/?m=playerinfo&amp;p_no=1248" TargetMode="External"/><Relationship Id="rId3863" Type="http://schemas.openxmlformats.org/officeDocument/2006/relationships/hyperlink" Target="https://statiz.sporki.com/add/?m=draft_school01&amp;ps_school=50110" TargetMode="External"/><Relationship Id="rId4914" Type="http://schemas.openxmlformats.org/officeDocument/2006/relationships/hyperlink" Target="https://statiz.sporki.com/add/?m=draft_school02&amp;ps_school=" TargetMode="External"/><Relationship Id="rId9078" Type="http://schemas.openxmlformats.org/officeDocument/2006/relationships/hyperlink" Target="https://statiz.sporki.com/add/?m=draft_school02&amp;ps_school=60602" TargetMode="External"/><Relationship Id="rId13457" Type="http://schemas.openxmlformats.org/officeDocument/2006/relationships/hyperlink" Target="https://statiz.sporki.com/player/?m=playerinfo&amp;p_no=11392" TargetMode="External"/><Relationship Id="rId14508" Type="http://schemas.openxmlformats.org/officeDocument/2006/relationships/hyperlink" Target="https://statiz.sporki.com/player/?m=playerinfo&amp;p_no=2325" TargetMode="External"/><Relationship Id="rId784" Type="http://schemas.openxmlformats.org/officeDocument/2006/relationships/hyperlink" Target="https://statiz.sporki.com/player/?m=playerinfo&amp;p_no=15120" TargetMode="External"/><Relationship Id="rId1067" Type="http://schemas.openxmlformats.org/officeDocument/2006/relationships/hyperlink" Target="https://statiz.sporki.com/add/?m=draft_school01&amp;ps_school=50206" TargetMode="External"/><Relationship Id="rId2465" Type="http://schemas.openxmlformats.org/officeDocument/2006/relationships/hyperlink" Target="https://statiz.sporki.com/add/?m=draft_school01&amp;ps_school=50203" TargetMode="External"/><Relationship Id="rId3516" Type="http://schemas.openxmlformats.org/officeDocument/2006/relationships/hyperlink" Target="https://statiz.sporki.com/add/?m=draft_school02&amp;ps_school=" TargetMode="External"/><Relationship Id="rId12059" Type="http://schemas.openxmlformats.org/officeDocument/2006/relationships/hyperlink" Target="https://statiz.sporki.com/add/?m=draft_school01&amp;ps_school=50701" TargetMode="External"/><Relationship Id="rId437" Type="http://schemas.openxmlformats.org/officeDocument/2006/relationships/hyperlink" Target="https://statiz.sporki.com/add/?m=draft_school01&amp;ps_school=50903" TargetMode="External"/><Relationship Id="rId2118" Type="http://schemas.openxmlformats.org/officeDocument/2006/relationships/hyperlink" Target="https://statiz.sporki.com/add/?m=draft_school02&amp;ps_school=" TargetMode="External"/><Relationship Id="rId5688" Type="http://schemas.openxmlformats.org/officeDocument/2006/relationships/hyperlink" Target="https://statiz.sporki.com/add/?m=draft_school02&amp;ps_school=" TargetMode="External"/><Relationship Id="rId6739" Type="http://schemas.openxmlformats.org/officeDocument/2006/relationships/hyperlink" Target="https://statiz.sporki.com/player/?m=playerinfo&amp;p_no=10380" TargetMode="External"/><Relationship Id="rId12540" Type="http://schemas.openxmlformats.org/officeDocument/2006/relationships/hyperlink" Target="https://statiz.sporki.com/player/?m=playerinfo&amp;p_no=14823" TargetMode="External"/><Relationship Id="rId19153" Type="http://schemas.openxmlformats.org/officeDocument/2006/relationships/hyperlink" Target="https://statiz.sporki.com/add/?m=draft_school01&amp;ps_school=50113" TargetMode="External"/><Relationship Id="rId8161" Type="http://schemas.openxmlformats.org/officeDocument/2006/relationships/hyperlink" Target="https://statiz.sporki.com/player/?m=playerinfo&amp;p_no=10201" TargetMode="External"/><Relationship Id="rId9212" Type="http://schemas.openxmlformats.org/officeDocument/2006/relationships/hyperlink" Target="https://statiz.sporki.com/add/?m=draft_school01&amp;ps_school=50804" TargetMode="External"/><Relationship Id="rId10091" Type="http://schemas.openxmlformats.org/officeDocument/2006/relationships/hyperlink" Target="https://statiz.sporki.com/add/?m=draft_school01&amp;ps_school=50111" TargetMode="External"/><Relationship Id="rId11142" Type="http://schemas.openxmlformats.org/officeDocument/2006/relationships/hyperlink" Target="https://statiz.sporki.com/add/?m=draft_school02&amp;ps_school=60703" TargetMode="External"/><Relationship Id="rId1201" Type="http://schemas.openxmlformats.org/officeDocument/2006/relationships/hyperlink" Target="https://statiz.sporki.com/player/?m=playerinfo&amp;p_no=14841" TargetMode="External"/><Relationship Id="rId4771" Type="http://schemas.openxmlformats.org/officeDocument/2006/relationships/hyperlink" Target="https://statiz.sporki.com/player/?m=playerinfo&amp;p_no=10789" TargetMode="External"/><Relationship Id="rId14365" Type="http://schemas.openxmlformats.org/officeDocument/2006/relationships/hyperlink" Target="https://statiz.sporki.com/player/?m=playerinfo&amp;p_no=10656" TargetMode="External"/><Relationship Id="rId15763" Type="http://schemas.openxmlformats.org/officeDocument/2006/relationships/hyperlink" Target="https://statiz.sporki.com/player/?m=playerinfo&amp;p_no=1389" TargetMode="External"/><Relationship Id="rId16814" Type="http://schemas.openxmlformats.org/officeDocument/2006/relationships/hyperlink" Target="https://statiz.sporki.com/add/?m=draft_school01&amp;ps_school=50805" TargetMode="External"/><Relationship Id="rId3373" Type="http://schemas.openxmlformats.org/officeDocument/2006/relationships/hyperlink" Target="https://statiz.sporki.com/player/?m=playerinfo&amp;p_no=12633" TargetMode="External"/><Relationship Id="rId4424" Type="http://schemas.openxmlformats.org/officeDocument/2006/relationships/hyperlink" Target="https://statiz.sporki.com/add/?m=draft_school01&amp;ps_school=50201" TargetMode="External"/><Relationship Id="rId5822" Type="http://schemas.openxmlformats.org/officeDocument/2006/relationships/hyperlink" Target="https://statiz.sporki.com/add/?m=draft_school01&amp;ps_school=50602" TargetMode="External"/><Relationship Id="rId14018" Type="http://schemas.openxmlformats.org/officeDocument/2006/relationships/hyperlink" Target="https://statiz.sporki.com/player/?m=playerinfo&amp;p_no=10352" TargetMode="External"/><Relationship Id="rId15416" Type="http://schemas.openxmlformats.org/officeDocument/2006/relationships/hyperlink" Target="https://statiz.sporki.com/player/?m=playerinfo&amp;p_no=1658" TargetMode="External"/><Relationship Id="rId18986" Type="http://schemas.openxmlformats.org/officeDocument/2006/relationships/hyperlink" Target="https://statiz.sporki.com/add/?m=draft_school01&amp;ps_school=50209" TargetMode="External"/><Relationship Id="rId294" Type="http://schemas.openxmlformats.org/officeDocument/2006/relationships/hyperlink" Target="https://statiz.sporki.com/add/?m=draft_school02&amp;ps_school=" TargetMode="External"/><Relationship Id="rId3026" Type="http://schemas.openxmlformats.org/officeDocument/2006/relationships/hyperlink" Target="https://statiz.sporki.com/add/?m=draft_school01&amp;ps_school=50703" TargetMode="External"/><Relationship Id="rId7994" Type="http://schemas.openxmlformats.org/officeDocument/2006/relationships/hyperlink" Target="https://statiz.sporki.com/add/?m=draft_school01&amp;ps_school=" TargetMode="External"/><Relationship Id="rId10975" Type="http://schemas.openxmlformats.org/officeDocument/2006/relationships/hyperlink" Target="https://statiz.sporki.com/player/?m=playerinfo&amp;p_no=1355" TargetMode="External"/><Relationship Id="rId17588" Type="http://schemas.openxmlformats.org/officeDocument/2006/relationships/hyperlink" Target="https://statiz.sporki.com/add/?m=draft_school01&amp;ps_school=50114" TargetMode="External"/><Relationship Id="rId18639" Type="http://schemas.openxmlformats.org/officeDocument/2006/relationships/hyperlink" Target="https://statiz.sporki.com/add/?m=draft_school01&amp;ps_school=50805" TargetMode="External"/><Relationship Id="rId5198" Type="http://schemas.openxmlformats.org/officeDocument/2006/relationships/hyperlink" Target="https://statiz.sporki.com/add/?m=draft_school01&amp;ps_school=50601" TargetMode="External"/><Relationship Id="rId6596" Type="http://schemas.openxmlformats.org/officeDocument/2006/relationships/hyperlink" Target="https://statiz.sporki.com/add/?m=draft_school01&amp;ps_school=50208" TargetMode="External"/><Relationship Id="rId7647" Type="http://schemas.openxmlformats.org/officeDocument/2006/relationships/hyperlink" Target="https://statiz.sporki.com/add/?m=draft_school02&amp;ps_school=60113" TargetMode="External"/><Relationship Id="rId10628" Type="http://schemas.openxmlformats.org/officeDocument/2006/relationships/hyperlink" Target="https://statiz.sporki.com/add/?m=draft_school01&amp;ps_school=50116" TargetMode="External"/><Relationship Id="rId6249" Type="http://schemas.openxmlformats.org/officeDocument/2006/relationships/hyperlink" Target="https://statiz.sporki.com/add/?m=draft_school02&amp;ps_school=60109" TargetMode="External"/><Relationship Id="rId12050" Type="http://schemas.openxmlformats.org/officeDocument/2006/relationships/hyperlink" Target="https://statiz.sporki.com/add/?m=draft_school01&amp;ps_school=50711" TargetMode="External"/><Relationship Id="rId13101" Type="http://schemas.openxmlformats.org/officeDocument/2006/relationships/hyperlink" Target="https://statiz.sporki.com/player/?m=playerinfo&amp;p_no=12848" TargetMode="External"/><Relationship Id="rId16671" Type="http://schemas.openxmlformats.org/officeDocument/2006/relationships/hyperlink" Target="https://statiz.sporki.com/add/?m=draft_school01&amp;ps_school=50107" TargetMode="External"/><Relationship Id="rId17722" Type="http://schemas.openxmlformats.org/officeDocument/2006/relationships/hyperlink" Target="https://statiz.sporki.com/add/?m=draft_school01&amp;ps_school=50114" TargetMode="External"/><Relationship Id="rId2859" Type="http://schemas.openxmlformats.org/officeDocument/2006/relationships/hyperlink" Target="https://statiz.sporki.com/add/?m=draft_school02&amp;ps_school=60109" TargetMode="External"/><Relationship Id="rId6730" Type="http://schemas.openxmlformats.org/officeDocument/2006/relationships/hyperlink" Target="https://statiz.sporki.com/player/?m=playerinfo&amp;p_no=10103" TargetMode="External"/><Relationship Id="rId15273" Type="http://schemas.openxmlformats.org/officeDocument/2006/relationships/hyperlink" Target="https://statiz.sporki.com/player/?m=playerinfo&amp;p_no=1809" TargetMode="External"/><Relationship Id="rId16324" Type="http://schemas.openxmlformats.org/officeDocument/2006/relationships/hyperlink" Target="https://statiz.sporki.com/add/?m=draft_school01&amp;ps_school=50208" TargetMode="External"/><Relationship Id="rId4281" Type="http://schemas.openxmlformats.org/officeDocument/2006/relationships/hyperlink" Target="https://statiz.sporki.com/add/?m=draft_school02&amp;ps_school=60801" TargetMode="External"/><Relationship Id="rId5332" Type="http://schemas.openxmlformats.org/officeDocument/2006/relationships/hyperlink" Target="https://statiz.sporki.com/player/?m=playerinfo&amp;p_no=10756" TargetMode="External"/><Relationship Id="rId18496" Type="http://schemas.openxmlformats.org/officeDocument/2006/relationships/hyperlink" Target="https://statiz.sporki.com/add/?m=draft_school01&amp;ps_school=50301" TargetMode="External"/><Relationship Id="rId8555" Type="http://schemas.openxmlformats.org/officeDocument/2006/relationships/hyperlink" Target="https://statiz.sporki.com/add/?m=draft_school01&amp;ps_school=50105" TargetMode="External"/><Relationship Id="rId9606" Type="http://schemas.openxmlformats.org/officeDocument/2006/relationships/hyperlink" Target="https://statiz.sporki.com/add/?m=draft_school02&amp;ps_school=60101" TargetMode="External"/><Relationship Id="rId9953" Type="http://schemas.openxmlformats.org/officeDocument/2006/relationships/hyperlink" Target="https://statiz.sporki.com/add/?m=draft_school01&amp;ps_school=50702" TargetMode="External"/><Relationship Id="rId11883" Type="http://schemas.openxmlformats.org/officeDocument/2006/relationships/hyperlink" Target="https://statiz.sporki.com/add/?m=draft_school02&amp;ps_school=60703" TargetMode="External"/><Relationship Id="rId12934" Type="http://schemas.openxmlformats.org/officeDocument/2006/relationships/hyperlink" Target="https://statiz.sporki.com/player/?m=playerinfo&amp;p_no=13136" TargetMode="External"/><Relationship Id="rId17098" Type="http://schemas.openxmlformats.org/officeDocument/2006/relationships/hyperlink" Target="https://statiz.sporki.com/add/?m=draft_school01&amp;ps_school=50701" TargetMode="External"/><Relationship Id="rId18149" Type="http://schemas.openxmlformats.org/officeDocument/2006/relationships/hyperlink" Target="https://statiz.sporki.com/add/?m=draft_school01&amp;ps_school=50107" TargetMode="External"/><Relationship Id="rId19547" Type="http://schemas.openxmlformats.org/officeDocument/2006/relationships/hyperlink" Target="https://statiz.sporki.com/add/?m=draft_school01&amp;ps_school=50111" TargetMode="External"/><Relationship Id="rId1942" Type="http://schemas.openxmlformats.org/officeDocument/2006/relationships/hyperlink" Target="https://statiz.sporki.com/player/?m=playerinfo&amp;p_no=14137" TargetMode="External"/><Relationship Id="rId7157" Type="http://schemas.openxmlformats.org/officeDocument/2006/relationships/hyperlink" Target="https://statiz.sporki.com/add/?m=draft_school01&amp;ps_school=50403" TargetMode="External"/><Relationship Id="rId8208" Type="http://schemas.openxmlformats.org/officeDocument/2006/relationships/hyperlink" Target="https://statiz.sporki.com/add/?m=draft_school02&amp;ps_school=" TargetMode="External"/><Relationship Id="rId10485" Type="http://schemas.openxmlformats.org/officeDocument/2006/relationships/hyperlink" Target="https://statiz.sporki.com/add/?m=draft_school02&amp;ps_school=" TargetMode="External"/><Relationship Id="rId11536" Type="http://schemas.openxmlformats.org/officeDocument/2006/relationships/hyperlink" Target="https://statiz.sporki.com/player/?m=playerinfo&amp;p_no=1226" TargetMode="External"/><Relationship Id="rId10138" Type="http://schemas.openxmlformats.org/officeDocument/2006/relationships/hyperlink" Target="https://statiz.sporki.com/player/?m=playerinfo&amp;p_no=1678" TargetMode="External"/><Relationship Id="rId14759" Type="http://schemas.openxmlformats.org/officeDocument/2006/relationships/hyperlink" Target="https://statiz.sporki.com/player/?m=playerinfo&amp;p_no=10413" TargetMode="External"/><Relationship Id="rId18630" Type="http://schemas.openxmlformats.org/officeDocument/2006/relationships/hyperlink" Target="https://statiz.sporki.com/add/?m=draft_school01&amp;ps_school=50502" TargetMode="External"/><Relationship Id="rId3767" Type="http://schemas.openxmlformats.org/officeDocument/2006/relationships/hyperlink" Target="https://statiz.sporki.com/add/?m=draft_school01&amp;ps_school=50208" TargetMode="External"/><Relationship Id="rId4818" Type="http://schemas.openxmlformats.org/officeDocument/2006/relationships/hyperlink" Target="https://statiz.sporki.com/add/?m=draft_school02&amp;ps_school=" TargetMode="External"/><Relationship Id="rId16181" Type="http://schemas.openxmlformats.org/officeDocument/2006/relationships/hyperlink" Target="https://statiz.sporki.com/player/?m=playerinfo&amp;p_no=1010" TargetMode="External"/><Relationship Id="rId17232" Type="http://schemas.openxmlformats.org/officeDocument/2006/relationships/hyperlink" Target="https://statiz.sporki.com/add/?m=draft_school01&amp;ps_school=50403" TargetMode="External"/><Relationship Id="rId688" Type="http://schemas.openxmlformats.org/officeDocument/2006/relationships/hyperlink" Target="https://statiz.sporki.com/player/?m=playerinfo&amp;p_no=15095" TargetMode="External"/><Relationship Id="rId2369" Type="http://schemas.openxmlformats.org/officeDocument/2006/relationships/hyperlink" Target="https://statiz.sporki.com/add/?m=draft_school01&amp;ps_school=50206" TargetMode="External"/><Relationship Id="rId6240" Type="http://schemas.openxmlformats.org/officeDocument/2006/relationships/hyperlink" Target="https://statiz.sporki.com/add/?m=draft_school02&amp;ps_school=60203" TargetMode="External"/><Relationship Id="rId2850" Type="http://schemas.openxmlformats.org/officeDocument/2006/relationships/hyperlink" Target="https://statiz.sporki.com/add/?m=draft_school02&amp;ps_school=" TargetMode="External"/><Relationship Id="rId9463" Type="http://schemas.openxmlformats.org/officeDocument/2006/relationships/hyperlink" Target="https://statiz.sporki.com/player/?m=playerinfo&amp;p_no=1839" TargetMode="External"/><Relationship Id="rId11393" Type="http://schemas.openxmlformats.org/officeDocument/2006/relationships/hyperlink" Target="https://statiz.sporki.com/add/?m=draft_school01&amp;ps_school=50602" TargetMode="External"/><Relationship Id="rId12444" Type="http://schemas.openxmlformats.org/officeDocument/2006/relationships/hyperlink" Target="https://statiz.sporki.com/player/?m=playerinfo&amp;p_no=15127" TargetMode="External"/><Relationship Id="rId12791" Type="http://schemas.openxmlformats.org/officeDocument/2006/relationships/hyperlink" Target="https://statiz.sporki.com/player/?m=playerinfo&amp;p_no=14148" TargetMode="External"/><Relationship Id="rId13842" Type="http://schemas.openxmlformats.org/officeDocument/2006/relationships/hyperlink" Target="https://statiz.sporki.com/player/?m=playerinfo&amp;p_no=10806" TargetMode="External"/><Relationship Id="rId19057" Type="http://schemas.openxmlformats.org/officeDocument/2006/relationships/hyperlink" Target="https://statiz.sporki.com/add/?m=draft_school01&amp;ps_school=50402" TargetMode="External"/><Relationship Id="rId822" Type="http://schemas.openxmlformats.org/officeDocument/2006/relationships/hyperlink" Target="https://statiz.sporki.com/add/?m=draft_school02&amp;ps_school=" TargetMode="External"/><Relationship Id="rId1452" Type="http://schemas.openxmlformats.org/officeDocument/2006/relationships/hyperlink" Target="https://statiz.sporki.com/add/?m=draft_school02&amp;ps_school=" TargetMode="External"/><Relationship Id="rId2503" Type="http://schemas.openxmlformats.org/officeDocument/2006/relationships/hyperlink" Target="https://statiz.sporki.com/player/?m=playerinfo&amp;p_no=13174" TargetMode="External"/><Relationship Id="rId3901" Type="http://schemas.openxmlformats.org/officeDocument/2006/relationships/hyperlink" Target="https://statiz.sporki.com/player/?m=playerinfo&amp;p_no=11493" TargetMode="External"/><Relationship Id="rId8065" Type="http://schemas.openxmlformats.org/officeDocument/2006/relationships/hyperlink" Target="https://statiz.sporki.com/player/?m=playerinfo&amp;p_no=10272" TargetMode="External"/><Relationship Id="rId9116" Type="http://schemas.openxmlformats.org/officeDocument/2006/relationships/hyperlink" Target="https://statiz.sporki.com/add/?m=draft_school01&amp;ps_school=50114" TargetMode="External"/><Relationship Id="rId11046" Type="http://schemas.openxmlformats.org/officeDocument/2006/relationships/hyperlink" Target="https://statiz.sporki.com/add/?m=draft_school02&amp;ps_school=60703" TargetMode="External"/><Relationship Id="rId1105" Type="http://schemas.openxmlformats.org/officeDocument/2006/relationships/hyperlink" Target="https://statiz.sporki.com/player/?m=playerinfo&amp;p_no=14826" TargetMode="External"/><Relationship Id="rId15667" Type="http://schemas.openxmlformats.org/officeDocument/2006/relationships/hyperlink" Target="https://statiz.sporki.com/player/?m=playerinfo&amp;p_no=1424" TargetMode="External"/><Relationship Id="rId16718" Type="http://schemas.openxmlformats.org/officeDocument/2006/relationships/hyperlink" Target="https://statiz.sporki.com/add/?m=draft_school01&amp;ps_school=50114" TargetMode="External"/><Relationship Id="rId3277" Type="http://schemas.openxmlformats.org/officeDocument/2006/relationships/hyperlink" Target="https://statiz.sporki.com/player/?m=playerinfo&amp;p_no=12525" TargetMode="External"/><Relationship Id="rId4675" Type="http://schemas.openxmlformats.org/officeDocument/2006/relationships/hyperlink" Target="https://statiz.sporki.com/player/?m=playerinfo&amp;p_no=11080" TargetMode="External"/><Relationship Id="rId5726" Type="http://schemas.openxmlformats.org/officeDocument/2006/relationships/hyperlink" Target="https://statiz.sporki.com/add/?m=draft_school01&amp;ps_school=50703" TargetMode="External"/><Relationship Id="rId14269" Type="http://schemas.openxmlformats.org/officeDocument/2006/relationships/hyperlink" Target="https://statiz.sporki.com/player/?m=playerinfo&amp;p_no=10261" TargetMode="External"/><Relationship Id="rId18140" Type="http://schemas.openxmlformats.org/officeDocument/2006/relationships/hyperlink" Target="https://statiz.sporki.com/add/?m=draft_school01&amp;ps_school=50107" TargetMode="External"/><Relationship Id="rId198" Type="http://schemas.openxmlformats.org/officeDocument/2006/relationships/hyperlink" Target="https://statiz.sporki.com/add/?m=draft_school02&amp;ps_school=" TargetMode="External"/><Relationship Id="rId4328" Type="http://schemas.openxmlformats.org/officeDocument/2006/relationships/hyperlink" Target="https://statiz.sporki.com/add/?m=draft_school01&amp;ps_school=" TargetMode="External"/><Relationship Id="rId7898" Type="http://schemas.openxmlformats.org/officeDocument/2006/relationships/hyperlink" Target="https://statiz.sporki.com/add/?m=draft_school01&amp;ps_school=50602" TargetMode="External"/><Relationship Id="rId8949" Type="http://schemas.openxmlformats.org/officeDocument/2006/relationships/hyperlink" Target="https://statiz.sporki.com/add/?m=draft_school02&amp;ps_school=60101" TargetMode="External"/><Relationship Id="rId10879" Type="http://schemas.openxmlformats.org/officeDocument/2006/relationships/hyperlink" Target="https://statiz.sporki.com/player/?m=playerinfo&amp;p_no=1397" TargetMode="External"/><Relationship Id="rId14750" Type="http://schemas.openxmlformats.org/officeDocument/2006/relationships/hyperlink" Target="https://statiz.sporki.com/player/?m=playerinfo&amp;p_no=10592" TargetMode="External"/><Relationship Id="rId15801" Type="http://schemas.openxmlformats.org/officeDocument/2006/relationships/hyperlink" Target="https://statiz.sporki.com/player/?m=playerinfo&amp;p_no=1411" TargetMode="External"/><Relationship Id="rId13352" Type="http://schemas.openxmlformats.org/officeDocument/2006/relationships/hyperlink" Target="https://statiz.sporki.com/player/?m=playerinfo&amp;p_no=11388" TargetMode="External"/><Relationship Id="rId14403" Type="http://schemas.openxmlformats.org/officeDocument/2006/relationships/hyperlink" Target="https://statiz.sporki.com/player/?m=playerinfo&amp;p_no=10709" TargetMode="External"/><Relationship Id="rId2360" Type="http://schemas.openxmlformats.org/officeDocument/2006/relationships/hyperlink" Target="https://statiz.sporki.com/add/?m=draft_school01&amp;ps_school=50807" TargetMode="External"/><Relationship Id="rId3411" Type="http://schemas.openxmlformats.org/officeDocument/2006/relationships/hyperlink" Target="https://statiz.sporki.com/add/?m=draft_school02&amp;ps_school=" TargetMode="External"/><Relationship Id="rId6981" Type="http://schemas.openxmlformats.org/officeDocument/2006/relationships/hyperlink" Target="https://statiz.sporki.com/add/?m=draft_school02&amp;ps_school=60401" TargetMode="External"/><Relationship Id="rId13005" Type="http://schemas.openxmlformats.org/officeDocument/2006/relationships/hyperlink" Target="https://statiz.sporki.com/player/?m=playerinfo&amp;p_no=13123" TargetMode="External"/><Relationship Id="rId16575" Type="http://schemas.openxmlformats.org/officeDocument/2006/relationships/hyperlink" Target="https://statiz.sporki.com/add/?m=draft_school01&amp;ps_school=51118" TargetMode="External"/><Relationship Id="rId17973" Type="http://schemas.openxmlformats.org/officeDocument/2006/relationships/hyperlink" Target="https://statiz.sporki.com/add/?m=draft_school01&amp;ps_school=50703" TargetMode="External"/><Relationship Id="rId332" Type="http://schemas.openxmlformats.org/officeDocument/2006/relationships/hyperlink" Target="https://statiz.sporki.com/add/?m=draft_school01&amp;ps_school=" TargetMode="External"/><Relationship Id="rId2013" Type="http://schemas.openxmlformats.org/officeDocument/2006/relationships/hyperlink" Target="https://statiz.sporki.com/add/?m=draft_school02&amp;ps_school=" TargetMode="External"/><Relationship Id="rId5583" Type="http://schemas.openxmlformats.org/officeDocument/2006/relationships/hyperlink" Target="https://statiz.sporki.com/add/?m=draft_school02&amp;ps_school=" TargetMode="External"/><Relationship Id="rId6634" Type="http://schemas.openxmlformats.org/officeDocument/2006/relationships/hyperlink" Target="https://statiz.sporki.com/player/?m=playerinfo&amp;p_no=2377" TargetMode="External"/><Relationship Id="rId15177" Type="http://schemas.openxmlformats.org/officeDocument/2006/relationships/hyperlink" Target="https://statiz.sporki.com/player/?m=playerinfo&amp;p_no=1905" TargetMode="External"/><Relationship Id="rId16228" Type="http://schemas.openxmlformats.org/officeDocument/2006/relationships/hyperlink" Target="https://statiz.sporki.com/add/?m=draft_school01&amp;ps_school=50108" TargetMode="External"/><Relationship Id="rId17626" Type="http://schemas.openxmlformats.org/officeDocument/2006/relationships/hyperlink" Target="https://statiz.sporki.com/add/?m=draft_school01&amp;ps_school=50804" TargetMode="External"/><Relationship Id="rId4185" Type="http://schemas.openxmlformats.org/officeDocument/2006/relationships/hyperlink" Target="https://statiz.sporki.com/add/?m=draft_school02&amp;ps_school=" TargetMode="External"/><Relationship Id="rId5236" Type="http://schemas.openxmlformats.org/officeDocument/2006/relationships/hyperlink" Target="https://statiz.sporki.com/player/?m=playerinfo&amp;p_no=10637" TargetMode="External"/><Relationship Id="rId9857" Type="http://schemas.openxmlformats.org/officeDocument/2006/relationships/hyperlink" Target="https://statiz.sporki.com/add/?m=draft_school01&amp;ps_school=50209" TargetMode="External"/><Relationship Id="rId11787" Type="http://schemas.openxmlformats.org/officeDocument/2006/relationships/hyperlink" Target="https://statiz.sporki.com/add/?m=draft_school02&amp;ps_school=60109" TargetMode="External"/><Relationship Id="rId12838" Type="http://schemas.openxmlformats.org/officeDocument/2006/relationships/hyperlink" Target="https://statiz.sporki.com/player/?m=playerinfo&amp;p_no=14142" TargetMode="External"/><Relationship Id="rId1846" Type="http://schemas.openxmlformats.org/officeDocument/2006/relationships/hyperlink" Target="https://statiz.sporki.com/player/?m=playerinfo&amp;p_no=14176" TargetMode="External"/><Relationship Id="rId8459" Type="http://schemas.openxmlformats.org/officeDocument/2006/relationships/hyperlink" Target="https://statiz.sporki.com/add/?m=draft_school01&amp;ps_school=50110" TargetMode="External"/><Relationship Id="rId10389" Type="http://schemas.openxmlformats.org/officeDocument/2006/relationships/hyperlink" Target="https://statiz.sporki.com/add/?m=draft_school02&amp;ps_school=" TargetMode="External"/><Relationship Id="rId14260" Type="http://schemas.openxmlformats.org/officeDocument/2006/relationships/hyperlink" Target="https://statiz.sporki.com/player/?m=playerinfo&amp;p_no=10038" TargetMode="External"/><Relationship Id="rId15311" Type="http://schemas.openxmlformats.org/officeDocument/2006/relationships/hyperlink" Target="https://statiz.sporki.com/player/?m=playerinfo&amp;p_no=1855" TargetMode="External"/><Relationship Id="rId18881" Type="http://schemas.openxmlformats.org/officeDocument/2006/relationships/hyperlink" Target="https://statiz.sporki.com/add/?m=draft_school01&amp;ps_school=50112" TargetMode="External"/><Relationship Id="rId8940" Type="http://schemas.openxmlformats.org/officeDocument/2006/relationships/hyperlink" Target="https://statiz.sporki.com/add/?m=draft_school02&amp;ps_school=" TargetMode="External"/><Relationship Id="rId17483" Type="http://schemas.openxmlformats.org/officeDocument/2006/relationships/hyperlink" Target="https://statiz.sporki.com/add/?m=draft_school01&amp;ps_school=50103" TargetMode="External"/><Relationship Id="rId18534" Type="http://schemas.openxmlformats.org/officeDocument/2006/relationships/hyperlink" Target="https://statiz.sporki.com/add/?m=draft_school01&amp;ps_school=50103" TargetMode="External"/><Relationship Id="rId6491" Type="http://schemas.openxmlformats.org/officeDocument/2006/relationships/hyperlink" Target="https://statiz.sporki.com/add/?m=draft_school01&amp;ps_school=50601" TargetMode="External"/><Relationship Id="rId7542" Type="http://schemas.openxmlformats.org/officeDocument/2006/relationships/hyperlink" Target="https://statiz.sporki.com/add/?m=draft_school02&amp;ps_school=60101" TargetMode="External"/><Relationship Id="rId10523" Type="http://schemas.openxmlformats.org/officeDocument/2006/relationships/hyperlink" Target="https://statiz.sporki.com/add/?m=draft_school01&amp;ps_school=50602" TargetMode="External"/><Relationship Id="rId10870" Type="http://schemas.openxmlformats.org/officeDocument/2006/relationships/hyperlink" Target="https://statiz.sporki.com/player/?m=playerinfo&amp;p_no=1378" TargetMode="External"/><Relationship Id="rId11921" Type="http://schemas.openxmlformats.org/officeDocument/2006/relationships/hyperlink" Target="https://statiz.sporki.com/add/?m=draft_school01&amp;ps_school=50802" TargetMode="External"/><Relationship Id="rId16085" Type="http://schemas.openxmlformats.org/officeDocument/2006/relationships/hyperlink" Target="https://statiz.sporki.com/player/?m=playerinfo&amp;p_no=1114" TargetMode="External"/><Relationship Id="rId17136" Type="http://schemas.openxmlformats.org/officeDocument/2006/relationships/hyperlink" Target="https://statiz.sporki.com/add/?m=draft_school01&amp;ps_school=50116" TargetMode="External"/><Relationship Id="rId5093" Type="http://schemas.openxmlformats.org/officeDocument/2006/relationships/hyperlink" Target="https://statiz.sporki.com/add/?m=draft_school01&amp;ps_school=50110" TargetMode="External"/><Relationship Id="rId6144" Type="http://schemas.openxmlformats.org/officeDocument/2006/relationships/hyperlink" Target="https://statiz.sporki.com/add/?m=draft_school02&amp;ps_school=60104" TargetMode="External"/><Relationship Id="rId9367" Type="http://schemas.openxmlformats.org/officeDocument/2006/relationships/hyperlink" Target="https://statiz.sporki.com/player/?m=playerinfo&amp;p_no=1800" TargetMode="External"/><Relationship Id="rId12695" Type="http://schemas.openxmlformats.org/officeDocument/2006/relationships/hyperlink" Target="https://statiz.sporki.com/player/?m=playerinfo&amp;p_no=14651" TargetMode="External"/><Relationship Id="rId13746" Type="http://schemas.openxmlformats.org/officeDocument/2006/relationships/hyperlink" Target="https://statiz.sporki.com/player/?m=playerinfo&amp;p_no=10909" TargetMode="External"/><Relationship Id="rId1356" Type="http://schemas.openxmlformats.org/officeDocument/2006/relationships/hyperlink" Target="https://statiz.sporki.com/add/?m=draft_school02&amp;ps_school=60902" TargetMode="External"/><Relationship Id="rId2754" Type="http://schemas.openxmlformats.org/officeDocument/2006/relationships/hyperlink" Target="https://statiz.sporki.com/add/?m=draft_school02&amp;ps_school=" TargetMode="External"/><Relationship Id="rId3805" Type="http://schemas.openxmlformats.org/officeDocument/2006/relationships/hyperlink" Target="https://statiz.sporki.com/player/?m=playerinfo&amp;p_no=13272" TargetMode="External"/><Relationship Id="rId11297" Type="http://schemas.openxmlformats.org/officeDocument/2006/relationships/hyperlink" Target="https://statiz.sporki.com/add/?m=draft_school01&amp;ps_school=50805" TargetMode="External"/><Relationship Id="rId12348" Type="http://schemas.openxmlformats.org/officeDocument/2006/relationships/hyperlink" Target="https://statiz.sporki.com/player/?m=playerinfo&amp;p_no=15071" TargetMode="External"/><Relationship Id="rId16969" Type="http://schemas.openxmlformats.org/officeDocument/2006/relationships/hyperlink" Target="https://statiz.sporki.com/add/?m=draft_school01&amp;ps_school=50113" TargetMode="External"/><Relationship Id="rId726" Type="http://schemas.openxmlformats.org/officeDocument/2006/relationships/hyperlink" Target="https://statiz.sporki.com/add/?m=draft_school02&amp;ps_school=60803" TargetMode="External"/><Relationship Id="rId1009" Type="http://schemas.openxmlformats.org/officeDocument/2006/relationships/hyperlink" Target="https://statiz.sporki.com/player/?m=playerinfo&amp;p_no=14785" TargetMode="External"/><Relationship Id="rId2407" Type="http://schemas.openxmlformats.org/officeDocument/2006/relationships/hyperlink" Target="https://statiz.sporki.com/player/?m=playerinfo&amp;p_no=13137" TargetMode="External"/><Relationship Id="rId5977" Type="http://schemas.openxmlformats.org/officeDocument/2006/relationships/hyperlink" Target="https://statiz.sporki.com/player/?m=playerinfo&amp;p_no=10512" TargetMode="External"/><Relationship Id="rId18391" Type="http://schemas.openxmlformats.org/officeDocument/2006/relationships/hyperlink" Target="https://statiz.sporki.com/add/?m=draft_school01&amp;ps_school=50105" TargetMode="External"/><Relationship Id="rId19442" Type="http://schemas.openxmlformats.org/officeDocument/2006/relationships/hyperlink" Target="https://statiz.sporki.com/add/?m=draft_school01&amp;ps_school=50608" TargetMode="External"/><Relationship Id="rId62" Type="http://schemas.openxmlformats.org/officeDocument/2006/relationships/hyperlink" Target="https://statiz.sporki.com/add/?m=draft_school01&amp;ps_school=50111" TargetMode="External"/><Relationship Id="rId4579" Type="http://schemas.openxmlformats.org/officeDocument/2006/relationships/hyperlink" Target="https://statiz.sporki.com/player/?m=playerinfo&amp;p_no=11291" TargetMode="External"/><Relationship Id="rId8450" Type="http://schemas.openxmlformats.org/officeDocument/2006/relationships/hyperlink" Target="https://statiz.sporki.com/add/?m=draft_school01&amp;ps_school=50402" TargetMode="External"/><Relationship Id="rId9501" Type="http://schemas.openxmlformats.org/officeDocument/2006/relationships/hyperlink" Target="https://statiz.sporki.com/add/?m=draft_school02&amp;ps_school=" TargetMode="External"/><Relationship Id="rId10380" Type="http://schemas.openxmlformats.org/officeDocument/2006/relationships/hyperlink" Target="https://statiz.sporki.com/add/?m=draft_school02&amp;ps_school=" TargetMode="External"/><Relationship Id="rId11431" Type="http://schemas.openxmlformats.org/officeDocument/2006/relationships/hyperlink" Target="https://statiz.sporki.com/player/?m=playerinfo&amp;p_no=1308" TargetMode="External"/><Relationship Id="rId18044" Type="http://schemas.openxmlformats.org/officeDocument/2006/relationships/hyperlink" Target="https://statiz.sporki.com/add/?m=draft_school01&amp;ps_school=50110" TargetMode="External"/><Relationship Id="rId7052" Type="http://schemas.openxmlformats.org/officeDocument/2006/relationships/hyperlink" Target="https://statiz.sporki.com/add/?m=draft_school01&amp;ps_school=50702" TargetMode="External"/><Relationship Id="rId8103" Type="http://schemas.openxmlformats.org/officeDocument/2006/relationships/hyperlink" Target="https://statiz.sporki.com/add/?m=draft_school02&amp;ps_school=60204" TargetMode="External"/><Relationship Id="rId10033" Type="http://schemas.openxmlformats.org/officeDocument/2006/relationships/hyperlink" Target="https://statiz.sporki.com/player/?m=playerinfo&amp;p_no=1617" TargetMode="External"/><Relationship Id="rId14654" Type="http://schemas.openxmlformats.org/officeDocument/2006/relationships/hyperlink" Target="https://statiz.sporki.com/player/?m=playerinfo&amp;p_no=2238" TargetMode="External"/><Relationship Id="rId3662" Type="http://schemas.openxmlformats.org/officeDocument/2006/relationships/hyperlink" Target="https://statiz.sporki.com/add/?m=draft_school01&amp;ps_school=50114" TargetMode="External"/><Relationship Id="rId4713" Type="http://schemas.openxmlformats.org/officeDocument/2006/relationships/hyperlink" Target="https://statiz.sporki.com/add/?m=draft_school02&amp;ps_school=60501" TargetMode="External"/><Relationship Id="rId13256" Type="http://schemas.openxmlformats.org/officeDocument/2006/relationships/hyperlink" Target="https://statiz.sporki.com/player/?m=playerinfo&amp;p_no=12632" TargetMode="External"/><Relationship Id="rId14307" Type="http://schemas.openxmlformats.org/officeDocument/2006/relationships/hyperlink" Target="https://statiz.sporki.com/player/?m=playerinfo&amp;p_no=10082" TargetMode="External"/><Relationship Id="rId15705" Type="http://schemas.openxmlformats.org/officeDocument/2006/relationships/hyperlink" Target="https://statiz.sporki.com/player/?m=playerinfo&amp;p_no=1552" TargetMode="External"/><Relationship Id="rId583" Type="http://schemas.openxmlformats.org/officeDocument/2006/relationships/hyperlink" Target="https://statiz.sporki.com/player/?m=playerinfo&amp;p_no=15049" TargetMode="External"/><Relationship Id="rId2264" Type="http://schemas.openxmlformats.org/officeDocument/2006/relationships/hyperlink" Target="https://statiz.sporki.com/add/?m=draft_school01&amp;ps_school=50114" TargetMode="External"/><Relationship Id="rId3315" Type="http://schemas.openxmlformats.org/officeDocument/2006/relationships/hyperlink" Target="https://statiz.sporki.com/add/?m=draft_school02&amp;ps_school=" TargetMode="External"/><Relationship Id="rId17877" Type="http://schemas.openxmlformats.org/officeDocument/2006/relationships/hyperlink" Target="https://statiz.sporki.com/add/?m=draft_school01&amp;ps_school=50107" TargetMode="External"/><Relationship Id="rId18928" Type="http://schemas.openxmlformats.org/officeDocument/2006/relationships/hyperlink" Target="https://statiz.sporki.com/add/?m=draft_school01&amp;ps_school=50114" TargetMode="External"/><Relationship Id="rId236" Type="http://schemas.openxmlformats.org/officeDocument/2006/relationships/hyperlink" Target="https://statiz.sporki.com/add/?m=draft_school01&amp;ps_school=50807" TargetMode="External"/><Relationship Id="rId5487" Type="http://schemas.openxmlformats.org/officeDocument/2006/relationships/hyperlink" Target="https://statiz.sporki.com/add/?m=draft_school02&amp;ps_school=" TargetMode="External"/><Relationship Id="rId6885" Type="http://schemas.openxmlformats.org/officeDocument/2006/relationships/hyperlink" Target="https://statiz.sporki.com/add/?m=draft_school02&amp;ps_school=60602" TargetMode="External"/><Relationship Id="rId7936" Type="http://schemas.openxmlformats.org/officeDocument/2006/relationships/hyperlink" Target="https://statiz.sporki.com/player/?m=playerinfo&amp;p_no=2173" TargetMode="External"/><Relationship Id="rId10917" Type="http://schemas.openxmlformats.org/officeDocument/2006/relationships/hyperlink" Target="https://statiz.sporki.com/add/?m=draft_school02&amp;ps_school=60102" TargetMode="External"/><Relationship Id="rId16479" Type="http://schemas.openxmlformats.org/officeDocument/2006/relationships/hyperlink" Target="https://statiz.sporki.com/add/?m=draft_school01&amp;ps_school=50109" TargetMode="External"/><Relationship Id="rId4089" Type="http://schemas.openxmlformats.org/officeDocument/2006/relationships/hyperlink" Target="https://statiz.sporki.com/add/?m=draft_school02&amp;ps_school=60109" TargetMode="External"/><Relationship Id="rId6538" Type="http://schemas.openxmlformats.org/officeDocument/2006/relationships/hyperlink" Target="https://statiz.sporki.com/player/?m=playerinfo&amp;p_no=11161" TargetMode="External"/><Relationship Id="rId9011" Type="http://schemas.openxmlformats.org/officeDocument/2006/relationships/hyperlink" Target="https://statiz.sporki.com/add/?m=draft_school01&amp;ps_school=50111" TargetMode="External"/><Relationship Id="rId16960" Type="http://schemas.openxmlformats.org/officeDocument/2006/relationships/hyperlink" Target="https://statiz.sporki.com/add/?m=draft_school01&amp;ps_school=50701" TargetMode="External"/><Relationship Id="rId15562" Type="http://schemas.openxmlformats.org/officeDocument/2006/relationships/hyperlink" Target="https://statiz.sporki.com/player/?m=playerinfo&amp;p_no=1579" TargetMode="External"/><Relationship Id="rId16613" Type="http://schemas.openxmlformats.org/officeDocument/2006/relationships/hyperlink" Target="https://statiz.sporki.com/add/?m=draft_school01&amp;ps_school=50901" TargetMode="External"/><Relationship Id="rId1000" Type="http://schemas.openxmlformats.org/officeDocument/2006/relationships/hyperlink" Target="https://statiz.sporki.com/player/?m=playerinfo&amp;p_no=14769" TargetMode="External"/><Relationship Id="rId4570" Type="http://schemas.openxmlformats.org/officeDocument/2006/relationships/hyperlink" Target="https://statiz.sporki.com/player/?m=playerinfo&amp;p_no=11096" TargetMode="External"/><Relationship Id="rId5621" Type="http://schemas.openxmlformats.org/officeDocument/2006/relationships/hyperlink" Target="https://statiz.sporki.com/add/?m=draft_school01&amp;ps_school=50403" TargetMode="External"/><Relationship Id="rId14164" Type="http://schemas.openxmlformats.org/officeDocument/2006/relationships/hyperlink" Target="https://statiz.sporki.com/player/?m=playerinfo&amp;p_no=10452" TargetMode="External"/><Relationship Id="rId15215" Type="http://schemas.openxmlformats.org/officeDocument/2006/relationships/hyperlink" Target="https://statiz.sporki.com/player/?m=playerinfo&amp;p_no=1976" TargetMode="External"/><Relationship Id="rId18785" Type="http://schemas.openxmlformats.org/officeDocument/2006/relationships/hyperlink" Target="https://statiz.sporki.com/add/?m=draft_school01&amp;ps_school=50803" TargetMode="External"/><Relationship Id="rId3172" Type="http://schemas.openxmlformats.org/officeDocument/2006/relationships/hyperlink" Target="https://statiz.sporki.com/player/?m=playerinfo&amp;p_no=12530" TargetMode="External"/><Relationship Id="rId4223" Type="http://schemas.openxmlformats.org/officeDocument/2006/relationships/hyperlink" Target="https://statiz.sporki.com/add/?m=draft_school01&amp;ps_school=50105" TargetMode="External"/><Relationship Id="rId7793" Type="http://schemas.openxmlformats.org/officeDocument/2006/relationships/hyperlink" Target="https://statiz.sporki.com/add/?m=draft_school01&amp;ps_school=50701" TargetMode="External"/><Relationship Id="rId8844" Type="http://schemas.openxmlformats.org/officeDocument/2006/relationships/hyperlink" Target="https://statiz.sporki.com/add/?m=draft_school02&amp;ps_school=60802" TargetMode="External"/><Relationship Id="rId17387" Type="http://schemas.openxmlformats.org/officeDocument/2006/relationships/hyperlink" Target="https://statiz.sporki.com/add/?m=draft_school01&amp;ps_school=50101" TargetMode="External"/><Relationship Id="rId18438" Type="http://schemas.openxmlformats.org/officeDocument/2006/relationships/hyperlink" Target="https://statiz.sporki.com/add/?m=draft_school01&amp;ps_school=50301" TargetMode="External"/><Relationship Id="rId6395" Type="http://schemas.openxmlformats.org/officeDocument/2006/relationships/hyperlink" Target="https://statiz.sporki.com/add/?m=draft_school01&amp;ps_school=50209" TargetMode="External"/><Relationship Id="rId7446" Type="http://schemas.openxmlformats.org/officeDocument/2006/relationships/hyperlink" Target="https://statiz.sporki.com/add/?m=draft_school02&amp;ps_school=60108" TargetMode="External"/><Relationship Id="rId10774" Type="http://schemas.openxmlformats.org/officeDocument/2006/relationships/hyperlink" Target="https://statiz.sporki.com/player/?m=playerinfo&amp;p_no=1412" TargetMode="External"/><Relationship Id="rId11825" Type="http://schemas.openxmlformats.org/officeDocument/2006/relationships/hyperlink" Target="https://statiz.sporki.com/add/?m=draft_school01&amp;ps_school=50109" TargetMode="External"/><Relationship Id="rId6048" Type="http://schemas.openxmlformats.org/officeDocument/2006/relationships/hyperlink" Target="https://statiz.sporki.com/add/?m=draft_school02&amp;ps_school=" TargetMode="External"/><Relationship Id="rId10427" Type="http://schemas.openxmlformats.org/officeDocument/2006/relationships/hyperlink" Target="https://statiz.sporki.com/add/?m=draft_school01&amp;ps_school=50806" TargetMode="External"/><Relationship Id="rId13997" Type="http://schemas.openxmlformats.org/officeDocument/2006/relationships/hyperlink" Target="https://statiz.sporki.com/player/?m=playerinfo&amp;p_no=10403" TargetMode="External"/><Relationship Id="rId12599" Type="http://schemas.openxmlformats.org/officeDocument/2006/relationships/hyperlink" Target="https://statiz.sporki.com/player/?m=playerinfo&amp;p_no=14880" TargetMode="External"/><Relationship Id="rId16470" Type="http://schemas.openxmlformats.org/officeDocument/2006/relationships/hyperlink" Target="https://statiz.sporki.com/add/?m=draft_school01&amp;ps_school=50211" TargetMode="External"/><Relationship Id="rId17521" Type="http://schemas.openxmlformats.org/officeDocument/2006/relationships/hyperlink" Target="https://statiz.sporki.com/add/?m=draft_school01&amp;ps_school=50209" TargetMode="External"/><Relationship Id="rId977" Type="http://schemas.openxmlformats.org/officeDocument/2006/relationships/hyperlink" Target="https://statiz.sporki.com/add/?m=draft_school01&amp;ps_school=50705" TargetMode="External"/><Relationship Id="rId2658" Type="http://schemas.openxmlformats.org/officeDocument/2006/relationships/hyperlink" Target="https://statiz.sporki.com/add/?m=draft_school02&amp;ps_school=" TargetMode="External"/><Relationship Id="rId3709" Type="http://schemas.openxmlformats.org/officeDocument/2006/relationships/hyperlink" Target="https://statiz.sporki.com/player/?m=playerinfo&amp;p_no=11302" TargetMode="External"/><Relationship Id="rId4080" Type="http://schemas.openxmlformats.org/officeDocument/2006/relationships/hyperlink" Target="https://statiz.sporki.com/add/?m=draft_school02&amp;ps_school=60101" TargetMode="External"/><Relationship Id="rId15072" Type="http://schemas.openxmlformats.org/officeDocument/2006/relationships/hyperlink" Target="https://statiz.sporki.com/player/?m=playerinfo&amp;p_no=10537" TargetMode="External"/><Relationship Id="rId16123" Type="http://schemas.openxmlformats.org/officeDocument/2006/relationships/hyperlink" Target="https://statiz.sporki.com/player/?m=playerinfo&amp;p_no=1031" TargetMode="External"/><Relationship Id="rId5131" Type="http://schemas.openxmlformats.org/officeDocument/2006/relationships/hyperlink" Target="https://statiz.sporki.com/player/?m=playerinfo&amp;p_no=10930" TargetMode="External"/><Relationship Id="rId9752" Type="http://schemas.openxmlformats.org/officeDocument/2006/relationships/hyperlink" Target="https://statiz.sporki.com/add/?m=draft_school01&amp;ps_school=50604" TargetMode="External"/><Relationship Id="rId11682" Type="http://schemas.openxmlformats.org/officeDocument/2006/relationships/hyperlink" Target="https://statiz.sporki.com/add/?m=draft_school02&amp;ps_school=60204" TargetMode="External"/><Relationship Id="rId12733" Type="http://schemas.openxmlformats.org/officeDocument/2006/relationships/hyperlink" Target="https://statiz.sporki.com/player/?m=playerinfo&amp;p_no=14728" TargetMode="External"/><Relationship Id="rId18295" Type="http://schemas.openxmlformats.org/officeDocument/2006/relationships/hyperlink" Target="https://statiz.sporki.com/add/?m=draft_school01&amp;ps_school=50802" TargetMode="External"/><Relationship Id="rId19346" Type="http://schemas.openxmlformats.org/officeDocument/2006/relationships/hyperlink" Target="https://statiz.sporki.com/add/?m=draft_school01&amp;ps_school=50812" TargetMode="External"/><Relationship Id="rId1741" Type="http://schemas.openxmlformats.org/officeDocument/2006/relationships/hyperlink" Target="https://statiz.sporki.com/player/?m=playerinfo&amp;p_no=14626" TargetMode="External"/><Relationship Id="rId8354" Type="http://schemas.openxmlformats.org/officeDocument/2006/relationships/hyperlink" Target="https://statiz.sporki.com/add/?m=draft_school01&amp;ps_school=50802" TargetMode="External"/><Relationship Id="rId9405" Type="http://schemas.openxmlformats.org/officeDocument/2006/relationships/hyperlink" Target="https://statiz.sporki.com/add/?m=draft_school02&amp;ps_school=60203" TargetMode="External"/><Relationship Id="rId10284" Type="http://schemas.openxmlformats.org/officeDocument/2006/relationships/hyperlink" Target="https://statiz.sporki.com/add/?m=draft_school02&amp;ps_school=60111" TargetMode="External"/><Relationship Id="rId11335" Type="http://schemas.openxmlformats.org/officeDocument/2006/relationships/hyperlink" Target="https://statiz.sporki.com/player/?m=playerinfo&amp;p_no=1257" TargetMode="External"/><Relationship Id="rId8007" Type="http://schemas.openxmlformats.org/officeDocument/2006/relationships/hyperlink" Target="https://statiz.sporki.com/add/?m=draft_school02&amp;ps_school=" TargetMode="External"/><Relationship Id="rId15956" Type="http://schemas.openxmlformats.org/officeDocument/2006/relationships/hyperlink" Target="https://statiz.sporki.com/player/?m=playerinfo&amp;p_no=1318" TargetMode="External"/><Relationship Id="rId3566" Type="http://schemas.openxmlformats.org/officeDocument/2006/relationships/hyperlink" Target="https://statiz.sporki.com/add/?m=draft_school01&amp;ps_school=50804" TargetMode="External"/><Relationship Id="rId4964" Type="http://schemas.openxmlformats.org/officeDocument/2006/relationships/hyperlink" Target="https://statiz.sporki.com/add/?m=draft_school01&amp;ps_school=50802" TargetMode="External"/><Relationship Id="rId14558" Type="http://schemas.openxmlformats.org/officeDocument/2006/relationships/hyperlink" Target="https://statiz.sporki.com/player/?m=playerinfo&amp;p_no=2273" TargetMode="External"/><Relationship Id="rId15609" Type="http://schemas.openxmlformats.org/officeDocument/2006/relationships/hyperlink" Target="https://statiz.sporki.com/player/?m=playerinfo&amp;p_no=1698" TargetMode="External"/><Relationship Id="rId17031" Type="http://schemas.openxmlformats.org/officeDocument/2006/relationships/hyperlink" Target="https://statiz.sporki.com/add/?m=draft_school01&amp;ps_school=50116" TargetMode="External"/><Relationship Id="rId487" Type="http://schemas.openxmlformats.org/officeDocument/2006/relationships/hyperlink" Target="https://statiz.sporki.com/player/?m=playerinfo&amp;p_no=15023" TargetMode="External"/><Relationship Id="rId2168" Type="http://schemas.openxmlformats.org/officeDocument/2006/relationships/hyperlink" Target="https://statiz.sporki.com/add/?m=draft_school01&amp;ps_school=50107" TargetMode="External"/><Relationship Id="rId3219" Type="http://schemas.openxmlformats.org/officeDocument/2006/relationships/hyperlink" Target="https://statiz.sporki.com/add/?m=draft_school02&amp;ps_school=" TargetMode="External"/><Relationship Id="rId4617" Type="http://schemas.openxmlformats.org/officeDocument/2006/relationships/hyperlink" Target="https://statiz.sporki.com/add/?m=draft_school02&amp;ps_school=" TargetMode="External"/><Relationship Id="rId6789" Type="http://schemas.openxmlformats.org/officeDocument/2006/relationships/hyperlink" Target="https://statiz.sporki.com/add/?m=draft_school02&amp;ps_school=60704" TargetMode="External"/><Relationship Id="rId12590" Type="http://schemas.openxmlformats.org/officeDocument/2006/relationships/hyperlink" Target="https://statiz.sporki.com/player/?m=playerinfo&amp;p_no=14883" TargetMode="External"/><Relationship Id="rId13641" Type="http://schemas.openxmlformats.org/officeDocument/2006/relationships/hyperlink" Target="https://statiz.sporki.com/player/?m=playerinfo&amp;p_no=11119" TargetMode="External"/><Relationship Id="rId3700" Type="http://schemas.openxmlformats.org/officeDocument/2006/relationships/hyperlink" Target="https://statiz.sporki.com/player/?m=playerinfo&amp;p_no=11399" TargetMode="External"/><Relationship Id="rId9262" Type="http://schemas.openxmlformats.org/officeDocument/2006/relationships/hyperlink" Target="https://statiz.sporki.com/player/?m=playerinfo&amp;p_no=1870" TargetMode="External"/><Relationship Id="rId11192" Type="http://schemas.openxmlformats.org/officeDocument/2006/relationships/hyperlink" Target="https://statiz.sporki.com/add/?m=draft_school01&amp;ps_school=50711" TargetMode="External"/><Relationship Id="rId12243" Type="http://schemas.openxmlformats.org/officeDocument/2006/relationships/hyperlink" Target="https://statiz.sporki.com/player/?m=playerinfo&amp;p_no=15460" TargetMode="External"/><Relationship Id="rId16864" Type="http://schemas.openxmlformats.org/officeDocument/2006/relationships/hyperlink" Target="https://statiz.sporki.com/add/?m=draft_school01&amp;ps_school=50105" TargetMode="External"/><Relationship Id="rId621" Type="http://schemas.openxmlformats.org/officeDocument/2006/relationships/hyperlink" Target="https://statiz.sporki.com/add/?m=draft_school02&amp;ps_school=" TargetMode="External"/><Relationship Id="rId1251" Type="http://schemas.openxmlformats.org/officeDocument/2006/relationships/hyperlink" Target="https://statiz.sporki.com/add/?m=draft_school02&amp;ps_school=60103" TargetMode="External"/><Relationship Id="rId2302" Type="http://schemas.openxmlformats.org/officeDocument/2006/relationships/hyperlink" Target="https://statiz.sporki.com/player/?m=playerinfo&amp;p_no=13124" TargetMode="External"/><Relationship Id="rId5872" Type="http://schemas.openxmlformats.org/officeDocument/2006/relationships/hyperlink" Target="https://statiz.sporki.com/player/?m=playerinfo&amp;p_no=10140" TargetMode="External"/><Relationship Id="rId6923" Type="http://schemas.openxmlformats.org/officeDocument/2006/relationships/hyperlink" Target="https://statiz.sporki.com/add/?m=draft_school01&amp;ps_school=50703" TargetMode="External"/><Relationship Id="rId15466" Type="http://schemas.openxmlformats.org/officeDocument/2006/relationships/hyperlink" Target="https://statiz.sporki.com/player/?m=playerinfo&amp;p_no=1697" TargetMode="External"/><Relationship Id="rId16517" Type="http://schemas.openxmlformats.org/officeDocument/2006/relationships/hyperlink" Target="https://statiz.sporki.com/add/?m=draft_school01&amp;ps_school=50113" TargetMode="External"/><Relationship Id="rId17915" Type="http://schemas.openxmlformats.org/officeDocument/2006/relationships/hyperlink" Target="https://statiz.sporki.com/add/?m=draft_school01&amp;ps_school=50116" TargetMode="External"/><Relationship Id="rId4474" Type="http://schemas.openxmlformats.org/officeDocument/2006/relationships/hyperlink" Target="https://statiz.sporki.com/player/?m=playerinfo&amp;p_no=11332" TargetMode="External"/><Relationship Id="rId5525" Type="http://schemas.openxmlformats.org/officeDocument/2006/relationships/hyperlink" Target="https://statiz.sporki.com/add/?m=draft_school01&amp;ps_school=50401" TargetMode="External"/><Relationship Id="rId14068" Type="http://schemas.openxmlformats.org/officeDocument/2006/relationships/hyperlink" Target="https://statiz.sporki.com/player/?m=playerinfo&amp;p_no=10134" TargetMode="External"/><Relationship Id="rId15119" Type="http://schemas.openxmlformats.org/officeDocument/2006/relationships/hyperlink" Target="https://statiz.sporki.com/player/?m=playerinfo&amp;p_no=2036" TargetMode="External"/><Relationship Id="rId3076" Type="http://schemas.openxmlformats.org/officeDocument/2006/relationships/hyperlink" Target="https://statiz.sporki.com/player/?m=playerinfo&amp;p_no=12991" TargetMode="External"/><Relationship Id="rId4127" Type="http://schemas.openxmlformats.org/officeDocument/2006/relationships/hyperlink" Target="https://statiz.sporki.com/add/?m=draft_school01&amp;ps_school=50701" TargetMode="External"/><Relationship Id="rId7697" Type="http://schemas.openxmlformats.org/officeDocument/2006/relationships/hyperlink" Target="https://statiz.sporki.com/add/?m=draft_school01&amp;ps_school=50301" TargetMode="External"/><Relationship Id="rId18689" Type="http://schemas.openxmlformats.org/officeDocument/2006/relationships/hyperlink" Target="https://statiz.sporki.com/add/?m=draft_school01&amp;ps_school=50113" TargetMode="External"/><Relationship Id="rId6299" Type="http://schemas.openxmlformats.org/officeDocument/2006/relationships/hyperlink" Target="https://statiz.sporki.com/add/?m=draft_school01&amp;ps_school=50602" TargetMode="External"/><Relationship Id="rId8748" Type="http://schemas.openxmlformats.org/officeDocument/2006/relationships/hyperlink" Target="https://statiz.sporki.com/add/?m=draft_school02&amp;ps_school=60103" TargetMode="External"/><Relationship Id="rId10678" Type="http://schemas.openxmlformats.org/officeDocument/2006/relationships/hyperlink" Target="https://statiz.sporki.com/player/?m=playerinfo&amp;p_no=1520" TargetMode="External"/><Relationship Id="rId11729" Type="http://schemas.openxmlformats.org/officeDocument/2006/relationships/hyperlink" Target="https://statiz.sporki.com/add/?m=draft_school01&amp;ps_school=50109" TargetMode="External"/><Relationship Id="rId15600" Type="http://schemas.openxmlformats.org/officeDocument/2006/relationships/hyperlink" Target="https://statiz.sporki.com/player/?m=playerinfo&amp;p_no=1545" TargetMode="External"/><Relationship Id="rId13151" Type="http://schemas.openxmlformats.org/officeDocument/2006/relationships/hyperlink" Target="https://statiz.sporki.com/player/?m=playerinfo&amp;p_no=12876" TargetMode="External"/><Relationship Id="rId14202" Type="http://schemas.openxmlformats.org/officeDocument/2006/relationships/hyperlink" Target="https://statiz.sporki.com/player/?m=playerinfo&amp;p_no=2416" TargetMode="External"/><Relationship Id="rId17772" Type="http://schemas.openxmlformats.org/officeDocument/2006/relationships/hyperlink" Target="https://statiz.sporki.com/add/?m=draft_school01&amp;ps_school=50606" TargetMode="External"/><Relationship Id="rId18823" Type="http://schemas.openxmlformats.org/officeDocument/2006/relationships/hyperlink" Target="https://statiz.sporki.com/add/?m=draft_school01&amp;ps_school=50501" TargetMode="External"/><Relationship Id="rId131" Type="http://schemas.openxmlformats.org/officeDocument/2006/relationships/hyperlink" Target="https://statiz.sporki.com/add/?m=draft_school01&amp;ps_school=50105" TargetMode="External"/><Relationship Id="rId3210" Type="http://schemas.openxmlformats.org/officeDocument/2006/relationships/hyperlink" Target="https://statiz.sporki.com/add/?m=draft_school02&amp;ps_school=" TargetMode="External"/><Relationship Id="rId6780" Type="http://schemas.openxmlformats.org/officeDocument/2006/relationships/hyperlink" Target="https://statiz.sporki.com/add/?m=draft_school02&amp;ps_school=" TargetMode="External"/><Relationship Id="rId7831" Type="http://schemas.openxmlformats.org/officeDocument/2006/relationships/hyperlink" Target="https://statiz.sporki.com/player/?m=playerinfo&amp;p_no=10447" TargetMode="External"/><Relationship Id="rId16374" Type="http://schemas.openxmlformats.org/officeDocument/2006/relationships/hyperlink" Target="https://statiz.sporki.com/add/?m=draft_school01&amp;ps_school=50116" TargetMode="External"/><Relationship Id="rId17425" Type="http://schemas.openxmlformats.org/officeDocument/2006/relationships/hyperlink" Target="https://statiz.sporki.com/add/?m=draft_school01&amp;ps_school=50604" TargetMode="External"/><Relationship Id="rId5382" Type="http://schemas.openxmlformats.org/officeDocument/2006/relationships/hyperlink" Target="https://statiz.sporki.com/add/?m=draft_school02&amp;ps_school=" TargetMode="External"/><Relationship Id="rId6433" Type="http://schemas.openxmlformats.org/officeDocument/2006/relationships/hyperlink" Target="https://statiz.sporki.com/player/?m=playerinfo&amp;p_no=10843" TargetMode="External"/><Relationship Id="rId10812" Type="http://schemas.openxmlformats.org/officeDocument/2006/relationships/hyperlink" Target="https://statiz.sporki.com/add/?m=draft_school02&amp;ps_school=60204" TargetMode="External"/><Relationship Id="rId16027" Type="http://schemas.openxmlformats.org/officeDocument/2006/relationships/hyperlink" Target="https://statiz.sporki.com/player/?m=playerinfo&amp;p_no=1186" TargetMode="External"/><Relationship Id="rId19597" Type="http://schemas.openxmlformats.org/officeDocument/2006/relationships/hyperlink" Target="https://statiz.sporki.com/add/?m=draft_school01&amp;ps_school=50805" TargetMode="External"/><Relationship Id="rId1992" Type="http://schemas.openxmlformats.org/officeDocument/2006/relationships/hyperlink" Target="https://statiz.sporki.com/add/?m=draft_school02&amp;ps_school=" TargetMode="External"/><Relationship Id="rId5035" Type="http://schemas.openxmlformats.org/officeDocument/2006/relationships/hyperlink" Target="https://statiz.sporki.com/player/?m=playerinfo&amp;p_no=10926" TargetMode="External"/><Relationship Id="rId9656" Type="http://schemas.openxmlformats.org/officeDocument/2006/relationships/hyperlink" Target="https://statiz.sporki.com/add/?m=draft_school01&amp;ps_school=50114" TargetMode="External"/><Relationship Id="rId12984" Type="http://schemas.openxmlformats.org/officeDocument/2006/relationships/hyperlink" Target="https://statiz.sporki.com/player/?m=playerinfo&amp;p_no=13141" TargetMode="External"/><Relationship Id="rId18199" Type="http://schemas.openxmlformats.org/officeDocument/2006/relationships/hyperlink" Target="https://statiz.sporki.com/add/?m=draft_school01&amp;ps_school=50501" TargetMode="External"/><Relationship Id="rId1645" Type="http://schemas.openxmlformats.org/officeDocument/2006/relationships/hyperlink" Target="https://statiz.sporki.com/player/?m=playerinfo&amp;p_no=14683" TargetMode="External"/><Relationship Id="rId8258" Type="http://schemas.openxmlformats.org/officeDocument/2006/relationships/hyperlink" Target="https://statiz.sporki.com/add/?m=draft_school01&amp;ps_school=" TargetMode="External"/><Relationship Id="rId9309" Type="http://schemas.openxmlformats.org/officeDocument/2006/relationships/hyperlink" Target="https://statiz.sporki.com/add/?m=draft_school02&amp;ps_school=60103" TargetMode="External"/><Relationship Id="rId10188" Type="http://schemas.openxmlformats.org/officeDocument/2006/relationships/hyperlink" Target="https://statiz.sporki.com/add/?m=draft_school02&amp;ps_school=" TargetMode="External"/><Relationship Id="rId11239" Type="http://schemas.openxmlformats.org/officeDocument/2006/relationships/hyperlink" Target="https://statiz.sporki.com/player/?m=playerinfo&amp;p_no=1320" TargetMode="External"/><Relationship Id="rId11586" Type="http://schemas.openxmlformats.org/officeDocument/2006/relationships/hyperlink" Target="https://statiz.sporki.com/add/?m=draft_school02&amp;ps_school=60104" TargetMode="External"/><Relationship Id="rId12637" Type="http://schemas.openxmlformats.org/officeDocument/2006/relationships/hyperlink" Target="https://statiz.sporki.com/player/?m=playerinfo&amp;p_no=14574" TargetMode="External"/><Relationship Id="rId15110" Type="http://schemas.openxmlformats.org/officeDocument/2006/relationships/hyperlink" Target="https://statiz.sporki.com/player/?m=playerinfo&amp;p_no=1913" TargetMode="External"/><Relationship Id="rId18680" Type="http://schemas.openxmlformats.org/officeDocument/2006/relationships/hyperlink" Target="https://statiz.sporki.com/add/?m=draft_school01&amp;ps_school=50403" TargetMode="External"/><Relationship Id="rId4868" Type="http://schemas.openxmlformats.org/officeDocument/2006/relationships/hyperlink" Target="https://statiz.sporki.com/add/?m=draft_school01&amp;ps_school=50208" TargetMode="External"/><Relationship Id="rId5919" Type="http://schemas.openxmlformats.org/officeDocument/2006/relationships/hyperlink" Target="https://statiz.sporki.com/add/?m=draft_school02&amp;ps_school=" TargetMode="External"/><Relationship Id="rId6290" Type="http://schemas.openxmlformats.org/officeDocument/2006/relationships/hyperlink" Target="https://statiz.sporki.com/add/?m=draft_school01&amp;ps_school=50206" TargetMode="External"/><Relationship Id="rId11720" Type="http://schemas.openxmlformats.org/officeDocument/2006/relationships/hyperlink" Target="https://statiz.sporki.com/add/?m=draft_school01&amp;ps_school=50124" TargetMode="External"/><Relationship Id="rId17282" Type="http://schemas.openxmlformats.org/officeDocument/2006/relationships/hyperlink" Target="https://statiz.sporki.com/add/?m=draft_school01&amp;ps_school=50207" TargetMode="External"/><Relationship Id="rId18333" Type="http://schemas.openxmlformats.org/officeDocument/2006/relationships/hyperlink" Target="https://statiz.sporki.com/add/?m=draft_school01&amp;ps_school=50108" TargetMode="External"/><Relationship Id="rId7341" Type="http://schemas.openxmlformats.org/officeDocument/2006/relationships/hyperlink" Target="https://statiz.sporki.com/add/?m=draft_school02&amp;ps_school=" TargetMode="External"/><Relationship Id="rId10322" Type="http://schemas.openxmlformats.org/officeDocument/2006/relationships/hyperlink" Target="https://statiz.sporki.com/add/?m=draft_school01&amp;ps_school=50601" TargetMode="External"/><Relationship Id="rId13892" Type="http://schemas.openxmlformats.org/officeDocument/2006/relationships/hyperlink" Target="https://statiz.sporki.com/player/?m=playerinfo&amp;p_no=10929" TargetMode="External"/><Relationship Id="rId14943" Type="http://schemas.openxmlformats.org/officeDocument/2006/relationships/hyperlink" Target="https://statiz.sporki.com/player/?m=playerinfo&amp;p_no=2074" TargetMode="External"/><Relationship Id="rId3951" Type="http://schemas.openxmlformats.org/officeDocument/2006/relationships/hyperlink" Target="https://statiz.sporki.com/add/?m=draft_school02&amp;ps_school=" TargetMode="External"/><Relationship Id="rId12494" Type="http://schemas.openxmlformats.org/officeDocument/2006/relationships/hyperlink" Target="https://statiz.sporki.com/player/?m=playerinfo&amp;p_no=14805" TargetMode="External"/><Relationship Id="rId13545" Type="http://schemas.openxmlformats.org/officeDocument/2006/relationships/hyperlink" Target="https://statiz.sporki.com/player/?m=playerinfo&amp;p_no=13191" TargetMode="External"/><Relationship Id="rId872" Type="http://schemas.openxmlformats.org/officeDocument/2006/relationships/hyperlink" Target="https://statiz.sporki.com/add/?m=draft_school01&amp;ps_school=51126" TargetMode="External"/><Relationship Id="rId2553" Type="http://schemas.openxmlformats.org/officeDocument/2006/relationships/hyperlink" Target="https://statiz.sporki.com/add/?m=draft_school02&amp;ps_school=60703" TargetMode="External"/><Relationship Id="rId3604" Type="http://schemas.openxmlformats.org/officeDocument/2006/relationships/hyperlink" Target="https://statiz.sporki.com/player/?m=playerinfo&amp;p_no=12589" TargetMode="External"/><Relationship Id="rId9166" Type="http://schemas.openxmlformats.org/officeDocument/2006/relationships/hyperlink" Target="https://statiz.sporki.com/player/?m=playerinfo&amp;p_no=1892" TargetMode="External"/><Relationship Id="rId11096" Type="http://schemas.openxmlformats.org/officeDocument/2006/relationships/hyperlink" Target="https://statiz.sporki.com/add/?m=draft_school01&amp;ps_school=50116" TargetMode="External"/><Relationship Id="rId12147" Type="http://schemas.openxmlformats.org/officeDocument/2006/relationships/hyperlink" Target="https://statiz.sporki.com/player/?m=playerinfo&amp;p_no=15472" TargetMode="External"/><Relationship Id="rId525" Type="http://schemas.openxmlformats.org/officeDocument/2006/relationships/hyperlink" Target="https://statiz.sporki.com/add/?m=draft_school02&amp;ps_school=" TargetMode="External"/><Relationship Id="rId1155" Type="http://schemas.openxmlformats.org/officeDocument/2006/relationships/hyperlink" Target="https://statiz.sporki.com/add/?m=draft_school02&amp;ps_school=60902" TargetMode="External"/><Relationship Id="rId2206" Type="http://schemas.openxmlformats.org/officeDocument/2006/relationships/hyperlink" Target="https://statiz.sporki.com/player/?m=playerinfo&amp;p_no=14226" TargetMode="External"/><Relationship Id="rId5776" Type="http://schemas.openxmlformats.org/officeDocument/2006/relationships/hyperlink" Target="https://statiz.sporki.com/player/?m=playerinfo&amp;p_no=10184" TargetMode="External"/><Relationship Id="rId16768" Type="http://schemas.openxmlformats.org/officeDocument/2006/relationships/hyperlink" Target="https://statiz.sporki.com/add/?m=draft_school01&amp;ps_school=50403" TargetMode="External"/><Relationship Id="rId17819" Type="http://schemas.openxmlformats.org/officeDocument/2006/relationships/hyperlink" Target="https://statiz.sporki.com/add/?m=draft_school01&amp;ps_school=50903" TargetMode="External"/><Relationship Id="rId18190" Type="http://schemas.openxmlformats.org/officeDocument/2006/relationships/hyperlink" Target="https://statiz.sporki.com/add/?m=draft_school01&amp;ps_school=50206" TargetMode="External"/><Relationship Id="rId19241" Type="http://schemas.openxmlformats.org/officeDocument/2006/relationships/hyperlink" Target="https://statiz.sporki.com/add/?m=draft_school01&amp;ps_school=50103" TargetMode="External"/><Relationship Id="rId4378" Type="http://schemas.openxmlformats.org/officeDocument/2006/relationships/hyperlink" Target="https://statiz.sporki.com/player/?m=playerinfo&amp;p_no=11277" TargetMode="External"/><Relationship Id="rId5429" Type="http://schemas.openxmlformats.org/officeDocument/2006/relationships/hyperlink" Target="https://statiz.sporki.com/add/?m=draft_school01&amp;ps_school=50901" TargetMode="External"/><Relationship Id="rId6827" Type="http://schemas.openxmlformats.org/officeDocument/2006/relationships/hyperlink" Target="https://statiz.sporki.com/add/?m=draft_school01&amp;ps_school=" TargetMode="External"/><Relationship Id="rId9300" Type="http://schemas.openxmlformats.org/officeDocument/2006/relationships/hyperlink" Target="https://statiz.sporki.com/add/?m=draft_school02&amp;ps_school=" TargetMode="External"/><Relationship Id="rId8999" Type="http://schemas.openxmlformats.org/officeDocument/2006/relationships/hyperlink" Target="https://statiz.sporki.com/add/?m=draft_school01&amp;ps_school=50105" TargetMode="External"/><Relationship Id="rId11230" Type="http://schemas.openxmlformats.org/officeDocument/2006/relationships/hyperlink" Target="https://statiz.sporki.com/player/?m=playerinfo&amp;p_no=1295" TargetMode="External"/><Relationship Id="rId15851" Type="http://schemas.openxmlformats.org/officeDocument/2006/relationships/hyperlink" Target="https://statiz.sporki.com/player/?m=playerinfo&amp;p_no=1282" TargetMode="External"/><Relationship Id="rId16902" Type="http://schemas.openxmlformats.org/officeDocument/2006/relationships/hyperlink" Target="https://statiz.sporki.com/add/?m=draft_school01&amp;ps_school=50111" TargetMode="External"/><Relationship Id="rId5910" Type="http://schemas.openxmlformats.org/officeDocument/2006/relationships/hyperlink" Target="https://statiz.sporki.com/add/?m=draft_school02&amp;ps_school=60204" TargetMode="External"/><Relationship Id="rId14453" Type="http://schemas.openxmlformats.org/officeDocument/2006/relationships/hyperlink" Target="https://statiz.sporki.com/player/?m=playerinfo&amp;p_no=10598" TargetMode="External"/><Relationship Id="rId15504" Type="http://schemas.openxmlformats.org/officeDocument/2006/relationships/hyperlink" Target="https://statiz.sporki.com/player/?m=playerinfo&amp;p_no=1576" TargetMode="External"/><Relationship Id="rId3461" Type="http://schemas.openxmlformats.org/officeDocument/2006/relationships/hyperlink" Target="https://statiz.sporki.com/add/?m=draft_school01&amp;ps_school=50105" TargetMode="External"/><Relationship Id="rId4512" Type="http://schemas.openxmlformats.org/officeDocument/2006/relationships/hyperlink" Target="https://statiz.sporki.com/add/?m=draft_school02&amp;ps_school=" TargetMode="External"/><Relationship Id="rId13055" Type="http://schemas.openxmlformats.org/officeDocument/2006/relationships/hyperlink" Target="https://statiz.sporki.com/player/?m=playerinfo&amp;p_no=12914" TargetMode="External"/><Relationship Id="rId14106" Type="http://schemas.openxmlformats.org/officeDocument/2006/relationships/hyperlink" Target="https://statiz.sporki.com/player/?m=playerinfo&amp;p_no=10237" TargetMode="External"/><Relationship Id="rId17676" Type="http://schemas.openxmlformats.org/officeDocument/2006/relationships/hyperlink" Target="https://statiz.sporki.com/add/?m=draft_school01&amp;ps_school=50103" TargetMode="External"/><Relationship Id="rId18727" Type="http://schemas.openxmlformats.org/officeDocument/2006/relationships/hyperlink" Target="https://statiz.sporki.com/add/?m=draft_school01&amp;ps_school=50703" TargetMode="External"/><Relationship Id="rId382" Type="http://schemas.openxmlformats.org/officeDocument/2006/relationships/hyperlink" Target="https://statiz.sporki.com/player/?m=playerinfo&amp;p_no=15531" TargetMode="External"/><Relationship Id="rId2063" Type="http://schemas.openxmlformats.org/officeDocument/2006/relationships/hyperlink" Target="https://statiz.sporki.com/add/?m=draft_school01&amp;ps_school=50207" TargetMode="External"/><Relationship Id="rId3114" Type="http://schemas.openxmlformats.org/officeDocument/2006/relationships/hyperlink" Target="https://statiz.sporki.com/add/?m=draft_school02&amp;ps_school=" TargetMode="External"/><Relationship Id="rId6684" Type="http://schemas.openxmlformats.org/officeDocument/2006/relationships/hyperlink" Target="https://statiz.sporki.com/add/?m=draft_school02&amp;ps_school=" TargetMode="External"/><Relationship Id="rId7735" Type="http://schemas.openxmlformats.org/officeDocument/2006/relationships/hyperlink" Target="https://statiz.sporki.com/player/?m=playerinfo&amp;p_no=2208" TargetMode="External"/><Relationship Id="rId16278" Type="http://schemas.openxmlformats.org/officeDocument/2006/relationships/hyperlink" Target="https://statiz.sporki.com/add/?m=draft_school01&amp;ps_school=50219" TargetMode="External"/><Relationship Id="rId17329" Type="http://schemas.openxmlformats.org/officeDocument/2006/relationships/hyperlink" Target="https://statiz.sporki.com/add/?m=draft_school01&amp;ps_school=50804" TargetMode="External"/><Relationship Id="rId5286" Type="http://schemas.openxmlformats.org/officeDocument/2006/relationships/hyperlink" Target="https://statiz.sporki.com/add/?m=draft_school02&amp;ps_school=" TargetMode="External"/><Relationship Id="rId6337" Type="http://schemas.openxmlformats.org/officeDocument/2006/relationships/hyperlink" Target="https://statiz.sporki.com/player/?m=playerinfo&amp;p_no=10179" TargetMode="External"/><Relationship Id="rId10716" Type="http://schemas.openxmlformats.org/officeDocument/2006/relationships/hyperlink" Target="https://statiz.sporki.com/add/?m=draft_school02&amp;ps_school=60109" TargetMode="External"/><Relationship Id="rId12888" Type="http://schemas.openxmlformats.org/officeDocument/2006/relationships/hyperlink" Target="https://statiz.sporki.com/player/?m=playerinfo&amp;p_no=14230" TargetMode="External"/><Relationship Id="rId13939" Type="http://schemas.openxmlformats.org/officeDocument/2006/relationships/hyperlink" Target="https://statiz.sporki.com/player/?m=playerinfo&amp;p_no=10714" TargetMode="External"/><Relationship Id="rId17810" Type="http://schemas.openxmlformats.org/officeDocument/2006/relationships/hyperlink" Target="https://statiz.sporki.com/add/?m=draft_school01&amp;ps_school=50703" TargetMode="External"/><Relationship Id="rId1896" Type="http://schemas.openxmlformats.org/officeDocument/2006/relationships/hyperlink" Target="https://statiz.sporki.com/add/?m=draft_school02&amp;ps_school=" TargetMode="External"/><Relationship Id="rId2947" Type="http://schemas.openxmlformats.org/officeDocument/2006/relationships/hyperlink" Target="https://statiz.sporki.com/player/?m=playerinfo&amp;p_no=12925" TargetMode="External"/><Relationship Id="rId15361" Type="http://schemas.openxmlformats.org/officeDocument/2006/relationships/hyperlink" Target="https://statiz.sporki.com/player/?m=playerinfo&amp;p_no=1740" TargetMode="External"/><Relationship Id="rId16412" Type="http://schemas.openxmlformats.org/officeDocument/2006/relationships/hyperlink" Target="https://statiz.sporki.com/add/?m=draft_school01&amp;ps_school=50217" TargetMode="External"/><Relationship Id="rId919" Type="http://schemas.openxmlformats.org/officeDocument/2006/relationships/hyperlink" Target="https://statiz.sporki.com/player/?m=playerinfo&amp;p_no=15136" TargetMode="External"/><Relationship Id="rId1549" Type="http://schemas.openxmlformats.org/officeDocument/2006/relationships/hyperlink" Target="https://statiz.sporki.com/player/?m=playerinfo&amp;p_no=14642" TargetMode="External"/><Relationship Id="rId4022" Type="http://schemas.openxmlformats.org/officeDocument/2006/relationships/hyperlink" Target="https://statiz.sporki.com/add/?m=draft_school01&amp;ps_school=50602" TargetMode="External"/><Relationship Id="rId5420" Type="http://schemas.openxmlformats.org/officeDocument/2006/relationships/hyperlink" Target="https://statiz.sporki.com/add/?m=draft_school01&amp;ps_school=50209" TargetMode="External"/><Relationship Id="rId8990" Type="http://schemas.openxmlformats.org/officeDocument/2006/relationships/hyperlink" Target="https://statiz.sporki.com/add/?m=draft_school01&amp;ps_school=50103" TargetMode="External"/><Relationship Id="rId11971" Type="http://schemas.openxmlformats.org/officeDocument/2006/relationships/hyperlink" Target="https://statiz.sporki.com/player/?m=playerinfo&amp;p_no=1123" TargetMode="External"/><Relationship Id="rId15014" Type="http://schemas.openxmlformats.org/officeDocument/2006/relationships/hyperlink" Target="https://statiz.sporki.com/player/?m=playerinfo&amp;p_no=1992" TargetMode="External"/><Relationship Id="rId18584" Type="http://schemas.openxmlformats.org/officeDocument/2006/relationships/hyperlink" Target="https://statiz.sporki.com/add/?m=draft_school01&amp;ps_school=50609" TargetMode="External"/><Relationship Id="rId19635" Type="http://schemas.openxmlformats.org/officeDocument/2006/relationships/hyperlink" Target="https://statiz.sporki.com/add/?m=draft_school01&amp;ps_school=50701" TargetMode="External"/><Relationship Id="rId7592" Type="http://schemas.openxmlformats.org/officeDocument/2006/relationships/hyperlink" Target="https://statiz.sporki.com/add/?m=draft_school01&amp;ps_school=50802" TargetMode="External"/><Relationship Id="rId8643" Type="http://schemas.openxmlformats.org/officeDocument/2006/relationships/hyperlink" Target="https://statiz.sporki.com/add/?m=draft_school02&amp;ps_school=60801" TargetMode="External"/><Relationship Id="rId10573" Type="http://schemas.openxmlformats.org/officeDocument/2006/relationships/hyperlink" Target="https://statiz.sporki.com/player/?m=playerinfo&amp;p_no=1494" TargetMode="External"/><Relationship Id="rId11624" Type="http://schemas.openxmlformats.org/officeDocument/2006/relationships/hyperlink" Target="https://statiz.sporki.com/add/?m=draft_school01&amp;ps_school=" TargetMode="External"/><Relationship Id="rId17186" Type="http://schemas.openxmlformats.org/officeDocument/2006/relationships/hyperlink" Target="https://statiz.sporki.com/add/?m=draft_school01&amp;ps_school=50601" TargetMode="External"/><Relationship Id="rId18237" Type="http://schemas.openxmlformats.org/officeDocument/2006/relationships/hyperlink" Target="https://statiz.sporki.com/add/?m=draft_school01&amp;ps_school=50805" TargetMode="External"/><Relationship Id="rId6194" Type="http://schemas.openxmlformats.org/officeDocument/2006/relationships/hyperlink" Target="https://statiz.sporki.com/add/?m=draft_school01&amp;ps_school=" TargetMode="External"/><Relationship Id="rId7245" Type="http://schemas.openxmlformats.org/officeDocument/2006/relationships/hyperlink" Target="https://statiz.sporki.com/add/?m=draft_school02&amp;ps_school=" TargetMode="External"/><Relationship Id="rId10226" Type="http://schemas.openxmlformats.org/officeDocument/2006/relationships/hyperlink" Target="https://statiz.sporki.com/add/?m=draft_school01&amp;ps_school=50706" TargetMode="External"/><Relationship Id="rId13796" Type="http://schemas.openxmlformats.org/officeDocument/2006/relationships/hyperlink" Target="https://statiz.sporki.com/player/?m=playerinfo&amp;p_no=10917" TargetMode="External"/><Relationship Id="rId3855" Type="http://schemas.openxmlformats.org/officeDocument/2006/relationships/hyperlink" Target="https://statiz.sporki.com/add/?m=draft_school02&amp;ps_school=60101" TargetMode="External"/><Relationship Id="rId12398" Type="http://schemas.openxmlformats.org/officeDocument/2006/relationships/hyperlink" Target="https://statiz.sporki.com/player/?m=playerinfo&amp;p_no=15076" TargetMode="External"/><Relationship Id="rId13449" Type="http://schemas.openxmlformats.org/officeDocument/2006/relationships/hyperlink" Target="https://statiz.sporki.com/player/?m=playerinfo&amp;p_no=11372" TargetMode="External"/><Relationship Id="rId14847" Type="http://schemas.openxmlformats.org/officeDocument/2006/relationships/hyperlink" Target="https://statiz.sporki.com/player/?m=playerinfo&amp;p_no=2117" TargetMode="External"/><Relationship Id="rId17320" Type="http://schemas.openxmlformats.org/officeDocument/2006/relationships/hyperlink" Target="https://statiz.sporki.com/add/?m=draft_school01&amp;ps_school=50110" TargetMode="External"/><Relationship Id="rId776" Type="http://schemas.openxmlformats.org/officeDocument/2006/relationships/hyperlink" Target="https://statiz.sporki.com/add/?m=draft_school01&amp;ps_school=50211" TargetMode="External"/><Relationship Id="rId2457" Type="http://schemas.openxmlformats.org/officeDocument/2006/relationships/hyperlink" Target="https://statiz.sporki.com/add/?m=draft_school02&amp;ps_school=" TargetMode="External"/><Relationship Id="rId3508" Type="http://schemas.openxmlformats.org/officeDocument/2006/relationships/hyperlink" Target="https://statiz.sporki.com/player/?m=playerinfo&amp;p_no=12518" TargetMode="External"/><Relationship Id="rId4906" Type="http://schemas.openxmlformats.org/officeDocument/2006/relationships/hyperlink" Target="https://statiz.sporki.com/player/?m=playerinfo&amp;p_no=10849" TargetMode="External"/><Relationship Id="rId429" Type="http://schemas.openxmlformats.org/officeDocument/2006/relationships/hyperlink" Target="https://statiz.sporki.com/add/?m=draft_school02&amp;ps_school=60204" TargetMode="External"/><Relationship Id="rId1059" Type="http://schemas.openxmlformats.org/officeDocument/2006/relationships/hyperlink" Target="https://statiz.sporki.com/add/?m=draft_school02&amp;ps_school=" TargetMode="External"/><Relationship Id="rId13930" Type="http://schemas.openxmlformats.org/officeDocument/2006/relationships/hyperlink" Target="https://statiz.sporki.com/player/?m=playerinfo&amp;p_no=10426" TargetMode="External"/><Relationship Id="rId19492" Type="http://schemas.openxmlformats.org/officeDocument/2006/relationships/hyperlink" Target="https://statiz.sporki.com/add/?m=draft_school01&amp;ps_school=50101" TargetMode="External"/><Relationship Id="rId8153" Type="http://schemas.openxmlformats.org/officeDocument/2006/relationships/hyperlink" Target="https://statiz.sporki.com/add/?m=draft_school01&amp;ps_school=50803" TargetMode="External"/><Relationship Id="rId9551" Type="http://schemas.openxmlformats.org/officeDocument/2006/relationships/hyperlink" Target="https://statiz.sporki.com/add/?m=draft_school01&amp;ps_school=50711" TargetMode="External"/><Relationship Id="rId11481" Type="http://schemas.openxmlformats.org/officeDocument/2006/relationships/hyperlink" Target="https://statiz.sporki.com/add/?m=draft_school02&amp;ps_school=60103" TargetMode="External"/><Relationship Id="rId12532" Type="http://schemas.openxmlformats.org/officeDocument/2006/relationships/hyperlink" Target="https://statiz.sporki.com/player/?m=playerinfo&amp;p_no=14842" TargetMode="External"/><Relationship Id="rId18094" Type="http://schemas.openxmlformats.org/officeDocument/2006/relationships/hyperlink" Target="https://statiz.sporki.com/add/?m=draft_school01&amp;ps_school=50104" TargetMode="External"/><Relationship Id="rId19145" Type="http://schemas.openxmlformats.org/officeDocument/2006/relationships/hyperlink" Target="https://statiz.sporki.com/add/?m=draft_school01&amp;ps_school=50804" TargetMode="External"/><Relationship Id="rId910" Type="http://schemas.openxmlformats.org/officeDocument/2006/relationships/hyperlink" Target="https://statiz.sporki.com/player/?m=playerinfo&amp;p_no=15128" TargetMode="External"/><Relationship Id="rId1540" Type="http://schemas.openxmlformats.org/officeDocument/2006/relationships/hyperlink" Target="https://statiz.sporki.com/player/?m=playerinfo&amp;p_no=14647" TargetMode="External"/><Relationship Id="rId9204" Type="http://schemas.openxmlformats.org/officeDocument/2006/relationships/hyperlink" Target="https://statiz.sporki.com/add/?m=draft_school02&amp;ps_school=60703" TargetMode="External"/><Relationship Id="rId10083" Type="http://schemas.openxmlformats.org/officeDocument/2006/relationships/hyperlink" Target="https://statiz.sporki.com/add/?m=draft_school02&amp;ps_school=60108" TargetMode="External"/><Relationship Id="rId11134" Type="http://schemas.openxmlformats.org/officeDocument/2006/relationships/hyperlink" Target="https://statiz.sporki.com/player/?m=playerinfo&amp;p_no=1312" TargetMode="External"/><Relationship Id="rId15755" Type="http://schemas.openxmlformats.org/officeDocument/2006/relationships/hyperlink" Target="https://statiz.sporki.com/player/?m=playerinfo&amp;p_no=1377" TargetMode="External"/><Relationship Id="rId16806" Type="http://schemas.openxmlformats.org/officeDocument/2006/relationships/hyperlink" Target="https://statiz.sporki.com/add/?m=draft_school01&amp;ps_school=50207" TargetMode="External"/><Relationship Id="rId4763" Type="http://schemas.openxmlformats.org/officeDocument/2006/relationships/hyperlink" Target="https://statiz.sporki.com/add/?m=draft_school01&amp;ps_school=50110" TargetMode="External"/><Relationship Id="rId5814" Type="http://schemas.openxmlformats.org/officeDocument/2006/relationships/hyperlink" Target="https://statiz.sporki.com/add/?m=draft_school02&amp;ps_school=" TargetMode="External"/><Relationship Id="rId14357" Type="http://schemas.openxmlformats.org/officeDocument/2006/relationships/hyperlink" Target="https://statiz.sporki.com/player/?m=playerinfo&amp;p_no=2381" TargetMode="External"/><Relationship Id="rId15408" Type="http://schemas.openxmlformats.org/officeDocument/2006/relationships/hyperlink" Target="https://statiz.sporki.com/player/?m=playerinfo&amp;p_no=1651" TargetMode="External"/><Relationship Id="rId3365" Type="http://schemas.openxmlformats.org/officeDocument/2006/relationships/hyperlink" Target="https://statiz.sporki.com/add/?m=draft_school01&amp;ps_school=50703" TargetMode="External"/><Relationship Id="rId4416" Type="http://schemas.openxmlformats.org/officeDocument/2006/relationships/hyperlink" Target="https://statiz.sporki.com/add/?m=draft_school02&amp;ps_school=60114" TargetMode="External"/><Relationship Id="rId7986" Type="http://schemas.openxmlformats.org/officeDocument/2006/relationships/hyperlink" Target="https://statiz.sporki.com/add/?m=draft_school02&amp;ps_school=" TargetMode="External"/><Relationship Id="rId18978" Type="http://schemas.openxmlformats.org/officeDocument/2006/relationships/hyperlink" Target="https://statiz.sporki.com/add/?m=draft_school01&amp;ps_school=50208" TargetMode="External"/><Relationship Id="rId286" Type="http://schemas.openxmlformats.org/officeDocument/2006/relationships/hyperlink" Target="https://statiz.sporki.com/player/?m=playerinfo&amp;p_no=15482" TargetMode="External"/><Relationship Id="rId3018" Type="http://schemas.openxmlformats.org/officeDocument/2006/relationships/hyperlink" Target="https://statiz.sporki.com/add/?m=draft_school02&amp;ps_school=" TargetMode="External"/><Relationship Id="rId6588" Type="http://schemas.openxmlformats.org/officeDocument/2006/relationships/hyperlink" Target="https://statiz.sporki.com/add/?m=draft_school02&amp;ps_school=" TargetMode="External"/><Relationship Id="rId7639" Type="http://schemas.openxmlformats.org/officeDocument/2006/relationships/hyperlink" Target="https://statiz.sporki.com/player/?m=playerinfo&amp;p_no=2182" TargetMode="External"/><Relationship Id="rId10967" Type="http://schemas.openxmlformats.org/officeDocument/2006/relationships/hyperlink" Target="https://statiz.sporki.com/add/?m=draft_school01&amp;ps_school=50116" TargetMode="External"/><Relationship Id="rId9061" Type="http://schemas.openxmlformats.org/officeDocument/2006/relationships/hyperlink" Target="https://statiz.sporki.com/player/?m=playerinfo&amp;p_no=1928" TargetMode="External"/><Relationship Id="rId13440" Type="http://schemas.openxmlformats.org/officeDocument/2006/relationships/hyperlink" Target="https://statiz.sporki.com/player/?m=playerinfo&amp;p_no=11305" TargetMode="External"/><Relationship Id="rId420" Type="http://schemas.openxmlformats.org/officeDocument/2006/relationships/hyperlink" Target="https://statiz.sporki.com/add/?m=draft_school02&amp;ps_school=60806" TargetMode="External"/><Relationship Id="rId1050" Type="http://schemas.openxmlformats.org/officeDocument/2006/relationships/hyperlink" Target="https://statiz.sporki.com/add/?m=draft_school02&amp;ps_school=" TargetMode="External"/><Relationship Id="rId2101" Type="http://schemas.openxmlformats.org/officeDocument/2006/relationships/hyperlink" Target="https://statiz.sporki.com/player/?m=playerinfo&amp;p_no=14205" TargetMode="External"/><Relationship Id="rId12042" Type="http://schemas.openxmlformats.org/officeDocument/2006/relationships/hyperlink" Target="https://statiz.sporki.com/add/?m=draft_school02&amp;ps_school=60113" TargetMode="External"/><Relationship Id="rId16663" Type="http://schemas.openxmlformats.org/officeDocument/2006/relationships/hyperlink" Target="https://statiz.sporki.com/add/?m=draft_school01&amp;ps_school=50702" TargetMode="External"/><Relationship Id="rId17714" Type="http://schemas.openxmlformats.org/officeDocument/2006/relationships/hyperlink" Target="https://statiz.sporki.com/add/?m=draft_school01&amp;ps_school=50208" TargetMode="External"/><Relationship Id="rId5671" Type="http://schemas.openxmlformats.org/officeDocument/2006/relationships/hyperlink" Target="https://statiz.sporki.com/player/?m=playerinfo&amp;p_no=10441" TargetMode="External"/><Relationship Id="rId6722" Type="http://schemas.openxmlformats.org/officeDocument/2006/relationships/hyperlink" Target="https://statiz.sporki.com/add/?m=draft_school01&amp;ps_school=50902" TargetMode="External"/><Relationship Id="rId15265" Type="http://schemas.openxmlformats.org/officeDocument/2006/relationships/hyperlink" Target="https://statiz.sporki.com/player/?m=playerinfo&amp;p_no=1820" TargetMode="External"/><Relationship Id="rId16316" Type="http://schemas.openxmlformats.org/officeDocument/2006/relationships/hyperlink" Target="https://statiz.sporki.com/add/?m=draft_school01&amp;ps_school=50601" TargetMode="External"/><Relationship Id="rId4273" Type="http://schemas.openxmlformats.org/officeDocument/2006/relationships/hyperlink" Target="https://statiz.sporki.com/player/?m=playerinfo&amp;p_no=11209" TargetMode="External"/><Relationship Id="rId5324" Type="http://schemas.openxmlformats.org/officeDocument/2006/relationships/hyperlink" Target="https://statiz.sporki.com/add/?m=draft_school01&amp;ps_school=50601" TargetMode="External"/><Relationship Id="rId8894" Type="http://schemas.openxmlformats.org/officeDocument/2006/relationships/hyperlink" Target="https://statiz.sporki.com/add/?m=draft_school01&amp;ps_school=50608" TargetMode="External"/><Relationship Id="rId9945" Type="http://schemas.openxmlformats.org/officeDocument/2006/relationships/hyperlink" Target="https://statiz.sporki.com/add/?m=draft_school02&amp;ps_school=" TargetMode="External"/><Relationship Id="rId18488" Type="http://schemas.openxmlformats.org/officeDocument/2006/relationships/hyperlink" Target="https://statiz.sporki.com/add/?m=draft_school01&amp;ps_school=50803" TargetMode="External"/><Relationship Id="rId19539" Type="http://schemas.openxmlformats.org/officeDocument/2006/relationships/hyperlink" Target="https://statiz.sporki.com/add/?m=draft_school01&amp;ps_school=50711" TargetMode="External"/><Relationship Id="rId1934" Type="http://schemas.openxmlformats.org/officeDocument/2006/relationships/hyperlink" Target="https://statiz.sporki.com/add/?m=draft_school01&amp;ps_school=50602" TargetMode="External"/><Relationship Id="rId7496" Type="http://schemas.openxmlformats.org/officeDocument/2006/relationships/hyperlink" Target="https://statiz.sporki.com/add/?m=draft_school01&amp;ps_school=" TargetMode="External"/><Relationship Id="rId8547" Type="http://schemas.openxmlformats.org/officeDocument/2006/relationships/hyperlink" Target="https://statiz.sporki.com/add/?m=draft_school02&amp;ps_school=61100" TargetMode="External"/><Relationship Id="rId10477" Type="http://schemas.openxmlformats.org/officeDocument/2006/relationships/hyperlink" Target="https://statiz.sporki.com/player/?m=playerinfo&amp;p_no=1554" TargetMode="External"/><Relationship Id="rId11528" Type="http://schemas.openxmlformats.org/officeDocument/2006/relationships/hyperlink" Target="https://statiz.sporki.com/add/?m=draft_school01&amp;ps_school=50711" TargetMode="External"/><Relationship Id="rId11875" Type="http://schemas.openxmlformats.org/officeDocument/2006/relationships/hyperlink" Target="https://statiz.sporki.com/player/?m=playerinfo&amp;p_no=1001" TargetMode="External"/><Relationship Id="rId12926" Type="http://schemas.openxmlformats.org/officeDocument/2006/relationships/hyperlink" Target="https://statiz.sporki.com/player/?m=playerinfo&amp;p_no=13169" TargetMode="External"/><Relationship Id="rId6098" Type="http://schemas.openxmlformats.org/officeDocument/2006/relationships/hyperlink" Target="https://statiz.sporki.com/add/?m=draft_school01&amp;ps_school=50703" TargetMode="External"/><Relationship Id="rId7149" Type="http://schemas.openxmlformats.org/officeDocument/2006/relationships/hyperlink" Target="https://statiz.sporki.com/add/?m=draft_school02&amp;ps_school=" TargetMode="External"/><Relationship Id="rId14001" Type="http://schemas.openxmlformats.org/officeDocument/2006/relationships/hyperlink" Target="https://statiz.sporki.com/player/?m=playerinfo&amp;p_no=10233" TargetMode="External"/><Relationship Id="rId17571" Type="http://schemas.openxmlformats.org/officeDocument/2006/relationships/hyperlink" Target="https://statiz.sporki.com/add/?m=draft_school01&amp;ps_school=50114" TargetMode="External"/><Relationship Id="rId18622" Type="http://schemas.openxmlformats.org/officeDocument/2006/relationships/hyperlink" Target="https://statiz.sporki.com/add/?m=draft_school01&amp;ps_school=50105" TargetMode="External"/><Relationship Id="rId3759" Type="http://schemas.openxmlformats.org/officeDocument/2006/relationships/hyperlink" Target="https://statiz.sporki.com/add/?m=draft_school02&amp;ps_school=" TargetMode="External"/><Relationship Id="rId5181" Type="http://schemas.openxmlformats.org/officeDocument/2006/relationships/hyperlink" Target="https://statiz.sporki.com/add/?m=draft_school02&amp;ps_school=60704" TargetMode="External"/><Relationship Id="rId6232" Type="http://schemas.openxmlformats.org/officeDocument/2006/relationships/hyperlink" Target="https://statiz.sporki.com/player/?m=playerinfo&amp;p_no=10505" TargetMode="External"/><Relationship Id="rId7630" Type="http://schemas.openxmlformats.org/officeDocument/2006/relationships/hyperlink" Target="https://statiz.sporki.com/player/?m=playerinfo&amp;p_no=2177" TargetMode="External"/><Relationship Id="rId10611" Type="http://schemas.openxmlformats.org/officeDocument/2006/relationships/hyperlink" Target="https://statiz.sporki.com/add/?m=draft_school02&amp;ps_school=60803" TargetMode="External"/><Relationship Id="rId16173" Type="http://schemas.openxmlformats.org/officeDocument/2006/relationships/hyperlink" Target="https://statiz.sporki.com/player/?m=playerinfo&amp;p_no=1098" TargetMode="External"/><Relationship Id="rId17224" Type="http://schemas.openxmlformats.org/officeDocument/2006/relationships/hyperlink" Target="https://statiz.sporki.com/add/?m=draft_school01&amp;ps_school=50705" TargetMode="External"/><Relationship Id="rId12783" Type="http://schemas.openxmlformats.org/officeDocument/2006/relationships/hyperlink" Target="https://statiz.sporki.com/player/?m=playerinfo&amp;p_no=14172" TargetMode="External"/><Relationship Id="rId13834" Type="http://schemas.openxmlformats.org/officeDocument/2006/relationships/hyperlink" Target="https://statiz.sporki.com/player/?m=playerinfo&amp;p_no=10823" TargetMode="External"/><Relationship Id="rId19396" Type="http://schemas.openxmlformats.org/officeDocument/2006/relationships/hyperlink" Target="https://statiz.sporki.com/add/?m=draft_school01&amp;ps_school=50805" TargetMode="External"/><Relationship Id="rId1791" Type="http://schemas.openxmlformats.org/officeDocument/2006/relationships/hyperlink" Target="https://statiz.sporki.com/add/?m=draft_school02&amp;ps_school=" TargetMode="External"/><Relationship Id="rId2842" Type="http://schemas.openxmlformats.org/officeDocument/2006/relationships/hyperlink" Target="https://statiz.sporki.com/player/?m=playerinfo&amp;p_no=12921" TargetMode="External"/><Relationship Id="rId9455" Type="http://schemas.openxmlformats.org/officeDocument/2006/relationships/hyperlink" Target="https://statiz.sporki.com/add/?m=draft_school01&amp;ps_school=50805" TargetMode="External"/><Relationship Id="rId11385" Type="http://schemas.openxmlformats.org/officeDocument/2006/relationships/hyperlink" Target="https://statiz.sporki.com/add/?m=draft_school02&amp;ps_school=60104" TargetMode="External"/><Relationship Id="rId12436" Type="http://schemas.openxmlformats.org/officeDocument/2006/relationships/hyperlink" Target="https://statiz.sporki.com/player/?m=playerinfo&amp;p_no=15012" TargetMode="External"/><Relationship Id="rId19049" Type="http://schemas.openxmlformats.org/officeDocument/2006/relationships/hyperlink" Target="https://statiz.sporki.com/add/?m=draft_school01&amp;ps_school=50813" TargetMode="External"/><Relationship Id="rId814" Type="http://schemas.openxmlformats.org/officeDocument/2006/relationships/hyperlink" Target="https://statiz.sporki.com/player/?m=playerinfo&amp;p_no=14997" TargetMode="External"/><Relationship Id="rId1444" Type="http://schemas.openxmlformats.org/officeDocument/2006/relationships/hyperlink" Target="https://statiz.sporki.com/player/?m=playerinfo&amp;p_no=14606" TargetMode="External"/><Relationship Id="rId8057" Type="http://schemas.openxmlformats.org/officeDocument/2006/relationships/hyperlink" Target="https://statiz.sporki.com/add/?m=draft_school01&amp;ps_school=50109" TargetMode="External"/><Relationship Id="rId9108" Type="http://schemas.openxmlformats.org/officeDocument/2006/relationships/hyperlink" Target="https://statiz.sporki.com/add/?m=draft_school02&amp;ps_school=60802" TargetMode="External"/><Relationship Id="rId11038" Type="http://schemas.openxmlformats.org/officeDocument/2006/relationships/hyperlink" Target="https://statiz.sporki.com/player/?m=playerinfo&amp;p_no=1356" TargetMode="External"/><Relationship Id="rId15659" Type="http://schemas.openxmlformats.org/officeDocument/2006/relationships/hyperlink" Target="https://statiz.sporki.com/player/?m=playerinfo&amp;p_no=1546" TargetMode="External"/><Relationship Id="rId19530" Type="http://schemas.openxmlformats.org/officeDocument/2006/relationships/hyperlink" Target="https://statiz.sporki.com/add/?m=draft_school01&amp;ps_school=50604" TargetMode="External"/><Relationship Id="rId4667" Type="http://schemas.openxmlformats.org/officeDocument/2006/relationships/hyperlink" Target="https://statiz.sporki.com/add/?m=draft_school01&amp;ps_school=" TargetMode="External"/><Relationship Id="rId5718" Type="http://schemas.openxmlformats.org/officeDocument/2006/relationships/hyperlink" Target="https://statiz.sporki.com/add/?m=draft_school02&amp;ps_school=60111" TargetMode="External"/><Relationship Id="rId17081" Type="http://schemas.openxmlformats.org/officeDocument/2006/relationships/hyperlink" Target="https://statiz.sporki.com/add/?m=draft_school01&amp;ps_school=50805" TargetMode="External"/><Relationship Id="rId18132" Type="http://schemas.openxmlformats.org/officeDocument/2006/relationships/hyperlink" Target="https://statiz.sporki.com/add/?m=draft_school01&amp;ps_school=50812" TargetMode="External"/><Relationship Id="rId3269" Type="http://schemas.openxmlformats.org/officeDocument/2006/relationships/hyperlink" Target="https://statiz.sporki.com/add/?m=draft_school01&amp;ps_school=50705" TargetMode="External"/><Relationship Id="rId7140" Type="http://schemas.openxmlformats.org/officeDocument/2006/relationships/hyperlink" Target="https://statiz.sporki.com/add/?m=draft_school02&amp;ps_school=" TargetMode="External"/><Relationship Id="rId10121" Type="http://schemas.openxmlformats.org/officeDocument/2006/relationships/hyperlink" Target="https://statiz.sporki.com/add/?m=draft_school01&amp;ps_school=50127" TargetMode="External"/><Relationship Id="rId13691" Type="http://schemas.openxmlformats.org/officeDocument/2006/relationships/hyperlink" Target="https://statiz.sporki.com/player/?m=playerinfo&amp;p_no=11076" TargetMode="External"/><Relationship Id="rId14742" Type="http://schemas.openxmlformats.org/officeDocument/2006/relationships/hyperlink" Target="https://statiz.sporki.com/player/?m=playerinfo&amp;p_no=2146" TargetMode="External"/><Relationship Id="rId3750" Type="http://schemas.openxmlformats.org/officeDocument/2006/relationships/hyperlink" Target="https://statiz.sporki.com/add/?m=draft_school02&amp;ps_school=" TargetMode="External"/><Relationship Id="rId4801" Type="http://schemas.openxmlformats.org/officeDocument/2006/relationships/hyperlink" Target="https://statiz.sporki.com/player/?m=playerinfo&amp;p_no=10840" TargetMode="External"/><Relationship Id="rId12293" Type="http://schemas.openxmlformats.org/officeDocument/2006/relationships/hyperlink" Target="https://statiz.sporki.com/player/?m=playerinfo&amp;p_no=15626" TargetMode="External"/><Relationship Id="rId13344" Type="http://schemas.openxmlformats.org/officeDocument/2006/relationships/hyperlink" Target="https://statiz.sporki.com/player/?m=playerinfo&amp;p_no=12996" TargetMode="External"/><Relationship Id="rId17965" Type="http://schemas.openxmlformats.org/officeDocument/2006/relationships/hyperlink" Target="https://statiz.sporki.com/add/?m=draft_school01&amp;ps_school=50601" TargetMode="External"/><Relationship Id="rId671" Type="http://schemas.openxmlformats.org/officeDocument/2006/relationships/hyperlink" Target="https://statiz.sporki.com/add/?m=draft_school01&amp;ps_school=50807" TargetMode="External"/><Relationship Id="rId2352" Type="http://schemas.openxmlformats.org/officeDocument/2006/relationships/hyperlink" Target="https://statiz.sporki.com/add/?m=draft_school02&amp;ps_school=" TargetMode="External"/><Relationship Id="rId3403" Type="http://schemas.openxmlformats.org/officeDocument/2006/relationships/hyperlink" Target="https://statiz.sporki.com/player/?m=playerinfo&amp;p_no=12634" TargetMode="External"/><Relationship Id="rId6973" Type="http://schemas.openxmlformats.org/officeDocument/2006/relationships/hyperlink" Target="https://statiz.sporki.com/player/?m=playerinfo&amp;p_no=10311" TargetMode="External"/><Relationship Id="rId16567" Type="http://schemas.openxmlformats.org/officeDocument/2006/relationships/hyperlink" Target="https://statiz.sporki.com/add/?m=draft_school01&amp;ps_school=50501" TargetMode="External"/><Relationship Id="rId17618" Type="http://schemas.openxmlformats.org/officeDocument/2006/relationships/hyperlink" Target="https://statiz.sporki.com/add/?m=draft_school01&amp;ps_school=50402" TargetMode="External"/><Relationship Id="rId324" Type="http://schemas.openxmlformats.org/officeDocument/2006/relationships/hyperlink" Target="https://statiz.sporki.com/add/?m=draft_school02&amp;ps_school=" TargetMode="External"/><Relationship Id="rId2005" Type="http://schemas.openxmlformats.org/officeDocument/2006/relationships/hyperlink" Target="https://statiz.sporki.com/player/?m=playerinfo&amp;p_no=14222" TargetMode="External"/><Relationship Id="rId5575" Type="http://schemas.openxmlformats.org/officeDocument/2006/relationships/hyperlink" Target="https://statiz.sporki.com/player/?m=playerinfo&amp;p_no=10356" TargetMode="External"/><Relationship Id="rId6626" Type="http://schemas.openxmlformats.org/officeDocument/2006/relationships/hyperlink" Target="https://statiz.sporki.com/add/?m=draft_school01&amp;ps_school=50104" TargetMode="External"/><Relationship Id="rId15169" Type="http://schemas.openxmlformats.org/officeDocument/2006/relationships/hyperlink" Target="https://statiz.sporki.com/player/?m=playerinfo&amp;p_no=10053" TargetMode="External"/><Relationship Id="rId19040" Type="http://schemas.openxmlformats.org/officeDocument/2006/relationships/hyperlink" Target="https://statiz.sporki.com/add/?m=draft_school01&amp;ps_school=50401" TargetMode="External"/><Relationship Id="rId4177" Type="http://schemas.openxmlformats.org/officeDocument/2006/relationships/hyperlink" Target="https://statiz.sporki.com/player/?m=playerinfo&amp;p_no=13250" TargetMode="External"/><Relationship Id="rId5228" Type="http://schemas.openxmlformats.org/officeDocument/2006/relationships/hyperlink" Target="https://statiz.sporki.com/add/?m=draft_school01&amp;ps_school=50107" TargetMode="External"/><Relationship Id="rId8798" Type="http://schemas.openxmlformats.org/officeDocument/2006/relationships/hyperlink" Target="https://statiz.sporki.com/add/?m=draft_school01&amp;ps_school=50116" TargetMode="External"/><Relationship Id="rId9849" Type="http://schemas.openxmlformats.org/officeDocument/2006/relationships/hyperlink" Target="https://statiz.sporki.com/add/?m=draft_school02&amp;ps_school=60203" TargetMode="External"/><Relationship Id="rId11779" Type="http://schemas.openxmlformats.org/officeDocument/2006/relationships/hyperlink" Target="https://statiz.sporki.com/player/?m=playerinfo&amp;p_no=1029" TargetMode="External"/><Relationship Id="rId15650" Type="http://schemas.openxmlformats.org/officeDocument/2006/relationships/hyperlink" Target="https://statiz.sporki.com/player/?m=playerinfo&amp;p_no=1559" TargetMode="External"/><Relationship Id="rId16701" Type="http://schemas.openxmlformats.org/officeDocument/2006/relationships/hyperlink" Target="https://statiz.sporki.com/add/?m=draft_school01&amp;ps_school=51113" TargetMode="External"/><Relationship Id="rId1838" Type="http://schemas.openxmlformats.org/officeDocument/2006/relationships/hyperlink" Target="https://statiz.sporki.com/add/?m=draft_school01&amp;ps_school=50302" TargetMode="External"/><Relationship Id="rId3260" Type="http://schemas.openxmlformats.org/officeDocument/2006/relationships/hyperlink" Target="https://statiz.sporki.com/add/?m=draft_school01&amp;ps_school=50103" TargetMode="External"/><Relationship Id="rId4311" Type="http://schemas.openxmlformats.org/officeDocument/2006/relationships/hyperlink" Target="https://statiz.sporki.com/add/?m=draft_school02&amp;ps_school=" TargetMode="External"/><Relationship Id="rId14252" Type="http://schemas.openxmlformats.org/officeDocument/2006/relationships/hyperlink" Target="https://statiz.sporki.com/player/?m=playerinfo&amp;p_no=10363" TargetMode="External"/><Relationship Id="rId15303" Type="http://schemas.openxmlformats.org/officeDocument/2006/relationships/hyperlink" Target="https://statiz.sporki.com/player/?m=playerinfo&amp;p_no=1811" TargetMode="External"/><Relationship Id="rId18873" Type="http://schemas.openxmlformats.org/officeDocument/2006/relationships/hyperlink" Target="https://statiz.sporki.com/add/?m=draft_school01&amp;ps_school=50116" TargetMode="External"/><Relationship Id="rId181" Type="http://schemas.openxmlformats.org/officeDocument/2006/relationships/hyperlink" Target="https://statiz.sporki.com/player/?m=playerinfo&amp;p_no=15427" TargetMode="External"/><Relationship Id="rId7881" Type="http://schemas.openxmlformats.org/officeDocument/2006/relationships/hyperlink" Target="https://statiz.sporki.com/add/?m=draft_school02&amp;ps_school=60101" TargetMode="External"/><Relationship Id="rId8932" Type="http://schemas.openxmlformats.org/officeDocument/2006/relationships/hyperlink" Target="https://statiz.sporki.com/player/?m=playerinfo&amp;p_no=2036" TargetMode="External"/><Relationship Id="rId10862" Type="http://schemas.openxmlformats.org/officeDocument/2006/relationships/hyperlink" Target="https://statiz.sporki.com/add/?m=draft_school01&amp;ps_school=50114" TargetMode="External"/><Relationship Id="rId11913" Type="http://schemas.openxmlformats.org/officeDocument/2006/relationships/hyperlink" Target="https://statiz.sporki.com/add/?m=draft_school02&amp;ps_school=60803" TargetMode="External"/><Relationship Id="rId17475" Type="http://schemas.openxmlformats.org/officeDocument/2006/relationships/hyperlink" Target="https://statiz.sporki.com/add/?m=draft_school01&amp;ps_school=50110" TargetMode="External"/><Relationship Id="rId18526" Type="http://schemas.openxmlformats.org/officeDocument/2006/relationships/hyperlink" Target="https://statiz.sporki.com/add/?m=draft_school01&amp;ps_school=50802" TargetMode="External"/><Relationship Id="rId5085" Type="http://schemas.openxmlformats.org/officeDocument/2006/relationships/hyperlink" Target="https://statiz.sporki.com/add/?m=draft_school02&amp;ps_school=60113" TargetMode="External"/><Relationship Id="rId6483" Type="http://schemas.openxmlformats.org/officeDocument/2006/relationships/hyperlink" Target="https://statiz.sporki.com/add/?m=draft_school02&amp;ps_school=60102" TargetMode="External"/><Relationship Id="rId7534" Type="http://schemas.openxmlformats.org/officeDocument/2006/relationships/hyperlink" Target="https://statiz.sporki.com/player/?m=playerinfo&amp;p_no=2267" TargetMode="External"/><Relationship Id="rId10515" Type="http://schemas.openxmlformats.org/officeDocument/2006/relationships/hyperlink" Target="https://statiz.sporki.com/add/?m=draft_school02&amp;ps_school=" TargetMode="External"/><Relationship Id="rId16077" Type="http://schemas.openxmlformats.org/officeDocument/2006/relationships/hyperlink" Target="https://statiz.sporki.com/player/?m=playerinfo&amp;p_no=1135" TargetMode="External"/><Relationship Id="rId17128" Type="http://schemas.openxmlformats.org/officeDocument/2006/relationships/hyperlink" Target="https://statiz.sporki.com/add/?m=draft_school01&amp;ps_school=50706" TargetMode="External"/><Relationship Id="rId6136" Type="http://schemas.openxmlformats.org/officeDocument/2006/relationships/hyperlink" Target="https://statiz.sporki.com/player/?m=playerinfo&amp;p_no=10611" TargetMode="External"/><Relationship Id="rId12687" Type="http://schemas.openxmlformats.org/officeDocument/2006/relationships/hyperlink" Target="https://statiz.sporki.com/player/?m=playerinfo&amp;p_no=14738" TargetMode="External"/><Relationship Id="rId13738" Type="http://schemas.openxmlformats.org/officeDocument/2006/relationships/hyperlink" Target="https://statiz.sporki.com/player/?m=playerinfo&amp;p_no=11162" TargetMode="External"/><Relationship Id="rId1695" Type="http://schemas.openxmlformats.org/officeDocument/2006/relationships/hyperlink" Target="https://statiz.sporki.com/add/?m=draft_school02&amp;ps_school=" TargetMode="External"/><Relationship Id="rId2746" Type="http://schemas.openxmlformats.org/officeDocument/2006/relationships/hyperlink" Target="https://statiz.sporki.com/player/?m=playerinfo&amp;p_no=12907" TargetMode="External"/><Relationship Id="rId9359" Type="http://schemas.openxmlformats.org/officeDocument/2006/relationships/hyperlink" Target="https://statiz.sporki.com/add/?m=draft_school01&amp;ps_school=50806" TargetMode="External"/><Relationship Id="rId11289" Type="http://schemas.openxmlformats.org/officeDocument/2006/relationships/hyperlink" Target="https://statiz.sporki.com/add/?m=draft_school02&amp;ps_school=60703" TargetMode="External"/><Relationship Id="rId15160" Type="http://schemas.openxmlformats.org/officeDocument/2006/relationships/hyperlink" Target="https://statiz.sporki.com/player/?m=playerinfo&amp;p_no=1963" TargetMode="External"/><Relationship Id="rId16211" Type="http://schemas.openxmlformats.org/officeDocument/2006/relationships/hyperlink" Target="https://statiz.sporki.com/add/?m=draft_school01&amp;ps_school=50301" TargetMode="External"/><Relationship Id="rId718" Type="http://schemas.openxmlformats.org/officeDocument/2006/relationships/hyperlink" Target="https://statiz.sporki.com/player/?m=playerinfo&amp;p_no=15096" TargetMode="External"/><Relationship Id="rId1348" Type="http://schemas.openxmlformats.org/officeDocument/2006/relationships/hyperlink" Target="https://statiz.sporki.com/player/?m=playerinfo&amp;p_no=14839" TargetMode="External"/><Relationship Id="rId5969" Type="http://schemas.openxmlformats.org/officeDocument/2006/relationships/hyperlink" Target="https://statiz.sporki.com/add/?m=draft_school01&amp;ps_school=" TargetMode="External"/><Relationship Id="rId7391" Type="http://schemas.openxmlformats.org/officeDocument/2006/relationships/hyperlink" Target="https://statiz.sporki.com/add/?m=draft_school01&amp;ps_school=50813" TargetMode="External"/><Relationship Id="rId8442" Type="http://schemas.openxmlformats.org/officeDocument/2006/relationships/hyperlink" Target="https://statiz.sporki.com/add/?m=draft_school02&amp;ps_school=61002" TargetMode="External"/><Relationship Id="rId9840" Type="http://schemas.openxmlformats.org/officeDocument/2006/relationships/hyperlink" Target="https://statiz.sporki.com/add/?m=draft_school02&amp;ps_school=60204" TargetMode="External"/><Relationship Id="rId11770" Type="http://schemas.openxmlformats.org/officeDocument/2006/relationships/hyperlink" Target="https://statiz.sporki.com/player/?m=playerinfo&amp;p_no=1127" TargetMode="External"/><Relationship Id="rId12821" Type="http://schemas.openxmlformats.org/officeDocument/2006/relationships/hyperlink" Target="https://statiz.sporki.com/player/?m=playerinfo&amp;p_no=14151" TargetMode="External"/><Relationship Id="rId18036" Type="http://schemas.openxmlformats.org/officeDocument/2006/relationships/hyperlink" Target="https://statiz.sporki.com/add/?m=draft_school01&amp;ps_school=50104" TargetMode="External"/><Relationship Id="rId18383" Type="http://schemas.openxmlformats.org/officeDocument/2006/relationships/hyperlink" Target="https://statiz.sporki.com/add/?m=draft_school01&amp;ps_school=50711" TargetMode="External"/><Relationship Id="rId19434" Type="http://schemas.openxmlformats.org/officeDocument/2006/relationships/hyperlink" Target="https://statiz.sporki.com/add/?m=draft_school01&amp;ps_school=50209" TargetMode="External"/><Relationship Id="rId54" Type="http://schemas.openxmlformats.org/officeDocument/2006/relationships/hyperlink" Target="https://statiz.sporki.com/add/?m=draft_school02&amp;ps_school=" TargetMode="External"/><Relationship Id="rId7044" Type="http://schemas.openxmlformats.org/officeDocument/2006/relationships/hyperlink" Target="https://statiz.sporki.com/add/?m=draft_school02&amp;ps_school=" TargetMode="External"/><Relationship Id="rId10372" Type="http://schemas.openxmlformats.org/officeDocument/2006/relationships/hyperlink" Target="https://statiz.sporki.com/player/?m=playerinfo&amp;p_no=1510" TargetMode="External"/><Relationship Id="rId11423" Type="http://schemas.openxmlformats.org/officeDocument/2006/relationships/hyperlink" Target="https://statiz.sporki.com/add/?m=draft_school01&amp;ps_school=50403" TargetMode="External"/><Relationship Id="rId14993" Type="http://schemas.openxmlformats.org/officeDocument/2006/relationships/hyperlink" Target="https://statiz.sporki.com/player/?m=playerinfo&amp;p_no=2011" TargetMode="External"/><Relationship Id="rId10025" Type="http://schemas.openxmlformats.org/officeDocument/2006/relationships/hyperlink" Target="https://statiz.sporki.com/add/?m=draft_school01&amp;ps_school=50302" TargetMode="External"/><Relationship Id="rId13595" Type="http://schemas.openxmlformats.org/officeDocument/2006/relationships/hyperlink" Target="https://statiz.sporki.com/player/?m=playerinfo&amp;p_no=11293" TargetMode="External"/><Relationship Id="rId14646" Type="http://schemas.openxmlformats.org/officeDocument/2006/relationships/hyperlink" Target="https://statiz.sporki.com/player/?m=playerinfo&amp;p_no=2268" TargetMode="External"/><Relationship Id="rId3654" Type="http://schemas.openxmlformats.org/officeDocument/2006/relationships/hyperlink" Target="https://statiz.sporki.com/add/?m=draft_school02&amp;ps_school=" TargetMode="External"/><Relationship Id="rId4705" Type="http://schemas.openxmlformats.org/officeDocument/2006/relationships/hyperlink" Target="https://statiz.sporki.com/player/?m=playerinfo&amp;p_no=11191" TargetMode="External"/><Relationship Id="rId12197" Type="http://schemas.openxmlformats.org/officeDocument/2006/relationships/hyperlink" Target="https://statiz.sporki.com/player/?m=playerinfo&amp;p_no=15478" TargetMode="External"/><Relationship Id="rId13248" Type="http://schemas.openxmlformats.org/officeDocument/2006/relationships/hyperlink" Target="https://statiz.sporki.com/player/?m=playerinfo&amp;p_no=12594" TargetMode="External"/><Relationship Id="rId17869" Type="http://schemas.openxmlformats.org/officeDocument/2006/relationships/hyperlink" Target="https://statiz.sporki.com/add/?m=draft_school01&amp;ps_school=50209" TargetMode="External"/><Relationship Id="rId575" Type="http://schemas.openxmlformats.org/officeDocument/2006/relationships/hyperlink" Target="https://statiz.sporki.com/add/?m=draft_school01&amp;ps_school=50701" TargetMode="External"/><Relationship Id="rId2256" Type="http://schemas.openxmlformats.org/officeDocument/2006/relationships/hyperlink" Target="https://statiz.sporki.com/add/?m=draft_school02&amp;ps_school=60803" TargetMode="External"/><Relationship Id="rId3307" Type="http://schemas.openxmlformats.org/officeDocument/2006/relationships/hyperlink" Target="https://statiz.sporki.com/player/?m=playerinfo&amp;p_no=12621" TargetMode="External"/><Relationship Id="rId6877" Type="http://schemas.openxmlformats.org/officeDocument/2006/relationships/hyperlink" Target="https://statiz.sporki.com/player/?m=playerinfo&amp;p_no=2397" TargetMode="External"/><Relationship Id="rId7928" Type="http://schemas.openxmlformats.org/officeDocument/2006/relationships/hyperlink" Target="https://statiz.sporki.com/add/?m=draft_school01&amp;ps_school=50403" TargetMode="External"/><Relationship Id="rId19291" Type="http://schemas.openxmlformats.org/officeDocument/2006/relationships/hyperlink" Target="https://statiz.sporki.com/add/?m=draft_school01&amp;ps_school=50502" TargetMode="External"/><Relationship Id="rId228" Type="http://schemas.openxmlformats.org/officeDocument/2006/relationships/hyperlink" Target="https://statiz.sporki.com/add/?m=draft_school02&amp;ps_school=" TargetMode="External"/><Relationship Id="rId5479" Type="http://schemas.openxmlformats.org/officeDocument/2006/relationships/hyperlink" Target="https://statiz.sporki.com/player/?m=playerinfo&amp;p_no=10374" TargetMode="External"/><Relationship Id="rId9350" Type="http://schemas.openxmlformats.org/officeDocument/2006/relationships/hyperlink" Target="https://statiz.sporki.com/add/?m=draft_school01&amp;ps_school=50112" TargetMode="External"/><Relationship Id="rId10909" Type="http://schemas.openxmlformats.org/officeDocument/2006/relationships/hyperlink" Target="https://statiz.sporki.com/player/?m=playerinfo&amp;p_no=1416" TargetMode="External"/><Relationship Id="rId11280" Type="http://schemas.openxmlformats.org/officeDocument/2006/relationships/hyperlink" Target="https://statiz.sporki.com/add/?m=draft_school02&amp;ps_school=60103" TargetMode="External"/><Relationship Id="rId9003" Type="http://schemas.openxmlformats.org/officeDocument/2006/relationships/hyperlink" Target="https://statiz.sporki.com/add/?m=draft_school02&amp;ps_school=60705" TargetMode="External"/><Relationship Id="rId12331" Type="http://schemas.openxmlformats.org/officeDocument/2006/relationships/hyperlink" Target="https://statiz.sporki.com/player/?m=playerinfo&amp;p_no=15081" TargetMode="External"/><Relationship Id="rId16952" Type="http://schemas.openxmlformats.org/officeDocument/2006/relationships/hyperlink" Target="https://statiz.sporki.com/add/?m=draft_school01&amp;ps_school=50701" TargetMode="External"/><Relationship Id="rId5960" Type="http://schemas.openxmlformats.org/officeDocument/2006/relationships/hyperlink" Target="https://statiz.sporki.com/add/?m=draft_school01&amp;ps_school=" TargetMode="External"/><Relationship Id="rId15554" Type="http://schemas.openxmlformats.org/officeDocument/2006/relationships/hyperlink" Target="https://statiz.sporki.com/player/?m=playerinfo&amp;p_no=1591" TargetMode="External"/><Relationship Id="rId16605" Type="http://schemas.openxmlformats.org/officeDocument/2006/relationships/hyperlink" Target="https://statiz.sporki.com/add/?m=draft_school01&amp;ps_school=50604" TargetMode="External"/><Relationship Id="rId3164" Type="http://schemas.openxmlformats.org/officeDocument/2006/relationships/hyperlink" Target="https://statiz.sporki.com/add/?m=draft_school01&amp;ps_school=50107" TargetMode="External"/><Relationship Id="rId4562" Type="http://schemas.openxmlformats.org/officeDocument/2006/relationships/hyperlink" Target="https://statiz.sporki.com/add/?m=draft_school01&amp;ps_school=50207" TargetMode="External"/><Relationship Id="rId5613" Type="http://schemas.openxmlformats.org/officeDocument/2006/relationships/hyperlink" Target="https://statiz.sporki.com/add/?m=draft_school02&amp;ps_school=60113" TargetMode="External"/><Relationship Id="rId14156" Type="http://schemas.openxmlformats.org/officeDocument/2006/relationships/hyperlink" Target="https://statiz.sporki.com/player/?m=playerinfo&amp;p_no=10093" TargetMode="External"/><Relationship Id="rId15207" Type="http://schemas.openxmlformats.org/officeDocument/2006/relationships/hyperlink" Target="https://statiz.sporki.com/player/?m=playerinfo&amp;p_no=1944" TargetMode="External"/><Relationship Id="rId18777" Type="http://schemas.openxmlformats.org/officeDocument/2006/relationships/hyperlink" Target="https://statiz.sporki.com/add/?m=draft_school01&amp;ps_school=50802" TargetMode="External"/><Relationship Id="rId4215" Type="http://schemas.openxmlformats.org/officeDocument/2006/relationships/hyperlink" Target="https://statiz.sporki.com/add/?m=draft_school02&amp;ps_school=" TargetMode="External"/><Relationship Id="rId7785" Type="http://schemas.openxmlformats.org/officeDocument/2006/relationships/hyperlink" Target="https://statiz.sporki.com/add/?m=draft_school02&amp;ps_school=" TargetMode="External"/><Relationship Id="rId8836" Type="http://schemas.openxmlformats.org/officeDocument/2006/relationships/hyperlink" Target="https://statiz.sporki.com/player/?m=playerinfo&amp;p_no=1959" TargetMode="External"/><Relationship Id="rId10766" Type="http://schemas.openxmlformats.org/officeDocument/2006/relationships/hyperlink" Target="https://statiz.sporki.com/add/?m=draft_school01&amp;ps_school=50607" TargetMode="External"/><Relationship Id="rId11817" Type="http://schemas.openxmlformats.org/officeDocument/2006/relationships/hyperlink" Target="https://statiz.sporki.com/add/?m=draft_school02&amp;ps_school=60113" TargetMode="External"/><Relationship Id="rId17379" Type="http://schemas.openxmlformats.org/officeDocument/2006/relationships/hyperlink" Target="https://statiz.sporki.com/add/?m=draft_school01&amp;ps_school=50606" TargetMode="External"/><Relationship Id="rId6387" Type="http://schemas.openxmlformats.org/officeDocument/2006/relationships/hyperlink" Target="https://statiz.sporki.com/add/?m=draft_school02&amp;ps_school=" TargetMode="External"/><Relationship Id="rId7438" Type="http://schemas.openxmlformats.org/officeDocument/2006/relationships/hyperlink" Target="https://statiz.sporki.com/player/?m=playerinfo&amp;p_no=10582" TargetMode="External"/><Relationship Id="rId10419" Type="http://schemas.openxmlformats.org/officeDocument/2006/relationships/hyperlink" Target="https://statiz.sporki.com/add/?m=draft_school02&amp;ps_school=60802" TargetMode="External"/><Relationship Id="rId2997" Type="http://schemas.openxmlformats.org/officeDocument/2006/relationships/hyperlink" Target="https://statiz.sporki.com/add/?m=draft_school02&amp;ps_school=60802" TargetMode="External"/><Relationship Id="rId13989" Type="http://schemas.openxmlformats.org/officeDocument/2006/relationships/hyperlink" Target="https://statiz.sporki.com/player/?m=playerinfo&amp;p_no=10199" TargetMode="External"/><Relationship Id="rId17860" Type="http://schemas.openxmlformats.org/officeDocument/2006/relationships/hyperlink" Target="https://statiz.sporki.com/add/?m=draft_school01&amp;ps_school=50101" TargetMode="External"/><Relationship Id="rId18911" Type="http://schemas.openxmlformats.org/officeDocument/2006/relationships/hyperlink" Target="https://statiz.sporki.com/add/?m=draft_school01&amp;ps_school=50108" TargetMode="External"/><Relationship Id="rId969" Type="http://schemas.openxmlformats.org/officeDocument/2006/relationships/hyperlink" Target="https://statiz.sporki.com/add/?m=draft_school02&amp;ps_school=" TargetMode="External"/><Relationship Id="rId1599" Type="http://schemas.openxmlformats.org/officeDocument/2006/relationships/hyperlink" Target="https://statiz.sporki.com/add/?m=draft_school02&amp;ps_school=" TargetMode="External"/><Relationship Id="rId5470" Type="http://schemas.openxmlformats.org/officeDocument/2006/relationships/hyperlink" Target="https://statiz.sporki.com/player/?m=playerinfo&amp;p_no=10432" TargetMode="External"/><Relationship Id="rId6521" Type="http://schemas.openxmlformats.org/officeDocument/2006/relationships/hyperlink" Target="https://statiz.sporki.com/add/?m=draft_school01&amp;ps_school=50303" TargetMode="External"/><Relationship Id="rId10900" Type="http://schemas.openxmlformats.org/officeDocument/2006/relationships/hyperlink" Target="https://statiz.sporki.com/player/?m=playerinfo&amp;p_no=1388" TargetMode="External"/><Relationship Id="rId15064" Type="http://schemas.openxmlformats.org/officeDocument/2006/relationships/hyperlink" Target="https://statiz.sporki.com/player/?m=playerinfo&amp;p_no=10327" TargetMode="External"/><Relationship Id="rId16115" Type="http://schemas.openxmlformats.org/officeDocument/2006/relationships/hyperlink" Target="https://statiz.sporki.com/player/?m=playerinfo&amp;p_no=1006" TargetMode="External"/><Relationship Id="rId16462" Type="http://schemas.openxmlformats.org/officeDocument/2006/relationships/hyperlink" Target="https://statiz.sporki.com/add/?m=draft_school01&amp;ps_school=50209" TargetMode="External"/><Relationship Id="rId17513" Type="http://schemas.openxmlformats.org/officeDocument/2006/relationships/hyperlink" Target="https://statiz.sporki.com/add/?m=draft_school01&amp;ps_school=50701" TargetMode="External"/><Relationship Id="rId4072" Type="http://schemas.openxmlformats.org/officeDocument/2006/relationships/hyperlink" Target="https://statiz.sporki.com/player/?m=playerinfo&amp;p_no=11222" TargetMode="External"/><Relationship Id="rId5123" Type="http://schemas.openxmlformats.org/officeDocument/2006/relationships/hyperlink" Target="https://statiz.sporki.com/add/?m=draft_school01&amp;ps_school=51001" TargetMode="External"/><Relationship Id="rId7295" Type="http://schemas.openxmlformats.org/officeDocument/2006/relationships/hyperlink" Target="https://statiz.sporki.com/add/?m=draft_school01&amp;ps_school=50402" TargetMode="External"/><Relationship Id="rId8693" Type="http://schemas.openxmlformats.org/officeDocument/2006/relationships/hyperlink" Target="https://statiz.sporki.com/add/?m=draft_school01&amp;ps_school=50103" TargetMode="External"/><Relationship Id="rId9744" Type="http://schemas.openxmlformats.org/officeDocument/2006/relationships/hyperlink" Target="https://statiz.sporki.com/add/?m=draft_school02&amp;ps_school=" TargetMode="External"/><Relationship Id="rId11674" Type="http://schemas.openxmlformats.org/officeDocument/2006/relationships/hyperlink" Target="https://statiz.sporki.com/player/?m=playerinfo&amp;p_no=1182" TargetMode="External"/><Relationship Id="rId12725" Type="http://schemas.openxmlformats.org/officeDocument/2006/relationships/hyperlink" Target="https://statiz.sporki.com/player/?m=playerinfo&amp;p_no=14630" TargetMode="External"/><Relationship Id="rId18287" Type="http://schemas.openxmlformats.org/officeDocument/2006/relationships/hyperlink" Target="https://statiz.sporki.com/add/?m=draft_school01&amp;ps_school=50101" TargetMode="External"/><Relationship Id="rId19338" Type="http://schemas.openxmlformats.org/officeDocument/2006/relationships/hyperlink" Target="https://statiz.sporki.com/add/?m=draft_school01&amp;ps_school=50209" TargetMode="External"/><Relationship Id="rId1733" Type="http://schemas.openxmlformats.org/officeDocument/2006/relationships/hyperlink" Target="https://statiz.sporki.com/add/?m=draft_school01&amp;ps_school=" TargetMode="External"/><Relationship Id="rId8346" Type="http://schemas.openxmlformats.org/officeDocument/2006/relationships/hyperlink" Target="https://statiz.sporki.com/add/?m=draft_school02&amp;ps_school=60104" TargetMode="External"/><Relationship Id="rId10276" Type="http://schemas.openxmlformats.org/officeDocument/2006/relationships/hyperlink" Target="https://statiz.sporki.com/player/?m=playerinfo&amp;p_no=10386" TargetMode="External"/><Relationship Id="rId11327" Type="http://schemas.openxmlformats.org/officeDocument/2006/relationships/hyperlink" Target="https://statiz.sporki.com/add/?m=draft_school01&amp;ps_school=50209" TargetMode="External"/><Relationship Id="rId14897" Type="http://schemas.openxmlformats.org/officeDocument/2006/relationships/hyperlink" Target="https://statiz.sporki.com/player/?m=playerinfo&amp;p_no=2088" TargetMode="External"/><Relationship Id="rId15948" Type="http://schemas.openxmlformats.org/officeDocument/2006/relationships/hyperlink" Target="https://statiz.sporki.com/player/?m=playerinfo&amp;p_no=1204" TargetMode="External"/><Relationship Id="rId4956" Type="http://schemas.openxmlformats.org/officeDocument/2006/relationships/hyperlink" Target="https://statiz.sporki.com/add/?m=draft_school02&amp;ps_school=60103" TargetMode="External"/><Relationship Id="rId13499" Type="http://schemas.openxmlformats.org/officeDocument/2006/relationships/hyperlink" Target="https://statiz.sporki.com/player/?m=playerinfo&amp;p_no=11222" TargetMode="External"/><Relationship Id="rId17370" Type="http://schemas.openxmlformats.org/officeDocument/2006/relationships/hyperlink" Target="https://statiz.sporki.com/add/?m=draft_school01&amp;ps_school=50801" TargetMode="External"/><Relationship Id="rId18421" Type="http://schemas.openxmlformats.org/officeDocument/2006/relationships/hyperlink" Target="https://statiz.sporki.com/add/?m=draft_school01&amp;ps_school=50807" TargetMode="External"/><Relationship Id="rId3558" Type="http://schemas.openxmlformats.org/officeDocument/2006/relationships/hyperlink" Target="https://statiz.sporki.com/add/?m=draft_school02&amp;ps_school=" TargetMode="External"/><Relationship Id="rId4609" Type="http://schemas.openxmlformats.org/officeDocument/2006/relationships/hyperlink" Target="https://statiz.sporki.com/player/?m=playerinfo&amp;p_no=11141" TargetMode="External"/><Relationship Id="rId17023" Type="http://schemas.openxmlformats.org/officeDocument/2006/relationships/hyperlink" Target="https://statiz.sporki.com/add/?m=draft_school01&amp;ps_school=50208" TargetMode="External"/><Relationship Id="rId479" Type="http://schemas.openxmlformats.org/officeDocument/2006/relationships/hyperlink" Target="https://statiz.sporki.com/add/?m=draft_school01&amp;ps_school=50208" TargetMode="External"/><Relationship Id="rId6031" Type="http://schemas.openxmlformats.org/officeDocument/2006/relationships/hyperlink" Target="https://statiz.sporki.com/player/?m=playerinfo&amp;p_no=10341" TargetMode="External"/><Relationship Id="rId10410" Type="http://schemas.openxmlformats.org/officeDocument/2006/relationships/hyperlink" Target="https://statiz.sporki.com/add/?m=draft_school02&amp;ps_school=" TargetMode="External"/><Relationship Id="rId13980" Type="http://schemas.openxmlformats.org/officeDocument/2006/relationships/hyperlink" Target="https://statiz.sporki.com/player/?m=playerinfo&amp;p_no=10522" TargetMode="External"/><Relationship Id="rId19195" Type="http://schemas.openxmlformats.org/officeDocument/2006/relationships/hyperlink" Target="https://statiz.sporki.com/add/?m=draft_school01&amp;ps_school=50107" TargetMode="External"/><Relationship Id="rId9254" Type="http://schemas.openxmlformats.org/officeDocument/2006/relationships/hyperlink" Target="https://statiz.sporki.com/add/?m=draft_school01&amp;ps_school=50803" TargetMode="External"/><Relationship Id="rId12582" Type="http://schemas.openxmlformats.org/officeDocument/2006/relationships/hyperlink" Target="https://statiz.sporki.com/player/?m=playerinfo&amp;p_no=14898" TargetMode="External"/><Relationship Id="rId13633" Type="http://schemas.openxmlformats.org/officeDocument/2006/relationships/hyperlink" Target="https://statiz.sporki.com/player/?m=playerinfo&amp;p_no=11332" TargetMode="External"/><Relationship Id="rId960" Type="http://schemas.openxmlformats.org/officeDocument/2006/relationships/hyperlink" Target="https://statiz.sporki.com/add/?m=draft_school02&amp;ps_school=" TargetMode="External"/><Relationship Id="rId1243" Type="http://schemas.openxmlformats.org/officeDocument/2006/relationships/hyperlink" Target="https://statiz.sporki.com/player/?m=playerinfo&amp;p_no=14815" TargetMode="External"/><Relationship Id="rId1590" Type="http://schemas.openxmlformats.org/officeDocument/2006/relationships/hyperlink" Target="https://statiz.sporki.com/add/?m=draft_school02&amp;ps_school=" TargetMode="External"/><Relationship Id="rId2641" Type="http://schemas.openxmlformats.org/officeDocument/2006/relationships/hyperlink" Target="https://statiz.sporki.com/player/?m=playerinfo&amp;p_no=13058" TargetMode="External"/><Relationship Id="rId11184" Type="http://schemas.openxmlformats.org/officeDocument/2006/relationships/hyperlink" Target="https://statiz.sporki.com/add/?m=draft_school02&amp;ps_school=60803" TargetMode="External"/><Relationship Id="rId12235" Type="http://schemas.openxmlformats.org/officeDocument/2006/relationships/hyperlink" Target="https://statiz.sporki.com/player/?m=playerinfo&amp;p_no=15459" TargetMode="External"/><Relationship Id="rId16856" Type="http://schemas.openxmlformats.org/officeDocument/2006/relationships/hyperlink" Target="https://statiz.sporki.com/add/?m=draft_school01&amp;ps_school=50207" TargetMode="External"/><Relationship Id="rId17907" Type="http://schemas.openxmlformats.org/officeDocument/2006/relationships/hyperlink" Target="https://statiz.sporki.com/add/?m=draft_school01&amp;ps_school=50207" TargetMode="External"/><Relationship Id="rId613" Type="http://schemas.openxmlformats.org/officeDocument/2006/relationships/hyperlink" Target="https://statiz.sporki.com/player/?m=playerinfo&amp;p_no=15038" TargetMode="External"/><Relationship Id="rId5864" Type="http://schemas.openxmlformats.org/officeDocument/2006/relationships/hyperlink" Target="https://statiz.sporki.com/add/?m=draft_school01&amp;ps_school=50606" TargetMode="External"/><Relationship Id="rId6915" Type="http://schemas.openxmlformats.org/officeDocument/2006/relationships/hyperlink" Target="https://statiz.sporki.com/add/?m=draft_school02&amp;ps_school=" TargetMode="External"/><Relationship Id="rId15458" Type="http://schemas.openxmlformats.org/officeDocument/2006/relationships/hyperlink" Target="https://statiz.sporki.com/player/?m=playerinfo&amp;p_no=1683" TargetMode="External"/><Relationship Id="rId16509" Type="http://schemas.openxmlformats.org/officeDocument/2006/relationships/hyperlink" Target="https://statiz.sporki.com/add/?m=draft_school01&amp;ps_school=50302" TargetMode="External"/><Relationship Id="rId4466" Type="http://schemas.openxmlformats.org/officeDocument/2006/relationships/hyperlink" Target="https://statiz.sporki.com/add/?m=draft_school01&amp;ps_school=50809" TargetMode="External"/><Relationship Id="rId5517" Type="http://schemas.openxmlformats.org/officeDocument/2006/relationships/hyperlink" Target="https://statiz.sporki.com/add/?m=draft_school02&amp;ps_school=" TargetMode="External"/><Relationship Id="rId3068" Type="http://schemas.openxmlformats.org/officeDocument/2006/relationships/hyperlink" Target="https://statiz.sporki.com/add/?m=draft_school01&amp;ps_school=" TargetMode="External"/><Relationship Id="rId4119" Type="http://schemas.openxmlformats.org/officeDocument/2006/relationships/hyperlink" Target="https://statiz.sporki.com/add/?m=draft_school02&amp;ps_school=60603" TargetMode="External"/><Relationship Id="rId7689" Type="http://schemas.openxmlformats.org/officeDocument/2006/relationships/hyperlink" Target="https://statiz.sporki.com/add/?m=draft_school02&amp;ps_school=" TargetMode="External"/><Relationship Id="rId13490" Type="http://schemas.openxmlformats.org/officeDocument/2006/relationships/hyperlink" Target="https://statiz.sporki.com/player/?m=playerinfo&amp;p_no=11308" TargetMode="External"/><Relationship Id="rId4600" Type="http://schemas.openxmlformats.org/officeDocument/2006/relationships/hyperlink" Target="https://statiz.sporki.com/player/?m=playerinfo&amp;p_no=11085" TargetMode="External"/><Relationship Id="rId12092" Type="http://schemas.openxmlformats.org/officeDocument/2006/relationships/hyperlink" Target="https://statiz.sporki.com/add/?m=draft_school01&amp;ps_school=50602" TargetMode="External"/><Relationship Id="rId13143" Type="http://schemas.openxmlformats.org/officeDocument/2006/relationships/hyperlink" Target="https://statiz.sporki.com/player/?m=playerinfo&amp;p_no=12915" TargetMode="External"/><Relationship Id="rId14541" Type="http://schemas.openxmlformats.org/officeDocument/2006/relationships/hyperlink" Target="https://statiz.sporki.com/player/?m=playerinfo&amp;p_no=10149" TargetMode="External"/><Relationship Id="rId470" Type="http://schemas.openxmlformats.org/officeDocument/2006/relationships/hyperlink" Target="https://statiz.sporki.com/add/?m=draft_school01&amp;ps_school=50602" TargetMode="External"/><Relationship Id="rId2151" Type="http://schemas.openxmlformats.org/officeDocument/2006/relationships/hyperlink" Target="https://statiz.sporki.com/add/?m=draft_school02&amp;ps_school=" TargetMode="External"/><Relationship Id="rId3202" Type="http://schemas.openxmlformats.org/officeDocument/2006/relationships/hyperlink" Target="https://statiz.sporki.com/player/?m=playerinfo&amp;p_no=12637" TargetMode="External"/><Relationship Id="rId17764" Type="http://schemas.openxmlformats.org/officeDocument/2006/relationships/hyperlink" Target="https://statiz.sporki.com/add/?m=draft_school01&amp;ps_school=50105" TargetMode="External"/><Relationship Id="rId18815" Type="http://schemas.openxmlformats.org/officeDocument/2006/relationships/hyperlink" Target="https://statiz.sporki.com/add/?m=draft_school01&amp;ps_school=50609" TargetMode="External"/><Relationship Id="rId123" Type="http://schemas.openxmlformats.org/officeDocument/2006/relationships/hyperlink" Target="https://statiz.sporki.com/add/?m=draft_school02&amp;ps_school=" TargetMode="External"/><Relationship Id="rId5374" Type="http://schemas.openxmlformats.org/officeDocument/2006/relationships/hyperlink" Target="https://statiz.sporki.com/player/?m=playerinfo&amp;p_no=10653" TargetMode="External"/><Relationship Id="rId6772" Type="http://schemas.openxmlformats.org/officeDocument/2006/relationships/hyperlink" Target="https://statiz.sporki.com/player/?m=playerinfo&amp;p_no=10565" TargetMode="External"/><Relationship Id="rId7823" Type="http://schemas.openxmlformats.org/officeDocument/2006/relationships/hyperlink" Target="https://statiz.sporki.com/add/?m=draft_school01&amp;ps_school=50114" TargetMode="External"/><Relationship Id="rId10804" Type="http://schemas.openxmlformats.org/officeDocument/2006/relationships/hyperlink" Target="https://statiz.sporki.com/player/?m=playerinfo&amp;p_no=1393" TargetMode="External"/><Relationship Id="rId16366" Type="http://schemas.openxmlformats.org/officeDocument/2006/relationships/hyperlink" Target="https://statiz.sporki.com/add/?m=draft_school01&amp;ps_school=50401" TargetMode="External"/><Relationship Id="rId17417" Type="http://schemas.openxmlformats.org/officeDocument/2006/relationships/hyperlink" Target="https://statiz.sporki.com/add/?m=draft_school01&amp;ps_school=50108" TargetMode="External"/><Relationship Id="rId5027" Type="http://schemas.openxmlformats.org/officeDocument/2006/relationships/hyperlink" Target="https://statiz.sporki.com/add/?m=draft_school01&amp;ps_school=50605" TargetMode="External"/><Relationship Id="rId6425" Type="http://schemas.openxmlformats.org/officeDocument/2006/relationships/hyperlink" Target="https://statiz.sporki.com/add/?m=draft_school01&amp;ps_school=50806" TargetMode="External"/><Relationship Id="rId9995" Type="http://schemas.openxmlformats.org/officeDocument/2006/relationships/hyperlink" Target="https://statiz.sporki.com/add/?m=draft_school01&amp;ps_school=50109" TargetMode="External"/><Relationship Id="rId12976" Type="http://schemas.openxmlformats.org/officeDocument/2006/relationships/hyperlink" Target="https://statiz.sporki.com/player/?m=playerinfo&amp;p_no=13174" TargetMode="External"/><Relationship Id="rId16019" Type="http://schemas.openxmlformats.org/officeDocument/2006/relationships/hyperlink" Target="https://statiz.sporki.com/player/?m=playerinfo&amp;p_no=1175" TargetMode="External"/><Relationship Id="rId19589" Type="http://schemas.openxmlformats.org/officeDocument/2006/relationships/hyperlink" Target="https://statiz.sporki.com/add/?m=draft_school01&amp;ps_school=50804" TargetMode="External"/><Relationship Id="rId1984" Type="http://schemas.openxmlformats.org/officeDocument/2006/relationships/hyperlink" Target="https://statiz.sporki.com/player/?m=playerinfo&amp;p_no=14174" TargetMode="External"/><Relationship Id="rId8597" Type="http://schemas.openxmlformats.org/officeDocument/2006/relationships/hyperlink" Target="https://statiz.sporki.com/add/?m=draft_school01&amp;ps_school=50803" TargetMode="External"/><Relationship Id="rId9648" Type="http://schemas.openxmlformats.org/officeDocument/2006/relationships/hyperlink" Target="https://statiz.sporki.com/add/?m=draft_school02&amp;ps_school=60109" TargetMode="External"/><Relationship Id="rId11578" Type="http://schemas.openxmlformats.org/officeDocument/2006/relationships/hyperlink" Target="https://statiz.sporki.com/player/?m=playerinfo&amp;p_no=1159" TargetMode="External"/><Relationship Id="rId12629" Type="http://schemas.openxmlformats.org/officeDocument/2006/relationships/hyperlink" Target="https://statiz.sporki.com/player/?m=playerinfo&amp;p_no=14618" TargetMode="External"/><Relationship Id="rId16500" Type="http://schemas.openxmlformats.org/officeDocument/2006/relationships/hyperlink" Target="https://statiz.sporki.com/add/?m=draft_school01&amp;ps_school=50802" TargetMode="External"/><Relationship Id="rId1637" Type="http://schemas.openxmlformats.org/officeDocument/2006/relationships/hyperlink" Target="https://statiz.sporki.com/add/?m=draft_school01&amp;ps_school=50111" TargetMode="External"/><Relationship Id="rId7199" Type="http://schemas.openxmlformats.org/officeDocument/2006/relationships/hyperlink" Target="https://statiz.sporki.com/add/?m=draft_school01&amp;ps_school=50106" TargetMode="External"/><Relationship Id="rId14051" Type="http://schemas.openxmlformats.org/officeDocument/2006/relationships/hyperlink" Target="https://statiz.sporki.com/player/?m=playerinfo&amp;p_no=12650" TargetMode="External"/><Relationship Id="rId15102" Type="http://schemas.openxmlformats.org/officeDocument/2006/relationships/hyperlink" Target="https://statiz.sporki.com/player/?m=playerinfo&amp;p_no=1923" TargetMode="External"/><Relationship Id="rId4110" Type="http://schemas.openxmlformats.org/officeDocument/2006/relationships/hyperlink" Target="https://statiz.sporki.com/add/?m=draft_school02&amp;ps_school=60109" TargetMode="External"/><Relationship Id="rId7680" Type="http://schemas.openxmlformats.org/officeDocument/2006/relationships/hyperlink" Target="https://statiz.sporki.com/add/?m=draft_school02&amp;ps_school=" TargetMode="External"/><Relationship Id="rId8731" Type="http://schemas.openxmlformats.org/officeDocument/2006/relationships/hyperlink" Target="https://statiz.sporki.com/player/?m=playerinfo&amp;p_no=2023" TargetMode="External"/><Relationship Id="rId17274" Type="http://schemas.openxmlformats.org/officeDocument/2006/relationships/hyperlink" Target="https://statiz.sporki.com/add/?m=draft_school01&amp;ps_school=50111" TargetMode="External"/><Relationship Id="rId18325" Type="http://schemas.openxmlformats.org/officeDocument/2006/relationships/hyperlink" Target="https://statiz.sporki.com/add/?m=draft_school01&amp;ps_school=50116" TargetMode="External"/><Relationship Id="rId18672" Type="http://schemas.openxmlformats.org/officeDocument/2006/relationships/hyperlink" Target="https://statiz.sporki.com/add/?m=draft_school01&amp;ps_school=50115" TargetMode="External"/><Relationship Id="rId6282" Type="http://schemas.openxmlformats.org/officeDocument/2006/relationships/hyperlink" Target="https://statiz.sporki.com/add/?m=draft_school02&amp;ps_school=60103" TargetMode="External"/><Relationship Id="rId7333" Type="http://schemas.openxmlformats.org/officeDocument/2006/relationships/hyperlink" Target="https://statiz.sporki.com/player/?m=playerinfo&amp;p_no=10142" TargetMode="External"/><Relationship Id="rId10661" Type="http://schemas.openxmlformats.org/officeDocument/2006/relationships/hyperlink" Target="https://statiz.sporki.com/add/?m=draft_school01&amp;ps_school=50813" TargetMode="External"/><Relationship Id="rId11712" Type="http://schemas.openxmlformats.org/officeDocument/2006/relationships/hyperlink" Target="https://statiz.sporki.com/add/?m=draft_school02&amp;ps_school=" TargetMode="External"/><Relationship Id="rId10314" Type="http://schemas.openxmlformats.org/officeDocument/2006/relationships/hyperlink" Target="https://statiz.sporki.com/add/?m=draft_school02&amp;ps_school=60109" TargetMode="External"/><Relationship Id="rId13884" Type="http://schemas.openxmlformats.org/officeDocument/2006/relationships/hyperlink" Target="https://statiz.sporki.com/player/?m=playerinfo&amp;p_no=10713" TargetMode="External"/><Relationship Id="rId14935" Type="http://schemas.openxmlformats.org/officeDocument/2006/relationships/hyperlink" Target="https://statiz.sporki.com/player/?m=playerinfo&amp;p_no=10397" TargetMode="External"/><Relationship Id="rId19099" Type="http://schemas.openxmlformats.org/officeDocument/2006/relationships/hyperlink" Target="https://statiz.sporki.com/add/?m=draft_school01&amp;ps_school=50126" TargetMode="External"/><Relationship Id="rId2892" Type="http://schemas.openxmlformats.org/officeDocument/2006/relationships/hyperlink" Target="https://statiz.sporki.com/add/?m=draft_school02&amp;ps_school=" TargetMode="External"/><Relationship Id="rId3943" Type="http://schemas.openxmlformats.org/officeDocument/2006/relationships/hyperlink" Target="https://statiz.sporki.com/player/?m=playerinfo&amp;p_no=11393" TargetMode="External"/><Relationship Id="rId9158" Type="http://schemas.openxmlformats.org/officeDocument/2006/relationships/hyperlink" Target="https://statiz.sporki.com/add/?m=draft_school01&amp;ps_school=50802" TargetMode="External"/><Relationship Id="rId12486" Type="http://schemas.openxmlformats.org/officeDocument/2006/relationships/hyperlink" Target="https://statiz.sporki.com/player/?m=playerinfo&amp;p_no=14797" TargetMode="External"/><Relationship Id="rId13537" Type="http://schemas.openxmlformats.org/officeDocument/2006/relationships/hyperlink" Target="https://statiz.sporki.com/player/?m=playerinfo&amp;p_no=11221" TargetMode="External"/><Relationship Id="rId864" Type="http://schemas.openxmlformats.org/officeDocument/2006/relationships/hyperlink" Target="https://statiz.sporki.com/add/?m=draft_school02&amp;ps_school=61131" TargetMode="External"/><Relationship Id="rId1494" Type="http://schemas.openxmlformats.org/officeDocument/2006/relationships/hyperlink" Target="https://statiz.sporki.com/add/?m=draft_school02&amp;ps_school=" TargetMode="External"/><Relationship Id="rId2545" Type="http://schemas.openxmlformats.org/officeDocument/2006/relationships/hyperlink" Target="https://statiz.sporki.com/player/?m=playerinfo&amp;p_no=13099" TargetMode="External"/><Relationship Id="rId11088" Type="http://schemas.openxmlformats.org/officeDocument/2006/relationships/hyperlink" Target="https://statiz.sporki.com/add/?m=draft_school02&amp;ps_school=60102" TargetMode="External"/><Relationship Id="rId12139" Type="http://schemas.openxmlformats.org/officeDocument/2006/relationships/hyperlink" Target="https://statiz.sporki.com/player/?m=playerinfo&amp;p_no=11476" TargetMode="External"/><Relationship Id="rId16010" Type="http://schemas.openxmlformats.org/officeDocument/2006/relationships/hyperlink" Target="https://statiz.sporki.com/player/?m=playerinfo&amp;p_no=1145" TargetMode="External"/><Relationship Id="rId19580" Type="http://schemas.openxmlformats.org/officeDocument/2006/relationships/hyperlink" Target="https://statiz.sporki.com/add/?m=draft_school01&amp;ps_school=50111" TargetMode="External"/><Relationship Id="rId517" Type="http://schemas.openxmlformats.org/officeDocument/2006/relationships/hyperlink" Target="https://statiz.sporki.com/player/?m=playerinfo&amp;p_no=15024" TargetMode="External"/><Relationship Id="rId1147" Type="http://schemas.openxmlformats.org/officeDocument/2006/relationships/hyperlink" Target="https://statiz.sporki.com/player/?m=playerinfo&amp;p_no=14861" TargetMode="External"/><Relationship Id="rId5768" Type="http://schemas.openxmlformats.org/officeDocument/2006/relationships/hyperlink" Target="https://statiz.sporki.com/add/?m=draft_school01&amp;ps_school=50501" TargetMode="External"/><Relationship Id="rId6819" Type="http://schemas.openxmlformats.org/officeDocument/2006/relationships/hyperlink" Target="https://statiz.sporki.com/add/?m=draft_school02&amp;ps_school=60704" TargetMode="External"/><Relationship Id="rId18182" Type="http://schemas.openxmlformats.org/officeDocument/2006/relationships/hyperlink" Target="https://statiz.sporki.com/add/?m=draft_school01&amp;ps_school=50111" TargetMode="External"/><Relationship Id="rId19233" Type="http://schemas.openxmlformats.org/officeDocument/2006/relationships/hyperlink" Target="https://statiz.sporki.com/add/?m=draft_school01&amp;ps_school=50802" TargetMode="External"/><Relationship Id="rId7190" Type="http://schemas.openxmlformats.org/officeDocument/2006/relationships/hyperlink" Target="https://statiz.sporki.com/add/?m=draft_school01&amp;ps_school=50107" TargetMode="External"/><Relationship Id="rId8241" Type="http://schemas.openxmlformats.org/officeDocument/2006/relationships/hyperlink" Target="https://statiz.sporki.com/add/?m=draft_school02&amp;ps_school=60109" TargetMode="External"/><Relationship Id="rId10171" Type="http://schemas.openxmlformats.org/officeDocument/2006/relationships/hyperlink" Target="https://statiz.sporki.com/player/?m=playerinfo&amp;p_no=1895" TargetMode="External"/><Relationship Id="rId11222" Type="http://schemas.openxmlformats.org/officeDocument/2006/relationships/hyperlink" Target="https://statiz.sporki.com/add/?m=draft_school01&amp;ps_school=" TargetMode="External"/><Relationship Id="rId12620" Type="http://schemas.openxmlformats.org/officeDocument/2006/relationships/hyperlink" Target="https://statiz.sporki.com/player/?m=playerinfo&amp;p_no=14576" TargetMode="External"/><Relationship Id="rId14792" Type="http://schemas.openxmlformats.org/officeDocument/2006/relationships/hyperlink" Target="https://statiz.sporki.com/player/?m=playerinfo&amp;p_no=2244" TargetMode="External"/><Relationship Id="rId15843" Type="http://schemas.openxmlformats.org/officeDocument/2006/relationships/hyperlink" Target="https://statiz.sporki.com/player/?m=playerinfo&amp;p_no=1284" TargetMode="External"/><Relationship Id="rId3453" Type="http://schemas.openxmlformats.org/officeDocument/2006/relationships/hyperlink" Target="https://statiz.sporki.com/add/?m=draft_school02&amp;ps_school=" TargetMode="External"/><Relationship Id="rId4851" Type="http://schemas.openxmlformats.org/officeDocument/2006/relationships/hyperlink" Target="https://statiz.sporki.com/add/?m=draft_school02&amp;ps_school=" TargetMode="External"/><Relationship Id="rId5902" Type="http://schemas.openxmlformats.org/officeDocument/2006/relationships/hyperlink" Target="https://statiz.sporki.com/player/?m=playerinfo&amp;p_no=10809" TargetMode="External"/><Relationship Id="rId13394" Type="http://schemas.openxmlformats.org/officeDocument/2006/relationships/hyperlink" Target="https://statiz.sporki.com/player/?m=playerinfo&amp;p_no=12978" TargetMode="External"/><Relationship Id="rId14445" Type="http://schemas.openxmlformats.org/officeDocument/2006/relationships/hyperlink" Target="https://statiz.sporki.com/player/?m=playerinfo&amp;p_no=10750" TargetMode="External"/><Relationship Id="rId374" Type="http://schemas.openxmlformats.org/officeDocument/2006/relationships/hyperlink" Target="https://statiz.sporki.com/add/?m=draft_school01&amp;ps_school=" TargetMode="External"/><Relationship Id="rId2055" Type="http://schemas.openxmlformats.org/officeDocument/2006/relationships/hyperlink" Target="https://statiz.sporki.com/add/?m=draft_school02&amp;ps_school=" TargetMode="External"/><Relationship Id="rId3106" Type="http://schemas.openxmlformats.org/officeDocument/2006/relationships/hyperlink" Target="https://statiz.sporki.com/player/?m=playerinfo&amp;p_no=12957" TargetMode="External"/><Relationship Id="rId4504" Type="http://schemas.openxmlformats.org/officeDocument/2006/relationships/hyperlink" Target="https://statiz.sporki.com/player/?m=playerinfo&amp;p_no=11067" TargetMode="External"/><Relationship Id="rId13047" Type="http://schemas.openxmlformats.org/officeDocument/2006/relationships/hyperlink" Target="https://statiz.sporki.com/player/?m=playerinfo&amp;p_no=13271" TargetMode="External"/><Relationship Id="rId17668" Type="http://schemas.openxmlformats.org/officeDocument/2006/relationships/hyperlink" Target="https://statiz.sporki.com/add/?m=draft_school01&amp;ps_school=50802" TargetMode="External"/><Relationship Id="rId18719" Type="http://schemas.openxmlformats.org/officeDocument/2006/relationships/hyperlink" Target="https://statiz.sporki.com/add/?m=draft_school01&amp;ps_school=50110" TargetMode="External"/><Relationship Id="rId6676" Type="http://schemas.openxmlformats.org/officeDocument/2006/relationships/hyperlink" Target="https://statiz.sporki.com/player/?m=playerinfo&amp;p_no=10701" TargetMode="External"/><Relationship Id="rId7727" Type="http://schemas.openxmlformats.org/officeDocument/2006/relationships/hyperlink" Target="https://statiz.sporki.com/add/?m=draft_school01&amp;ps_school=" TargetMode="External"/><Relationship Id="rId10708" Type="http://schemas.openxmlformats.org/officeDocument/2006/relationships/hyperlink" Target="https://statiz.sporki.com/player/?m=playerinfo&amp;p_no=1429" TargetMode="External"/><Relationship Id="rId19090" Type="http://schemas.openxmlformats.org/officeDocument/2006/relationships/hyperlink" Target="https://statiz.sporki.com/add/?m=draft_school01&amp;ps_school=50113" TargetMode="External"/><Relationship Id="rId5278" Type="http://schemas.openxmlformats.org/officeDocument/2006/relationships/hyperlink" Target="https://statiz.sporki.com/player/?m=playerinfo&amp;p_no=10738" TargetMode="External"/><Relationship Id="rId6329" Type="http://schemas.openxmlformats.org/officeDocument/2006/relationships/hyperlink" Target="https://statiz.sporki.com/add/?m=draft_school01&amp;ps_school=50112" TargetMode="External"/><Relationship Id="rId9899" Type="http://schemas.openxmlformats.org/officeDocument/2006/relationships/hyperlink" Target="https://statiz.sporki.com/add/?m=draft_school01&amp;ps_school=50114" TargetMode="External"/><Relationship Id="rId12130" Type="http://schemas.openxmlformats.org/officeDocument/2006/relationships/hyperlink" Target="https://statiz.sporki.com/player/?m=playerinfo&amp;p_no=1064" TargetMode="External"/><Relationship Id="rId1888" Type="http://schemas.openxmlformats.org/officeDocument/2006/relationships/hyperlink" Target="https://statiz.sporki.com/player/?m=playerinfo&amp;p_no=14146" TargetMode="External"/><Relationship Id="rId2939" Type="http://schemas.openxmlformats.org/officeDocument/2006/relationships/hyperlink" Target="https://statiz.sporki.com/add/?m=draft_school01&amp;ps_school=50202" TargetMode="External"/><Relationship Id="rId6810" Type="http://schemas.openxmlformats.org/officeDocument/2006/relationships/hyperlink" Target="https://statiz.sporki.com/add/?m=draft_school02&amp;ps_school=60501" TargetMode="External"/><Relationship Id="rId15353" Type="http://schemas.openxmlformats.org/officeDocument/2006/relationships/hyperlink" Target="https://statiz.sporki.com/player/?m=playerinfo&amp;p_no=1730" TargetMode="External"/><Relationship Id="rId16404" Type="http://schemas.openxmlformats.org/officeDocument/2006/relationships/hyperlink" Target="https://statiz.sporki.com/add/?m=draft_school01&amp;ps_school=50701" TargetMode="External"/><Relationship Id="rId16751" Type="http://schemas.openxmlformats.org/officeDocument/2006/relationships/hyperlink" Target="https://statiz.sporki.com/add/?m=draft_school01&amp;ps_school=50403" TargetMode="External"/><Relationship Id="rId17802" Type="http://schemas.openxmlformats.org/officeDocument/2006/relationships/hyperlink" Target="https://statiz.sporki.com/add/?m=draft_school01&amp;ps_school=50109" TargetMode="External"/><Relationship Id="rId4361" Type="http://schemas.openxmlformats.org/officeDocument/2006/relationships/hyperlink" Target="https://statiz.sporki.com/add/?m=draft_school01&amp;ps_school=" TargetMode="External"/><Relationship Id="rId5412" Type="http://schemas.openxmlformats.org/officeDocument/2006/relationships/hyperlink" Target="https://statiz.sporki.com/add/?m=draft_school02&amp;ps_school=" TargetMode="External"/><Relationship Id="rId15006" Type="http://schemas.openxmlformats.org/officeDocument/2006/relationships/hyperlink" Target="https://statiz.sporki.com/player/?m=playerinfo&amp;p_no=1980" TargetMode="External"/><Relationship Id="rId4014" Type="http://schemas.openxmlformats.org/officeDocument/2006/relationships/hyperlink" Target="https://statiz.sporki.com/add/?m=draft_school02&amp;ps_school=" TargetMode="External"/><Relationship Id="rId7584" Type="http://schemas.openxmlformats.org/officeDocument/2006/relationships/hyperlink" Target="https://statiz.sporki.com/add/?m=draft_school02&amp;ps_school=" TargetMode="External"/><Relationship Id="rId8982" Type="http://schemas.openxmlformats.org/officeDocument/2006/relationships/hyperlink" Target="https://statiz.sporki.com/add/?m=draft_school02&amp;ps_school=60803" TargetMode="External"/><Relationship Id="rId11963" Type="http://schemas.openxmlformats.org/officeDocument/2006/relationships/hyperlink" Target="https://statiz.sporki.com/add/?m=draft_school01&amp;ps_school=50209" TargetMode="External"/><Relationship Id="rId17178" Type="http://schemas.openxmlformats.org/officeDocument/2006/relationships/hyperlink" Target="https://statiz.sporki.com/add/?m=draft_school01&amp;ps_school=50703" TargetMode="External"/><Relationship Id="rId18576" Type="http://schemas.openxmlformats.org/officeDocument/2006/relationships/hyperlink" Target="https://statiz.sporki.com/add/?m=draft_school01&amp;ps_school=50904" TargetMode="External"/><Relationship Id="rId19627" Type="http://schemas.openxmlformats.org/officeDocument/2006/relationships/hyperlink" Target="https://statiz.sporki.com/add/?m=draft_school01&amp;ps_school=50202" TargetMode="External"/><Relationship Id="rId6186" Type="http://schemas.openxmlformats.org/officeDocument/2006/relationships/hyperlink" Target="https://statiz.sporki.com/add/?m=draft_school02&amp;ps_school=" TargetMode="External"/><Relationship Id="rId7237" Type="http://schemas.openxmlformats.org/officeDocument/2006/relationships/hyperlink" Target="https://statiz.sporki.com/player/?m=playerinfo&amp;p_no=2275" TargetMode="External"/><Relationship Id="rId8635" Type="http://schemas.openxmlformats.org/officeDocument/2006/relationships/hyperlink" Target="https://statiz.sporki.com/player/?m=playerinfo&amp;p_no=1971" TargetMode="External"/><Relationship Id="rId10565" Type="http://schemas.openxmlformats.org/officeDocument/2006/relationships/hyperlink" Target="https://statiz.sporki.com/add/?m=draft_school01&amp;ps_school=50701" TargetMode="External"/><Relationship Id="rId11616" Type="http://schemas.openxmlformats.org/officeDocument/2006/relationships/hyperlink" Target="https://statiz.sporki.com/add/?m=draft_school02&amp;ps_school=60803" TargetMode="External"/><Relationship Id="rId18229" Type="http://schemas.openxmlformats.org/officeDocument/2006/relationships/hyperlink" Target="https://statiz.sporki.com/add/?m=draft_school01&amp;ps_school=50602" TargetMode="External"/><Relationship Id="rId10218" Type="http://schemas.openxmlformats.org/officeDocument/2006/relationships/hyperlink" Target="https://statiz.sporki.com/add/?m=draft_school02&amp;ps_school=" TargetMode="External"/><Relationship Id="rId13788" Type="http://schemas.openxmlformats.org/officeDocument/2006/relationships/hyperlink" Target="https://statiz.sporki.com/player/?m=playerinfo&amp;p_no=11163" TargetMode="External"/><Relationship Id="rId14839" Type="http://schemas.openxmlformats.org/officeDocument/2006/relationships/hyperlink" Target="https://statiz.sporki.com/player/?m=playerinfo&amp;p_no=10192" TargetMode="External"/><Relationship Id="rId18710" Type="http://schemas.openxmlformats.org/officeDocument/2006/relationships/hyperlink" Target="https://statiz.sporki.com/add/?m=draft_school01&amp;ps_school=50804" TargetMode="External"/><Relationship Id="rId2796" Type="http://schemas.openxmlformats.org/officeDocument/2006/relationships/hyperlink" Target="https://statiz.sporki.com/add/?m=draft_school02&amp;ps_school=" TargetMode="External"/><Relationship Id="rId3847" Type="http://schemas.openxmlformats.org/officeDocument/2006/relationships/hyperlink" Target="https://statiz.sporki.com/player/?m=playerinfo&amp;p_no=12563" TargetMode="External"/><Relationship Id="rId16261" Type="http://schemas.openxmlformats.org/officeDocument/2006/relationships/hyperlink" Target="https://statiz.sporki.com/add/?m=draft_school01&amp;ps_school=50901" TargetMode="External"/><Relationship Id="rId17312" Type="http://schemas.openxmlformats.org/officeDocument/2006/relationships/hyperlink" Target="https://statiz.sporki.com/add/?m=draft_school01&amp;ps_school=50808" TargetMode="External"/><Relationship Id="rId768" Type="http://schemas.openxmlformats.org/officeDocument/2006/relationships/hyperlink" Target="https://statiz.sporki.com/add/?m=draft_school02&amp;ps_school=" TargetMode="External"/><Relationship Id="rId1398" Type="http://schemas.openxmlformats.org/officeDocument/2006/relationships/hyperlink" Target="https://statiz.sporki.com/add/?m=draft_school02&amp;ps_school=" TargetMode="External"/><Relationship Id="rId2449" Type="http://schemas.openxmlformats.org/officeDocument/2006/relationships/hyperlink" Target="https://statiz.sporki.com/player/?m=playerinfo&amp;p_no=13085" TargetMode="External"/><Relationship Id="rId6320" Type="http://schemas.openxmlformats.org/officeDocument/2006/relationships/hyperlink" Target="https://statiz.sporki.com/add/?m=draft_school01&amp;ps_school=50902" TargetMode="External"/><Relationship Id="rId9890" Type="http://schemas.openxmlformats.org/officeDocument/2006/relationships/hyperlink" Target="https://statiz.sporki.com/add/?m=draft_school01&amp;ps_school=50302" TargetMode="External"/><Relationship Id="rId19484" Type="http://schemas.openxmlformats.org/officeDocument/2006/relationships/hyperlink" Target="https://statiz.sporki.com/add/?m=draft_school01&amp;ps_school=50501" TargetMode="External"/><Relationship Id="rId8492" Type="http://schemas.openxmlformats.org/officeDocument/2006/relationships/hyperlink" Target="https://statiz.sporki.com/add/?m=draft_school01&amp;ps_school=50403" TargetMode="External"/><Relationship Id="rId9543" Type="http://schemas.openxmlformats.org/officeDocument/2006/relationships/hyperlink" Target="https://statiz.sporki.com/add/?m=draft_school02&amp;ps_school=60103" TargetMode="External"/><Relationship Id="rId12871" Type="http://schemas.openxmlformats.org/officeDocument/2006/relationships/hyperlink" Target="https://statiz.sporki.com/player/?m=playerinfo&amp;p_no=13934" TargetMode="External"/><Relationship Id="rId13922" Type="http://schemas.openxmlformats.org/officeDocument/2006/relationships/hyperlink" Target="https://statiz.sporki.com/player/?m=playerinfo&amp;p_no=10741" TargetMode="External"/><Relationship Id="rId18086" Type="http://schemas.openxmlformats.org/officeDocument/2006/relationships/hyperlink" Target="https://statiz.sporki.com/add/?m=draft_school01&amp;ps_school=50807" TargetMode="External"/><Relationship Id="rId19137" Type="http://schemas.openxmlformats.org/officeDocument/2006/relationships/hyperlink" Target="https://statiz.sporki.com/add/?m=draft_school01&amp;ps_school=50702" TargetMode="External"/><Relationship Id="rId1532" Type="http://schemas.openxmlformats.org/officeDocument/2006/relationships/hyperlink" Target="https://statiz.sporki.com/add/?m=draft_school01&amp;ps_school=50403" TargetMode="External"/><Relationship Id="rId2930" Type="http://schemas.openxmlformats.org/officeDocument/2006/relationships/hyperlink" Target="https://statiz.sporki.com/add/?m=draft_school01&amp;ps_school=50210" TargetMode="External"/><Relationship Id="rId7094" Type="http://schemas.openxmlformats.org/officeDocument/2006/relationships/hyperlink" Target="https://statiz.sporki.com/add/?m=draft_school01&amp;ps_school=50805" TargetMode="External"/><Relationship Id="rId8145" Type="http://schemas.openxmlformats.org/officeDocument/2006/relationships/hyperlink" Target="https://statiz.sporki.com/add/?m=draft_school02&amp;ps_school=60102" TargetMode="External"/><Relationship Id="rId10075" Type="http://schemas.openxmlformats.org/officeDocument/2006/relationships/hyperlink" Target="https://statiz.sporki.com/player/?m=playerinfo&amp;p_no=1618" TargetMode="External"/><Relationship Id="rId11473" Type="http://schemas.openxmlformats.org/officeDocument/2006/relationships/hyperlink" Target="https://statiz.sporki.com/player/?m=playerinfo&amp;p_no=1219" TargetMode="External"/><Relationship Id="rId12524" Type="http://schemas.openxmlformats.org/officeDocument/2006/relationships/hyperlink" Target="https://statiz.sporki.com/player/?m=playerinfo&amp;p_no=14861" TargetMode="External"/><Relationship Id="rId902" Type="http://schemas.openxmlformats.org/officeDocument/2006/relationships/hyperlink" Target="https://statiz.sporki.com/add/?m=draft_school01&amp;ps_school=50116" TargetMode="External"/><Relationship Id="rId11126" Type="http://schemas.openxmlformats.org/officeDocument/2006/relationships/hyperlink" Target="https://statiz.sporki.com/add/?m=draft_school01&amp;ps_school=50301" TargetMode="External"/><Relationship Id="rId14696" Type="http://schemas.openxmlformats.org/officeDocument/2006/relationships/hyperlink" Target="https://statiz.sporki.com/player/?m=playerinfo&amp;p_no=10406" TargetMode="External"/><Relationship Id="rId15747" Type="http://schemas.openxmlformats.org/officeDocument/2006/relationships/hyperlink" Target="https://statiz.sporki.com/player/?m=playerinfo&amp;p_no=1373" TargetMode="External"/><Relationship Id="rId4755" Type="http://schemas.openxmlformats.org/officeDocument/2006/relationships/hyperlink" Target="https://statiz.sporki.com/add/?m=draft_school02&amp;ps_school=" TargetMode="External"/><Relationship Id="rId5806" Type="http://schemas.openxmlformats.org/officeDocument/2006/relationships/hyperlink" Target="https://statiz.sporki.com/player/?m=playerinfo&amp;p_no=10013" TargetMode="External"/><Relationship Id="rId13298" Type="http://schemas.openxmlformats.org/officeDocument/2006/relationships/hyperlink" Target="https://statiz.sporki.com/player/?m=playerinfo&amp;p_no=12599" TargetMode="External"/><Relationship Id="rId14349" Type="http://schemas.openxmlformats.org/officeDocument/2006/relationships/hyperlink" Target="https://statiz.sporki.com/player/?m=playerinfo&amp;p_no=10119" TargetMode="External"/><Relationship Id="rId18220" Type="http://schemas.openxmlformats.org/officeDocument/2006/relationships/hyperlink" Target="https://statiz.sporki.com/add/?m=draft_school01&amp;ps_school=50602" TargetMode="External"/><Relationship Id="rId278" Type="http://schemas.openxmlformats.org/officeDocument/2006/relationships/hyperlink" Target="https://statiz.sporki.com/add/?m=draft_school01&amp;ps_school=50501" TargetMode="External"/><Relationship Id="rId3357" Type="http://schemas.openxmlformats.org/officeDocument/2006/relationships/hyperlink" Target="https://statiz.sporki.com/add/?m=draft_school02&amp;ps_school=" TargetMode="External"/><Relationship Id="rId4408" Type="http://schemas.openxmlformats.org/officeDocument/2006/relationships/hyperlink" Target="https://statiz.sporki.com/player/?m=playerinfo&amp;p_no=12528" TargetMode="External"/><Relationship Id="rId7978" Type="http://schemas.openxmlformats.org/officeDocument/2006/relationships/hyperlink" Target="https://statiz.sporki.com/player/?m=playerinfo&amp;p_no=2124" TargetMode="External"/><Relationship Id="rId10959" Type="http://schemas.openxmlformats.org/officeDocument/2006/relationships/hyperlink" Target="https://statiz.sporki.com/add/?m=draft_school02&amp;ps_school=60113" TargetMode="External"/><Relationship Id="rId12381" Type="http://schemas.openxmlformats.org/officeDocument/2006/relationships/hyperlink" Target="https://statiz.sporki.com/player/?m=playerinfo&amp;p_no=15096" TargetMode="External"/><Relationship Id="rId13432" Type="http://schemas.openxmlformats.org/officeDocument/2006/relationships/hyperlink" Target="https://statiz.sporki.com/player/?m=playerinfo&amp;p_no=12977" TargetMode="External"/><Relationship Id="rId14830" Type="http://schemas.openxmlformats.org/officeDocument/2006/relationships/hyperlink" Target="https://statiz.sporki.com/player/?m=playerinfo&amp;p_no=10272" TargetMode="External"/><Relationship Id="rId2440" Type="http://schemas.openxmlformats.org/officeDocument/2006/relationships/hyperlink" Target="https://statiz.sporki.com/player/?m=playerinfo&amp;p_no=13118" TargetMode="External"/><Relationship Id="rId9053" Type="http://schemas.openxmlformats.org/officeDocument/2006/relationships/hyperlink" Target="https://statiz.sporki.com/add/?m=draft_school01&amp;ps_school=50108" TargetMode="External"/><Relationship Id="rId12034" Type="http://schemas.openxmlformats.org/officeDocument/2006/relationships/hyperlink" Target="https://statiz.sporki.com/player/?m=playerinfo&amp;p_no=1016" TargetMode="External"/><Relationship Id="rId412" Type="http://schemas.openxmlformats.org/officeDocument/2006/relationships/hyperlink" Target="https://statiz.sporki.com/player/?m=playerinfo&amp;p_no=16144" TargetMode="External"/><Relationship Id="rId1042" Type="http://schemas.openxmlformats.org/officeDocument/2006/relationships/hyperlink" Target="https://statiz.sporki.com/player/?m=playerinfo&amp;p_no=14812" TargetMode="External"/><Relationship Id="rId5663" Type="http://schemas.openxmlformats.org/officeDocument/2006/relationships/hyperlink" Target="https://statiz.sporki.com/add/?m=draft_school01&amp;ps_school=" TargetMode="External"/><Relationship Id="rId16655" Type="http://schemas.openxmlformats.org/officeDocument/2006/relationships/hyperlink" Target="https://statiz.sporki.com/add/?m=draft_school01&amp;ps_school=50903" TargetMode="External"/><Relationship Id="rId17706" Type="http://schemas.openxmlformats.org/officeDocument/2006/relationships/hyperlink" Target="https://statiz.sporki.com/add/?m=draft_school01&amp;ps_school=50703" TargetMode="External"/><Relationship Id="rId4265" Type="http://schemas.openxmlformats.org/officeDocument/2006/relationships/hyperlink" Target="https://statiz.sporki.com/add/?m=draft_school01&amp;ps_school=50210" TargetMode="External"/><Relationship Id="rId5316" Type="http://schemas.openxmlformats.org/officeDocument/2006/relationships/hyperlink" Target="https://statiz.sporki.com/add/?m=draft_school02&amp;ps_school=" TargetMode="External"/><Relationship Id="rId6714" Type="http://schemas.openxmlformats.org/officeDocument/2006/relationships/hyperlink" Target="https://statiz.sporki.com/add/?m=draft_school02&amp;ps_school=60704" TargetMode="External"/><Relationship Id="rId15257" Type="http://schemas.openxmlformats.org/officeDocument/2006/relationships/hyperlink" Target="https://statiz.sporki.com/player/?m=playerinfo&amp;p_no=1843" TargetMode="External"/><Relationship Id="rId16308" Type="http://schemas.openxmlformats.org/officeDocument/2006/relationships/hyperlink" Target="https://statiz.sporki.com/add/?m=draft_school01&amp;ps_school=50208" TargetMode="External"/><Relationship Id="rId8886" Type="http://schemas.openxmlformats.org/officeDocument/2006/relationships/hyperlink" Target="https://statiz.sporki.com/add/?m=draft_school02&amp;ps_school=" TargetMode="External"/><Relationship Id="rId9937" Type="http://schemas.openxmlformats.org/officeDocument/2006/relationships/hyperlink" Target="https://statiz.sporki.com/player/?m=playerinfo&amp;p_no=1689" TargetMode="External"/><Relationship Id="rId11867" Type="http://schemas.openxmlformats.org/officeDocument/2006/relationships/hyperlink" Target="https://statiz.sporki.com/add/?m=draft_school01&amp;ps_school=50121" TargetMode="External"/><Relationship Id="rId12918" Type="http://schemas.openxmlformats.org/officeDocument/2006/relationships/hyperlink" Target="https://statiz.sporki.com/player/?m=playerinfo&amp;p_no=13081" TargetMode="External"/><Relationship Id="rId1926" Type="http://schemas.openxmlformats.org/officeDocument/2006/relationships/hyperlink" Target="https://statiz.sporki.com/add/?m=draft_school02&amp;ps_school=" TargetMode="External"/><Relationship Id="rId7488" Type="http://schemas.openxmlformats.org/officeDocument/2006/relationships/hyperlink" Target="https://statiz.sporki.com/add/?m=draft_school02&amp;ps_school=" TargetMode="External"/><Relationship Id="rId8539" Type="http://schemas.openxmlformats.org/officeDocument/2006/relationships/hyperlink" Target="https://statiz.sporki.com/player/?m=playerinfo&amp;p_no=2044" TargetMode="External"/><Relationship Id="rId10469" Type="http://schemas.openxmlformats.org/officeDocument/2006/relationships/hyperlink" Target="https://statiz.sporki.com/add/?m=draft_school01&amp;ps_school=50702" TargetMode="External"/><Relationship Id="rId14340" Type="http://schemas.openxmlformats.org/officeDocument/2006/relationships/hyperlink" Target="https://statiz.sporki.com/player/?m=playerinfo&amp;p_no=10763" TargetMode="External"/><Relationship Id="rId17563" Type="http://schemas.openxmlformats.org/officeDocument/2006/relationships/hyperlink" Target="https://statiz.sporki.com/add/?m=draft_school01&amp;ps_school=50601" TargetMode="External"/><Relationship Id="rId18614" Type="http://schemas.openxmlformats.org/officeDocument/2006/relationships/hyperlink" Target="https://statiz.sporki.com/add/?m=draft_school01&amp;ps_school=50109" TargetMode="External"/><Relationship Id="rId18961" Type="http://schemas.openxmlformats.org/officeDocument/2006/relationships/hyperlink" Target="https://statiz.sporki.com/add/?m=draft_school01&amp;ps_school=50604" TargetMode="External"/><Relationship Id="rId3001" Type="http://schemas.openxmlformats.org/officeDocument/2006/relationships/hyperlink" Target="https://statiz.sporki.com/player/?m=playerinfo&amp;p_no=12875" TargetMode="External"/><Relationship Id="rId6571" Type="http://schemas.openxmlformats.org/officeDocument/2006/relationships/hyperlink" Target="https://statiz.sporki.com/player/?m=playerinfo&amp;p_no=10718" TargetMode="External"/><Relationship Id="rId7622" Type="http://schemas.openxmlformats.org/officeDocument/2006/relationships/hyperlink" Target="https://statiz.sporki.com/add/?m=draft_school01&amp;ps_school=50602" TargetMode="External"/><Relationship Id="rId10950" Type="http://schemas.openxmlformats.org/officeDocument/2006/relationships/hyperlink" Target="https://statiz.sporki.com/add/?m=draft_school02&amp;ps_school=" TargetMode="External"/><Relationship Id="rId16165" Type="http://schemas.openxmlformats.org/officeDocument/2006/relationships/hyperlink" Target="https://statiz.sporki.com/player/?m=playerinfo&amp;p_no=1112" TargetMode="External"/><Relationship Id="rId17216" Type="http://schemas.openxmlformats.org/officeDocument/2006/relationships/hyperlink" Target="https://statiz.sporki.com/add/?m=draft_school01&amp;ps_school=50803" TargetMode="External"/><Relationship Id="rId5173" Type="http://schemas.openxmlformats.org/officeDocument/2006/relationships/hyperlink" Target="https://statiz.sporki.com/player/?m=playerinfo&amp;p_no=10812" TargetMode="External"/><Relationship Id="rId6224" Type="http://schemas.openxmlformats.org/officeDocument/2006/relationships/hyperlink" Target="https://statiz.sporki.com/add/?m=draft_school01&amp;ps_school=50102" TargetMode="External"/><Relationship Id="rId9794" Type="http://schemas.openxmlformats.org/officeDocument/2006/relationships/hyperlink" Target="https://statiz.sporki.com/add/?m=draft_school01&amp;ps_school=50402" TargetMode="External"/><Relationship Id="rId10603" Type="http://schemas.openxmlformats.org/officeDocument/2006/relationships/hyperlink" Target="https://statiz.sporki.com/player/?m=playerinfo&amp;p_no=1468" TargetMode="External"/><Relationship Id="rId19388" Type="http://schemas.openxmlformats.org/officeDocument/2006/relationships/hyperlink" Target="https://statiz.sporki.com/add/?m=draft_school01&amp;ps_school=50502" TargetMode="External"/><Relationship Id="rId8396" Type="http://schemas.openxmlformats.org/officeDocument/2006/relationships/hyperlink" Target="https://statiz.sporki.com/add/?m=draft_school01&amp;ps_school=50606" TargetMode="External"/><Relationship Id="rId9447" Type="http://schemas.openxmlformats.org/officeDocument/2006/relationships/hyperlink" Target="https://statiz.sporki.com/add/?m=draft_school02&amp;ps_school=" TargetMode="External"/><Relationship Id="rId12775" Type="http://schemas.openxmlformats.org/officeDocument/2006/relationships/hyperlink" Target="https://statiz.sporki.com/player/?m=playerinfo&amp;p_no=14114" TargetMode="External"/><Relationship Id="rId13826" Type="http://schemas.openxmlformats.org/officeDocument/2006/relationships/hyperlink" Target="https://statiz.sporki.com/player/?m=playerinfo&amp;p_no=10844" TargetMode="External"/><Relationship Id="rId1783" Type="http://schemas.openxmlformats.org/officeDocument/2006/relationships/hyperlink" Target="https://statiz.sporki.com/player/?m=playerinfo&amp;p_no=14725" TargetMode="External"/><Relationship Id="rId2834" Type="http://schemas.openxmlformats.org/officeDocument/2006/relationships/hyperlink" Target="https://statiz.sporki.com/add/?m=draft_school01&amp;ps_school=50208" TargetMode="External"/><Relationship Id="rId8049" Type="http://schemas.openxmlformats.org/officeDocument/2006/relationships/hyperlink" Target="https://statiz.sporki.com/add/?m=draft_school02&amp;ps_school=60109" TargetMode="External"/><Relationship Id="rId11377" Type="http://schemas.openxmlformats.org/officeDocument/2006/relationships/hyperlink" Target="https://statiz.sporki.com/player/?m=playerinfo&amp;p_no=1240" TargetMode="External"/><Relationship Id="rId12428" Type="http://schemas.openxmlformats.org/officeDocument/2006/relationships/hyperlink" Target="https://statiz.sporki.com/player/?m=playerinfo&amp;p_no=15009" TargetMode="External"/><Relationship Id="rId15998" Type="http://schemas.openxmlformats.org/officeDocument/2006/relationships/hyperlink" Target="https://statiz.sporki.com/player/?m=playerinfo&amp;p_no=1139" TargetMode="External"/><Relationship Id="rId806" Type="http://schemas.openxmlformats.org/officeDocument/2006/relationships/hyperlink" Target="https://statiz.sporki.com/add/?m=draft_school01&amp;ps_school=" TargetMode="External"/><Relationship Id="rId1436" Type="http://schemas.openxmlformats.org/officeDocument/2006/relationships/hyperlink" Target="https://statiz.sporki.com/add/?m=draft_school01&amp;ps_school=50108" TargetMode="External"/><Relationship Id="rId18471" Type="http://schemas.openxmlformats.org/officeDocument/2006/relationships/hyperlink" Target="https://statiz.sporki.com/add/?m=draft_school01&amp;ps_school=50112" TargetMode="External"/><Relationship Id="rId19522" Type="http://schemas.openxmlformats.org/officeDocument/2006/relationships/hyperlink" Target="https://statiz.sporki.com/add/?m=draft_school01&amp;ps_school=50711" TargetMode="External"/><Relationship Id="rId4659" Type="http://schemas.openxmlformats.org/officeDocument/2006/relationships/hyperlink" Target="https://statiz.sporki.com/add/?m=draft_school02&amp;ps_school=60204" TargetMode="External"/><Relationship Id="rId8530" Type="http://schemas.openxmlformats.org/officeDocument/2006/relationships/hyperlink" Target="https://statiz.sporki.com/player/?m=playerinfo&amp;p_no=2042" TargetMode="External"/><Relationship Id="rId10460" Type="http://schemas.openxmlformats.org/officeDocument/2006/relationships/hyperlink" Target="https://statiz.sporki.com/add/?m=draft_school01&amp;ps_school=50119" TargetMode="External"/><Relationship Id="rId11511" Type="http://schemas.openxmlformats.org/officeDocument/2006/relationships/hyperlink" Target="https://statiz.sporki.com/add/?m=draft_school02&amp;ps_school=" TargetMode="External"/><Relationship Id="rId17073" Type="http://schemas.openxmlformats.org/officeDocument/2006/relationships/hyperlink" Target="https://statiz.sporki.com/add/?m=draft_school01&amp;ps_school=50107" TargetMode="External"/><Relationship Id="rId18124" Type="http://schemas.openxmlformats.org/officeDocument/2006/relationships/hyperlink" Target="https://statiz.sporki.com/add/?m=draft_school01&amp;ps_school=50303" TargetMode="External"/><Relationship Id="rId6081" Type="http://schemas.openxmlformats.org/officeDocument/2006/relationships/hyperlink" Target="https://statiz.sporki.com/add/?m=draft_school02&amp;ps_school=60101" TargetMode="External"/><Relationship Id="rId7132" Type="http://schemas.openxmlformats.org/officeDocument/2006/relationships/hyperlink" Target="https://statiz.sporki.com/player/?m=playerinfo&amp;p_no=10319" TargetMode="External"/><Relationship Id="rId10113" Type="http://schemas.openxmlformats.org/officeDocument/2006/relationships/hyperlink" Target="https://statiz.sporki.com/add/?m=draft_school02&amp;ps_school=60703" TargetMode="External"/><Relationship Id="rId2691" Type="http://schemas.openxmlformats.org/officeDocument/2006/relationships/hyperlink" Target="https://statiz.sporki.com/add/?m=draft_school02&amp;ps_school=60101" TargetMode="External"/><Relationship Id="rId3742" Type="http://schemas.openxmlformats.org/officeDocument/2006/relationships/hyperlink" Target="https://statiz.sporki.com/player/?m=playerinfo&amp;p_no=12646" TargetMode="External"/><Relationship Id="rId12285" Type="http://schemas.openxmlformats.org/officeDocument/2006/relationships/hyperlink" Target="https://statiz.sporki.com/player/?m=playerinfo&amp;p_no=15622" TargetMode="External"/><Relationship Id="rId13683" Type="http://schemas.openxmlformats.org/officeDocument/2006/relationships/hyperlink" Target="https://statiz.sporki.com/player/?m=playerinfo&amp;p_no=11172" TargetMode="External"/><Relationship Id="rId14734" Type="http://schemas.openxmlformats.org/officeDocument/2006/relationships/hyperlink" Target="https://statiz.sporki.com/player/?m=playerinfo&amp;p_no=2223" TargetMode="External"/><Relationship Id="rId663" Type="http://schemas.openxmlformats.org/officeDocument/2006/relationships/hyperlink" Target="https://statiz.sporki.com/add/?m=draft_school02&amp;ps_school=" TargetMode="External"/><Relationship Id="rId1293" Type="http://schemas.openxmlformats.org/officeDocument/2006/relationships/hyperlink" Target="https://statiz.sporki.com/add/?m=draft_school02&amp;ps_school=" TargetMode="External"/><Relationship Id="rId2344" Type="http://schemas.openxmlformats.org/officeDocument/2006/relationships/hyperlink" Target="https://statiz.sporki.com/player/?m=playerinfo&amp;p_no=13157" TargetMode="External"/><Relationship Id="rId13336" Type="http://schemas.openxmlformats.org/officeDocument/2006/relationships/hyperlink" Target="https://statiz.sporki.com/player/?m=playerinfo&amp;p_no=12603" TargetMode="External"/><Relationship Id="rId17957" Type="http://schemas.openxmlformats.org/officeDocument/2006/relationships/hyperlink" Target="https://statiz.sporki.com/add/?m=draft_school01&amp;ps_school=50101" TargetMode="External"/><Relationship Id="rId316" Type="http://schemas.openxmlformats.org/officeDocument/2006/relationships/hyperlink" Target="https://statiz.sporki.com/player/?m=playerinfo&amp;p_no=15507" TargetMode="External"/><Relationship Id="rId6965" Type="http://schemas.openxmlformats.org/officeDocument/2006/relationships/hyperlink" Target="https://statiz.sporki.com/add/?m=draft_school01&amp;ps_school=50609" TargetMode="External"/><Relationship Id="rId16559" Type="http://schemas.openxmlformats.org/officeDocument/2006/relationships/hyperlink" Target="https://statiz.sporki.com/add/?m=draft_school01&amp;ps_school=50219" TargetMode="External"/><Relationship Id="rId4169" Type="http://schemas.openxmlformats.org/officeDocument/2006/relationships/hyperlink" Target="https://statiz.sporki.com/add/?m=draft_school01&amp;ps_school=50209" TargetMode="External"/><Relationship Id="rId5567" Type="http://schemas.openxmlformats.org/officeDocument/2006/relationships/hyperlink" Target="https://statiz.sporki.com/add/?m=draft_school01&amp;ps_school=50807" TargetMode="External"/><Relationship Id="rId6618" Type="http://schemas.openxmlformats.org/officeDocument/2006/relationships/hyperlink" Target="https://statiz.sporki.com/add/?m=draft_school02&amp;ps_school=" TargetMode="External"/><Relationship Id="rId8040" Type="http://schemas.openxmlformats.org/officeDocument/2006/relationships/hyperlink" Target="https://statiz.sporki.com/add/?m=draft_school02&amp;ps_school=60703" TargetMode="External"/><Relationship Id="rId19032" Type="http://schemas.openxmlformats.org/officeDocument/2006/relationships/hyperlink" Target="https://statiz.sporki.com/add/?m=draft_school01&amp;ps_school=50103" TargetMode="External"/><Relationship Id="rId11021" Type="http://schemas.openxmlformats.org/officeDocument/2006/relationships/hyperlink" Target="https://statiz.sporki.com/add/?m=draft_school01&amp;ps_school=50705" TargetMode="External"/><Relationship Id="rId14591" Type="http://schemas.openxmlformats.org/officeDocument/2006/relationships/hyperlink" Target="https://statiz.sporki.com/player/?m=playerinfo&amp;p_no=2261" TargetMode="External"/><Relationship Id="rId15642" Type="http://schemas.openxmlformats.org/officeDocument/2006/relationships/hyperlink" Target="https://statiz.sporki.com/player/?m=playerinfo&amp;p_no=1499" TargetMode="External"/><Relationship Id="rId4650" Type="http://schemas.openxmlformats.org/officeDocument/2006/relationships/hyperlink" Target="https://statiz.sporki.com/add/?m=draft_school02&amp;ps_school=60103" TargetMode="External"/><Relationship Id="rId5701" Type="http://schemas.openxmlformats.org/officeDocument/2006/relationships/hyperlink" Target="https://statiz.sporki.com/player/?m=playerinfo&amp;p_no=10875" TargetMode="External"/><Relationship Id="rId13193" Type="http://schemas.openxmlformats.org/officeDocument/2006/relationships/hyperlink" Target="https://statiz.sporki.com/player/?m=playerinfo&amp;p_no=12532" TargetMode="External"/><Relationship Id="rId14244" Type="http://schemas.openxmlformats.org/officeDocument/2006/relationships/hyperlink" Target="https://statiz.sporki.com/player/?m=playerinfo&amp;p_no=10293" TargetMode="External"/><Relationship Id="rId3252" Type="http://schemas.openxmlformats.org/officeDocument/2006/relationships/hyperlink" Target="https://statiz.sporki.com/add/?m=draft_school02&amp;ps_school=" TargetMode="External"/><Relationship Id="rId4303" Type="http://schemas.openxmlformats.org/officeDocument/2006/relationships/hyperlink" Target="https://statiz.sporki.com/player/?m=playerinfo&amp;p_no=11265" TargetMode="External"/><Relationship Id="rId7873" Type="http://schemas.openxmlformats.org/officeDocument/2006/relationships/hyperlink" Target="https://statiz.sporki.com/player/?m=playerinfo&amp;p_no=10666" TargetMode="External"/><Relationship Id="rId17467" Type="http://schemas.openxmlformats.org/officeDocument/2006/relationships/hyperlink" Target="https://statiz.sporki.com/add/?m=draft_school01&amp;ps_school=50203" TargetMode="External"/><Relationship Id="rId18865" Type="http://schemas.openxmlformats.org/officeDocument/2006/relationships/hyperlink" Target="https://statiz.sporki.com/add/?m=draft_school01&amp;ps_school=50108" TargetMode="External"/><Relationship Id="rId173" Type="http://schemas.openxmlformats.org/officeDocument/2006/relationships/hyperlink" Target="https://statiz.sporki.com/add/?m=draft_school01&amp;ps_school=50212" TargetMode="External"/><Relationship Id="rId6475" Type="http://schemas.openxmlformats.org/officeDocument/2006/relationships/hyperlink" Target="https://statiz.sporki.com/player/?m=playerinfo&amp;p_no=10931" TargetMode="External"/><Relationship Id="rId7526" Type="http://schemas.openxmlformats.org/officeDocument/2006/relationships/hyperlink" Target="https://statiz.sporki.com/add/?m=draft_school01&amp;ps_school=" TargetMode="External"/><Relationship Id="rId8924" Type="http://schemas.openxmlformats.org/officeDocument/2006/relationships/hyperlink" Target="https://statiz.sporki.com/add/?m=draft_school01&amp;ps_school=50110" TargetMode="External"/><Relationship Id="rId10854" Type="http://schemas.openxmlformats.org/officeDocument/2006/relationships/hyperlink" Target="https://statiz.sporki.com/add/?m=draft_school02&amp;ps_school=60109" TargetMode="External"/><Relationship Id="rId11905" Type="http://schemas.openxmlformats.org/officeDocument/2006/relationships/hyperlink" Target="https://statiz.sporki.com/player/?m=playerinfo&amp;p_no=1014" TargetMode="External"/><Relationship Id="rId16069" Type="http://schemas.openxmlformats.org/officeDocument/2006/relationships/hyperlink" Target="https://statiz.sporki.com/player/?m=playerinfo&amp;p_no=1008" TargetMode="External"/><Relationship Id="rId18518" Type="http://schemas.openxmlformats.org/officeDocument/2006/relationships/hyperlink" Target="https://statiz.sporki.com/add/?m=draft_school01&amp;ps_school=50812" TargetMode="External"/><Relationship Id="rId5077" Type="http://schemas.openxmlformats.org/officeDocument/2006/relationships/hyperlink" Target="https://statiz.sporki.com/player/?m=playerinfo&amp;p_no=10823" TargetMode="External"/><Relationship Id="rId6128" Type="http://schemas.openxmlformats.org/officeDocument/2006/relationships/hyperlink" Target="https://statiz.sporki.com/add/?m=draft_school01&amp;ps_school=50101" TargetMode="External"/><Relationship Id="rId10507" Type="http://schemas.openxmlformats.org/officeDocument/2006/relationships/hyperlink" Target="https://statiz.sporki.com/player/?m=playerinfo&amp;p_no=1517" TargetMode="External"/><Relationship Id="rId9698" Type="http://schemas.openxmlformats.org/officeDocument/2006/relationships/hyperlink" Target="https://statiz.sporki.com/add/?m=draft_school01&amp;ps_school=50115" TargetMode="External"/><Relationship Id="rId12679" Type="http://schemas.openxmlformats.org/officeDocument/2006/relationships/hyperlink" Target="https://statiz.sporki.com/player/?m=playerinfo&amp;p_no=14698" TargetMode="External"/><Relationship Id="rId16550" Type="http://schemas.openxmlformats.org/officeDocument/2006/relationships/hyperlink" Target="https://statiz.sporki.com/add/?m=draft_school01&amp;ps_school=50107" TargetMode="External"/><Relationship Id="rId17601" Type="http://schemas.openxmlformats.org/officeDocument/2006/relationships/hyperlink" Target="https://statiz.sporki.com/add/?m=draft_school01&amp;ps_school=50803" TargetMode="External"/><Relationship Id="rId1687" Type="http://schemas.openxmlformats.org/officeDocument/2006/relationships/hyperlink" Target="https://statiz.sporki.com/player/?m=playerinfo&amp;p_no=14665" TargetMode="External"/><Relationship Id="rId2738" Type="http://schemas.openxmlformats.org/officeDocument/2006/relationships/hyperlink" Target="https://statiz.sporki.com/add/?m=draft_school01&amp;ps_school=50401" TargetMode="External"/><Relationship Id="rId15152" Type="http://schemas.openxmlformats.org/officeDocument/2006/relationships/hyperlink" Target="https://statiz.sporki.com/player/?m=playerinfo&amp;p_no=1968" TargetMode="External"/><Relationship Id="rId16203" Type="http://schemas.openxmlformats.org/officeDocument/2006/relationships/hyperlink" Target="https://statiz.sporki.com/add/?m=draft_school01&amp;ps_school=50402" TargetMode="External"/><Relationship Id="rId4160" Type="http://schemas.openxmlformats.org/officeDocument/2006/relationships/hyperlink" Target="https://statiz.sporki.com/add/?m=draft_school01&amp;ps_school=50114" TargetMode="External"/><Relationship Id="rId5211" Type="http://schemas.openxmlformats.org/officeDocument/2006/relationships/hyperlink" Target="https://statiz.sporki.com/add/?m=draft_school02&amp;ps_school=" TargetMode="External"/><Relationship Id="rId8781" Type="http://schemas.openxmlformats.org/officeDocument/2006/relationships/hyperlink" Target="https://statiz.sporki.com/add/?m=draft_school02&amp;ps_school=60501" TargetMode="External"/><Relationship Id="rId9832" Type="http://schemas.openxmlformats.org/officeDocument/2006/relationships/hyperlink" Target="https://statiz.sporki.com/player/?m=playerinfo&amp;p_no=1787" TargetMode="External"/><Relationship Id="rId18375" Type="http://schemas.openxmlformats.org/officeDocument/2006/relationships/hyperlink" Target="https://statiz.sporki.com/add/?m=draft_school01&amp;ps_school=50501" TargetMode="External"/><Relationship Id="rId19426" Type="http://schemas.openxmlformats.org/officeDocument/2006/relationships/hyperlink" Target="https://statiz.sporki.com/add/?m=draft_school01&amp;ps_school=50805" TargetMode="External"/><Relationship Id="rId46" Type="http://schemas.openxmlformats.org/officeDocument/2006/relationships/hyperlink" Target="https://statiz.sporki.com/player/?m=playerinfo&amp;p_no=15474" TargetMode="External"/><Relationship Id="rId1821" Type="http://schemas.openxmlformats.org/officeDocument/2006/relationships/hyperlink" Target="https://statiz.sporki.com/add/?m=draft_school02&amp;ps_school=60902" TargetMode="External"/><Relationship Id="rId7383" Type="http://schemas.openxmlformats.org/officeDocument/2006/relationships/hyperlink" Target="https://statiz.sporki.com/add/?m=draft_school02&amp;ps_school=60204" TargetMode="External"/><Relationship Id="rId8434" Type="http://schemas.openxmlformats.org/officeDocument/2006/relationships/hyperlink" Target="https://statiz.sporki.com/player/?m=playerinfo&amp;p_no=10436" TargetMode="External"/><Relationship Id="rId10364" Type="http://schemas.openxmlformats.org/officeDocument/2006/relationships/hyperlink" Target="https://statiz.sporki.com/add/?m=draft_school01&amp;ps_school=50711" TargetMode="External"/><Relationship Id="rId11762" Type="http://schemas.openxmlformats.org/officeDocument/2006/relationships/hyperlink" Target="https://statiz.sporki.com/add/?m=draft_school01&amp;ps_school=50119" TargetMode="External"/><Relationship Id="rId12813" Type="http://schemas.openxmlformats.org/officeDocument/2006/relationships/hyperlink" Target="https://statiz.sporki.com/player/?m=playerinfo&amp;p_no=14175" TargetMode="External"/><Relationship Id="rId18028" Type="http://schemas.openxmlformats.org/officeDocument/2006/relationships/hyperlink" Target="https://statiz.sporki.com/add/?m=draft_school01&amp;ps_school=50209" TargetMode="External"/><Relationship Id="rId7036" Type="http://schemas.openxmlformats.org/officeDocument/2006/relationships/hyperlink" Target="https://statiz.sporki.com/player/?m=playerinfo&amp;p_no=2327" TargetMode="External"/><Relationship Id="rId10017" Type="http://schemas.openxmlformats.org/officeDocument/2006/relationships/hyperlink" Target="https://statiz.sporki.com/add/?m=draft_school02&amp;ps_school=60104" TargetMode="External"/><Relationship Id="rId11415" Type="http://schemas.openxmlformats.org/officeDocument/2006/relationships/hyperlink" Target="https://statiz.sporki.com/add/?m=draft_school02&amp;ps_school=" TargetMode="External"/><Relationship Id="rId14985" Type="http://schemas.openxmlformats.org/officeDocument/2006/relationships/hyperlink" Target="https://statiz.sporki.com/player/?m=playerinfo&amp;p_no=2042" TargetMode="External"/><Relationship Id="rId2595" Type="http://schemas.openxmlformats.org/officeDocument/2006/relationships/hyperlink" Target="https://statiz.sporki.com/add/?m=draft_school02&amp;ps_school=" TargetMode="External"/><Relationship Id="rId3993" Type="http://schemas.openxmlformats.org/officeDocument/2006/relationships/hyperlink" Target="https://statiz.sporki.com/add/?m=draft_school02&amp;ps_school=" TargetMode="External"/><Relationship Id="rId13587" Type="http://schemas.openxmlformats.org/officeDocument/2006/relationships/hyperlink" Target="https://statiz.sporki.com/player/?m=playerinfo&amp;p_no=11249" TargetMode="External"/><Relationship Id="rId14638" Type="http://schemas.openxmlformats.org/officeDocument/2006/relationships/hyperlink" Target="https://statiz.sporki.com/player/?m=playerinfo&amp;p_no=2255" TargetMode="External"/><Relationship Id="rId567" Type="http://schemas.openxmlformats.org/officeDocument/2006/relationships/hyperlink" Target="https://statiz.sporki.com/add/?m=draft_school02&amp;ps_school=" TargetMode="External"/><Relationship Id="rId1197" Type="http://schemas.openxmlformats.org/officeDocument/2006/relationships/hyperlink" Target="https://statiz.sporki.com/add/?m=draft_school02&amp;ps_school=" TargetMode="External"/><Relationship Id="rId2248" Type="http://schemas.openxmlformats.org/officeDocument/2006/relationships/hyperlink" Target="https://statiz.sporki.com/player/?m=playerinfo&amp;p_no=14679" TargetMode="External"/><Relationship Id="rId3646" Type="http://schemas.openxmlformats.org/officeDocument/2006/relationships/hyperlink" Target="https://statiz.sporki.com/player/?m=playerinfo&amp;p_no=11317" TargetMode="External"/><Relationship Id="rId12189" Type="http://schemas.openxmlformats.org/officeDocument/2006/relationships/hyperlink" Target="https://statiz.sporki.com/player/?m=playerinfo&amp;p_no=15501" TargetMode="External"/><Relationship Id="rId16060" Type="http://schemas.openxmlformats.org/officeDocument/2006/relationships/hyperlink" Target="https://statiz.sporki.com/player/?m=playerinfo&amp;p_no=1073" TargetMode="External"/><Relationship Id="rId17111" Type="http://schemas.openxmlformats.org/officeDocument/2006/relationships/hyperlink" Target="https://statiz.sporki.com/add/?m=draft_school01&amp;ps_school=50207" TargetMode="External"/><Relationship Id="rId6869" Type="http://schemas.openxmlformats.org/officeDocument/2006/relationships/hyperlink" Target="https://statiz.sporki.com/add/?m=draft_school01&amp;ps_school=" TargetMode="External"/><Relationship Id="rId12670" Type="http://schemas.openxmlformats.org/officeDocument/2006/relationships/hyperlink" Target="https://statiz.sporki.com/player/?m=playerinfo&amp;p_no=14578" TargetMode="External"/><Relationship Id="rId13721" Type="http://schemas.openxmlformats.org/officeDocument/2006/relationships/hyperlink" Target="https://statiz.sporki.com/player/?m=playerinfo&amp;p_no=13185" TargetMode="External"/><Relationship Id="rId19283" Type="http://schemas.openxmlformats.org/officeDocument/2006/relationships/hyperlink" Target="https://statiz.sporki.com/add/?m=draft_school01&amp;ps_school=50501" TargetMode="External"/><Relationship Id="rId8291" Type="http://schemas.openxmlformats.org/officeDocument/2006/relationships/hyperlink" Target="https://statiz.sporki.com/add/?m=draft_school01&amp;ps_school=50502" TargetMode="External"/><Relationship Id="rId9342" Type="http://schemas.openxmlformats.org/officeDocument/2006/relationships/hyperlink" Target="https://statiz.sporki.com/add/?m=draft_school02&amp;ps_school=60103" TargetMode="External"/><Relationship Id="rId11272" Type="http://schemas.openxmlformats.org/officeDocument/2006/relationships/hyperlink" Target="https://statiz.sporki.com/player/?m=playerinfo&amp;p_no=1258" TargetMode="External"/><Relationship Id="rId12323" Type="http://schemas.openxmlformats.org/officeDocument/2006/relationships/hyperlink" Target="https://statiz.sporki.com/player/?m=playerinfo&amp;p_no=15112" TargetMode="External"/><Relationship Id="rId701" Type="http://schemas.openxmlformats.org/officeDocument/2006/relationships/hyperlink" Target="https://statiz.sporki.com/add/?m=draft_school01&amp;ps_school=50105" TargetMode="External"/><Relationship Id="rId1331" Type="http://schemas.openxmlformats.org/officeDocument/2006/relationships/hyperlink" Target="https://statiz.sporki.com/add/?m=draft_school01&amp;ps_school=51112" TargetMode="External"/><Relationship Id="rId5952" Type="http://schemas.openxmlformats.org/officeDocument/2006/relationships/hyperlink" Target="https://statiz.sporki.com/add/?m=draft_school02&amp;ps_school=" TargetMode="External"/><Relationship Id="rId14495" Type="http://schemas.openxmlformats.org/officeDocument/2006/relationships/hyperlink" Target="https://statiz.sporki.com/player/?m=playerinfo&amp;p_no=2338" TargetMode="External"/><Relationship Id="rId15893" Type="http://schemas.openxmlformats.org/officeDocument/2006/relationships/hyperlink" Target="https://statiz.sporki.com/player/?m=playerinfo&amp;p_no=1287" TargetMode="External"/><Relationship Id="rId16944" Type="http://schemas.openxmlformats.org/officeDocument/2006/relationships/hyperlink" Target="https://statiz.sporki.com/add/?m=draft_school01&amp;ps_school=50402" TargetMode="External"/><Relationship Id="rId4554" Type="http://schemas.openxmlformats.org/officeDocument/2006/relationships/hyperlink" Target="https://statiz.sporki.com/add/?m=draft_school02&amp;ps_school=60101" TargetMode="External"/><Relationship Id="rId5605" Type="http://schemas.openxmlformats.org/officeDocument/2006/relationships/hyperlink" Target="https://statiz.sporki.com/player/?m=playerinfo&amp;p_no=10924" TargetMode="External"/><Relationship Id="rId13097" Type="http://schemas.openxmlformats.org/officeDocument/2006/relationships/hyperlink" Target="https://statiz.sporki.com/player/?m=playerinfo&amp;p_no=12911" TargetMode="External"/><Relationship Id="rId14148" Type="http://schemas.openxmlformats.org/officeDocument/2006/relationships/hyperlink" Target="https://statiz.sporki.com/player/?m=playerinfo&amp;p_no=12516" TargetMode="External"/><Relationship Id="rId15546" Type="http://schemas.openxmlformats.org/officeDocument/2006/relationships/hyperlink" Target="https://statiz.sporki.com/player/?m=playerinfo&amp;p_no=1717" TargetMode="External"/><Relationship Id="rId3156" Type="http://schemas.openxmlformats.org/officeDocument/2006/relationships/hyperlink" Target="https://statiz.sporki.com/add/?m=draft_school02&amp;ps_school=" TargetMode="External"/><Relationship Id="rId4207" Type="http://schemas.openxmlformats.org/officeDocument/2006/relationships/hyperlink" Target="https://statiz.sporki.com/player/?m=playerinfo&amp;p_no=13248" TargetMode="External"/><Relationship Id="rId18769" Type="http://schemas.openxmlformats.org/officeDocument/2006/relationships/hyperlink" Target="https://statiz.sporki.com/add/?m=draft_school01&amp;ps_school=50802" TargetMode="External"/><Relationship Id="rId6379" Type="http://schemas.openxmlformats.org/officeDocument/2006/relationships/hyperlink" Target="https://statiz.sporki.com/player/?m=playerinfo&amp;p_no=11143" TargetMode="External"/><Relationship Id="rId7777" Type="http://schemas.openxmlformats.org/officeDocument/2006/relationships/hyperlink" Target="https://statiz.sporki.com/player/?m=playerinfo&amp;p_no=2223" TargetMode="External"/><Relationship Id="rId8828" Type="http://schemas.openxmlformats.org/officeDocument/2006/relationships/hyperlink" Target="https://statiz.sporki.com/add/?m=draft_school01&amp;ps_school=50401" TargetMode="External"/><Relationship Id="rId10758" Type="http://schemas.openxmlformats.org/officeDocument/2006/relationships/hyperlink" Target="https://statiz.sporki.com/add/?m=draft_school02&amp;ps_school=" TargetMode="External"/><Relationship Id="rId11809" Type="http://schemas.openxmlformats.org/officeDocument/2006/relationships/hyperlink" Target="https://statiz.sporki.com/player/?m=playerinfo&amp;p_no=1011" TargetMode="External"/><Relationship Id="rId12180" Type="http://schemas.openxmlformats.org/officeDocument/2006/relationships/hyperlink" Target="https://statiz.sporki.com/player/?m=playerinfo&amp;p_no=15511" TargetMode="External"/><Relationship Id="rId13231" Type="http://schemas.openxmlformats.org/officeDocument/2006/relationships/hyperlink" Target="https://statiz.sporki.com/player/?m=playerinfo&amp;p_no=12537" TargetMode="External"/><Relationship Id="rId17852" Type="http://schemas.openxmlformats.org/officeDocument/2006/relationships/hyperlink" Target="https://statiz.sporki.com/add/?m=draft_school01&amp;ps_school=50203" TargetMode="External"/><Relationship Id="rId18903" Type="http://schemas.openxmlformats.org/officeDocument/2006/relationships/hyperlink" Target="https://statiz.sporki.com/add/?m=draft_school01&amp;ps_school=50702" TargetMode="External"/><Relationship Id="rId2989" Type="http://schemas.openxmlformats.org/officeDocument/2006/relationships/hyperlink" Target="https://statiz.sporki.com/player/?m=playerinfo&amp;p_no=12899" TargetMode="External"/><Relationship Id="rId6860" Type="http://schemas.openxmlformats.org/officeDocument/2006/relationships/hyperlink" Target="https://statiz.sporki.com/add/?m=draft_school01&amp;ps_school=" TargetMode="External"/><Relationship Id="rId7911" Type="http://schemas.openxmlformats.org/officeDocument/2006/relationships/hyperlink" Target="https://statiz.sporki.com/add/?m=draft_school02&amp;ps_school=60802" TargetMode="External"/><Relationship Id="rId16454" Type="http://schemas.openxmlformats.org/officeDocument/2006/relationships/hyperlink" Target="https://statiz.sporki.com/add/?m=draft_school01&amp;ps_school=50209" TargetMode="External"/><Relationship Id="rId17505" Type="http://schemas.openxmlformats.org/officeDocument/2006/relationships/hyperlink" Target="https://statiz.sporki.com/add/?m=draft_school01&amp;ps_school=50706" TargetMode="External"/><Relationship Id="rId211" Type="http://schemas.openxmlformats.org/officeDocument/2006/relationships/hyperlink" Target="https://statiz.sporki.com/player/?m=playerinfo&amp;p_no=15428" TargetMode="External"/><Relationship Id="rId5462" Type="http://schemas.openxmlformats.org/officeDocument/2006/relationships/hyperlink" Target="https://statiz.sporki.com/add/?m=draft_school01&amp;ps_school=50105" TargetMode="External"/><Relationship Id="rId6513" Type="http://schemas.openxmlformats.org/officeDocument/2006/relationships/hyperlink" Target="https://statiz.sporki.com/add/?m=draft_school02&amp;ps_school=60704" TargetMode="External"/><Relationship Id="rId15056" Type="http://schemas.openxmlformats.org/officeDocument/2006/relationships/hyperlink" Target="https://statiz.sporki.com/player/?m=playerinfo&amp;p_no=2191" TargetMode="External"/><Relationship Id="rId16107" Type="http://schemas.openxmlformats.org/officeDocument/2006/relationships/hyperlink" Target="https://statiz.sporki.com/player/?m=playerinfo&amp;p_no=1086" TargetMode="External"/><Relationship Id="rId4064" Type="http://schemas.openxmlformats.org/officeDocument/2006/relationships/hyperlink" Target="https://statiz.sporki.com/add/?m=draft_school01&amp;ps_school=50108" TargetMode="External"/><Relationship Id="rId5115" Type="http://schemas.openxmlformats.org/officeDocument/2006/relationships/hyperlink" Target="https://statiz.sporki.com/add/?m=draft_school02&amp;ps_school=" TargetMode="External"/><Relationship Id="rId8685" Type="http://schemas.openxmlformats.org/officeDocument/2006/relationships/hyperlink" Target="https://statiz.sporki.com/add/?m=draft_school02&amp;ps_school=" TargetMode="External"/><Relationship Id="rId9736" Type="http://schemas.openxmlformats.org/officeDocument/2006/relationships/hyperlink" Target="https://statiz.sporki.com/player/?m=playerinfo&amp;p_no=1771" TargetMode="External"/><Relationship Id="rId18279" Type="http://schemas.openxmlformats.org/officeDocument/2006/relationships/hyperlink" Target="https://statiz.sporki.com/add/?m=draft_school01&amp;ps_school=50706" TargetMode="External"/><Relationship Id="rId7287" Type="http://schemas.openxmlformats.org/officeDocument/2006/relationships/hyperlink" Target="https://statiz.sporki.com/add/?m=draft_school02&amp;ps_school=60804" TargetMode="External"/><Relationship Id="rId8338" Type="http://schemas.openxmlformats.org/officeDocument/2006/relationships/hyperlink" Target="https://statiz.sporki.com/player/?m=playerinfo&amp;p_no=2046" TargetMode="External"/><Relationship Id="rId11666" Type="http://schemas.openxmlformats.org/officeDocument/2006/relationships/hyperlink" Target="https://statiz.sporki.com/add/?m=draft_school01&amp;ps_school=50501" TargetMode="External"/><Relationship Id="rId12717" Type="http://schemas.openxmlformats.org/officeDocument/2006/relationships/hyperlink" Target="https://statiz.sporki.com/player/?m=playerinfo&amp;p_no=14599" TargetMode="External"/><Relationship Id="rId1725" Type="http://schemas.openxmlformats.org/officeDocument/2006/relationships/hyperlink" Target="https://statiz.sporki.com/add/?m=draft_school02&amp;ps_school=" TargetMode="External"/><Relationship Id="rId10268" Type="http://schemas.openxmlformats.org/officeDocument/2006/relationships/hyperlink" Target="https://statiz.sporki.com/add/?m=draft_school01&amp;ps_school=50711" TargetMode="External"/><Relationship Id="rId11319" Type="http://schemas.openxmlformats.org/officeDocument/2006/relationships/hyperlink" Target="https://statiz.sporki.com/add/?m=draft_school02&amp;ps_school=" TargetMode="External"/><Relationship Id="rId14889" Type="http://schemas.openxmlformats.org/officeDocument/2006/relationships/hyperlink" Target="https://statiz.sporki.com/player/?m=playerinfo&amp;p_no=10501" TargetMode="External"/><Relationship Id="rId18760" Type="http://schemas.openxmlformats.org/officeDocument/2006/relationships/hyperlink" Target="https://statiz.sporki.com/add/?m=draft_school01&amp;ps_school=50609" TargetMode="External"/><Relationship Id="rId3897" Type="http://schemas.openxmlformats.org/officeDocument/2006/relationships/hyperlink" Target="https://statiz.sporki.com/add/?m=draft_school02&amp;ps_school=" TargetMode="External"/><Relationship Id="rId4948" Type="http://schemas.openxmlformats.org/officeDocument/2006/relationships/hyperlink" Target="https://statiz.sporki.com/player/?m=playerinfo&amp;p_no=10905" TargetMode="External"/><Relationship Id="rId11800" Type="http://schemas.openxmlformats.org/officeDocument/2006/relationships/hyperlink" Target="https://statiz.sporki.com/player/?m=playerinfo&amp;p_no=1058" TargetMode="External"/><Relationship Id="rId17362" Type="http://schemas.openxmlformats.org/officeDocument/2006/relationships/hyperlink" Target="https://statiz.sporki.com/add/?m=draft_school01&amp;ps_school=50805" TargetMode="External"/><Relationship Id="rId18413" Type="http://schemas.openxmlformats.org/officeDocument/2006/relationships/hyperlink" Target="https://statiz.sporki.com/add/?m=draft_school01&amp;ps_school=50114" TargetMode="External"/><Relationship Id="rId2499" Type="http://schemas.openxmlformats.org/officeDocument/2006/relationships/hyperlink" Target="https://statiz.sporki.com/add/?m=draft_school02&amp;ps_school=" TargetMode="External"/><Relationship Id="rId6370" Type="http://schemas.openxmlformats.org/officeDocument/2006/relationships/hyperlink" Target="https://statiz.sporki.com/player/?m=playerinfo&amp;p_no=10328" TargetMode="External"/><Relationship Id="rId7421" Type="http://schemas.openxmlformats.org/officeDocument/2006/relationships/hyperlink" Target="https://statiz.sporki.com/add/?m=draft_school01&amp;ps_school=50402" TargetMode="External"/><Relationship Id="rId10402" Type="http://schemas.openxmlformats.org/officeDocument/2006/relationships/hyperlink" Target="https://statiz.sporki.com/player/?m=playerinfo&amp;p_no=1698" TargetMode="External"/><Relationship Id="rId17015" Type="http://schemas.openxmlformats.org/officeDocument/2006/relationships/hyperlink" Target="https://statiz.sporki.com/add/?m=draft_school01&amp;ps_school=50601" TargetMode="External"/><Relationship Id="rId2980" Type="http://schemas.openxmlformats.org/officeDocument/2006/relationships/hyperlink" Target="https://statiz.sporki.com/player/?m=playerinfo&amp;p_no=12870" TargetMode="External"/><Relationship Id="rId6023" Type="http://schemas.openxmlformats.org/officeDocument/2006/relationships/hyperlink" Target="https://statiz.sporki.com/add/?m=draft_school01&amp;ps_school=50202" TargetMode="External"/><Relationship Id="rId9593" Type="http://schemas.openxmlformats.org/officeDocument/2006/relationships/hyperlink" Target="https://statiz.sporki.com/add/?m=draft_school01&amp;ps_school=50202" TargetMode="External"/><Relationship Id="rId12574" Type="http://schemas.openxmlformats.org/officeDocument/2006/relationships/hyperlink" Target="https://statiz.sporki.com/player/?m=playerinfo&amp;p_no=14749" TargetMode="External"/><Relationship Id="rId13972" Type="http://schemas.openxmlformats.org/officeDocument/2006/relationships/hyperlink" Target="https://statiz.sporki.com/player/?m=playerinfo&amp;p_no=10131" TargetMode="External"/><Relationship Id="rId19187" Type="http://schemas.openxmlformats.org/officeDocument/2006/relationships/hyperlink" Target="https://statiz.sporki.com/add/?m=draft_school01&amp;ps_school=50602" TargetMode="External"/><Relationship Id="rId952" Type="http://schemas.openxmlformats.org/officeDocument/2006/relationships/hyperlink" Target="https://statiz.sporki.com/player/?m=playerinfo&amp;p_no=15142" TargetMode="External"/><Relationship Id="rId1582" Type="http://schemas.openxmlformats.org/officeDocument/2006/relationships/hyperlink" Target="https://statiz.sporki.com/player/?m=playerinfo&amp;p_no=14666" TargetMode="External"/><Relationship Id="rId2633" Type="http://schemas.openxmlformats.org/officeDocument/2006/relationships/hyperlink" Target="https://statiz.sporki.com/add/?m=draft_school01&amp;ps_school=" TargetMode="External"/><Relationship Id="rId8195" Type="http://schemas.openxmlformats.org/officeDocument/2006/relationships/hyperlink" Target="https://statiz.sporki.com/add/?m=draft_school01&amp;ps_school=50701" TargetMode="External"/><Relationship Id="rId9246" Type="http://schemas.openxmlformats.org/officeDocument/2006/relationships/hyperlink" Target="https://statiz.sporki.com/add/?m=draft_school02&amp;ps_school=60602" TargetMode="External"/><Relationship Id="rId11176" Type="http://schemas.openxmlformats.org/officeDocument/2006/relationships/hyperlink" Target="https://statiz.sporki.com/player/?m=playerinfo&amp;p_no=1314" TargetMode="External"/><Relationship Id="rId12227" Type="http://schemas.openxmlformats.org/officeDocument/2006/relationships/hyperlink" Target="https://statiz.sporki.com/player/?m=playerinfo&amp;p_no=15481" TargetMode="External"/><Relationship Id="rId13625" Type="http://schemas.openxmlformats.org/officeDocument/2006/relationships/hyperlink" Target="https://statiz.sporki.com/player/?m=playerinfo&amp;p_no=11069" TargetMode="External"/><Relationship Id="rId605" Type="http://schemas.openxmlformats.org/officeDocument/2006/relationships/hyperlink" Target="https://statiz.sporki.com/add/?m=draft_school01&amp;ps_school=50401" TargetMode="External"/><Relationship Id="rId1235" Type="http://schemas.openxmlformats.org/officeDocument/2006/relationships/hyperlink" Target="https://statiz.sporki.com/add/?m=draft_school01&amp;ps_school=50107" TargetMode="External"/><Relationship Id="rId15797" Type="http://schemas.openxmlformats.org/officeDocument/2006/relationships/hyperlink" Target="https://statiz.sporki.com/player/?m=playerinfo&amp;p_no=1342" TargetMode="External"/><Relationship Id="rId16848" Type="http://schemas.openxmlformats.org/officeDocument/2006/relationships/hyperlink" Target="https://statiz.sporki.com/add/?m=draft_school01&amp;ps_school=50101" TargetMode="External"/><Relationship Id="rId4458" Type="http://schemas.openxmlformats.org/officeDocument/2006/relationships/hyperlink" Target="https://statiz.sporki.com/add/?m=draft_school02&amp;ps_school=" TargetMode="External"/><Relationship Id="rId5856" Type="http://schemas.openxmlformats.org/officeDocument/2006/relationships/hyperlink" Target="https://statiz.sporki.com/add/?m=draft_school02&amp;ps_school=60704" TargetMode="External"/><Relationship Id="rId6907" Type="http://schemas.openxmlformats.org/officeDocument/2006/relationships/hyperlink" Target="https://statiz.sporki.com/player/?m=playerinfo&amp;p_no=10650" TargetMode="External"/><Relationship Id="rId14399" Type="http://schemas.openxmlformats.org/officeDocument/2006/relationships/hyperlink" Target="https://statiz.sporki.com/player/?m=playerinfo&amp;p_no=10565" TargetMode="External"/><Relationship Id="rId18270" Type="http://schemas.openxmlformats.org/officeDocument/2006/relationships/hyperlink" Target="https://statiz.sporki.com/add/?m=draft_school01&amp;ps_school=50115" TargetMode="External"/><Relationship Id="rId19321" Type="http://schemas.openxmlformats.org/officeDocument/2006/relationships/hyperlink" Target="https://statiz.sporki.com/add/?m=draft_school01&amp;ps_school=50114" TargetMode="External"/><Relationship Id="rId5509" Type="http://schemas.openxmlformats.org/officeDocument/2006/relationships/hyperlink" Target="https://statiz.sporki.com/player/?m=playerinfo&amp;p_no=10451" TargetMode="External"/><Relationship Id="rId11310" Type="http://schemas.openxmlformats.org/officeDocument/2006/relationships/hyperlink" Target="https://statiz.sporki.com/add/?m=draft_school02&amp;ps_school=60803" TargetMode="External"/><Relationship Id="rId14880" Type="http://schemas.openxmlformats.org/officeDocument/2006/relationships/hyperlink" Target="https://statiz.sporki.com/player/?m=playerinfo&amp;p_no=2133" TargetMode="External"/><Relationship Id="rId15931" Type="http://schemas.openxmlformats.org/officeDocument/2006/relationships/hyperlink" Target="https://statiz.sporki.com/player/?m=playerinfo&amp;p_no=1243" TargetMode="External"/><Relationship Id="rId13482" Type="http://schemas.openxmlformats.org/officeDocument/2006/relationships/hyperlink" Target="https://statiz.sporki.com/player/?m=playerinfo&amp;p_no=11243" TargetMode="External"/><Relationship Id="rId14533" Type="http://schemas.openxmlformats.org/officeDocument/2006/relationships/hyperlink" Target="https://statiz.sporki.com/player/?m=playerinfo&amp;p_no=10354" TargetMode="External"/><Relationship Id="rId2490" Type="http://schemas.openxmlformats.org/officeDocument/2006/relationships/hyperlink" Target="https://statiz.sporki.com/add/?m=draft_school02&amp;ps_school=60104" TargetMode="External"/><Relationship Id="rId3541" Type="http://schemas.openxmlformats.org/officeDocument/2006/relationships/hyperlink" Target="https://statiz.sporki.com/player/?m=playerinfo&amp;p_no=12668" TargetMode="External"/><Relationship Id="rId12084" Type="http://schemas.openxmlformats.org/officeDocument/2006/relationships/hyperlink" Target="https://statiz.sporki.com/add/?m=draft_school02&amp;ps_school=60703" TargetMode="External"/><Relationship Id="rId13135" Type="http://schemas.openxmlformats.org/officeDocument/2006/relationships/hyperlink" Target="https://statiz.sporki.com/player/?m=playerinfo&amp;p_no=12870" TargetMode="External"/><Relationship Id="rId17756" Type="http://schemas.openxmlformats.org/officeDocument/2006/relationships/hyperlink" Target="https://statiz.sporki.com/add/?m=draft_school01&amp;ps_school=50109" TargetMode="External"/><Relationship Id="rId462" Type="http://schemas.openxmlformats.org/officeDocument/2006/relationships/hyperlink" Target="https://statiz.sporki.com/add/?m=draft_school02&amp;ps_school=60902" TargetMode="External"/><Relationship Id="rId1092" Type="http://schemas.openxmlformats.org/officeDocument/2006/relationships/hyperlink" Target="https://statiz.sporki.com/add/?m=draft_school02&amp;ps_school=" TargetMode="External"/><Relationship Id="rId2143" Type="http://schemas.openxmlformats.org/officeDocument/2006/relationships/hyperlink" Target="https://statiz.sporki.com/player/?m=playerinfo&amp;p_no=14186" TargetMode="External"/><Relationship Id="rId6764" Type="http://schemas.openxmlformats.org/officeDocument/2006/relationships/hyperlink" Target="https://statiz.sporki.com/add/?m=draft_school01&amp;ps_school=50203" TargetMode="External"/><Relationship Id="rId7815" Type="http://schemas.openxmlformats.org/officeDocument/2006/relationships/hyperlink" Target="https://statiz.sporki.com/add/?m=draft_school02&amp;ps_school=" TargetMode="External"/><Relationship Id="rId16358" Type="http://schemas.openxmlformats.org/officeDocument/2006/relationships/hyperlink" Target="https://statiz.sporki.com/add/?m=draft_school01&amp;ps_school=50207" TargetMode="External"/><Relationship Id="rId17409" Type="http://schemas.openxmlformats.org/officeDocument/2006/relationships/hyperlink" Target="https://statiz.sporki.com/add/?m=draft_school01&amp;ps_school=50801" TargetMode="External"/><Relationship Id="rId18807" Type="http://schemas.openxmlformats.org/officeDocument/2006/relationships/hyperlink" Target="https://statiz.sporki.com/add/?m=draft_school01&amp;ps_school=50701" TargetMode="External"/><Relationship Id="rId115" Type="http://schemas.openxmlformats.org/officeDocument/2006/relationships/hyperlink" Target="https://statiz.sporki.com/player/?m=playerinfo&amp;p_no=15511" TargetMode="External"/><Relationship Id="rId5366" Type="http://schemas.openxmlformats.org/officeDocument/2006/relationships/hyperlink" Target="https://statiz.sporki.com/add/?m=draft_school01&amp;ps_school=" TargetMode="External"/><Relationship Id="rId6417" Type="http://schemas.openxmlformats.org/officeDocument/2006/relationships/hyperlink" Target="https://statiz.sporki.com/add/?m=draft_school02&amp;ps_school=60103" TargetMode="External"/><Relationship Id="rId5019" Type="http://schemas.openxmlformats.org/officeDocument/2006/relationships/hyperlink" Target="https://statiz.sporki.com/add/?m=draft_school02&amp;ps_school=" TargetMode="External"/><Relationship Id="rId8589" Type="http://schemas.openxmlformats.org/officeDocument/2006/relationships/hyperlink" Target="https://statiz.sporki.com/add/?m=draft_school02&amp;ps_school=60501" TargetMode="External"/><Relationship Id="rId9987" Type="http://schemas.openxmlformats.org/officeDocument/2006/relationships/hyperlink" Target="https://statiz.sporki.com/add/?m=draft_school02&amp;ps_school=" TargetMode="External"/><Relationship Id="rId12968" Type="http://schemas.openxmlformats.org/officeDocument/2006/relationships/hyperlink" Target="https://statiz.sporki.com/player/?m=playerinfo&amp;p_no=13086" TargetMode="External"/><Relationship Id="rId1976" Type="http://schemas.openxmlformats.org/officeDocument/2006/relationships/hyperlink" Target="https://statiz.sporki.com/add/?m=draft_school01&amp;ps_school=50705" TargetMode="External"/><Relationship Id="rId14390" Type="http://schemas.openxmlformats.org/officeDocument/2006/relationships/hyperlink" Target="https://statiz.sporki.com/player/?m=playerinfo&amp;p_no=10561" TargetMode="External"/><Relationship Id="rId15441" Type="http://schemas.openxmlformats.org/officeDocument/2006/relationships/hyperlink" Target="https://statiz.sporki.com/player/?m=playerinfo&amp;p_no=1659" TargetMode="External"/><Relationship Id="rId1629" Type="http://schemas.openxmlformats.org/officeDocument/2006/relationships/hyperlink" Target="https://statiz.sporki.com/add/?m=draft_school02&amp;ps_school=60109" TargetMode="External"/><Relationship Id="rId5500" Type="http://schemas.openxmlformats.org/officeDocument/2006/relationships/hyperlink" Target="https://statiz.sporki.com/player/?m=playerinfo&amp;p_no=10358" TargetMode="External"/><Relationship Id="rId14043" Type="http://schemas.openxmlformats.org/officeDocument/2006/relationships/hyperlink" Target="https://statiz.sporki.com/player/?m=playerinfo&amp;p_no=11304" TargetMode="External"/><Relationship Id="rId18664" Type="http://schemas.openxmlformats.org/officeDocument/2006/relationships/hyperlink" Target="https://statiz.sporki.com/add/?m=draft_school01&amp;ps_school=50704" TargetMode="External"/><Relationship Id="rId3051" Type="http://schemas.openxmlformats.org/officeDocument/2006/relationships/hyperlink" Target="https://statiz.sporki.com/add/?m=draft_school02&amp;ps_school=" TargetMode="External"/><Relationship Id="rId4102" Type="http://schemas.openxmlformats.org/officeDocument/2006/relationships/hyperlink" Target="https://statiz.sporki.com/player/?m=playerinfo&amp;p_no=11225" TargetMode="External"/><Relationship Id="rId7672" Type="http://schemas.openxmlformats.org/officeDocument/2006/relationships/hyperlink" Target="https://statiz.sporki.com/player/?m=playerinfo&amp;p_no=2212" TargetMode="External"/><Relationship Id="rId8723" Type="http://schemas.openxmlformats.org/officeDocument/2006/relationships/hyperlink" Target="https://statiz.sporki.com/add/?m=draft_school01&amp;ps_school=50209" TargetMode="External"/><Relationship Id="rId10653" Type="http://schemas.openxmlformats.org/officeDocument/2006/relationships/hyperlink" Target="https://statiz.sporki.com/add/?m=draft_school02&amp;ps_school=60108" TargetMode="External"/><Relationship Id="rId17266" Type="http://schemas.openxmlformats.org/officeDocument/2006/relationships/hyperlink" Target="https://statiz.sporki.com/add/?m=draft_school01&amp;ps_school=50203" TargetMode="External"/><Relationship Id="rId18317" Type="http://schemas.openxmlformats.org/officeDocument/2006/relationships/hyperlink" Target="https://statiz.sporki.com/add/?m=draft_school01&amp;ps_school=50807" TargetMode="External"/><Relationship Id="rId6274" Type="http://schemas.openxmlformats.org/officeDocument/2006/relationships/hyperlink" Target="https://statiz.sporki.com/player/?m=playerinfo&amp;p_no=10586" TargetMode="External"/><Relationship Id="rId7325" Type="http://schemas.openxmlformats.org/officeDocument/2006/relationships/hyperlink" Target="https://statiz.sporki.com/add/?m=draft_school01&amp;ps_school=50601" TargetMode="External"/><Relationship Id="rId10306" Type="http://schemas.openxmlformats.org/officeDocument/2006/relationships/hyperlink" Target="https://statiz.sporki.com/player/?m=playerinfo&amp;p_no=1505" TargetMode="External"/><Relationship Id="rId11704" Type="http://schemas.openxmlformats.org/officeDocument/2006/relationships/hyperlink" Target="https://statiz.sporki.com/player/?m=playerinfo&amp;p_no=1304" TargetMode="External"/><Relationship Id="rId2884" Type="http://schemas.openxmlformats.org/officeDocument/2006/relationships/hyperlink" Target="https://statiz.sporki.com/player/?m=playerinfo&amp;p_no=12936" TargetMode="External"/><Relationship Id="rId9497" Type="http://schemas.openxmlformats.org/officeDocument/2006/relationships/hyperlink" Target="https://statiz.sporki.com/add/?m=draft_school01&amp;ps_school=50103" TargetMode="External"/><Relationship Id="rId13876" Type="http://schemas.openxmlformats.org/officeDocument/2006/relationships/hyperlink" Target="https://statiz.sporki.com/player/?m=playerinfo&amp;p_no=10751" TargetMode="External"/><Relationship Id="rId14927" Type="http://schemas.openxmlformats.org/officeDocument/2006/relationships/hyperlink" Target="https://statiz.sporki.com/player/?m=playerinfo&amp;p_no=2019" TargetMode="External"/><Relationship Id="rId856" Type="http://schemas.openxmlformats.org/officeDocument/2006/relationships/hyperlink" Target="https://statiz.sporki.com/player/?m=playerinfo&amp;p_no=15153" TargetMode="External"/><Relationship Id="rId1486" Type="http://schemas.openxmlformats.org/officeDocument/2006/relationships/hyperlink" Target="https://statiz.sporki.com/player/?m=playerinfo&amp;p_no=14574" TargetMode="External"/><Relationship Id="rId2537" Type="http://schemas.openxmlformats.org/officeDocument/2006/relationships/hyperlink" Target="https://statiz.sporki.com/add/?m=draft_school01&amp;ps_school=50114" TargetMode="External"/><Relationship Id="rId3935" Type="http://schemas.openxmlformats.org/officeDocument/2006/relationships/hyperlink" Target="https://statiz.sporki.com/add/?m=draft_school01&amp;ps_school=" TargetMode="External"/><Relationship Id="rId8099" Type="http://schemas.openxmlformats.org/officeDocument/2006/relationships/hyperlink" Target="https://statiz.sporki.com/add/?m=draft_school01&amp;ps_school=50403" TargetMode="External"/><Relationship Id="rId12478" Type="http://schemas.openxmlformats.org/officeDocument/2006/relationships/hyperlink" Target="https://statiz.sporki.com/player/?m=playerinfo&amp;p_no=14785" TargetMode="External"/><Relationship Id="rId13529" Type="http://schemas.openxmlformats.org/officeDocument/2006/relationships/hyperlink" Target="https://statiz.sporki.com/player/?m=playerinfo&amp;p_no=11219" TargetMode="External"/><Relationship Id="rId17400" Type="http://schemas.openxmlformats.org/officeDocument/2006/relationships/hyperlink" Target="https://statiz.sporki.com/add/?m=draft_school01&amp;ps_school=50209" TargetMode="External"/><Relationship Id="rId509" Type="http://schemas.openxmlformats.org/officeDocument/2006/relationships/hyperlink" Target="https://statiz.sporki.com/add/?m=draft_school01&amp;ps_school=50208" TargetMode="External"/><Relationship Id="rId1139" Type="http://schemas.openxmlformats.org/officeDocument/2006/relationships/hyperlink" Target="https://statiz.sporki.com/add/?m=draft_school01&amp;ps_school=50601" TargetMode="External"/><Relationship Id="rId5010" Type="http://schemas.openxmlformats.org/officeDocument/2006/relationships/hyperlink" Target="https://statiz.sporki.com/add/?m=draft_school02&amp;ps_school=" TargetMode="External"/><Relationship Id="rId16002" Type="http://schemas.openxmlformats.org/officeDocument/2006/relationships/hyperlink" Target="https://statiz.sporki.com/player/?m=playerinfo&amp;p_no=1164" TargetMode="External"/><Relationship Id="rId19572" Type="http://schemas.openxmlformats.org/officeDocument/2006/relationships/hyperlink" Target="https://statiz.sporki.com/add/?m=draft_school01&amp;ps_school=50401" TargetMode="External"/><Relationship Id="rId8580" Type="http://schemas.openxmlformats.org/officeDocument/2006/relationships/hyperlink" Target="https://statiz.sporki.com/add/?m=draft_school02&amp;ps_school=60803" TargetMode="External"/><Relationship Id="rId9631" Type="http://schemas.openxmlformats.org/officeDocument/2006/relationships/hyperlink" Target="https://statiz.sporki.com/player/?m=playerinfo&amp;p_no=1768" TargetMode="External"/><Relationship Id="rId11561" Type="http://schemas.openxmlformats.org/officeDocument/2006/relationships/hyperlink" Target="https://statiz.sporki.com/add/?m=draft_school01&amp;ps_school=50101" TargetMode="External"/><Relationship Id="rId12612" Type="http://schemas.openxmlformats.org/officeDocument/2006/relationships/hyperlink" Target="https://statiz.sporki.com/player/?m=playerinfo&amp;p_no=14611" TargetMode="External"/><Relationship Id="rId18174" Type="http://schemas.openxmlformats.org/officeDocument/2006/relationships/hyperlink" Target="https://statiz.sporki.com/add/?m=draft_school01&amp;ps_school=50601" TargetMode="External"/><Relationship Id="rId19225" Type="http://schemas.openxmlformats.org/officeDocument/2006/relationships/hyperlink" Target="https://statiz.sporki.com/add/?m=draft_school01&amp;ps_school=50805" TargetMode="External"/><Relationship Id="rId1620" Type="http://schemas.openxmlformats.org/officeDocument/2006/relationships/hyperlink" Target="https://statiz.sporki.com/add/?m=draft_school02&amp;ps_school=60104" TargetMode="External"/><Relationship Id="rId7182" Type="http://schemas.openxmlformats.org/officeDocument/2006/relationships/hyperlink" Target="https://statiz.sporki.com/add/?m=draft_school02&amp;ps_school=" TargetMode="External"/><Relationship Id="rId8233" Type="http://schemas.openxmlformats.org/officeDocument/2006/relationships/hyperlink" Target="https://statiz.sporki.com/player/?m=playerinfo&amp;p_no=2157" TargetMode="External"/><Relationship Id="rId10163" Type="http://schemas.openxmlformats.org/officeDocument/2006/relationships/hyperlink" Target="https://statiz.sporki.com/add/?m=draft_school01&amp;ps_school=50806" TargetMode="External"/><Relationship Id="rId11214" Type="http://schemas.openxmlformats.org/officeDocument/2006/relationships/hyperlink" Target="https://statiz.sporki.com/add/?m=draft_school02&amp;ps_school=60108" TargetMode="External"/><Relationship Id="rId14784" Type="http://schemas.openxmlformats.org/officeDocument/2006/relationships/hyperlink" Target="https://statiz.sporki.com/player/?m=playerinfo&amp;p_no=2316" TargetMode="External"/><Relationship Id="rId3792" Type="http://schemas.openxmlformats.org/officeDocument/2006/relationships/hyperlink" Target="https://statiz.sporki.com/add/?m=draft_school02&amp;ps_school=" TargetMode="External"/><Relationship Id="rId4843" Type="http://schemas.openxmlformats.org/officeDocument/2006/relationships/hyperlink" Target="https://statiz.sporki.com/player/?m=playerinfo&amp;p_no=10792" TargetMode="External"/><Relationship Id="rId13386" Type="http://schemas.openxmlformats.org/officeDocument/2006/relationships/hyperlink" Target="https://statiz.sporki.com/player/?m=playerinfo&amp;p_no=11400" TargetMode="External"/><Relationship Id="rId14437" Type="http://schemas.openxmlformats.org/officeDocument/2006/relationships/hyperlink" Target="https://statiz.sporki.com/player/?m=playerinfo&amp;p_no=2359" TargetMode="External"/><Relationship Id="rId15835" Type="http://schemas.openxmlformats.org/officeDocument/2006/relationships/hyperlink" Target="https://statiz.sporki.com/player/?m=playerinfo&amp;p_no=1293" TargetMode="External"/><Relationship Id="rId2394" Type="http://schemas.openxmlformats.org/officeDocument/2006/relationships/hyperlink" Target="https://statiz.sporki.com/add/?m=draft_school02&amp;ps_school=" TargetMode="External"/><Relationship Id="rId3445" Type="http://schemas.openxmlformats.org/officeDocument/2006/relationships/hyperlink" Target="https://statiz.sporki.com/player/?m=playerinfo&amp;p_no=12588" TargetMode="External"/><Relationship Id="rId13039" Type="http://schemas.openxmlformats.org/officeDocument/2006/relationships/hyperlink" Target="https://statiz.sporki.com/player/?m=playerinfo&amp;p_no=13264" TargetMode="External"/><Relationship Id="rId366" Type="http://schemas.openxmlformats.org/officeDocument/2006/relationships/hyperlink" Target="https://statiz.sporki.com/add/?m=draft_school02&amp;ps_school=" TargetMode="External"/><Relationship Id="rId2047" Type="http://schemas.openxmlformats.org/officeDocument/2006/relationships/hyperlink" Target="https://statiz.sporki.com/player/?m=playerinfo&amp;p_no=14165" TargetMode="External"/><Relationship Id="rId6668" Type="http://schemas.openxmlformats.org/officeDocument/2006/relationships/hyperlink" Target="https://statiz.sporki.com/add/?m=draft_school01&amp;ps_school=50101" TargetMode="External"/><Relationship Id="rId19082" Type="http://schemas.openxmlformats.org/officeDocument/2006/relationships/hyperlink" Target="https://statiz.sporki.com/add/?m=draft_school01&amp;ps_school=50802" TargetMode="External"/><Relationship Id="rId7719" Type="http://schemas.openxmlformats.org/officeDocument/2006/relationships/hyperlink" Target="https://statiz.sporki.com/add/?m=draft_school02&amp;ps_school=" TargetMode="External"/><Relationship Id="rId8090" Type="http://schemas.openxmlformats.org/officeDocument/2006/relationships/hyperlink" Target="https://statiz.sporki.com/add/?m=draft_school01&amp;ps_school=50113" TargetMode="External"/><Relationship Id="rId9141" Type="http://schemas.openxmlformats.org/officeDocument/2006/relationships/hyperlink" Target="https://statiz.sporki.com/add/?m=draft_school02&amp;ps_school=60111" TargetMode="External"/><Relationship Id="rId13520" Type="http://schemas.openxmlformats.org/officeDocument/2006/relationships/hyperlink" Target="https://statiz.sporki.com/player/?m=playerinfo&amp;p_no=11206" TargetMode="External"/><Relationship Id="rId11071" Type="http://schemas.openxmlformats.org/officeDocument/2006/relationships/hyperlink" Target="https://statiz.sporki.com/player/?m=playerinfo&amp;p_no=1485" TargetMode="External"/><Relationship Id="rId12122" Type="http://schemas.openxmlformats.org/officeDocument/2006/relationships/hyperlink" Target="https://statiz.sporki.com/add/?m=draft_school01&amp;ps_school=50501" TargetMode="External"/><Relationship Id="rId15692" Type="http://schemas.openxmlformats.org/officeDocument/2006/relationships/hyperlink" Target="https://statiz.sporki.com/player/?m=playerinfo&amp;p_no=1451" TargetMode="External"/><Relationship Id="rId16743" Type="http://schemas.openxmlformats.org/officeDocument/2006/relationships/hyperlink" Target="https://statiz.sporki.com/add/?m=draft_school01&amp;ps_school=50403" TargetMode="External"/><Relationship Id="rId500" Type="http://schemas.openxmlformats.org/officeDocument/2006/relationships/hyperlink" Target="https://statiz.sporki.com/add/?m=draft_school01&amp;ps_school=50107" TargetMode="External"/><Relationship Id="rId1130" Type="http://schemas.openxmlformats.org/officeDocument/2006/relationships/hyperlink" Target="https://statiz.sporki.com/add/?m=draft_school01&amp;ps_school=50601" TargetMode="External"/><Relationship Id="rId5751" Type="http://schemas.openxmlformats.org/officeDocument/2006/relationships/hyperlink" Target="https://statiz.sporki.com/add/?m=draft_school02&amp;ps_school=60702" TargetMode="External"/><Relationship Id="rId6802" Type="http://schemas.openxmlformats.org/officeDocument/2006/relationships/hyperlink" Target="https://statiz.sporki.com/player/?m=playerinfo&amp;p_no=10409" TargetMode="External"/><Relationship Id="rId14294" Type="http://schemas.openxmlformats.org/officeDocument/2006/relationships/hyperlink" Target="https://statiz.sporki.com/player/?m=playerinfo&amp;p_no=2412" TargetMode="External"/><Relationship Id="rId15345" Type="http://schemas.openxmlformats.org/officeDocument/2006/relationships/hyperlink" Target="https://statiz.sporki.com/player/?m=playerinfo&amp;p_no=1756" TargetMode="External"/><Relationship Id="rId4353" Type="http://schemas.openxmlformats.org/officeDocument/2006/relationships/hyperlink" Target="https://statiz.sporki.com/add/?m=draft_school02&amp;ps_school=" TargetMode="External"/><Relationship Id="rId5404" Type="http://schemas.openxmlformats.org/officeDocument/2006/relationships/hyperlink" Target="https://statiz.sporki.com/player/?m=playerinfo&amp;p_no=10638" TargetMode="External"/><Relationship Id="rId8974" Type="http://schemas.openxmlformats.org/officeDocument/2006/relationships/hyperlink" Target="https://statiz.sporki.com/player/?m=playerinfo&amp;p_no=1940" TargetMode="External"/><Relationship Id="rId18568" Type="http://schemas.openxmlformats.org/officeDocument/2006/relationships/hyperlink" Target="https://statiz.sporki.com/add/?m=draft_school01&amp;ps_school=50802" TargetMode="External"/><Relationship Id="rId19619" Type="http://schemas.openxmlformats.org/officeDocument/2006/relationships/hyperlink" Target="https://statiz.sporki.com/add/?m=draft_school01&amp;ps_school=50209" TargetMode="External"/><Relationship Id="rId4006" Type="http://schemas.openxmlformats.org/officeDocument/2006/relationships/hyperlink" Target="https://statiz.sporki.com/player/?m=playerinfo&amp;p_no=11419" TargetMode="External"/><Relationship Id="rId7576" Type="http://schemas.openxmlformats.org/officeDocument/2006/relationships/hyperlink" Target="https://statiz.sporki.com/player/?m=playerinfo&amp;p_no=2193" TargetMode="External"/><Relationship Id="rId8627" Type="http://schemas.openxmlformats.org/officeDocument/2006/relationships/hyperlink" Target="https://statiz.sporki.com/add/?m=draft_school01&amp;ps_school=50701" TargetMode="External"/><Relationship Id="rId11955" Type="http://schemas.openxmlformats.org/officeDocument/2006/relationships/hyperlink" Target="https://statiz.sporki.com/add/?m=draft_school02&amp;ps_school=" TargetMode="External"/><Relationship Id="rId6178" Type="http://schemas.openxmlformats.org/officeDocument/2006/relationships/hyperlink" Target="https://statiz.sporki.com/player/?m=playerinfo&amp;p_no=2424" TargetMode="External"/><Relationship Id="rId7229" Type="http://schemas.openxmlformats.org/officeDocument/2006/relationships/hyperlink" Target="https://statiz.sporki.com/add/?m=draft_school01&amp;ps_school=" TargetMode="External"/><Relationship Id="rId10557" Type="http://schemas.openxmlformats.org/officeDocument/2006/relationships/hyperlink" Target="https://statiz.sporki.com/add/?m=draft_school02&amp;ps_school=60103" TargetMode="External"/><Relationship Id="rId11608" Type="http://schemas.openxmlformats.org/officeDocument/2006/relationships/hyperlink" Target="https://statiz.sporki.com/player/?m=playerinfo&amp;p_no=1152" TargetMode="External"/><Relationship Id="rId13030" Type="http://schemas.openxmlformats.org/officeDocument/2006/relationships/hyperlink" Target="https://statiz.sporki.com/player/?m=playerinfo&amp;p_no=13253" TargetMode="External"/><Relationship Id="rId17651" Type="http://schemas.openxmlformats.org/officeDocument/2006/relationships/hyperlink" Target="https://statiz.sporki.com/add/?m=draft_school01&amp;ps_school=50204" TargetMode="External"/><Relationship Id="rId18702" Type="http://schemas.openxmlformats.org/officeDocument/2006/relationships/hyperlink" Target="https://statiz.sporki.com/add/?m=draft_school01&amp;ps_school=50110" TargetMode="External"/><Relationship Id="rId2788" Type="http://schemas.openxmlformats.org/officeDocument/2006/relationships/hyperlink" Target="https://statiz.sporki.com/player/?m=playerinfo&amp;p_no=12850" TargetMode="External"/><Relationship Id="rId3839" Type="http://schemas.openxmlformats.org/officeDocument/2006/relationships/hyperlink" Target="https://statiz.sporki.com/add/?m=draft_school01&amp;ps_school=50808" TargetMode="External"/><Relationship Id="rId7710" Type="http://schemas.openxmlformats.org/officeDocument/2006/relationships/hyperlink" Target="https://statiz.sporki.com/add/?m=draft_school02&amp;ps_school=" TargetMode="External"/><Relationship Id="rId16253" Type="http://schemas.openxmlformats.org/officeDocument/2006/relationships/hyperlink" Target="https://statiz.sporki.com/add/?m=draft_school01&amp;ps_school=50403" TargetMode="External"/><Relationship Id="rId17304" Type="http://schemas.openxmlformats.org/officeDocument/2006/relationships/hyperlink" Target="https://statiz.sporki.com/add/?m=draft_school01&amp;ps_school=50401" TargetMode="External"/><Relationship Id="rId5261" Type="http://schemas.openxmlformats.org/officeDocument/2006/relationships/hyperlink" Target="https://statiz.sporki.com/add/?m=draft_school01&amp;ps_school=50501" TargetMode="External"/><Relationship Id="rId6312" Type="http://schemas.openxmlformats.org/officeDocument/2006/relationships/hyperlink" Target="https://statiz.sporki.com/add/?m=draft_school02&amp;ps_school=" TargetMode="External"/><Relationship Id="rId9882" Type="http://schemas.openxmlformats.org/officeDocument/2006/relationships/hyperlink" Target="https://statiz.sporki.com/add/?m=draft_school02&amp;ps_school=60801" TargetMode="External"/><Relationship Id="rId12863" Type="http://schemas.openxmlformats.org/officeDocument/2006/relationships/hyperlink" Target="https://statiz.sporki.com/player/?m=playerinfo&amp;p_no=14123" TargetMode="External"/><Relationship Id="rId19476" Type="http://schemas.openxmlformats.org/officeDocument/2006/relationships/hyperlink" Target="https://statiz.sporki.com/add/?m=draft_school01&amp;ps_school=50711" TargetMode="External"/><Relationship Id="rId96" Type="http://schemas.openxmlformats.org/officeDocument/2006/relationships/hyperlink" Target="https://statiz.sporki.com/add/?m=draft_school02&amp;ps_school=" TargetMode="External"/><Relationship Id="rId1871" Type="http://schemas.openxmlformats.org/officeDocument/2006/relationships/hyperlink" Target="https://statiz.sporki.com/add/?m=draft_school01&amp;ps_school=50701" TargetMode="External"/><Relationship Id="rId2922" Type="http://schemas.openxmlformats.org/officeDocument/2006/relationships/hyperlink" Target="https://statiz.sporki.com/add/?m=draft_school02&amp;ps_school=60108" TargetMode="External"/><Relationship Id="rId8484" Type="http://schemas.openxmlformats.org/officeDocument/2006/relationships/hyperlink" Target="https://statiz.sporki.com/add/?m=draft_school02&amp;ps_school=" TargetMode="External"/><Relationship Id="rId9535" Type="http://schemas.openxmlformats.org/officeDocument/2006/relationships/hyperlink" Target="https://statiz.sporki.com/player/?m=playerinfo&amp;p_no=1858" TargetMode="External"/><Relationship Id="rId11465" Type="http://schemas.openxmlformats.org/officeDocument/2006/relationships/hyperlink" Target="https://statiz.sporki.com/add/?m=draft_school01&amp;ps_school=50805" TargetMode="External"/><Relationship Id="rId12516" Type="http://schemas.openxmlformats.org/officeDocument/2006/relationships/hyperlink" Target="https://statiz.sporki.com/player/?m=playerinfo&amp;p_no=14816" TargetMode="External"/><Relationship Id="rId13914" Type="http://schemas.openxmlformats.org/officeDocument/2006/relationships/hyperlink" Target="https://statiz.sporki.com/player/?m=playerinfo&amp;p_no=10708" TargetMode="External"/><Relationship Id="rId18078" Type="http://schemas.openxmlformats.org/officeDocument/2006/relationships/hyperlink" Target="https://statiz.sporki.com/add/?m=draft_school01&amp;ps_school=50208" TargetMode="External"/><Relationship Id="rId19129" Type="http://schemas.openxmlformats.org/officeDocument/2006/relationships/hyperlink" Target="https://statiz.sporki.com/add/?m=draft_school01&amp;ps_school=50110" TargetMode="External"/><Relationship Id="rId1524" Type="http://schemas.openxmlformats.org/officeDocument/2006/relationships/hyperlink" Target="https://statiz.sporki.com/add/?m=draft_school02&amp;ps_school=" TargetMode="External"/><Relationship Id="rId7086" Type="http://schemas.openxmlformats.org/officeDocument/2006/relationships/hyperlink" Target="https://statiz.sporki.com/add/?m=draft_school02&amp;ps_school=" TargetMode="External"/><Relationship Id="rId8137" Type="http://schemas.openxmlformats.org/officeDocument/2006/relationships/hyperlink" Target="https://statiz.sporki.com/player/?m=playerinfo&amp;p_no=10532" TargetMode="External"/><Relationship Id="rId10067" Type="http://schemas.openxmlformats.org/officeDocument/2006/relationships/hyperlink" Target="https://statiz.sporki.com/add/?m=draft_school01&amp;ps_school=" TargetMode="External"/><Relationship Id="rId11118" Type="http://schemas.openxmlformats.org/officeDocument/2006/relationships/hyperlink" Target="https://statiz.sporki.com/add/?m=draft_school02&amp;ps_school=60103" TargetMode="External"/><Relationship Id="rId3696" Type="http://schemas.openxmlformats.org/officeDocument/2006/relationships/hyperlink" Target="https://statiz.sporki.com/add/?m=draft_school02&amp;ps_school=" TargetMode="External"/><Relationship Id="rId4747" Type="http://schemas.openxmlformats.org/officeDocument/2006/relationships/hyperlink" Target="https://statiz.sporki.com/player/?m=playerinfo&amp;p_no=11417" TargetMode="External"/><Relationship Id="rId14688" Type="http://schemas.openxmlformats.org/officeDocument/2006/relationships/hyperlink" Target="https://statiz.sporki.com/player/?m=playerinfo&amp;p_no=2182" TargetMode="External"/><Relationship Id="rId15739" Type="http://schemas.openxmlformats.org/officeDocument/2006/relationships/hyperlink" Target="https://statiz.sporki.com/player/?m=playerinfo&amp;p_no=1415" TargetMode="External"/><Relationship Id="rId17161" Type="http://schemas.openxmlformats.org/officeDocument/2006/relationships/hyperlink" Target="https://statiz.sporki.com/add/?m=draft_school01&amp;ps_school=50203" TargetMode="External"/><Relationship Id="rId19610" Type="http://schemas.openxmlformats.org/officeDocument/2006/relationships/hyperlink" Target="https://statiz.sporki.com/add/?m=draft_school01&amp;ps_school=50209" TargetMode="External"/><Relationship Id="rId2298" Type="http://schemas.openxmlformats.org/officeDocument/2006/relationships/hyperlink" Target="https://statiz.sporki.com/add/?m=draft_school02&amp;ps_school=" TargetMode="External"/><Relationship Id="rId3349" Type="http://schemas.openxmlformats.org/officeDocument/2006/relationships/hyperlink" Target="https://statiz.sporki.com/player/?m=playerinfo&amp;p_no=12595" TargetMode="External"/><Relationship Id="rId7220" Type="http://schemas.openxmlformats.org/officeDocument/2006/relationships/hyperlink" Target="https://statiz.sporki.com/add/?m=draft_school01&amp;ps_school=50402" TargetMode="External"/><Relationship Id="rId18212" Type="http://schemas.openxmlformats.org/officeDocument/2006/relationships/hyperlink" Target="https://statiz.sporki.com/add/?m=draft_school01&amp;ps_school=50604" TargetMode="External"/><Relationship Id="rId9392" Type="http://schemas.openxmlformats.org/officeDocument/2006/relationships/hyperlink" Target="https://statiz.sporki.com/add/?m=draft_school01&amp;ps_school=50126" TargetMode="External"/><Relationship Id="rId10201" Type="http://schemas.openxmlformats.org/officeDocument/2006/relationships/hyperlink" Target="https://statiz.sporki.com/player/?m=playerinfo&amp;p_no=1613" TargetMode="External"/><Relationship Id="rId13771" Type="http://schemas.openxmlformats.org/officeDocument/2006/relationships/hyperlink" Target="https://statiz.sporki.com/player/?m=playerinfo&amp;p_no=10808" TargetMode="External"/><Relationship Id="rId14822" Type="http://schemas.openxmlformats.org/officeDocument/2006/relationships/hyperlink" Target="https://statiz.sporki.com/player/?m=playerinfo&amp;p_no=10256" TargetMode="External"/><Relationship Id="rId3830" Type="http://schemas.openxmlformats.org/officeDocument/2006/relationships/hyperlink" Target="https://statiz.sporki.com/add/?m=draft_school01&amp;ps_school=50402" TargetMode="External"/><Relationship Id="rId9045" Type="http://schemas.openxmlformats.org/officeDocument/2006/relationships/hyperlink" Target="https://statiz.sporki.com/add/?m=draft_school02&amp;ps_school=60113" TargetMode="External"/><Relationship Id="rId12373" Type="http://schemas.openxmlformats.org/officeDocument/2006/relationships/hyperlink" Target="https://statiz.sporki.com/player/?m=playerinfo&amp;p_no=15117" TargetMode="External"/><Relationship Id="rId13424" Type="http://schemas.openxmlformats.org/officeDocument/2006/relationships/hyperlink" Target="https://statiz.sporki.com/player/?m=playerinfo&amp;p_no=12563" TargetMode="External"/><Relationship Id="rId16994" Type="http://schemas.openxmlformats.org/officeDocument/2006/relationships/hyperlink" Target="https://statiz.sporki.com/add/?m=draft_school01&amp;ps_school=50114" TargetMode="External"/><Relationship Id="rId751" Type="http://schemas.openxmlformats.org/officeDocument/2006/relationships/hyperlink" Target="https://statiz.sporki.com/player/?m=playerinfo&amp;p_no=15087" TargetMode="External"/><Relationship Id="rId1381" Type="http://schemas.openxmlformats.org/officeDocument/2006/relationships/hyperlink" Target="https://statiz.sporki.com/player/?m=playerinfo&amp;p_no=14608" TargetMode="External"/><Relationship Id="rId2432" Type="http://schemas.openxmlformats.org/officeDocument/2006/relationships/hyperlink" Target="https://statiz.sporki.com/add/?m=draft_school01&amp;ps_school=50207" TargetMode="External"/><Relationship Id="rId12026" Type="http://schemas.openxmlformats.org/officeDocument/2006/relationships/hyperlink" Target="https://statiz.sporki.com/add/?m=draft_school01&amp;ps_school=50701" TargetMode="External"/><Relationship Id="rId15596" Type="http://schemas.openxmlformats.org/officeDocument/2006/relationships/hyperlink" Target="https://statiz.sporki.com/player/?m=playerinfo&amp;p_no=1509" TargetMode="External"/><Relationship Id="rId16647" Type="http://schemas.openxmlformats.org/officeDocument/2006/relationships/hyperlink" Target="https://statiz.sporki.com/add/?m=draft_school01&amp;ps_school=50215" TargetMode="External"/><Relationship Id="rId404" Type="http://schemas.openxmlformats.org/officeDocument/2006/relationships/hyperlink" Target="https://statiz.sporki.com/add/?m=draft_school01&amp;ps_school=50207" TargetMode="External"/><Relationship Id="rId1034" Type="http://schemas.openxmlformats.org/officeDocument/2006/relationships/hyperlink" Target="https://statiz.sporki.com/add/?m=draft_school01&amp;ps_school=50103" TargetMode="External"/><Relationship Id="rId5655" Type="http://schemas.openxmlformats.org/officeDocument/2006/relationships/hyperlink" Target="https://statiz.sporki.com/add/?m=draft_school02&amp;ps_school=" TargetMode="External"/><Relationship Id="rId6706" Type="http://schemas.openxmlformats.org/officeDocument/2006/relationships/hyperlink" Target="https://statiz.sporki.com/player/?m=playerinfo&amp;p_no=2385" TargetMode="External"/><Relationship Id="rId14198" Type="http://schemas.openxmlformats.org/officeDocument/2006/relationships/hyperlink" Target="https://statiz.sporki.com/player/?m=playerinfo&amp;p_no=2429" TargetMode="External"/><Relationship Id="rId15249" Type="http://schemas.openxmlformats.org/officeDocument/2006/relationships/hyperlink" Target="https://statiz.sporki.com/player/?m=playerinfo&amp;p_no=1861" TargetMode="External"/><Relationship Id="rId19120" Type="http://schemas.openxmlformats.org/officeDocument/2006/relationships/hyperlink" Target="https://statiz.sporki.com/add/?m=draft_school01&amp;ps_school=50807" TargetMode="External"/><Relationship Id="rId4257" Type="http://schemas.openxmlformats.org/officeDocument/2006/relationships/hyperlink" Target="https://statiz.sporki.com/add/?m=draft_school02&amp;ps_school=" TargetMode="External"/><Relationship Id="rId5308" Type="http://schemas.openxmlformats.org/officeDocument/2006/relationships/hyperlink" Target="https://statiz.sporki.com/player/?m=playerinfo&amp;p_no=10798" TargetMode="External"/><Relationship Id="rId8878" Type="http://schemas.openxmlformats.org/officeDocument/2006/relationships/hyperlink" Target="https://statiz.sporki.com/player/?m=playerinfo&amp;p_no=2151" TargetMode="External"/><Relationship Id="rId9929" Type="http://schemas.openxmlformats.org/officeDocument/2006/relationships/hyperlink" Target="https://statiz.sporki.com/add/?m=draft_school01&amp;ps_school=50604" TargetMode="External"/><Relationship Id="rId11859" Type="http://schemas.openxmlformats.org/officeDocument/2006/relationships/hyperlink" Target="https://statiz.sporki.com/add/?m=draft_school02&amp;ps_school=" TargetMode="External"/><Relationship Id="rId15730" Type="http://schemas.openxmlformats.org/officeDocument/2006/relationships/hyperlink" Target="https://statiz.sporki.com/player/?m=playerinfo&amp;p_no=1580" TargetMode="External"/><Relationship Id="rId1918" Type="http://schemas.openxmlformats.org/officeDocument/2006/relationships/hyperlink" Target="https://statiz.sporki.com/player/?m=playerinfo&amp;p_no=14147" TargetMode="External"/><Relationship Id="rId13281" Type="http://schemas.openxmlformats.org/officeDocument/2006/relationships/hyperlink" Target="https://statiz.sporki.com/player/?m=playerinfo&amp;p_no=12542" TargetMode="External"/><Relationship Id="rId14332" Type="http://schemas.openxmlformats.org/officeDocument/2006/relationships/hyperlink" Target="https://statiz.sporki.com/player/?m=playerinfo&amp;p_no=10718" TargetMode="External"/><Relationship Id="rId18953" Type="http://schemas.openxmlformats.org/officeDocument/2006/relationships/hyperlink" Target="https://statiz.sporki.com/add/?m=draft_school01&amp;ps_school=50116" TargetMode="External"/><Relationship Id="rId261" Type="http://schemas.openxmlformats.org/officeDocument/2006/relationships/hyperlink" Target="https://statiz.sporki.com/add/?m=draft_school02&amp;ps_school=" TargetMode="External"/><Relationship Id="rId3340" Type="http://schemas.openxmlformats.org/officeDocument/2006/relationships/hyperlink" Target="https://statiz.sporki.com/player/?m=playerinfo&amp;p_no=12616" TargetMode="External"/><Relationship Id="rId7961" Type="http://schemas.openxmlformats.org/officeDocument/2006/relationships/hyperlink" Target="https://statiz.sporki.com/add/?m=draft_school01&amp;ps_school=" TargetMode="External"/><Relationship Id="rId10942" Type="http://schemas.openxmlformats.org/officeDocument/2006/relationships/hyperlink" Target="https://statiz.sporki.com/player/?m=playerinfo&amp;p_no=1419" TargetMode="External"/><Relationship Id="rId17555" Type="http://schemas.openxmlformats.org/officeDocument/2006/relationships/hyperlink" Target="https://statiz.sporki.com/add/?m=draft_school01&amp;ps_school=50302" TargetMode="External"/><Relationship Id="rId18606" Type="http://schemas.openxmlformats.org/officeDocument/2006/relationships/hyperlink" Target="https://statiz.sporki.com/add/?m=draft_school01&amp;ps_school=50103" TargetMode="External"/><Relationship Id="rId6563" Type="http://schemas.openxmlformats.org/officeDocument/2006/relationships/hyperlink" Target="https://statiz.sporki.com/add/?m=draft_school01&amp;ps_school=50902" TargetMode="External"/><Relationship Id="rId7614" Type="http://schemas.openxmlformats.org/officeDocument/2006/relationships/hyperlink" Target="https://statiz.sporki.com/add/?m=draft_school02&amp;ps_school=" TargetMode="External"/><Relationship Id="rId16157" Type="http://schemas.openxmlformats.org/officeDocument/2006/relationships/hyperlink" Target="https://statiz.sporki.com/player/?m=playerinfo&amp;p_no=1069" TargetMode="External"/><Relationship Id="rId17208" Type="http://schemas.openxmlformats.org/officeDocument/2006/relationships/hyperlink" Target="https://statiz.sporki.com/add/?m=draft_school01&amp;ps_school=50802" TargetMode="External"/><Relationship Id="rId5165" Type="http://schemas.openxmlformats.org/officeDocument/2006/relationships/hyperlink" Target="https://statiz.sporki.com/add/?m=draft_school01&amp;ps_school=50111" TargetMode="External"/><Relationship Id="rId6216" Type="http://schemas.openxmlformats.org/officeDocument/2006/relationships/hyperlink" Target="https://statiz.sporki.com/add/?m=draft_school02&amp;ps_school=" TargetMode="External"/><Relationship Id="rId9786" Type="http://schemas.openxmlformats.org/officeDocument/2006/relationships/hyperlink" Target="https://statiz.sporki.com/add/?m=draft_school02&amp;ps_school=60501" TargetMode="External"/><Relationship Id="rId1775" Type="http://schemas.openxmlformats.org/officeDocument/2006/relationships/hyperlink" Target="https://statiz.sporki.com/add/?m=draft_school01&amp;ps_school=50101" TargetMode="External"/><Relationship Id="rId2826" Type="http://schemas.openxmlformats.org/officeDocument/2006/relationships/hyperlink" Target="https://statiz.sporki.com/add/?m=draft_school02&amp;ps_school=60114" TargetMode="External"/><Relationship Id="rId8388" Type="http://schemas.openxmlformats.org/officeDocument/2006/relationships/hyperlink" Target="https://statiz.sporki.com/add/?m=draft_school02&amp;ps_school=" TargetMode="External"/><Relationship Id="rId9439" Type="http://schemas.openxmlformats.org/officeDocument/2006/relationships/hyperlink" Target="https://statiz.sporki.com/player/?m=playerinfo&amp;p_no=1833" TargetMode="External"/><Relationship Id="rId11369" Type="http://schemas.openxmlformats.org/officeDocument/2006/relationships/hyperlink" Target="https://statiz.sporki.com/add/?m=draft_school01&amp;ps_school=50112" TargetMode="External"/><Relationship Id="rId12767" Type="http://schemas.openxmlformats.org/officeDocument/2006/relationships/hyperlink" Target="https://statiz.sporki.com/player/?m=playerinfo&amp;p_no=14177" TargetMode="External"/><Relationship Id="rId13818" Type="http://schemas.openxmlformats.org/officeDocument/2006/relationships/hyperlink" Target="https://statiz.sporki.com/player/?m=playerinfo&amp;p_no=10794" TargetMode="External"/><Relationship Id="rId15240" Type="http://schemas.openxmlformats.org/officeDocument/2006/relationships/hyperlink" Target="https://statiz.sporki.com/player/?m=playerinfo&amp;p_no=11281" TargetMode="External"/><Relationship Id="rId1428" Type="http://schemas.openxmlformats.org/officeDocument/2006/relationships/hyperlink" Target="https://statiz.sporki.com/add/?m=draft_school02&amp;ps_school=" TargetMode="External"/><Relationship Id="rId4998" Type="http://schemas.openxmlformats.org/officeDocument/2006/relationships/hyperlink" Target="https://statiz.sporki.com/add/?m=draft_school02&amp;ps_school=60802" TargetMode="External"/><Relationship Id="rId9920" Type="http://schemas.openxmlformats.org/officeDocument/2006/relationships/hyperlink" Target="https://statiz.sporki.com/add/?m=draft_school01&amp;ps_school=50121" TargetMode="External"/><Relationship Id="rId11850" Type="http://schemas.openxmlformats.org/officeDocument/2006/relationships/hyperlink" Target="https://statiz.sporki.com/add/?m=draft_school02&amp;ps_school=60103" TargetMode="External"/><Relationship Id="rId12901" Type="http://schemas.openxmlformats.org/officeDocument/2006/relationships/hyperlink" Target="https://statiz.sporki.com/player/?m=playerinfo&amp;p_no=14201" TargetMode="External"/><Relationship Id="rId18463" Type="http://schemas.openxmlformats.org/officeDocument/2006/relationships/hyperlink" Target="https://statiz.sporki.com/add/?m=draft_school01&amp;ps_school=50116" TargetMode="External"/><Relationship Id="rId19514" Type="http://schemas.openxmlformats.org/officeDocument/2006/relationships/hyperlink" Target="https://statiz.sporki.com/add/?m=draft_school01&amp;ps_school=50802" TargetMode="External"/><Relationship Id="rId6073" Type="http://schemas.openxmlformats.org/officeDocument/2006/relationships/hyperlink" Target="https://statiz.sporki.com/player/?m=playerinfo&amp;p_no=10196" TargetMode="External"/><Relationship Id="rId7124" Type="http://schemas.openxmlformats.org/officeDocument/2006/relationships/hyperlink" Target="https://statiz.sporki.com/add/?m=draft_school01&amp;ps_school=50606" TargetMode="External"/><Relationship Id="rId7471" Type="http://schemas.openxmlformats.org/officeDocument/2006/relationships/hyperlink" Target="https://statiz.sporki.com/player/?m=playerinfo&amp;p_no=2259" TargetMode="External"/><Relationship Id="rId8522" Type="http://schemas.openxmlformats.org/officeDocument/2006/relationships/hyperlink" Target="https://statiz.sporki.com/add/?m=draft_school01&amp;ps_school=" TargetMode="External"/><Relationship Id="rId10452" Type="http://schemas.openxmlformats.org/officeDocument/2006/relationships/hyperlink" Target="https://statiz.sporki.com/add/?m=draft_school02&amp;ps_school=" TargetMode="External"/><Relationship Id="rId11503" Type="http://schemas.openxmlformats.org/officeDocument/2006/relationships/hyperlink" Target="https://statiz.sporki.com/player/?m=playerinfo&amp;p_no=1343" TargetMode="External"/><Relationship Id="rId17065" Type="http://schemas.openxmlformats.org/officeDocument/2006/relationships/hyperlink" Target="https://statiz.sporki.com/add/?m=draft_school01&amp;ps_school=50805" TargetMode="External"/><Relationship Id="rId18116" Type="http://schemas.openxmlformats.org/officeDocument/2006/relationships/hyperlink" Target="https://statiz.sporki.com/add/?m=draft_school01&amp;ps_school=50101" TargetMode="External"/><Relationship Id="rId10105" Type="http://schemas.openxmlformats.org/officeDocument/2006/relationships/hyperlink" Target="https://statiz.sporki.com/player/?m=playerinfo&amp;p_no=1710" TargetMode="External"/><Relationship Id="rId13675" Type="http://schemas.openxmlformats.org/officeDocument/2006/relationships/hyperlink" Target="https://statiz.sporki.com/player/?m=playerinfo&amp;p_no=11085" TargetMode="External"/><Relationship Id="rId14726" Type="http://schemas.openxmlformats.org/officeDocument/2006/relationships/hyperlink" Target="https://statiz.sporki.com/player/?m=playerinfo&amp;p_no=2171" TargetMode="External"/><Relationship Id="rId2683" Type="http://schemas.openxmlformats.org/officeDocument/2006/relationships/hyperlink" Target="https://statiz.sporki.com/player/?m=playerinfo&amp;p_no=13252" TargetMode="External"/><Relationship Id="rId3734" Type="http://schemas.openxmlformats.org/officeDocument/2006/relationships/hyperlink" Target="https://statiz.sporki.com/add/?m=draft_school01&amp;ps_school=50205" TargetMode="External"/><Relationship Id="rId9296" Type="http://schemas.openxmlformats.org/officeDocument/2006/relationships/hyperlink" Target="https://statiz.sporki.com/add/?m=draft_school01&amp;ps_school=50604" TargetMode="External"/><Relationship Id="rId12277" Type="http://schemas.openxmlformats.org/officeDocument/2006/relationships/hyperlink" Target="https://statiz.sporki.com/player/?m=playerinfo&amp;p_no=15620" TargetMode="External"/><Relationship Id="rId13328" Type="http://schemas.openxmlformats.org/officeDocument/2006/relationships/hyperlink" Target="https://statiz.sporki.com/player/?m=playerinfo&amp;p_no=12945" TargetMode="External"/><Relationship Id="rId655" Type="http://schemas.openxmlformats.org/officeDocument/2006/relationships/hyperlink" Target="https://statiz.sporki.com/player/?m=playerinfo&amp;p_no=15062" TargetMode="External"/><Relationship Id="rId1285" Type="http://schemas.openxmlformats.org/officeDocument/2006/relationships/hyperlink" Target="https://statiz.sporki.com/player/?m=playerinfo&amp;p_no=14994" TargetMode="External"/><Relationship Id="rId2336" Type="http://schemas.openxmlformats.org/officeDocument/2006/relationships/hyperlink" Target="https://statiz.sporki.com/add/?m=draft_school01&amp;ps_school=50301" TargetMode="External"/><Relationship Id="rId6957" Type="http://schemas.openxmlformats.org/officeDocument/2006/relationships/hyperlink" Target="https://statiz.sporki.com/add/?m=draft_school02&amp;ps_school=60403" TargetMode="External"/><Relationship Id="rId16898" Type="http://schemas.openxmlformats.org/officeDocument/2006/relationships/hyperlink" Target="https://statiz.sporki.com/add/?m=draft_school01&amp;ps_school=50101" TargetMode="External"/><Relationship Id="rId17949" Type="http://schemas.openxmlformats.org/officeDocument/2006/relationships/hyperlink" Target="https://statiz.sporki.com/add/?m=draft_school01&amp;ps_school=50207" TargetMode="External"/><Relationship Id="rId19371" Type="http://schemas.openxmlformats.org/officeDocument/2006/relationships/hyperlink" Target="https://statiz.sporki.com/add/?m=draft_school01&amp;ps_school=50805" TargetMode="External"/><Relationship Id="rId308" Type="http://schemas.openxmlformats.org/officeDocument/2006/relationships/hyperlink" Target="https://statiz.sporki.com/add/?m=draft_school01&amp;ps_school=50301" TargetMode="External"/><Relationship Id="rId5559" Type="http://schemas.openxmlformats.org/officeDocument/2006/relationships/hyperlink" Target="https://statiz.sporki.com/add/?m=draft_school02&amp;ps_school=" TargetMode="External"/><Relationship Id="rId9430" Type="http://schemas.openxmlformats.org/officeDocument/2006/relationships/hyperlink" Target="https://statiz.sporki.com/player/?m=playerinfo&amp;p_no=12657" TargetMode="External"/><Relationship Id="rId19024" Type="http://schemas.openxmlformats.org/officeDocument/2006/relationships/hyperlink" Target="https://statiz.sporki.com/add/?m=draft_school01&amp;ps_school=50602" TargetMode="External"/><Relationship Id="rId8032" Type="http://schemas.openxmlformats.org/officeDocument/2006/relationships/hyperlink" Target="https://statiz.sporki.com/player/?m=playerinfo&amp;p_no=2111" TargetMode="External"/><Relationship Id="rId11360" Type="http://schemas.openxmlformats.org/officeDocument/2006/relationships/hyperlink" Target="https://statiz.sporki.com/add/?m=draft_school01&amp;ps_school=50608" TargetMode="External"/><Relationship Id="rId12411" Type="http://schemas.openxmlformats.org/officeDocument/2006/relationships/hyperlink" Target="https://statiz.sporki.com/player/?m=playerinfo&amp;p_no=14996" TargetMode="External"/><Relationship Id="rId15981" Type="http://schemas.openxmlformats.org/officeDocument/2006/relationships/hyperlink" Target="https://statiz.sporki.com/player/?m=playerinfo&amp;p_no=1218" TargetMode="External"/><Relationship Id="rId11013" Type="http://schemas.openxmlformats.org/officeDocument/2006/relationships/hyperlink" Target="https://statiz.sporki.com/add/?m=draft_school02&amp;ps_school=60803" TargetMode="External"/><Relationship Id="rId14583" Type="http://schemas.openxmlformats.org/officeDocument/2006/relationships/hyperlink" Target="https://statiz.sporki.com/player/?m=playerinfo&amp;p_no=10157" TargetMode="External"/><Relationship Id="rId15634" Type="http://schemas.openxmlformats.org/officeDocument/2006/relationships/hyperlink" Target="https://statiz.sporki.com/player/?m=playerinfo&amp;p_no=1554" TargetMode="External"/><Relationship Id="rId3591" Type="http://schemas.openxmlformats.org/officeDocument/2006/relationships/hyperlink" Target="https://statiz.sporki.com/add/?m=draft_school02&amp;ps_school=60607" TargetMode="External"/><Relationship Id="rId4642" Type="http://schemas.openxmlformats.org/officeDocument/2006/relationships/hyperlink" Target="https://statiz.sporki.com/player/?m=playerinfo&amp;p_no=13184" TargetMode="External"/><Relationship Id="rId13185" Type="http://schemas.openxmlformats.org/officeDocument/2006/relationships/hyperlink" Target="https://statiz.sporki.com/player/?m=playerinfo&amp;p_no=13267" TargetMode="External"/><Relationship Id="rId14236" Type="http://schemas.openxmlformats.org/officeDocument/2006/relationships/hyperlink" Target="https://statiz.sporki.com/player/?m=playerinfo&amp;p_no=10222" TargetMode="External"/><Relationship Id="rId18857" Type="http://schemas.openxmlformats.org/officeDocument/2006/relationships/hyperlink" Target="https://statiz.sporki.com/add/?m=draft_school01&amp;ps_school=50110" TargetMode="External"/><Relationship Id="rId2193" Type="http://schemas.openxmlformats.org/officeDocument/2006/relationships/hyperlink" Target="https://statiz.sporki.com/add/?m=draft_school02&amp;ps_school=" TargetMode="External"/><Relationship Id="rId3244" Type="http://schemas.openxmlformats.org/officeDocument/2006/relationships/hyperlink" Target="https://statiz.sporki.com/player/?m=playerinfo&amp;p_no=12546" TargetMode="External"/><Relationship Id="rId7865" Type="http://schemas.openxmlformats.org/officeDocument/2006/relationships/hyperlink" Target="https://statiz.sporki.com/add/?m=draft_school01&amp;ps_school=50103" TargetMode="External"/><Relationship Id="rId8916" Type="http://schemas.openxmlformats.org/officeDocument/2006/relationships/hyperlink" Target="https://statiz.sporki.com/add/?m=draft_school02&amp;ps_school=60802" TargetMode="External"/><Relationship Id="rId17459" Type="http://schemas.openxmlformats.org/officeDocument/2006/relationships/hyperlink" Target="https://statiz.sporki.com/add/?m=draft_school01&amp;ps_school=50111" TargetMode="External"/><Relationship Id="rId165" Type="http://schemas.openxmlformats.org/officeDocument/2006/relationships/hyperlink" Target="https://statiz.sporki.com/add/?m=draft_school02&amp;ps_school=" TargetMode="External"/><Relationship Id="rId6467" Type="http://schemas.openxmlformats.org/officeDocument/2006/relationships/hyperlink" Target="https://statiz.sporki.com/add/?m=draft_school01&amp;ps_school=" TargetMode="External"/><Relationship Id="rId7518" Type="http://schemas.openxmlformats.org/officeDocument/2006/relationships/hyperlink" Target="https://statiz.sporki.com/add/?m=draft_school02&amp;ps_school=" TargetMode="External"/><Relationship Id="rId10846" Type="http://schemas.openxmlformats.org/officeDocument/2006/relationships/hyperlink" Target="https://statiz.sporki.com/player/?m=playerinfo&amp;p_no=1372" TargetMode="External"/><Relationship Id="rId5069" Type="http://schemas.openxmlformats.org/officeDocument/2006/relationships/hyperlink" Target="https://statiz.sporki.com/add/?m=draft_school01&amp;ps_school=" TargetMode="External"/><Relationship Id="rId17940" Type="http://schemas.openxmlformats.org/officeDocument/2006/relationships/hyperlink" Target="https://statiz.sporki.com/add/?m=draft_school01&amp;ps_school=50113" TargetMode="External"/><Relationship Id="rId1679" Type="http://schemas.openxmlformats.org/officeDocument/2006/relationships/hyperlink" Target="https://statiz.sporki.com/add/?m=draft_school01&amp;ps_school=50114" TargetMode="External"/><Relationship Id="rId14093" Type="http://schemas.openxmlformats.org/officeDocument/2006/relationships/hyperlink" Target="https://statiz.sporki.com/player/?m=playerinfo&amp;p_no=10283" TargetMode="External"/><Relationship Id="rId15491" Type="http://schemas.openxmlformats.org/officeDocument/2006/relationships/hyperlink" Target="https://statiz.sporki.com/player/?m=playerinfo&amp;p_no=10418" TargetMode="External"/><Relationship Id="rId16542" Type="http://schemas.openxmlformats.org/officeDocument/2006/relationships/hyperlink" Target="https://statiz.sporki.com/add/?m=draft_school01&amp;ps_school=50210" TargetMode="External"/><Relationship Id="rId4152" Type="http://schemas.openxmlformats.org/officeDocument/2006/relationships/hyperlink" Target="https://statiz.sporki.com/add/?m=draft_school02&amp;ps_school=" TargetMode="External"/><Relationship Id="rId5203" Type="http://schemas.openxmlformats.org/officeDocument/2006/relationships/hyperlink" Target="https://statiz.sporki.com/player/?m=playerinfo&amp;p_no=10751" TargetMode="External"/><Relationship Id="rId5550" Type="http://schemas.openxmlformats.org/officeDocument/2006/relationships/hyperlink" Target="https://statiz.sporki.com/add/?m=draft_school02&amp;ps_school=60203" TargetMode="External"/><Relationship Id="rId6601" Type="http://schemas.openxmlformats.org/officeDocument/2006/relationships/hyperlink" Target="https://statiz.sporki.com/player/?m=playerinfo&amp;p_no=10791" TargetMode="External"/><Relationship Id="rId15144" Type="http://schemas.openxmlformats.org/officeDocument/2006/relationships/hyperlink" Target="https://statiz.sporki.com/player/?m=playerinfo&amp;p_no=1917" TargetMode="External"/><Relationship Id="rId8773" Type="http://schemas.openxmlformats.org/officeDocument/2006/relationships/hyperlink" Target="https://statiz.sporki.com/player/?m=playerinfo&amp;p_no=10009" TargetMode="External"/><Relationship Id="rId9824" Type="http://schemas.openxmlformats.org/officeDocument/2006/relationships/hyperlink" Target="https://statiz.sporki.com/add/?m=draft_school01&amp;ps_school=" TargetMode="External"/><Relationship Id="rId11754" Type="http://schemas.openxmlformats.org/officeDocument/2006/relationships/hyperlink" Target="https://statiz.sporki.com/add/?m=draft_school02&amp;ps_school=60402" TargetMode="External"/><Relationship Id="rId12805" Type="http://schemas.openxmlformats.org/officeDocument/2006/relationships/hyperlink" Target="https://statiz.sporki.com/player/?m=playerinfo&amp;p_no=14117" TargetMode="External"/><Relationship Id="rId18367" Type="http://schemas.openxmlformats.org/officeDocument/2006/relationships/hyperlink" Target="https://statiz.sporki.com/add/?m=draft_school01&amp;ps_school=50807" TargetMode="External"/><Relationship Id="rId19418" Type="http://schemas.openxmlformats.org/officeDocument/2006/relationships/hyperlink" Target="https://statiz.sporki.com/add/?m=draft_school01&amp;ps_school=50109" TargetMode="External"/><Relationship Id="rId38" Type="http://schemas.openxmlformats.org/officeDocument/2006/relationships/hyperlink" Target="https://statiz.sporki.com/add/?m=draft_school01&amp;ps_school=50111" TargetMode="External"/><Relationship Id="rId1813" Type="http://schemas.openxmlformats.org/officeDocument/2006/relationships/hyperlink" Target="https://statiz.sporki.com/player/?m=playerinfo&amp;p_no=14886" TargetMode="External"/><Relationship Id="rId7375" Type="http://schemas.openxmlformats.org/officeDocument/2006/relationships/hyperlink" Target="https://statiz.sporki.com/player/?m=playerinfo&amp;p_no=10086" TargetMode="External"/><Relationship Id="rId8426" Type="http://schemas.openxmlformats.org/officeDocument/2006/relationships/hyperlink" Target="https://statiz.sporki.com/add/?m=draft_school01&amp;ps_school=50807" TargetMode="External"/><Relationship Id="rId10356" Type="http://schemas.openxmlformats.org/officeDocument/2006/relationships/hyperlink" Target="https://statiz.sporki.com/add/?m=draft_school02&amp;ps_school=" TargetMode="External"/><Relationship Id="rId11407" Type="http://schemas.openxmlformats.org/officeDocument/2006/relationships/hyperlink" Target="https://statiz.sporki.com/player/?m=playerinfo&amp;p_no=1193" TargetMode="External"/><Relationship Id="rId3985" Type="http://schemas.openxmlformats.org/officeDocument/2006/relationships/hyperlink" Target="https://statiz.sporki.com/player/?m=playerinfo&amp;p_no=12687" TargetMode="External"/><Relationship Id="rId7028" Type="http://schemas.openxmlformats.org/officeDocument/2006/relationships/hyperlink" Target="https://statiz.sporki.com/add/?m=draft_school01&amp;ps_school=50807" TargetMode="External"/><Relationship Id="rId10009" Type="http://schemas.openxmlformats.org/officeDocument/2006/relationships/hyperlink" Target="https://statiz.sporki.com/player/?m=playerinfo&amp;p_no=11435" TargetMode="External"/><Relationship Id="rId13579" Type="http://schemas.openxmlformats.org/officeDocument/2006/relationships/hyperlink" Target="https://statiz.sporki.com/player/?m=playerinfo&amp;p_no=11264" TargetMode="External"/><Relationship Id="rId14977" Type="http://schemas.openxmlformats.org/officeDocument/2006/relationships/hyperlink" Target="https://statiz.sporki.com/player/?m=playerinfo&amp;p_no=10022" TargetMode="External"/><Relationship Id="rId17450" Type="http://schemas.openxmlformats.org/officeDocument/2006/relationships/hyperlink" Target="https://statiz.sporki.com/add/?m=draft_school01&amp;ps_school=50109" TargetMode="External"/><Relationship Id="rId2587" Type="http://schemas.openxmlformats.org/officeDocument/2006/relationships/hyperlink" Target="https://statiz.sporki.com/player/?m=playerinfo&amp;p_no=13143" TargetMode="External"/><Relationship Id="rId3638" Type="http://schemas.openxmlformats.org/officeDocument/2006/relationships/hyperlink" Target="https://statiz.sporki.com/add/?m=draft_school01&amp;ps_school=50403" TargetMode="External"/><Relationship Id="rId16052" Type="http://schemas.openxmlformats.org/officeDocument/2006/relationships/hyperlink" Target="https://statiz.sporki.com/player/?m=playerinfo&amp;p_no=1062" TargetMode="External"/><Relationship Id="rId17103" Type="http://schemas.openxmlformats.org/officeDocument/2006/relationships/hyperlink" Target="https://statiz.sporki.com/add/?m=draft_school01&amp;ps_school=50116" TargetMode="External"/><Relationship Id="rId18501" Type="http://schemas.openxmlformats.org/officeDocument/2006/relationships/hyperlink" Target="https://statiz.sporki.com/add/?m=draft_school01&amp;ps_school=51100" TargetMode="External"/><Relationship Id="rId559" Type="http://schemas.openxmlformats.org/officeDocument/2006/relationships/hyperlink" Target="https://statiz.sporki.com/player/?m=playerinfo&amp;p_no=15069" TargetMode="External"/><Relationship Id="rId1189" Type="http://schemas.openxmlformats.org/officeDocument/2006/relationships/hyperlink" Target="https://statiz.sporki.com/player/?m=playerinfo&amp;p_no=14853" TargetMode="External"/><Relationship Id="rId5060" Type="http://schemas.openxmlformats.org/officeDocument/2006/relationships/hyperlink" Target="https://statiz.sporki.com/add/?m=draft_school01&amp;ps_school=" TargetMode="External"/><Relationship Id="rId6111" Type="http://schemas.openxmlformats.org/officeDocument/2006/relationships/hyperlink" Target="https://statiz.sporki.com/add/?m=draft_school02&amp;ps_school=60101" TargetMode="External"/><Relationship Id="rId9681" Type="http://schemas.openxmlformats.org/officeDocument/2006/relationships/hyperlink" Target="https://statiz.sporki.com/add/?m=draft_school02&amp;ps_school=60204" TargetMode="External"/><Relationship Id="rId8283" Type="http://schemas.openxmlformats.org/officeDocument/2006/relationships/hyperlink" Target="https://statiz.sporki.com/add/?m=draft_school02&amp;ps_school=" TargetMode="External"/><Relationship Id="rId9334" Type="http://schemas.openxmlformats.org/officeDocument/2006/relationships/hyperlink" Target="https://statiz.sporki.com/player/?m=playerinfo&amp;p_no=1857" TargetMode="External"/><Relationship Id="rId12662" Type="http://schemas.openxmlformats.org/officeDocument/2006/relationships/hyperlink" Target="https://statiz.sporki.com/player/?m=playerinfo&amp;p_no=14657" TargetMode="External"/><Relationship Id="rId13713" Type="http://schemas.openxmlformats.org/officeDocument/2006/relationships/hyperlink" Target="https://statiz.sporki.com/player/?m=playerinfo&amp;p_no=13251" TargetMode="External"/><Relationship Id="rId19275" Type="http://schemas.openxmlformats.org/officeDocument/2006/relationships/hyperlink" Target="https://statiz.sporki.com/add/?m=draft_school01&amp;ps_school=50804" TargetMode="External"/><Relationship Id="rId1670" Type="http://schemas.openxmlformats.org/officeDocument/2006/relationships/hyperlink" Target="https://statiz.sporki.com/add/?m=draft_school01&amp;ps_school=" TargetMode="External"/><Relationship Id="rId2721" Type="http://schemas.openxmlformats.org/officeDocument/2006/relationships/hyperlink" Target="https://statiz.sporki.com/add/?m=draft_school02&amp;ps_school=" TargetMode="External"/><Relationship Id="rId11264" Type="http://schemas.openxmlformats.org/officeDocument/2006/relationships/hyperlink" Target="https://statiz.sporki.com/add/?m=draft_school01&amp;ps_school=50711" TargetMode="External"/><Relationship Id="rId12315" Type="http://schemas.openxmlformats.org/officeDocument/2006/relationships/hyperlink" Target="https://statiz.sporki.com/player/?m=playerinfo&amp;p_no=15100" TargetMode="External"/><Relationship Id="rId15885" Type="http://schemas.openxmlformats.org/officeDocument/2006/relationships/hyperlink" Target="https://statiz.sporki.com/player/?m=playerinfo&amp;p_no=1295" TargetMode="External"/><Relationship Id="rId16936" Type="http://schemas.openxmlformats.org/officeDocument/2006/relationships/hyperlink" Target="https://statiz.sporki.com/add/?m=draft_school01&amp;ps_school=50103" TargetMode="External"/><Relationship Id="rId1323" Type="http://schemas.openxmlformats.org/officeDocument/2006/relationships/hyperlink" Target="https://statiz.sporki.com/add/?m=draft_school02&amp;ps_school=" TargetMode="External"/><Relationship Id="rId4893" Type="http://schemas.openxmlformats.org/officeDocument/2006/relationships/hyperlink" Target="https://statiz.sporki.com/add/?m=draft_school02&amp;ps_school=" TargetMode="External"/><Relationship Id="rId5944" Type="http://schemas.openxmlformats.org/officeDocument/2006/relationships/hyperlink" Target="https://statiz.sporki.com/player/?m=playerinfo&amp;p_no=10163" TargetMode="External"/><Relationship Id="rId14487" Type="http://schemas.openxmlformats.org/officeDocument/2006/relationships/hyperlink" Target="https://statiz.sporki.com/player/?m=playerinfo&amp;p_no=2327" TargetMode="External"/><Relationship Id="rId15538" Type="http://schemas.openxmlformats.org/officeDocument/2006/relationships/hyperlink" Target="https://statiz.sporki.com/player/?m=playerinfo&amp;p_no=1594" TargetMode="External"/><Relationship Id="rId3495" Type="http://schemas.openxmlformats.org/officeDocument/2006/relationships/hyperlink" Target="https://statiz.sporki.com/add/?m=draft_school02&amp;ps_school=" TargetMode="External"/><Relationship Id="rId4546" Type="http://schemas.openxmlformats.org/officeDocument/2006/relationships/hyperlink" Target="https://statiz.sporki.com/player/?m=playerinfo&amp;p_no=11129" TargetMode="External"/><Relationship Id="rId13089" Type="http://schemas.openxmlformats.org/officeDocument/2006/relationships/hyperlink" Target="https://statiz.sporki.com/player/?m=playerinfo&amp;p_no=12921" TargetMode="External"/><Relationship Id="rId18011" Type="http://schemas.openxmlformats.org/officeDocument/2006/relationships/hyperlink" Target="https://statiz.sporki.com/add/?m=draft_school01&amp;ps_school=50116" TargetMode="External"/><Relationship Id="rId2097" Type="http://schemas.openxmlformats.org/officeDocument/2006/relationships/hyperlink" Target="https://statiz.sporki.com/add/?m=draft_school02&amp;ps_school=60607" TargetMode="External"/><Relationship Id="rId3148" Type="http://schemas.openxmlformats.org/officeDocument/2006/relationships/hyperlink" Target="https://statiz.sporki.com/player/?m=playerinfo&amp;p_no=12533" TargetMode="External"/><Relationship Id="rId7769" Type="http://schemas.openxmlformats.org/officeDocument/2006/relationships/hyperlink" Target="https://statiz.sporki.com/add/?m=draft_school01&amp;ps_school=" TargetMode="External"/><Relationship Id="rId10000" Type="http://schemas.openxmlformats.org/officeDocument/2006/relationships/hyperlink" Target="https://statiz.sporki.com/player/?m=playerinfo&amp;p_no=1561" TargetMode="External"/><Relationship Id="rId9191" Type="http://schemas.openxmlformats.org/officeDocument/2006/relationships/hyperlink" Target="https://statiz.sporki.com/add/?m=draft_school01&amp;ps_school=" TargetMode="External"/><Relationship Id="rId12172" Type="http://schemas.openxmlformats.org/officeDocument/2006/relationships/hyperlink" Target="https://statiz.sporki.com/player/?m=playerinfo&amp;p_no=15424" TargetMode="External"/><Relationship Id="rId13570" Type="http://schemas.openxmlformats.org/officeDocument/2006/relationships/hyperlink" Target="https://statiz.sporki.com/player/?m=playerinfo&amp;p_no=11245" TargetMode="External"/><Relationship Id="rId14621" Type="http://schemas.openxmlformats.org/officeDocument/2006/relationships/hyperlink" Target="https://statiz.sporki.com/player/?m=playerinfo&amp;p_no=10582" TargetMode="External"/><Relationship Id="rId550" Type="http://schemas.openxmlformats.org/officeDocument/2006/relationships/hyperlink" Target="https://statiz.sporki.com/player/?m=playerinfo&amp;p_no=15101" TargetMode="External"/><Relationship Id="rId1180" Type="http://schemas.openxmlformats.org/officeDocument/2006/relationships/hyperlink" Target="https://statiz.sporki.com/player/?m=playerinfo&amp;p_no=14832" TargetMode="External"/><Relationship Id="rId2231" Type="http://schemas.openxmlformats.org/officeDocument/2006/relationships/hyperlink" Target="https://statiz.sporki.com/add/?m=draft_school01&amp;ps_school=" TargetMode="External"/><Relationship Id="rId13223" Type="http://schemas.openxmlformats.org/officeDocument/2006/relationships/hyperlink" Target="https://statiz.sporki.com/player/?m=playerinfo&amp;p_no=12546" TargetMode="External"/><Relationship Id="rId16793" Type="http://schemas.openxmlformats.org/officeDocument/2006/relationships/hyperlink" Target="https://statiz.sporki.com/add/?m=draft_school01&amp;ps_school=50802" TargetMode="External"/><Relationship Id="rId17844" Type="http://schemas.openxmlformats.org/officeDocument/2006/relationships/hyperlink" Target="https://statiz.sporki.com/add/?m=draft_school01&amp;ps_school=50201" TargetMode="External"/><Relationship Id="rId203" Type="http://schemas.openxmlformats.org/officeDocument/2006/relationships/hyperlink" Target="https://statiz.sporki.com/add/?m=draft_school01&amp;ps_school=50602" TargetMode="External"/><Relationship Id="rId6852" Type="http://schemas.openxmlformats.org/officeDocument/2006/relationships/hyperlink" Target="https://statiz.sporki.com/add/?m=draft_school02&amp;ps_school=" TargetMode="External"/><Relationship Id="rId7903" Type="http://schemas.openxmlformats.org/officeDocument/2006/relationships/hyperlink" Target="https://statiz.sporki.com/player/?m=playerinfo&amp;p_no=10428" TargetMode="External"/><Relationship Id="rId15395" Type="http://schemas.openxmlformats.org/officeDocument/2006/relationships/hyperlink" Target="https://statiz.sporki.com/player/?m=playerinfo&amp;p_no=1745" TargetMode="External"/><Relationship Id="rId16446" Type="http://schemas.openxmlformats.org/officeDocument/2006/relationships/hyperlink" Target="https://statiz.sporki.com/add/?m=draft_school01&amp;ps_school=50116" TargetMode="External"/><Relationship Id="rId4056" Type="http://schemas.openxmlformats.org/officeDocument/2006/relationships/hyperlink" Target="https://statiz.sporki.com/add/?m=draft_school02&amp;ps_school=60104" TargetMode="External"/><Relationship Id="rId5454" Type="http://schemas.openxmlformats.org/officeDocument/2006/relationships/hyperlink" Target="https://statiz.sporki.com/add/?m=draft_school02&amp;ps_school=" TargetMode="External"/><Relationship Id="rId6505" Type="http://schemas.openxmlformats.org/officeDocument/2006/relationships/hyperlink" Target="https://statiz.sporki.com/player/?m=playerinfo&amp;p_no=10604" TargetMode="External"/><Relationship Id="rId15048" Type="http://schemas.openxmlformats.org/officeDocument/2006/relationships/hyperlink" Target="https://statiz.sporki.com/player/?m=playerinfo&amp;p_no=2009" TargetMode="External"/><Relationship Id="rId19669" Type="http://schemas.openxmlformats.org/officeDocument/2006/relationships/hyperlink" Target="https://statiz.sporki.com/add/?m=draft_school01&amp;ps_school=50602" TargetMode="External"/><Relationship Id="rId5107" Type="http://schemas.openxmlformats.org/officeDocument/2006/relationships/hyperlink" Target="https://statiz.sporki.com/player/?m=playerinfo&amp;p_no=10846" TargetMode="External"/><Relationship Id="rId8677" Type="http://schemas.openxmlformats.org/officeDocument/2006/relationships/hyperlink" Target="https://statiz.sporki.com/player/?m=playerinfo&amp;p_no=11455" TargetMode="External"/><Relationship Id="rId9728" Type="http://schemas.openxmlformats.org/officeDocument/2006/relationships/hyperlink" Target="https://statiz.sporki.com/add/?m=draft_school01&amp;ps_school=50116" TargetMode="External"/><Relationship Id="rId11658" Type="http://schemas.openxmlformats.org/officeDocument/2006/relationships/hyperlink" Target="https://statiz.sporki.com/add/?m=draft_school02&amp;ps_school=60101" TargetMode="External"/><Relationship Id="rId1717" Type="http://schemas.openxmlformats.org/officeDocument/2006/relationships/hyperlink" Target="https://statiz.sporki.com/player/?m=playerinfo&amp;p_no=14602" TargetMode="External"/><Relationship Id="rId7279" Type="http://schemas.openxmlformats.org/officeDocument/2006/relationships/hyperlink" Target="https://statiz.sporki.com/player/?m=playerinfo&amp;p_no=11457" TargetMode="External"/><Relationship Id="rId12709" Type="http://schemas.openxmlformats.org/officeDocument/2006/relationships/hyperlink" Target="https://statiz.sporki.com/player/?m=playerinfo&amp;p_no=14694" TargetMode="External"/><Relationship Id="rId13080" Type="http://schemas.openxmlformats.org/officeDocument/2006/relationships/hyperlink" Target="https://statiz.sporki.com/player/?m=playerinfo&amp;p_no=12854" TargetMode="External"/><Relationship Id="rId14131" Type="http://schemas.openxmlformats.org/officeDocument/2006/relationships/hyperlink" Target="https://statiz.sporki.com/player/?m=playerinfo&amp;p_no=10603" TargetMode="External"/><Relationship Id="rId3889" Type="http://schemas.openxmlformats.org/officeDocument/2006/relationships/hyperlink" Target="https://statiz.sporki.com/player/?m=playerinfo&amp;p_no=11324" TargetMode="External"/><Relationship Id="rId18752" Type="http://schemas.openxmlformats.org/officeDocument/2006/relationships/hyperlink" Target="https://statiz.sporki.com/add/?m=draft_school01&amp;ps_school=50602" TargetMode="External"/><Relationship Id="rId6362" Type="http://schemas.openxmlformats.org/officeDocument/2006/relationships/hyperlink" Target="https://statiz.sporki.com/add/?m=draft_school01&amp;ps_school=50111" TargetMode="External"/><Relationship Id="rId7413" Type="http://schemas.openxmlformats.org/officeDocument/2006/relationships/hyperlink" Target="https://statiz.sporki.com/add/?m=draft_school02&amp;ps_school=60106" TargetMode="External"/><Relationship Id="rId7760" Type="http://schemas.openxmlformats.org/officeDocument/2006/relationships/hyperlink" Target="https://statiz.sporki.com/add/?m=draft_school01&amp;ps_school=" TargetMode="External"/><Relationship Id="rId8811" Type="http://schemas.openxmlformats.org/officeDocument/2006/relationships/hyperlink" Target="https://statiz.sporki.com/add/?m=draft_school02&amp;ps_school=60801" TargetMode="External"/><Relationship Id="rId10741" Type="http://schemas.openxmlformats.org/officeDocument/2006/relationships/hyperlink" Target="https://statiz.sporki.com/player/?m=playerinfo&amp;p_no=1479" TargetMode="External"/><Relationship Id="rId17354" Type="http://schemas.openxmlformats.org/officeDocument/2006/relationships/hyperlink" Target="https://statiz.sporki.com/add/?m=draft_school01&amp;ps_school=50705" TargetMode="External"/><Relationship Id="rId18405" Type="http://schemas.openxmlformats.org/officeDocument/2006/relationships/hyperlink" Target="https://statiz.sporki.com/add/?m=draft_school01&amp;ps_school=50802" TargetMode="External"/><Relationship Id="rId6015" Type="http://schemas.openxmlformats.org/officeDocument/2006/relationships/hyperlink" Target="https://statiz.sporki.com/add/?m=draft_school02&amp;ps_school=60203" TargetMode="External"/><Relationship Id="rId13964" Type="http://schemas.openxmlformats.org/officeDocument/2006/relationships/hyperlink" Target="https://statiz.sporki.com/player/?m=playerinfo&amp;p_no=10516" TargetMode="External"/><Relationship Id="rId17007" Type="http://schemas.openxmlformats.org/officeDocument/2006/relationships/hyperlink" Target="https://statiz.sporki.com/add/?m=draft_school01&amp;ps_school=50202" TargetMode="External"/><Relationship Id="rId2972" Type="http://schemas.openxmlformats.org/officeDocument/2006/relationships/hyperlink" Target="https://statiz.sporki.com/add/?m=draft_school01&amp;ps_school=50209" TargetMode="External"/><Relationship Id="rId8187" Type="http://schemas.openxmlformats.org/officeDocument/2006/relationships/hyperlink" Target="https://statiz.sporki.com/add/?m=draft_school02&amp;ps_school=60204" TargetMode="External"/><Relationship Id="rId9585" Type="http://schemas.openxmlformats.org/officeDocument/2006/relationships/hyperlink" Target="https://statiz.sporki.com/add/?m=draft_school02&amp;ps_school=60102" TargetMode="External"/><Relationship Id="rId12566" Type="http://schemas.openxmlformats.org/officeDocument/2006/relationships/hyperlink" Target="https://statiz.sporki.com/player/?m=playerinfo&amp;p_no=14814" TargetMode="External"/><Relationship Id="rId13617" Type="http://schemas.openxmlformats.org/officeDocument/2006/relationships/hyperlink" Target="https://statiz.sporki.com/player/?m=playerinfo&amp;p_no=13240" TargetMode="External"/><Relationship Id="rId19179" Type="http://schemas.openxmlformats.org/officeDocument/2006/relationships/hyperlink" Target="https://statiz.sporki.com/add/?m=draft_school01&amp;ps_school=50702" TargetMode="External"/><Relationship Id="rId944" Type="http://schemas.openxmlformats.org/officeDocument/2006/relationships/hyperlink" Target="https://statiz.sporki.com/add/?m=draft_school01&amp;ps_school=50220" TargetMode="External"/><Relationship Id="rId1574" Type="http://schemas.openxmlformats.org/officeDocument/2006/relationships/hyperlink" Target="https://statiz.sporki.com/add/?m=draft_school01&amp;ps_school=50705" TargetMode="External"/><Relationship Id="rId2625" Type="http://schemas.openxmlformats.org/officeDocument/2006/relationships/hyperlink" Target="https://statiz.sporki.com/add/?m=draft_school02&amp;ps_school=" TargetMode="External"/><Relationship Id="rId9238" Type="http://schemas.openxmlformats.org/officeDocument/2006/relationships/hyperlink" Target="https://statiz.sporki.com/player/?m=playerinfo&amp;p_no=1897" TargetMode="External"/><Relationship Id="rId11168" Type="http://schemas.openxmlformats.org/officeDocument/2006/relationships/hyperlink" Target="https://statiz.sporki.com/add/?m=draft_school01&amp;ps_school=50501" TargetMode="External"/><Relationship Id="rId12219" Type="http://schemas.openxmlformats.org/officeDocument/2006/relationships/hyperlink" Target="https://statiz.sporki.com/player/?m=playerinfo&amp;p_no=15504" TargetMode="External"/><Relationship Id="rId15789" Type="http://schemas.openxmlformats.org/officeDocument/2006/relationships/hyperlink" Target="https://statiz.sporki.com/player/?m=playerinfo&amp;p_no=1419" TargetMode="External"/><Relationship Id="rId19660" Type="http://schemas.openxmlformats.org/officeDocument/2006/relationships/hyperlink" Target="https://statiz.sporki.com/add/?m=draft_school01&amp;ps_school=50402" TargetMode="External"/><Relationship Id="rId1227" Type="http://schemas.openxmlformats.org/officeDocument/2006/relationships/hyperlink" Target="https://statiz.sporki.com/add/?m=draft_school02&amp;ps_school=" TargetMode="External"/><Relationship Id="rId4797" Type="http://schemas.openxmlformats.org/officeDocument/2006/relationships/hyperlink" Target="https://statiz.sporki.com/add/?m=draft_school02&amp;ps_school=" TargetMode="External"/><Relationship Id="rId5848" Type="http://schemas.openxmlformats.org/officeDocument/2006/relationships/hyperlink" Target="https://statiz.sporki.com/player/?m=playerinfo&amp;p_no=10051" TargetMode="External"/><Relationship Id="rId18262" Type="http://schemas.openxmlformats.org/officeDocument/2006/relationships/hyperlink" Target="https://statiz.sporki.com/add/?m=draft_school01&amp;ps_school=50109" TargetMode="External"/><Relationship Id="rId19313" Type="http://schemas.openxmlformats.org/officeDocument/2006/relationships/hyperlink" Target="https://statiz.sporki.com/add/?m=draft_school01&amp;ps_school=50815" TargetMode="External"/><Relationship Id="rId3399" Type="http://schemas.openxmlformats.org/officeDocument/2006/relationships/hyperlink" Target="https://statiz.sporki.com/add/?m=draft_school02&amp;ps_school=60204" TargetMode="External"/><Relationship Id="rId7270" Type="http://schemas.openxmlformats.org/officeDocument/2006/relationships/hyperlink" Target="https://statiz.sporki.com/player/?m=playerinfo&amp;p_no=2270" TargetMode="External"/><Relationship Id="rId8321" Type="http://schemas.openxmlformats.org/officeDocument/2006/relationships/hyperlink" Target="https://statiz.sporki.com/add/?m=draft_school01&amp;ps_school=50209" TargetMode="External"/><Relationship Id="rId10251" Type="http://schemas.openxmlformats.org/officeDocument/2006/relationships/hyperlink" Target="https://statiz.sporki.com/add/?m=draft_school02&amp;ps_school=" TargetMode="External"/><Relationship Id="rId12700" Type="http://schemas.openxmlformats.org/officeDocument/2006/relationships/hyperlink" Target="https://statiz.sporki.com/player/?m=playerinfo&amp;p_no=14700" TargetMode="External"/><Relationship Id="rId11302" Type="http://schemas.openxmlformats.org/officeDocument/2006/relationships/hyperlink" Target="https://statiz.sporki.com/player/?m=playerinfo&amp;p_no=1265" TargetMode="External"/><Relationship Id="rId14872" Type="http://schemas.openxmlformats.org/officeDocument/2006/relationships/hyperlink" Target="https://statiz.sporki.com/player/?m=playerinfo&amp;p_no=10443" TargetMode="External"/><Relationship Id="rId15923" Type="http://schemas.openxmlformats.org/officeDocument/2006/relationships/hyperlink" Target="https://statiz.sporki.com/player/?m=playerinfo&amp;p_no=1276" TargetMode="External"/><Relationship Id="rId3880" Type="http://schemas.openxmlformats.org/officeDocument/2006/relationships/hyperlink" Target="https://statiz.sporki.com/player/?m=playerinfo&amp;p_no=11550" TargetMode="External"/><Relationship Id="rId4931" Type="http://schemas.openxmlformats.org/officeDocument/2006/relationships/hyperlink" Target="https://statiz.sporki.com/add/?m=draft_school01&amp;ps_school=50107" TargetMode="External"/><Relationship Id="rId9095" Type="http://schemas.openxmlformats.org/officeDocument/2006/relationships/hyperlink" Target="https://statiz.sporki.com/add/?m=draft_school01&amp;ps_school=50114" TargetMode="External"/><Relationship Id="rId13474" Type="http://schemas.openxmlformats.org/officeDocument/2006/relationships/hyperlink" Target="https://statiz.sporki.com/player/?m=playerinfo&amp;p_no=11483" TargetMode="External"/><Relationship Id="rId14525" Type="http://schemas.openxmlformats.org/officeDocument/2006/relationships/hyperlink" Target="https://statiz.sporki.com/player/?m=playerinfo&amp;p_no=10068" TargetMode="External"/><Relationship Id="rId1084" Type="http://schemas.openxmlformats.org/officeDocument/2006/relationships/hyperlink" Target="https://statiz.sporki.com/player/?m=playerinfo&amp;p_no=14764" TargetMode="External"/><Relationship Id="rId2482" Type="http://schemas.openxmlformats.org/officeDocument/2006/relationships/hyperlink" Target="https://statiz.sporki.com/player/?m=playerinfo&amp;p_no=13130" TargetMode="External"/><Relationship Id="rId3533" Type="http://schemas.openxmlformats.org/officeDocument/2006/relationships/hyperlink" Target="https://statiz.sporki.com/add/?m=draft_school01&amp;ps_school=" TargetMode="External"/><Relationship Id="rId12076" Type="http://schemas.openxmlformats.org/officeDocument/2006/relationships/hyperlink" Target="https://statiz.sporki.com/player/?m=playerinfo&amp;p_no=1091" TargetMode="External"/><Relationship Id="rId13127" Type="http://schemas.openxmlformats.org/officeDocument/2006/relationships/hyperlink" Target="https://statiz.sporki.com/player/?m=playerinfo&amp;p_no=12861" TargetMode="External"/><Relationship Id="rId16697" Type="http://schemas.openxmlformats.org/officeDocument/2006/relationships/hyperlink" Target="https://statiz.sporki.com/add/?m=draft_school01&amp;ps_school=50901" TargetMode="External"/><Relationship Id="rId17748" Type="http://schemas.openxmlformats.org/officeDocument/2006/relationships/hyperlink" Target="https://statiz.sporki.com/add/?m=draft_school01&amp;ps_school=50111" TargetMode="External"/><Relationship Id="rId107" Type="http://schemas.openxmlformats.org/officeDocument/2006/relationships/hyperlink" Target="https://statiz.sporki.com/add/?m=draft_school01&amp;ps_school=50103" TargetMode="External"/><Relationship Id="rId454" Type="http://schemas.openxmlformats.org/officeDocument/2006/relationships/hyperlink" Target="https://statiz.sporki.com/player/?m=playerinfo&amp;p_no=15626" TargetMode="External"/><Relationship Id="rId2135" Type="http://schemas.openxmlformats.org/officeDocument/2006/relationships/hyperlink" Target="https://statiz.sporki.com/add/?m=draft_school01&amp;ps_school=50803" TargetMode="External"/><Relationship Id="rId6756" Type="http://schemas.openxmlformats.org/officeDocument/2006/relationships/hyperlink" Target="https://statiz.sporki.com/add/?m=draft_school02&amp;ps_school=60704" TargetMode="External"/><Relationship Id="rId7807" Type="http://schemas.openxmlformats.org/officeDocument/2006/relationships/hyperlink" Target="https://statiz.sporki.com/player/?m=playerinfo&amp;p_no=10226" TargetMode="External"/><Relationship Id="rId15299" Type="http://schemas.openxmlformats.org/officeDocument/2006/relationships/hyperlink" Target="https://statiz.sporki.com/player/?m=playerinfo&amp;p_no=10109" TargetMode="External"/><Relationship Id="rId19170" Type="http://schemas.openxmlformats.org/officeDocument/2006/relationships/hyperlink" Target="https://statiz.sporki.com/add/?m=draft_school01&amp;ps_school=50121" TargetMode="External"/><Relationship Id="rId5358" Type="http://schemas.openxmlformats.org/officeDocument/2006/relationships/hyperlink" Target="https://statiz.sporki.com/add/?m=draft_school02&amp;ps_school=" TargetMode="External"/><Relationship Id="rId6409" Type="http://schemas.openxmlformats.org/officeDocument/2006/relationships/hyperlink" Target="https://statiz.sporki.com/player/?m=playerinfo&amp;p_no=10662" TargetMode="External"/><Relationship Id="rId9979" Type="http://schemas.openxmlformats.org/officeDocument/2006/relationships/hyperlink" Target="https://statiz.sporki.com/player/?m=playerinfo&amp;p_no=1744" TargetMode="External"/><Relationship Id="rId12210" Type="http://schemas.openxmlformats.org/officeDocument/2006/relationships/hyperlink" Target="https://statiz.sporki.com/player/?m=playerinfo&amp;p_no=15514" TargetMode="External"/><Relationship Id="rId1968" Type="http://schemas.openxmlformats.org/officeDocument/2006/relationships/hyperlink" Target="https://statiz.sporki.com/add/?m=draft_school02&amp;ps_school=60501" TargetMode="External"/><Relationship Id="rId14382" Type="http://schemas.openxmlformats.org/officeDocument/2006/relationships/hyperlink" Target="https://statiz.sporki.com/player/?m=playerinfo&amp;p_no=10602" TargetMode="External"/><Relationship Id="rId15780" Type="http://schemas.openxmlformats.org/officeDocument/2006/relationships/hyperlink" Target="https://statiz.sporki.com/player/?m=playerinfo&amp;p_no=1375" TargetMode="External"/><Relationship Id="rId16831" Type="http://schemas.openxmlformats.org/officeDocument/2006/relationships/hyperlink" Target="https://statiz.sporki.com/add/?m=draft_school01&amp;ps_school=50101" TargetMode="External"/><Relationship Id="rId3390" Type="http://schemas.openxmlformats.org/officeDocument/2006/relationships/hyperlink" Target="https://statiz.sporki.com/add/?m=draft_school02&amp;ps_school=" TargetMode="External"/><Relationship Id="rId4441" Type="http://schemas.openxmlformats.org/officeDocument/2006/relationships/hyperlink" Target="https://statiz.sporki.com/player/?m=playerinfo&amp;p_no=11098" TargetMode="External"/><Relationship Id="rId14035" Type="http://schemas.openxmlformats.org/officeDocument/2006/relationships/hyperlink" Target="https://statiz.sporki.com/player/?m=playerinfo&amp;p_no=2432" TargetMode="External"/><Relationship Id="rId15433" Type="http://schemas.openxmlformats.org/officeDocument/2006/relationships/hyperlink" Target="https://statiz.sporki.com/player/?m=playerinfo&amp;p_no=1712" TargetMode="External"/><Relationship Id="rId3043" Type="http://schemas.openxmlformats.org/officeDocument/2006/relationships/hyperlink" Target="https://statiz.sporki.com/player/?m=playerinfo&amp;p_no=12883" TargetMode="External"/><Relationship Id="rId10992" Type="http://schemas.openxmlformats.org/officeDocument/2006/relationships/hyperlink" Target="https://statiz.sporki.com/add/?m=draft_school02&amp;ps_school=60113" TargetMode="External"/><Relationship Id="rId18656" Type="http://schemas.openxmlformats.org/officeDocument/2006/relationships/hyperlink" Target="https://statiz.sporki.com/add/?m=draft_school01&amp;ps_school=50804" TargetMode="External"/><Relationship Id="rId6266" Type="http://schemas.openxmlformats.org/officeDocument/2006/relationships/hyperlink" Target="https://statiz.sporki.com/add/?m=draft_school01&amp;ps_school=50210" TargetMode="External"/><Relationship Id="rId7664" Type="http://schemas.openxmlformats.org/officeDocument/2006/relationships/hyperlink" Target="https://statiz.sporki.com/add/?m=draft_school01&amp;ps_school=50202" TargetMode="External"/><Relationship Id="rId8715" Type="http://schemas.openxmlformats.org/officeDocument/2006/relationships/hyperlink" Target="https://statiz.sporki.com/add/?m=draft_school02&amp;ps_school=60501" TargetMode="External"/><Relationship Id="rId10645" Type="http://schemas.openxmlformats.org/officeDocument/2006/relationships/hyperlink" Target="https://statiz.sporki.com/player/?m=playerinfo&amp;p_no=1452" TargetMode="External"/><Relationship Id="rId17258" Type="http://schemas.openxmlformats.org/officeDocument/2006/relationships/hyperlink" Target="https://statiz.sporki.com/add/?m=draft_school01&amp;ps_school=50807" TargetMode="External"/><Relationship Id="rId18309" Type="http://schemas.openxmlformats.org/officeDocument/2006/relationships/hyperlink" Target="https://statiz.sporki.com/add/?m=draft_school01&amp;ps_school=50102" TargetMode="External"/><Relationship Id="rId7317" Type="http://schemas.openxmlformats.org/officeDocument/2006/relationships/hyperlink" Target="https://statiz.sporki.com/add/?m=draft_school02&amp;ps_school=" TargetMode="External"/><Relationship Id="rId13868" Type="http://schemas.openxmlformats.org/officeDocument/2006/relationships/hyperlink" Target="https://statiz.sporki.com/player/?m=playerinfo&amp;p_no=11309" TargetMode="External"/><Relationship Id="rId14919" Type="http://schemas.openxmlformats.org/officeDocument/2006/relationships/hyperlink" Target="https://statiz.sporki.com/player/?m=playerinfo&amp;p_no=10642" TargetMode="External"/><Relationship Id="rId2876" Type="http://schemas.openxmlformats.org/officeDocument/2006/relationships/hyperlink" Target="https://statiz.sporki.com/add/?m=draft_school01&amp;ps_school=50209" TargetMode="External"/><Relationship Id="rId3927" Type="http://schemas.openxmlformats.org/officeDocument/2006/relationships/hyperlink" Target="https://statiz.sporki.com/add/?m=draft_school02&amp;ps_school=" TargetMode="External"/><Relationship Id="rId9489" Type="http://schemas.openxmlformats.org/officeDocument/2006/relationships/hyperlink" Target="https://statiz.sporki.com/add/?m=draft_school02&amp;ps_school=" TargetMode="External"/><Relationship Id="rId15290" Type="http://schemas.openxmlformats.org/officeDocument/2006/relationships/hyperlink" Target="https://statiz.sporki.com/player/?m=playerinfo&amp;p_no=1788" TargetMode="External"/><Relationship Id="rId16341" Type="http://schemas.openxmlformats.org/officeDocument/2006/relationships/hyperlink" Target="https://statiz.sporki.com/add/?m=draft_school01&amp;ps_school=50403" TargetMode="External"/><Relationship Id="rId848" Type="http://schemas.openxmlformats.org/officeDocument/2006/relationships/hyperlink" Target="https://statiz.sporki.com/add/?m=draft_school01&amp;ps_school=51128" TargetMode="External"/><Relationship Id="rId1478" Type="http://schemas.openxmlformats.org/officeDocument/2006/relationships/hyperlink" Target="https://statiz.sporki.com/add/?m=draft_school01&amp;ps_school=50216" TargetMode="External"/><Relationship Id="rId2529" Type="http://schemas.openxmlformats.org/officeDocument/2006/relationships/hyperlink" Target="https://statiz.sporki.com/add/?m=draft_school02&amp;ps_school=" TargetMode="External"/><Relationship Id="rId6400" Type="http://schemas.openxmlformats.org/officeDocument/2006/relationships/hyperlink" Target="https://statiz.sporki.com/player/?m=playerinfo&amp;p_no=10888" TargetMode="External"/><Relationship Id="rId9970" Type="http://schemas.openxmlformats.org/officeDocument/2006/relationships/hyperlink" Target="https://statiz.sporki.com/player/?m=playerinfo&amp;p_no=1688" TargetMode="External"/><Relationship Id="rId5002" Type="http://schemas.openxmlformats.org/officeDocument/2006/relationships/hyperlink" Target="https://statiz.sporki.com/player/?m=playerinfo&amp;p_no=10915" TargetMode="External"/><Relationship Id="rId8572" Type="http://schemas.openxmlformats.org/officeDocument/2006/relationships/hyperlink" Target="https://statiz.sporki.com/player/?m=playerinfo&amp;p_no=10617" TargetMode="External"/><Relationship Id="rId9623" Type="http://schemas.openxmlformats.org/officeDocument/2006/relationships/hyperlink" Target="https://statiz.sporki.com/add/?m=draft_school01&amp;ps_school=50126" TargetMode="External"/><Relationship Id="rId12951" Type="http://schemas.openxmlformats.org/officeDocument/2006/relationships/hyperlink" Target="https://statiz.sporki.com/player/?m=playerinfo&amp;p_no=13073" TargetMode="External"/><Relationship Id="rId18166" Type="http://schemas.openxmlformats.org/officeDocument/2006/relationships/hyperlink" Target="https://statiz.sporki.com/add/?m=draft_school01&amp;ps_school=50403" TargetMode="External"/><Relationship Id="rId19217" Type="http://schemas.openxmlformats.org/officeDocument/2006/relationships/hyperlink" Target="https://statiz.sporki.com/add/?m=draft_school01&amp;ps_school=50127" TargetMode="External"/><Relationship Id="rId19564" Type="http://schemas.openxmlformats.org/officeDocument/2006/relationships/hyperlink" Target="https://statiz.sporki.com/add/?m=draft_school01&amp;ps_school=50109" TargetMode="External"/><Relationship Id="rId7174" Type="http://schemas.openxmlformats.org/officeDocument/2006/relationships/hyperlink" Target="https://statiz.sporki.com/player/?m=playerinfo&amp;p_no=10354" TargetMode="External"/><Relationship Id="rId8225" Type="http://schemas.openxmlformats.org/officeDocument/2006/relationships/hyperlink" Target="https://statiz.sporki.com/add/?m=draft_school01&amp;ps_school=50402" TargetMode="External"/><Relationship Id="rId11553" Type="http://schemas.openxmlformats.org/officeDocument/2006/relationships/hyperlink" Target="https://statiz.sporki.com/add/?m=draft_school02&amp;ps_school=" TargetMode="External"/><Relationship Id="rId12604" Type="http://schemas.openxmlformats.org/officeDocument/2006/relationships/hyperlink" Target="https://statiz.sporki.com/player/?m=playerinfo&amp;p_no=14589" TargetMode="External"/><Relationship Id="rId1612" Type="http://schemas.openxmlformats.org/officeDocument/2006/relationships/hyperlink" Target="https://statiz.sporki.com/player/?m=playerinfo&amp;p_no=14698" TargetMode="External"/><Relationship Id="rId10155" Type="http://schemas.openxmlformats.org/officeDocument/2006/relationships/hyperlink" Target="https://statiz.sporki.com/add/?m=draft_school02&amp;ps_school=" TargetMode="External"/><Relationship Id="rId11206" Type="http://schemas.openxmlformats.org/officeDocument/2006/relationships/hyperlink" Target="https://statiz.sporki.com/player/?m=playerinfo&amp;p_no=1302" TargetMode="External"/><Relationship Id="rId14776" Type="http://schemas.openxmlformats.org/officeDocument/2006/relationships/hyperlink" Target="https://statiz.sporki.com/player/?m=playerinfo&amp;p_no=10428" TargetMode="External"/><Relationship Id="rId15827" Type="http://schemas.openxmlformats.org/officeDocument/2006/relationships/hyperlink" Target="https://statiz.sporki.com/player/?m=playerinfo&amp;p_no=1348" TargetMode="External"/><Relationship Id="rId3784" Type="http://schemas.openxmlformats.org/officeDocument/2006/relationships/hyperlink" Target="https://statiz.sporki.com/player/?m=playerinfo&amp;p_no=11390" TargetMode="External"/><Relationship Id="rId4835" Type="http://schemas.openxmlformats.org/officeDocument/2006/relationships/hyperlink" Target="https://statiz.sporki.com/add/?m=draft_school01&amp;ps_school=50705" TargetMode="External"/><Relationship Id="rId13378" Type="http://schemas.openxmlformats.org/officeDocument/2006/relationships/hyperlink" Target="https://statiz.sporki.com/player/?m=playerinfo&amp;p_no=11302" TargetMode="External"/><Relationship Id="rId14429" Type="http://schemas.openxmlformats.org/officeDocument/2006/relationships/hyperlink" Target="https://statiz.sporki.com/player/?m=playerinfo&amp;p_no=2356" TargetMode="External"/><Relationship Id="rId17999" Type="http://schemas.openxmlformats.org/officeDocument/2006/relationships/hyperlink" Target="https://statiz.sporki.com/add/?m=draft_school01&amp;ps_school=50802" TargetMode="External"/><Relationship Id="rId18300" Type="http://schemas.openxmlformats.org/officeDocument/2006/relationships/hyperlink" Target="https://statiz.sporki.com/add/?m=draft_school01&amp;ps_school=50109" TargetMode="External"/><Relationship Id="rId2386" Type="http://schemas.openxmlformats.org/officeDocument/2006/relationships/hyperlink" Target="https://statiz.sporki.com/player/?m=playerinfo&amp;p_no=13105" TargetMode="External"/><Relationship Id="rId3437" Type="http://schemas.openxmlformats.org/officeDocument/2006/relationships/hyperlink" Target="https://statiz.sporki.com/add/?m=draft_school01&amp;ps_school=50107" TargetMode="External"/><Relationship Id="rId358" Type="http://schemas.openxmlformats.org/officeDocument/2006/relationships/hyperlink" Target="https://statiz.sporki.com/player/?m=playerinfo&amp;p_no=15530" TargetMode="External"/><Relationship Id="rId2039" Type="http://schemas.openxmlformats.org/officeDocument/2006/relationships/hyperlink" Target="https://statiz.sporki.com/add/?m=draft_school01&amp;ps_school=50701" TargetMode="External"/><Relationship Id="rId9480" Type="http://schemas.openxmlformats.org/officeDocument/2006/relationships/hyperlink" Target="https://statiz.sporki.com/add/?m=draft_school02&amp;ps_school=" TargetMode="External"/><Relationship Id="rId12461" Type="http://schemas.openxmlformats.org/officeDocument/2006/relationships/hyperlink" Target="https://statiz.sporki.com/player/?m=playerinfo&amp;p_no=14788" TargetMode="External"/><Relationship Id="rId14910" Type="http://schemas.openxmlformats.org/officeDocument/2006/relationships/hyperlink" Target="https://statiz.sporki.com/player/?m=playerinfo&amp;p_no=2027" TargetMode="External"/><Relationship Id="rId19074" Type="http://schemas.openxmlformats.org/officeDocument/2006/relationships/hyperlink" Target="https://statiz.sporki.com/add/?m=draft_school01&amp;ps_school=50501" TargetMode="External"/><Relationship Id="rId2520" Type="http://schemas.openxmlformats.org/officeDocument/2006/relationships/hyperlink" Target="https://statiz.sporki.com/add/?m=draft_school02&amp;ps_school=60204" TargetMode="External"/><Relationship Id="rId8082" Type="http://schemas.openxmlformats.org/officeDocument/2006/relationships/hyperlink" Target="https://statiz.sporki.com/add/?m=draft_school02&amp;ps_school=" TargetMode="External"/><Relationship Id="rId9133" Type="http://schemas.openxmlformats.org/officeDocument/2006/relationships/hyperlink" Target="https://statiz.sporki.com/player/?m=playerinfo&amp;p_no=1868" TargetMode="External"/><Relationship Id="rId11063" Type="http://schemas.openxmlformats.org/officeDocument/2006/relationships/hyperlink" Target="https://statiz.sporki.com/add/?m=draft_school01&amp;ps_school=50403" TargetMode="External"/><Relationship Id="rId12114" Type="http://schemas.openxmlformats.org/officeDocument/2006/relationships/hyperlink" Target="https://statiz.sporki.com/add/?m=draft_school02&amp;ps_school=60111" TargetMode="External"/><Relationship Id="rId13512" Type="http://schemas.openxmlformats.org/officeDocument/2006/relationships/hyperlink" Target="https://statiz.sporki.com/player/?m=playerinfo&amp;p_no=11198" TargetMode="External"/><Relationship Id="rId1122" Type="http://schemas.openxmlformats.org/officeDocument/2006/relationships/hyperlink" Target="https://statiz.sporki.com/add/?m=draft_school02&amp;ps_school=" TargetMode="External"/><Relationship Id="rId15684" Type="http://schemas.openxmlformats.org/officeDocument/2006/relationships/hyperlink" Target="https://statiz.sporki.com/player/?m=playerinfo&amp;p_no=1450" TargetMode="External"/><Relationship Id="rId16735" Type="http://schemas.openxmlformats.org/officeDocument/2006/relationships/hyperlink" Target="https://statiz.sporki.com/add/?m=draft_school01&amp;ps_school=50206" TargetMode="External"/><Relationship Id="rId3294" Type="http://schemas.openxmlformats.org/officeDocument/2006/relationships/hyperlink" Target="https://statiz.sporki.com/add/?m=draft_school02&amp;ps_school=60204" TargetMode="External"/><Relationship Id="rId4345" Type="http://schemas.openxmlformats.org/officeDocument/2006/relationships/hyperlink" Target="https://statiz.sporki.com/player/?m=playerinfo&amp;p_no=11237" TargetMode="External"/><Relationship Id="rId4692" Type="http://schemas.openxmlformats.org/officeDocument/2006/relationships/hyperlink" Target="https://statiz.sporki.com/add/?m=draft_school02&amp;ps_school=" TargetMode="External"/><Relationship Id="rId5743" Type="http://schemas.openxmlformats.org/officeDocument/2006/relationships/hyperlink" Target="https://statiz.sporki.com/player/?m=playerinfo&amp;p_no=10208" TargetMode="External"/><Relationship Id="rId14286" Type="http://schemas.openxmlformats.org/officeDocument/2006/relationships/hyperlink" Target="https://statiz.sporki.com/player/?m=playerinfo&amp;p_no=10843" TargetMode="External"/><Relationship Id="rId15337" Type="http://schemas.openxmlformats.org/officeDocument/2006/relationships/hyperlink" Target="https://statiz.sporki.com/player/?m=playerinfo&amp;p_no=1775" TargetMode="External"/><Relationship Id="rId8966" Type="http://schemas.openxmlformats.org/officeDocument/2006/relationships/hyperlink" Target="https://statiz.sporki.com/add/?m=draft_school01&amp;ps_school=50402" TargetMode="External"/><Relationship Id="rId10896" Type="http://schemas.openxmlformats.org/officeDocument/2006/relationships/hyperlink" Target="https://statiz.sporki.com/add/?m=draft_school02&amp;ps_school=60103" TargetMode="External"/><Relationship Id="rId11947" Type="http://schemas.openxmlformats.org/officeDocument/2006/relationships/hyperlink" Target="https://statiz.sporki.com/player/?m=playerinfo&amp;p_no=1093" TargetMode="External"/><Relationship Id="rId7568" Type="http://schemas.openxmlformats.org/officeDocument/2006/relationships/hyperlink" Target="https://statiz.sporki.com/add/?m=draft_school01&amp;ps_school=50403" TargetMode="External"/><Relationship Id="rId8619" Type="http://schemas.openxmlformats.org/officeDocument/2006/relationships/hyperlink" Target="https://statiz.sporki.com/add/?m=draft_school02&amp;ps_school=60113" TargetMode="External"/><Relationship Id="rId10549" Type="http://schemas.openxmlformats.org/officeDocument/2006/relationships/hyperlink" Target="https://statiz.sporki.com/player/?m=playerinfo&amp;p_no=1471" TargetMode="External"/><Relationship Id="rId14420" Type="http://schemas.openxmlformats.org/officeDocument/2006/relationships/hyperlink" Target="https://statiz.sporki.com/player/?m=playerinfo&amp;p_no=2349" TargetMode="External"/><Relationship Id="rId13022" Type="http://schemas.openxmlformats.org/officeDocument/2006/relationships/hyperlink" Target="https://statiz.sporki.com/player/?m=playerinfo&amp;p_no=13058" TargetMode="External"/><Relationship Id="rId16592" Type="http://schemas.openxmlformats.org/officeDocument/2006/relationships/hyperlink" Target="https://statiz.sporki.com/add/?m=draft_school01&amp;ps_school=50106" TargetMode="External"/><Relationship Id="rId17990" Type="http://schemas.openxmlformats.org/officeDocument/2006/relationships/hyperlink" Target="https://statiz.sporki.com/add/?m=draft_school01&amp;ps_school=50602" TargetMode="External"/><Relationship Id="rId2030" Type="http://schemas.openxmlformats.org/officeDocument/2006/relationships/hyperlink" Target="https://statiz.sporki.com/add/?m=draft_school01&amp;ps_school=50701" TargetMode="External"/><Relationship Id="rId6651" Type="http://schemas.openxmlformats.org/officeDocument/2006/relationships/hyperlink" Target="https://statiz.sporki.com/add/?m=draft_school02&amp;ps_school=" TargetMode="External"/><Relationship Id="rId7702" Type="http://schemas.openxmlformats.org/officeDocument/2006/relationships/hyperlink" Target="https://statiz.sporki.com/player/?m=playerinfo&amp;p_no=2196" TargetMode="External"/><Relationship Id="rId15194" Type="http://schemas.openxmlformats.org/officeDocument/2006/relationships/hyperlink" Target="https://statiz.sporki.com/player/?m=playerinfo&amp;p_no=1881" TargetMode="External"/><Relationship Id="rId16245" Type="http://schemas.openxmlformats.org/officeDocument/2006/relationships/hyperlink" Target="https://statiz.sporki.com/add/?m=draft_school01&amp;ps_school=50215" TargetMode="External"/><Relationship Id="rId17643" Type="http://schemas.openxmlformats.org/officeDocument/2006/relationships/hyperlink" Target="https://statiz.sporki.com/add/?m=draft_school01&amp;ps_school=50805" TargetMode="External"/><Relationship Id="rId5253" Type="http://schemas.openxmlformats.org/officeDocument/2006/relationships/hyperlink" Target="https://statiz.sporki.com/add/?m=draft_school02&amp;ps_school=60103" TargetMode="External"/><Relationship Id="rId6304" Type="http://schemas.openxmlformats.org/officeDocument/2006/relationships/hyperlink" Target="https://statiz.sporki.com/player/?m=playerinfo&amp;p_no=10831" TargetMode="External"/><Relationship Id="rId8476" Type="http://schemas.openxmlformats.org/officeDocument/2006/relationships/hyperlink" Target="https://statiz.sporki.com/player/?m=playerinfo&amp;p_no=2050" TargetMode="External"/><Relationship Id="rId9874" Type="http://schemas.openxmlformats.org/officeDocument/2006/relationships/hyperlink" Target="https://statiz.sporki.com/player/?m=playerinfo&amp;p_no=1712" TargetMode="External"/><Relationship Id="rId12855" Type="http://schemas.openxmlformats.org/officeDocument/2006/relationships/hyperlink" Target="https://statiz.sporki.com/player/?m=playerinfo&amp;p_no=14204" TargetMode="External"/><Relationship Id="rId13906" Type="http://schemas.openxmlformats.org/officeDocument/2006/relationships/hyperlink" Target="https://statiz.sporki.com/player/?m=playerinfo&amp;p_no=10773" TargetMode="External"/><Relationship Id="rId19468" Type="http://schemas.openxmlformats.org/officeDocument/2006/relationships/hyperlink" Target="https://statiz.sporki.com/add/?m=draft_school01&amp;ps_school=50301" TargetMode="External"/><Relationship Id="rId88" Type="http://schemas.openxmlformats.org/officeDocument/2006/relationships/hyperlink" Target="https://statiz.sporki.com/player/?m=playerinfo&amp;p_no=15520" TargetMode="External"/><Relationship Id="rId1863" Type="http://schemas.openxmlformats.org/officeDocument/2006/relationships/hyperlink" Target="https://statiz.sporki.com/add/?m=draft_school02&amp;ps_school=" TargetMode="External"/><Relationship Id="rId2914" Type="http://schemas.openxmlformats.org/officeDocument/2006/relationships/hyperlink" Target="https://statiz.sporki.com/player/?m=playerinfo&amp;p_no=12884" TargetMode="External"/><Relationship Id="rId7078" Type="http://schemas.openxmlformats.org/officeDocument/2006/relationships/hyperlink" Target="https://statiz.sporki.com/player/?m=playerinfo&amp;p_no=2314" TargetMode="External"/><Relationship Id="rId8129" Type="http://schemas.openxmlformats.org/officeDocument/2006/relationships/hyperlink" Target="https://statiz.sporki.com/add/?m=draft_school01&amp;ps_school=50608" TargetMode="External"/><Relationship Id="rId9527" Type="http://schemas.openxmlformats.org/officeDocument/2006/relationships/hyperlink" Target="https://statiz.sporki.com/add/?m=draft_school01&amp;ps_school=50609" TargetMode="External"/><Relationship Id="rId11457" Type="http://schemas.openxmlformats.org/officeDocument/2006/relationships/hyperlink" Target="https://statiz.sporki.com/add/?m=draft_school02&amp;ps_school=60101" TargetMode="External"/><Relationship Id="rId12508" Type="http://schemas.openxmlformats.org/officeDocument/2006/relationships/hyperlink" Target="https://statiz.sporki.com/player/?m=playerinfo&amp;p_no=14855" TargetMode="External"/><Relationship Id="rId1516" Type="http://schemas.openxmlformats.org/officeDocument/2006/relationships/hyperlink" Target="https://statiz.sporki.com/player/?m=playerinfo&amp;p_no=14732" TargetMode="External"/><Relationship Id="rId10059" Type="http://schemas.openxmlformats.org/officeDocument/2006/relationships/hyperlink" Target="https://statiz.sporki.com/add/?m=draft_school02&amp;ps_school=60103" TargetMode="External"/><Relationship Id="rId18551" Type="http://schemas.openxmlformats.org/officeDocument/2006/relationships/hyperlink" Target="https://statiz.sporki.com/add/?m=draft_school01&amp;ps_school=50401" TargetMode="External"/><Relationship Id="rId19602" Type="http://schemas.openxmlformats.org/officeDocument/2006/relationships/hyperlink" Target="https://statiz.sporki.com/add/?m=draft_school01&amp;ps_school=50802" TargetMode="External"/><Relationship Id="rId3688" Type="http://schemas.openxmlformats.org/officeDocument/2006/relationships/hyperlink" Target="https://statiz.sporki.com/player/?m=playerinfo&amp;p_no=11355" TargetMode="External"/><Relationship Id="rId4739" Type="http://schemas.openxmlformats.org/officeDocument/2006/relationships/hyperlink" Target="https://statiz.sporki.com/add/?m=draft_school01&amp;ps_school=50804" TargetMode="External"/><Relationship Id="rId8610" Type="http://schemas.openxmlformats.org/officeDocument/2006/relationships/hyperlink" Target="https://statiz.sporki.com/add/?m=draft_school02&amp;ps_school=60803" TargetMode="External"/><Relationship Id="rId10540" Type="http://schemas.openxmlformats.org/officeDocument/2006/relationships/hyperlink" Target="https://statiz.sporki.com/player/?m=playerinfo&amp;p_no=1457" TargetMode="External"/><Relationship Id="rId17153" Type="http://schemas.openxmlformats.org/officeDocument/2006/relationships/hyperlink" Target="https://statiz.sporki.com/add/?m=draft_school01&amp;ps_school=50403" TargetMode="External"/><Relationship Id="rId18204" Type="http://schemas.openxmlformats.org/officeDocument/2006/relationships/hyperlink" Target="https://statiz.sporki.com/add/?m=draft_school01&amp;ps_school=50203" TargetMode="External"/><Relationship Id="rId6161" Type="http://schemas.openxmlformats.org/officeDocument/2006/relationships/hyperlink" Target="https://statiz.sporki.com/add/?m=draft_school01&amp;ps_school=50111" TargetMode="External"/><Relationship Id="rId7212" Type="http://schemas.openxmlformats.org/officeDocument/2006/relationships/hyperlink" Target="https://statiz.sporki.com/add/?m=draft_school02&amp;ps_school=60113" TargetMode="External"/><Relationship Id="rId9384" Type="http://schemas.openxmlformats.org/officeDocument/2006/relationships/hyperlink" Target="https://statiz.sporki.com/add/?m=draft_school02&amp;ps_school=60803" TargetMode="External"/><Relationship Id="rId13763" Type="http://schemas.openxmlformats.org/officeDocument/2006/relationships/hyperlink" Target="https://statiz.sporki.com/player/?m=playerinfo&amp;p_no=10916" TargetMode="External"/><Relationship Id="rId14814" Type="http://schemas.openxmlformats.org/officeDocument/2006/relationships/hyperlink" Target="https://statiz.sporki.com/player/?m=playerinfo&amp;p_no=2139" TargetMode="External"/><Relationship Id="rId1373" Type="http://schemas.openxmlformats.org/officeDocument/2006/relationships/hyperlink" Target="https://statiz.sporki.com/add/?m=draft_school01&amp;ps_school=50202" TargetMode="External"/><Relationship Id="rId2771" Type="http://schemas.openxmlformats.org/officeDocument/2006/relationships/hyperlink" Target="https://statiz.sporki.com/add/?m=draft_school01&amp;ps_school=50802" TargetMode="External"/><Relationship Id="rId3822" Type="http://schemas.openxmlformats.org/officeDocument/2006/relationships/hyperlink" Target="https://statiz.sporki.com/add/?m=draft_school02&amp;ps_school=" TargetMode="External"/><Relationship Id="rId9037" Type="http://schemas.openxmlformats.org/officeDocument/2006/relationships/hyperlink" Target="https://statiz.sporki.com/player/?m=playerinfo&amp;p_no=1943" TargetMode="External"/><Relationship Id="rId12365" Type="http://schemas.openxmlformats.org/officeDocument/2006/relationships/hyperlink" Target="https://statiz.sporki.com/player/?m=playerinfo&amp;p_no=15105" TargetMode="External"/><Relationship Id="rId13416" Type="http://schemas.openxmlformats.org/officeDocument/2006/relationships/hyperlink" Target="https://statiz.sporki.com/player/?m=playerinfo&amp;p_no=13245" TargetMode="External"/><Relationship Id="rId16986" Type="http://schemas.openxmlformats.org/officeDocument/2006/relationships/hyperlink" Target="https://statiz.sporki.com/add/?m=draft_school01&amp;ps_school=50805" TargetMode="External"/><Relationship Id="rId743" Type="http://schemas.openxmlformats.org/officeDocument/2006/relationships/hyperlink" Target="https://statiz.sporki.com/add/?m=draft_school01&amp;ps_school=50217" TargetMode="External"/><Relationship Id="rId1026" Type="http://schemas.openxmlformats.org/officeDocument/2006/relationships/hyperlink" Target="https://statiz.sporki.com/add/?m=draft_school02&amp;ps_school=" TargetMode="External"/><Relationship Id="rId2424" Type="http://schemas.openxmlformats.org/officeDocument/2006/relationships/hyperlink" Target="https://statiz.sporki.com/add/?m=draft_school02&amp;ps_school=" TargetMode="External"/><Relationship Id="rId5994" Type="http://schemas.openxmlformats.org/officeDocument/2006/relationships/hyperlink" Target="https://statiz.sporki.com/add/?m=draft_school02&amp;ps_school=61001" TargetMode="External"/><Relationship Id="rId12018" Type="http://schemas.openxmlformats.org/officeDocument/2006/relationships/hyperlink" Target="https://statiz.sporki.com/add/?m=draft_school02&amp;ps_school=" TargetMode="External"/><Relationship Id="rId15588" Type="http://schemas.openxmlformats.org/officeDocument/2006/relationships/hyperlink" Target="https://statiz.sporki.com/player/?m=playerinfo&amp;p_no=1573" TargetMode="External"/><Relationship Id="rId16639" Type="http://schemas.openxmlformats.org/officeDocument/2006/relationships/hyperlink" Target="https://statiz.sporki.com/add/?m=draft_school01&amp;ps_school=50602" TargetMode="External"/><Relationship Id="rId4596" Type="http://schemas.openxmlformats.org/officeDocument/2006/relationships/hyperlink" Target="https://statiz.sporki.com/add/?m=draft_school02&amp;ps_school=" TargetMode="External"/><Relationship Id="rId5647" Type="http://schemas.openxmlformats.org/officeDocument/2006/relationships/hyperlink" Target="https://statiz.sporki.com/player/?m=playerinfo&amp;p_no=10405" TargetMode="External"/><Relationship Id="rId18061" Type="http://schemas.openxmlformats.org/officeDocument/2006/relationships/hyperlink" Target="https://statiz.sporki.com/add/?m=draft_school01&amp;ps_school=50501" TargetMode="External"/><Relationship Id="rId19112" Type="http://schemas.openxmlformats.org/officeDocument/2006/relationships/hyperlink" Target="https://statiz.sporki.com/add/?m=draft_school01&amp;ps_school=50609" TargetMode="External"/><Relationship Id="rId3198" Type="http://schemas.openxmlformats.org/officeDocument/2006/relationships/hyperlink" Target="https://statiz.sporki.com/add/?m=draft_school02&amp;ps_school=60101" TargetMode="External"/><Relationship Id="rId4249" Type="http://schemas.openxmlformats.org/officeDocument/2006/relationships/hyperlink" Target="https://statiz.sporki.com/player/?m=playerinfo&amp;p_no=11424" TargetMode="External"/><Relationship Id="rId8120" Type="http://schemas.openxmlformats.org/officeDocument/2006/relationships/hyperlink" Target="https://statiz.sporki.com/add/?m=draft_school01&amp;ps_school=50104" TargetMode="External"/><Relationship Id="rId10050" Type="http://schemas.openxmlformats.org/officeDocument/2006/relationships/hyperlink" Target="https://statiz.sporki.com/add/?m=draft_school02&amp;ps_school=60703" TargetMode="External"/><Relationship Id="rId11101" Type="http://schemas.openxmlformats.org/officeDocument/2006/relationships/hyperlink" Target="https://statiz.sporki.com/player/?m=playerinfo&amp;p_no=1306" TargetMode="External"/><Relationship Id="rId14671" Type="http://schemas.openxmlformats.org/officeDocument/2006/relationships/hyperlink" Target="https://statiz.sporki.com/player/?m=playerinfo&amp;p_no=10088" TargetMode="External"/><Relationship Id="rId4730" Type="http://schemas.openxmlformats.org/officeDocument/2006/relationships/hyperlink" Target="https://statiz.sporki.com/add/?m=draft_school01&amp;ps_school=50301" TargetMode="External"/><Relationship Id="rId13273" Type="http://schemas.openxmlformats.org/officeDocument/2006/relationships/hyperlink" Target="https://statiz.sporki.com/player/?m=playerinfo&amp;p_no=12555" TargetMode="External"/><Relationship Id="rId14324" Type="http://schemas.openxmlformats.org/officeDocument/2006/relationships/hyperlink" Target="https://statiz.sporki.com/player/?m=playerinfo&amp;p_no=10188" TargetMode="External"/><Relationship Id="rId15722" Type="http://schemas.openxmlformats.org/officeDocument/2006/relationships/hyperlink" Target="https://statiz.sporki.com/player/?m=playerinfo&amp;p_no=1479" TargetMode="External"/><Relationship Id="rId2281" Type="http://schemas.openxmlformats.org/officeDocument/2006/relationships/hyperlink" Target="https://statiz.sporki.com/player/?m=playerinfo&amp;p_no=14215" TargetMode="External"/><Relationship Id="rId3332" Type="http://schemas.openxmlformats.org/officeDocument/2006/relationships/hyperlink" Target="https://statiz.sporki.com/add/?m=draft_school01&amp;ps_school=50109" TargetMode="External"/><Relationship Id="rId17894" Type="http://schemas.openxmlformats.org/officeDocument/2006/relationships/hyperlink" Target="https://statiz.sporki.com/add/?m=draft_school01&amp;ps_school=50102" TargetMode="External"/><Relationship Id="rId18945" Type="http://schemas.openxmlformats.org/officeDocument/2006/relationships/hyperlink" Target="https://statiz.sporki.com/add/?m=draft_school01&amp;ps_school=50209" TargetMode="External"/><Relationship Id="rId253" Type="http://schemas.openxmlformats.org/officeDocument/2006/relationships/hyperlink" Target="https://statiz.sporki.com/player/?m=playerinfo&amp;p_no=15469" TargetMode="External"/><Relationship Id="rId6555" Type="http://schemas.openxmlformats.org/officeDocument/2006/relationships/hyperlink" Target="https://statiz.sporki.com/add/?m=draft_school02&amp;ps_school=" TargetMode="External"/><Relationship Id="rId7953" Type="http://schemas.openxmlformats.org/officeDocument/2006/relationships/hyperlink" Target="https://statiz.sporki.com/add/?m=draft_school02&amp;ps_school=60104" TargetMode="External"/><Relationship Id="rId10934" Type="http://schemas.openxmlformats.org/officeDocument/2006/relationships/hyperlink" Target="https://statiz.sporki.com/add/?m=draft_school01&amp;ps_school=50116" TargetMode="External"/><Relationship Id="rId15098" Type="http://schemas.openxmlformats.org/officeDocument/2006/relationships/hyperlink" Target="https://statiz.sporki.com/player/?m=playerinfo&amp;p_no=1948" TargetMode="External"/><Relationship Id="rId16496" Type="http://schemas.openxmlformats.org/officeDocument/2006/relationships/hyperlink" Target="https://statiz.sporki.com/add/?m=draft_school01&amp;ps_school=50107" TargetMode="External"/><Relationship Id="rId17547" Type="http://schemas.openxmlformats.org/officeDocument/2006/relationships/hyperlink" Target="https://statiz.sporki.com/add/?m=draft_school01&amp;ps_school=50101" TargetMode="External"/><Relationship Id="rId5157" Type="http://schemas.openxmlformats.org/officeDocument/2006/relationships/hyperlink" Target="https://statiz.sporki.com/add/?m=draft_school02&amp;ps_school=" TargetMode="External"/><Relationship Id="rId6208" Type="http://schemas.openxmlformats.org/officeDocument/2006/relationships/hyperlink" Target="https://statiz.sporki.com/player/?m=playerinfo&amp;p_no=10546" TargetMode="External"/><Relationship Id="rId7606" Type="http://schemas.openxmlformats.org/officeDocument/2006/relationships/hyperlink" Target="https://statiz.sporki.com/player/?m=playerinfo&amp;p_no=10108" TargetMode="External"/><Relationship Id="rId16149" Type="http://schemas.openxmlformats.org/officeDocument/2006/relationships/hyperlink" Target="https://statiz.sporki.com/player/?m=playerinfo&amp;p_no=1044" TargetMode="External"/><Relationship Id="rId9778" Type="http://schemas.openxmlformats.org/officeDocument/2006/relationships/hyperlink" Target="https://statiz.sporki.com/player/?m=playerinfo&amp;p_no=1852" TargetMode="External"/><Relationship Id="rId12759" Type="http://schemas.openxmlformats.org/officeDocument/2006/relationships/hyperlink" Target="https://statiz.sporki.com/player/?m=playerinfo&amp;p_no=14134" TargetMode="External"/><Relationship Id="rId16630" Type="http://schemas.openxmlformats.org/officeDocument/2006/relationships/hyperlink" Target="https://statiz.sporki.com/add/?m=draft_school01&amp;ps_school=50203" TargetMode="External"/><Relationship Id="rId1767" Type="http://schemas.openxmlformats.org/officeDocument/2006/relationships/hyperlink" Target="https://statiz.sporki.com/add/?m=draft_school02&amp;ps_school=" TargetMode="External"/><Relationship Id="rId2818" Type="http://schemas.openxmlformats.org/officeDocument/2006/relationships/hyperlink" Target="https://statiz.sporki.com/player/?m=playerinfo&amp;p_no=12847" TargetMode="External"/><Relationship Id="rId14181" Type="http://schemas.openxmlformats.org/officeDocument/2006/relationships/hyperlink" Target="https://statiz.sporki.com/player/?m=playerinfo&amp;p_no=10466" TargetMode="External"/><Relationship Id="rId15232" Type="http://schemas.openxmlformats.org/officeDocument/2006/relationships/hyperlink" Target="https://statiz.sporki.com/player/?m=playerinfo&amp;p_no=1876" TargetMode="External"/><Relationship Id="rId4240" Type="http://schemas.openxmlformats.org/officeDocument/2006/relationships/hyperlink" Target="https://statiz.sporki.com/player/?m=playerinfo&amp;p_no=14747" TargetMode="External"/><Relationship Id="rId8861" Type="http://schemas.openxmlformats.org/officeDocument/2006/relationships/hyperlink" Target="https://statiz.sporki.com/add/?m=draft_school01&amp;ps_school=50701" TargetMode="External"/><Relationship Id="rId9912" Type="http://schemas.openxmlformats.org/officeDocument/2006/relationships/hyperlink" Target="https://statiz.sporki.com/add/?m=draft_school02&amp;ps_school=" TargetMode="External"/><Relationship Id="rId18455" Type="http://schemas.openxmlformats.org/officeDocument/2006/relationships/hyperlink" Target="https://statiz.sporki.com/add/?m=draft_school01&amp;ps_school=50121" TargetMode="External"/><Relationship Id="rId7463" Type="http://schemas.openxmlformats.org/officeDocument/2006/relationships/hyperlink" Target="https://statiz.sporki.com/add/?m=draft_school01&amp;ps_school=50401" TargetMode="External"/><Relationship Id="rId8514" Type="http://schemas.openxmlformats.org/officeDocument/2006/relationships/hyperlink" Target="https://statiz.sporki.com/add/?m=draft_school02&amp;ps_school=" TargetMode="External"/><Relationship Id="rId10791" Type="http://schemas.openxmlformats.org/officeDocument/2006/relationships/hyperlink" Target="https://statiz.sporki.com/add/?m=draft_school02&amp;ps_school=60801" TargetMode="External"/><Relationship Id="rId11842" Type="http://schemas.openxmlformats.org/officeDocument/2006/relationships/hyperlink" Target="https://statiz.sporki.com/player/?m=playerinfo&amp;p_no=1067" TargetMode="External"/><Relationship Id="rId17057" Type="http://schemas.openxmlformats.org/officeDocument/2006/relationships/hyperlink" Target="https://statiz.sporki.com/add/?m=draft_school01&amp;ps_school=50103" TargetMode="External"/><Relationship Id="rId18108" Type="http://schemas.openxmlformats.org/officeDocument/2006/relationships/hyperlink" Target="https://statiz.sporki.com/add/?m=draft_school01&amp;ps_school=50116" TargetMode="External"/><Relationship Id="rId19506" Type="http://schemas.openxmlformats.org/officeDocument/2006/relationships/hyperlink" Target="https://statiz.sporki.com/add/?m=draft_school01&amp;ps_school=50402" TargetMode="External"/><Relationship Id="rId1901" Type="http://schemas.openxmlformats.org/officeDocument/2006/relationships/hyperlink" Target="https://statiz.sporki.com/add/?m=draft_school01&amp;ps_school=50114" TargetMode="External"/><Relationship Id="rId6065" Type="http://schemas.openxmlformats.org/officeDocument/2006/relationships/hyperlink" Target="https://statiz.sporki.com/add/?m=draft_school01&amp;ps_school=50112" TargetMode="External"/><Relationship Id="rId7116" Type="http://schemas.openxmlformats.org/officeDocument/2006/relationships/hyperlink" Target="https://statiz.sporki.com/add/?m=draft_school02&amp;ps_school=" TargetMode="External"/><Relationship Id="rId10444" Type="http://schemas.openxmlformats.org/officeDocument/2006/relationships/hyperlink" Target="https://statiz.sporki.com/player/?m=playerinfo&amp;p_no=1699" TargetMode="External"/><Relationship Id="rId9288" Type="http://schemas.openxmlformats.org/officeDocument/2006/relationships/hyperlink" Target="https://statiz.sporki.com/add/?m=draft_school02&amp;ps_school=" TargetMode="External"/><Relationship Id="rId13667" Type="http://schemas.openxmlformats.org/officeDocument/2006/relationships/hyperlink" Target="https://statiz.sporki.com/player/?m=playerinfo&amp;p_no=11109" TargetMode="External"/><Relationship Id="rId14718" Type="http://schemas.openxmlformats.org/officeDocument/2006/relationships/hyperlink" Target="https://statiz.sporki.com/player/?m=playerinfo&amp;p_no=2179" TargetMode="External"/><Relationship Id="rId994" Type="http://schemas.openxmlformats.org/officeDocument/2006/relationships/hyperlink" Target="https://statiz.sporki.com/player/?m=playerinfo&amp;p_no=14765" TargetMode="External"/><Relationship Id="rId2675" Type="http://schemas.openxmlformats.org/officeDocument/2006/relationships/hyperlink" Target="https://statiz.sporki.com/add/?m=draft_school01&amp;ps_school=50602" TargetMode="External"/><Relationship Id="rId3726" Type="http://schemas.openxmlformats.org/officeDocument/2006/relationships/hyperlink" Target="https://statiz.sporki.com/add/?m=draft_school02&amp;ps_school=" TargetMode="External"/><Relationship Id="rId12269" Type="http://schemas.openxmlformats.org/officeDocument/2006/relationships/hyperlink" Target="https://statiz.sporki.com/player/?m=playerinfo&amp;p_no=15531" TargetMode="External"/><Relationship Id="rId16140" Type="http://schemas.openxmlformats.org/officeDocument/2006/relationships/hyperlink" Target="https://statiz.sporki.com/player/?m=playerinfo&amp;p_no=1075" TargetMode="External"/><Relationship Id="rId647" Type="http://schemas.openxmlformats.org/officeDocument/2006/relationships/hyperlink" Target="https://statiz.sporki.com/add/?m=draft_school01&amp;ps_school=50221" TargetMode="External"/><Relationship Id="rId1277" Type="http://schemas.openxmlformats.org/officeDocument/2006/relationships/hyperlink" Target="https://statiz.sporki.com/add/?m=draft_school01&amp;ps_school=50807" TargetMode="External"/><Relationship Id="rId2328" Type="http://schemas.openxmlformats.org/officeDocument/2006/relationships/hyperlink" Target="https://statiz.sporki.com/add/?m=draft_school02&amp;ps_school=" TargetMode="External"/><Relationship Id="rId5898" Type="http://schemas.openxmlformats.org/officeDocument/2006/relationships/hyperlink" Target="https://statiz.sporki.com/add/?m=draft_school02&amp;ps_school=" TargetMode="External"/><Relationship Id="rId6949" Type="http://schemas.openxmlformats.org/officeDocument/2006/relationships/hyperlink" Target="https://statiz.sporki.com/player/?m=playerinfo&amp;p_no=10496" TargetMode="External"/><Relationship Id="rId12750" Type="http://schemas.openxmlformats.org/officeDocument/2006/relationships/hyperlink" Target="https://statiz.sporki.com/player/?m=playerinfo&amp;p_no=13665" TargetMode="External"/><Relationship Id="rId19363" Type="http://schemas.openxmlformats.org/officeDocument/2006/relationships/hyperlink" Target="https://statiz.sporki.com/add/?m=draft_school01&amp;ps_school=50106" TargetMode="External"/><Relationship Id="rId8371" Type="http://schemas.openxmlformats.org/officeDocument/2006/relationships/hyperlink" Target="https://statiz.sporki.com/player/?m=playerinfo&amp;p_no=10317" TargetMode="External"/><Relationship Id="rId9422" Type="http://schemas.openxmlformats.org/officeDocument/2006/relationships/hyperlink" Target="https://statiz.sporki.com/add/?m=draft_school01&amp;ps_school=50114" TargetMode="External"/><Relationship Id="rId11352" Type="http://schemas.openxmlformats.org/officeDocument/2006/relationships/hyperlink" Target="https://statiz.sporki.com/add/?m=draft_school02&amp;ps_school=60109" TargetMode="External"/><Relationship Id="rId12403" Type="http://schemas.openxmlformats.org/officeDocument/2006/relationships/hyperlink" Target="https://statiz.sporki.com/player/?m=playerinfo&amp;p_no=15120" TargetMode="External"/><Relationship Id="rId13801" Type="http://schemas.openxmlformats.org/officeDocument/2006/relationships/hyperlink" Target="https://statiz.sporki.com/player/?m=playerinfo&amp;p_no=10799" TargetMode="External"/><Relationship Id="rId19016" Type="http://schemas.openxmlformats.org/officeDocument/2006/relationships/hyperlink" Target="https://statiz.sporki.com/add/?m=draft_school01&amp;ps_school=50701" TargetMode="External"/><Relationship Id="rId1411" Type="http://schemas.openxmlformats.org/officeDocument/2006/relationships/hyperlink" Target="https://statiz.sporki.com/player/?m=playerinfo&amp;p_no=14611" TargetMode="External"/><Relationship Id="rId8024" Type="http://schemas.openxmlformats.org/officeDocument/2006/relationships/hyperlink" Target="https://statiz.sporki.com/add/?m=draft_school01&amp;ps_school=50102" TargetMode="External"/><Relationship Id="rId11005" Type="http://schemas.openxmlformats.org/officeDocument/2006/relationships/hyperlink" Target="https://statiz.sporki.com/player/?m=playerinfo&amp;p_no=1341" TargetMode="External"/><Relationship Id="rId15973" Type="http://schemas.openxmlformats.org/officeDocument/2006/relationships/hyperlink" Target="https://statiz.sporki.com/player/?m=playerinfo&amp;p_no=1225" TargetMode="External"/><Relationship Id="rId3583" Type="http://schemas.openxmlformats.org/officeDocument/2006/relationships/hyperlink" Target="https://statiz.sporki.com/player/?m=playerinfo&amp;p_no=12603" TargetMode="External"/><Relationship Id="rId4981" Type="http://schemas.openxmlformats.org/officeDocument/2006/relationships/hyperlink" Target="https://statiz.sporki.com/player/?m=playerinfo&amp;p_no=10889" TargetMode="External"/><Relationship Id="rId13177" Type="http://schemas.openxmlformats.org/officeDocument/2006/relationships/hyperlink" Target="https://statiz.sporki.com/player/?m=playerinfo&amp;p_no=12957" TargetMode="External"/><Relationship Id="rId14575" Type="http://schemas.openxmlformats.org/officeDocument/2006/relationships/hyperlink" Target="https://statiz.sporki.com/player/?m=playerinfo&amp;p_no=2271" TargetMode="External"/><Relationship Id="rId15626" Type="http://schemas.openxmlformats.org/officeDocument/2006/relationships/hyperlink" Target="https://statiz.sporki.com/player/?m=playerinfo&amp;p_no=1543" TargetMode="External"/><Relationship Id="rId2185" Type="http://schemas.openxmlformats.org/officeDocument/2006/relationships/hyperlink" Target="https://statiz.sporki.com/player/?m=playerinfo&amp;p_no=13941" TargetMode="External"/><Relationship Id="rId3236" Type="http://schemas.openxmlformats.org/officeDocument/2006/relationships/hyperlink" Target="https://statiz.sporki.com/add/?m=draft_school01&amp;ps_school=50705" TargetMode="External"/><Relationship Id="rId4634" Type="http://schemas.openxmlformats.org/officeDocument/2006/relationships/hyperlink" Target="https://statiz.sporki.com/add/?m=draft_school01&amp;ps_school=50601" TargetMode="External"/><Relationship Id="rId14228" Type="http://schemas.openxmlformats.org/officeDocument/2006/relationships/hyperlink" Target="https://statiz.sporki.com/player/?m=playerinfo&amp;p_no=10647" TargetMode="External"/><Relationship Id="rId17798" Type="http://schemas.openxmlformats.org/officeDocument/2006/relationships/hyperlink" Target="https://statiz.sporki.com/add/?m=draft_school01&amp;ps_school=50114" TargetMode="External"/><Relationship Id="rId18849" Type="http://schemas.openxmlformats.org/officeDocument/2006/relationships/hyperlink" Target="https://statiz.sporki.com/add/?m=draft_school01&amp;ps_school=50301" TargetMode="External"/><Relationship Id="rId157" Type="http://schemas.openxmlformats.org/officeDocument/2006/relationships/hyperlink" Target="https://statiz.sporki.com/player/?m=playerinfo&amp;p_no=15444" TargetMode="External"/><Relationship Id="rId7857" Type="http://schemas.openxmlformats.org/officeDocument/2006/relationships/hyperlink" Target="https://statiz.sporki.com/add/?m=draft_school02&amp;ps_school=60111" TargetMode="External"/><Relationship Id="rId8908" Type="http://schemas.openxmlformats.org/officeDocument/2006/relationships/hyperlink" Target="https://statiz.sporki.com/player/?m=playerinfo&amp;p_no=2204" TargetMode="External"/><Relationship Id="rId10838" Type="http://schemas.openxmlformats.org/officeDocument/2006/relationships/hyperlink" Target="https://statiz.sporki.com/add/?m=draft_school01&amp;ps_school=50502" TargetMode="External"/><Relationship Id="rId6459" Type="http://schemas.openxmlformats.org/officeDocument/2006/relationships/hyperlink" Target="https://statiz.sporki.com/add/?m=draft_school02&amp;ps_school=" TargetMode="External"/><Relationship Id="rId12260" Type="http://schemas.openxmlformats.org/officeDocument/2006/relationships/hyperlink" Target="https://statiz.sporki.com/player/?m=playerinfo&amp;p_no=15529" TargetMode="External"/><Relationship Id="rId13311" Type="http://schemas.openxmlformats.org/officeDocument/2006/relationships/hyperlink" Target="https://statiz.sporki.com/player/?m=playerinfo&amp;p_no=12518" TargetMode="External"/><Relationship Id="rId16881" Type="http://schemas.openxmlformats.org/officeDocument/2006/relationships/hyperlink" Target="https://statiz.sporki.com/add/?m=draft_school01&amp;ps_school=50807" TargetMode="External"/><Relationship Id="rId6940" Type="http://schemas.openxmlformats.org/officeDocument/2006/relationships/hyperlink" Target="https://statiz.sporki.com/player/?m=playerinfo&amp;p_no=2333" TargetMode="External"/><Relationship Id="rId15483" Type="http://schemas.openxmlformats.org/officeDocument/2006/relationships/hyperlink" Target="https://statiz.sporki.com/player/?m=playerinfo&amp;p_no=1628" TargetMode="External"/><Relationship Id="rId16534" Type="http://schemas.openxmlformats.org/officeDocument/2006/relationships/hyperlink" Target="https://statiz.sporki.com/add/?m=draft_school01&amp;ps_school=50114" TargetMode="External"/><Relationship Id="rId17932" Type="http://schemas.openxmlformats.org/officeDocument/2006/relationships/hyperlink" Target="https://statiz.sporki.com/add/?m=draft_school01&amp;ps_school=51001" TargetMode="External"/><Relationship Id="rId4491" Type="http://schemas.openxmlformats.org/officeDocument/2006/relationships/hyperlink" Target="https://statiz.sporki.com/add/?m=draft_school02&amp;ps_school=" TargetMode="External"/><Relationship Id="rId5542" Type="http://schemas.openxmlformats.org/officeDocument/2006/relationships/hyperlink" Target="https://statiz.sporki.com/player/?m=playerinfo&amp;p_no=10199" TargetMode="External"/><Relationship Id="rId14085" Type="http://schemas.openxmlformats.org/officeDocument/2006/relationships/hyperlink" Target="https://statiz.sporki.com/player/?m=playerinfo&amp;p_no=10078" TargetMode="External"/><Relationship Id="rId15136" Type="http://schemas.openxmlformats.org/officeDocument/2006/relationships/hyperlink" Target="https://statiz.sporki.com/player/?m=playerinfo&amp;p_no=2123" TargetMode="External"/><Relationship Id="rId3093" Type="http://schemas.openxmlformats.org/officeDocument/2006/relationships/hyperlink" Target="https://statiz.sporki.com/add/?m=draft_school02&amp;ps_school=" TargetMode="External"/><Relationship Id="rId4144" Type="http://schemas.openxmlformats.org/officeDocument/2006/relationships/hyperlink" Target="https://statiz.sporki.com/player/?m=playerinfo&amp;p_no=11270" TargetMode="External"/><Relationship Id="rId8765" Type="http://schemas.openxmlformats.org/officeDocument/2006/relationships/hyperlink" Target="https://statiz.sporki.com/add/?m=draft_school01&amp;ps_school=50202" TargetMode="External"/><Relationship Id="rId7367" Type="http://schemas.openxmlformats.org/officeDocument/2006/relationships/hyperlink" Target="https://statiz.sporki.com/add/?m=draft_school01&amp;ps_school=50116" TargetMode="External"/><Relationship Id="rId8418" Type="http://schemas.openxmlformats.org/officeDocument/2006/relationships/hyperlink" Target="https://statiz.sporki.com/add/?m=draft_school02&amp;ps_school=60501" TargetMode="External"/><Relationship Id="rId9816" Type="http://schemas.openxmlformats.org/officeDocument/2006/relationships/hyperlink" Target="https://statiz.sporki.com/add/?m=draft_school02&amp;ps_school=60109" TargetMode="External"/><Relationship Id="rId10695" Type="http://schemas.openxmlformats.org/officeDocument/2006/relationships/hyperlink" Target="https://statiz.sporki.com/add/?m=draft_school02&amp;ps_school=" TargetMode="External"/><Relationship Id="rId11746" Type="http://schemas.openxmlformats.org/officeDocument/2006/relationships/hyperlink" Target="https://statiz.sporki.com/player/?m=playerinfo&amp;p_no=1111" TargetMode="External"/><Relationship Id="rId18359" Type="http://schemas.openxmlformats.org/officeDocument/2006/relationships/hyperlink" Target="https://statiz.sporki.com/add/?m=draft_school01&amp;ps_school=50110" TargetMode="External"/><Relationship Id="rId1805" Type="http://schemas.openxmlformats.org/officeDocument/2006/relationships/hyperlink" Target="https://statiz.sporki.com/add/?m=draft_school01&amp;ps_school=50114" TargetMode="External"/><Relationship Id="rId10348" Type="http://schemas.openxmlformats.org/officeDocument/2006/relationships/hyperlink" Target="https://statiz.sporki.com/player/?m=playerinfo&amp;p_no=11433" TargetMode="External"/><Relationship Id="rId14969" Type="http://schemas.openxmlformats.org/officeDocument/2006/relationships/hyperlink" Target="https://statiz.sporki.com/player/?m=playerinfo&amp;p_no=10357" TargetMode="External"/><Relationship Id="rId18840" Type="http://schemas.openxmlformats.org/officeDocument/2006/relationships/hyperlink" Target="https://statiz.sporki.com/add/?m=draft_school01&amp;ps_school=50110" TargetMode="External"/><Relationship Id="rId3977" Type="http://schemas.openxmlformats.org/officeDocument/2006/relationships/hyperlink" Target="https://statiz.sporki.com/add/?m=draft_school01&amp;ps_school=50116" TargetMode="External"/><Relationship Id="rId16391" Type="http://schemas.openxmlformats.org/officeDocument/2006/relationships/hyperlink" Target="https://statiz.sporki.com/add/?m=draft_school01&amp;ps_school=50301" TargetMode="External"/><Relationship Id="rId17442" Type="http://schemas.openxmlformats.org/officeDocument/2006/relationships/hyperlink" Target="https://statiz.sporki.com/add/?m=draft_school01&amp;ps_school=50801" TargetMode="External"/><Relationship Id="rId898" Type="http://schemas.openxmlformats.org/officeDocument/2006/relationships/hyperlink" Target="https://statiz.sporki.com/player/?m=playerinfo&amp;p_no=15126" TargetMode="External"/><Relationship Id="rId2579" Type="http://schemas.openxmlformats.org/officeDocument/2006/relationships/hyperlink" Target="https://statiz.sporki.com/add/?m=draft_school01&amp;ps_school=50110" TargetMode="External"/><Relationship Id="rId6450" Type="http://schemas.openxmlformats.org/officeDocument/2006/relationships/hyperlink" Target="https://statiz.sporki.com/add/?m=draft_school02&amp;ps_school=" TargetMode="External"/><Relationship Id="rId7501" Type="http://schemas.openxmlformats.org/officeDocument/2006/relationships/hyperlink" Target="https://statiz.sporki.com/player/?m=playerinfo&amp;p_no=2241" TargetMode="External"/><Relationship Id="rId16044" Type="http://schemas.openxmlformats.org/officeDocument/2006/relationships/hyperlink" Target="https://statiz.sporki.com/player/?m=playerinfo&amp;p_no=1187" TargetMode="External"/><Relationship Id="rId5052" Type="http://schemas.openxmlformats.org/officeDocument/2006/relationships/hyperlink" Target="https://statiz.sporki.com/add/?m=draft_school02&amp;ps_school=" TargetMode="External"/><Relationship Id="rId6103" Type="http://schemas.openxmlformats.org/officeDocument/2006/relationships/hyperlink" Target="https://statiz.sporki.com/player/?m=playerinfo&amp;p_no=10615" TargetMode="External"/><Relationship Id="rId9673" Type="http://schemas.openxmlformats.org/officeDocument/2006/relationships/hyperlink" Target="https://statiz.sporki.com/player/?m=playerinfo&amp;p_no=11439" TargetMode="External"/><Relationship Id="rId19267" Type="http://schemas.openxmlformats.org/officeDocument/2006/relationships/hyperlink" Target="https://statiz.sporki.com/add/?m=draft_school01&amp;ps_school=50607" TargetMode="External"/><Relationship Id="rId1662" Type="http://schemas.openxmlformats.org/officeDocument/2006/relationships/hyperlink" Target="https://statiz.sporki.com/add/?m=draft_school02&amp;ps_school=" TargetMode="External"/><Relationship Id="rId8275" Type="http://schemas.openxmlformats.org/officeDocument/2006/relationships/hyperlink" Target="https://statiz.sporki.com/player/?m=playerinfo&amp;p_no=2091" TargetMode="External"/><Relationship Id="rId9326" Type="http://schemas.openxmlformats.org/officeDocument/2006/relationships/hyperlink" Target="https://statiz.sporki.com/add/?m=draft_school01&amp;ps_school=50803" TargetMode="External"/><Relationship Id="rId11256" Type="http://schemas.openxmlformats.org/officeDocument/2006/relationships/hyperlink" Target="https://statiz.sporki.com/add/?m=draft_school02&amp;ps_school=" TargetMode="External"/><Relationship Id="rId12654" Type="http://schemas.openxmlformats.org/officeDocument/2006/relationships/hyperlink" Target="https://statiz.sporki.com/player/?m=playerinfo&amp;p_no=14669" TargetMode="External"/><Relationship Id="rId13705" Type="http://schemas.openxmlformats.org/officeDocument/2006/relationships/hyperlink" Target="https://statiz.sporki.com/player/?m=playerinfo&amp;p_no=11103" TargetMode="External"/><Relationship Id="rId1315" Type="http://schemas.openxmlformats.org/officeDocument/2006/relationships/hyperlink" Target="https://statiz.sporki.com/player/?m=playerinfo&amp;p_no=14756" TargetMode="External"/><Relationship Id="rId2713" Type="http://schemas.openxmlformats.org/officeDocument/2006/relationships/hyperlink" Target="https://statiz.sporki.com/player/?m=playerinfo&amp;p_no=13224" TargetMode="External"/><Relationship Id="rId12307" Type="http://schemas.openxmlformats.org/officeDocument/2006/relationships/hyperlink" Target="https://statiz.sporki.com/player/?m=playerinfo&amp;p_no=15034" TargetMode="External"/><Relationship Id="rId15877" Type="http://schemas.openxmlformats.org/officeDocument/2006/relationships/hyperlink" Target="https://statiz.sporki.com/player/?m=playerinfo&amp;p_no=1302" TargetMode="External"/><Relationship Id="rId16928" Type="http://schemas.openxmlformats.org/officeDocument/2006/relationships/hyperlink" Target="https://statiz.sporki.com/add/?m=draft_school01&amp;ps_school=50103" TargetMode="External"/><Relationship Id="rId4885" Type="http://schemas.openxmlformats.org/officeDocument/2006/relationships/hyperlink" Target="https://statiz.sporki.com/player/?m=playerinfo&amp;p_no=10902" TargetMode="External"/><Relationship Id="rId5936" Type="http://schemas.openxmlformats.org/officeDocument/2006/relationships/hyperlink" Target="https://statiz.sporki.com/add/?m=draft_school01&amp;ps_school=" TargetMode="External"/><Relationship Id="rId14479" Type="http://schemas.openxmlformats.org/officeDocument/2006/relationships/hyperlink" Target="https://statiz.sporki.com/player/?m=playerinfo&amp;p_no=10294" TargetMode="External"/><Relationship Id="rId18350" Type="http://schemas.openxmlformats.org/officeDocument/2006/relationships/hyperlink" Target="https://statiz.sporki.com/add/?m=draft_school01&amp;ps_school=50805" TargetMode="External"/><Relationship Id="rId19401" Type="http://schemas.openxmlformats.org/officeDocument/2006/relationships/hyperlink" Target="https://statiz.sporki.com/add/?m=draft_school01&amp;ps_school=50608" TargetMode="External"/><Relationship Id="rId21" Type="http://schemas.openxmlformats.org/officeDocument/2006/relationships/hyperlink" Target="https://statiz.sporki.com/add/?m=draft_school02&amp;ps_school=" TargetMode="External"/><Relationship Id="rId2089" Type="http://schemas.openxmlformats.org/officeDocument/2006/relationships/hyperlink" Target="https://statiz.sporki.com/player/?m=playerinfo&amp;p_no=14142" TargetMode="External"/><Relationship Id="rId3487" Type="http://schemas.openxmlformats.org/officeDocument/2006/relationships/hyperlink" Target="https://statiz.sporki.com/player/?m=playerinfo&amp;p_no=12507" TargetMode="External"/><Relationship Id="rId4538" Type="http://schemas.openxmlformats.org/officeDocument/2006/relationships/hyperlink" Target="https://statiz.sporki.com/add/?m=draft_school01&amp;ps_school=50101" TargetMode="External"/><Relationship Id="rId14960" Type="http://schemas.openxmlformats.org/officeDocument/2006/relationships/hyperlink" Target="https://statiz.sporki.com/player/?m=playerinfo&amp;p_no=2085" TargetMode="External"/><Relationship Id="rId18003" Type="http://schemas.openxmlformats.org/officeDocument/2006/relationships/hyperlink" Target="https://statiz.sporki.com/add/?m=draft_school01&amp;ps_school=50902" TargetMode="External"/><Relationship Id="rId7011" Type="http://schemas.openxmlformats.org/officeDocument/2006/relationships/hyperlink" Target="https://statiz.sporki.com/add/?m=draft_school02&amp;ps_school=60106" TargetMode="External"/><Relationship Id="rId13562" Type="http://schemas.openxmlformats.org/officeDocument/2006/relationships/hyperlink" Target="https://statiz.sporki.com/player/?m=playerinfo&amp;p_no=11208" TargetMode="External"/><Relationship Id="rId14613" Type="http://schemas.openxmlformats.org/officeDocument/2006/relationships/hyperlink" Target="https://statiz.sporki.com/player/?m=playerinfo&amp;p_no=2235" TargetMode="External"/><Relationship Id="rId2570" Type="http://schemas.openxmlformats.org/officeDocument/2006/relationships/hyperlink" Target="https://statiz.sporki.com/add/?m=draft_school01&amp;ps_school=50110" TargetMode="External"/><Relationship Id="rId3621" Type="http://schemas.openxmlformats.org/officeDocument/2006/relationships/hyperlink" Target="https://statiz.sporki.com/add/?m=draft_school02&amp;ps_school=60102" TargetMode="External"/><Relationship Id="rId9183" Type="http://schemas.openxmlformats.org/officeDocument/2006/relationships/hyperlink" Target="https://statiz.sporki.com/add/?m=draft_school02&amp;ps_school=60802" TargetMode="External"/><Relationship Id="rId12164" Type="http://schemas.openxmlformats.org/officeDocument/2006/relationships/hyperlink" Target="https://statiz.sporki.com/player/?m=playerinfo&amp;p_no=15498" TargetMode="External"/><Relationship Id="rId13215" Type="http://schemas.openxmlformats.org/officeDocument/2006/relationships/hyperlink" Target="https://statiz.sporki.com/player/?m=playerinfo&amp;p_no=12531" TargetMode="External"/><Relationship Id="rId542" Type="http://schemas.openxmlformats.org/officeDocument/2006/relationships/hyperlink" Target="https://statiz.sporki.com/add/?m=draft_school01&amp;ps_school=50117" TargetMode="External"/><Relationship Id="rId1172" Type="http://schemas.openxmlformats.org/officeDocument/2006/relationships/hyperlink" Target="https://statiz.sporki.com/add/?m=draft_school01&amp;ps_school=50103" TargetMode="External"/><Relationship Id="rId2223" Type="http://schemas.openxmlformats.org/officeDocument/2006/relationships/hyperlink" Target="https://statiz.sporki.com/add/?m=draft_school02&amp;ps_school=" TargetMode="External"/><Relationship Id="rId5793" Type="http://schemas.openxmlformats.org/officeDocument/2006/relationships/hyperlink" Target="https://statiz.sporki.com/add/?m=draft_school02&amp;ps_school=" TargetMode="External"/><Relationship Id="rId6844" Type="http://schemas.openxmlformats.org/officeDocument/2006/relationships/hyperlink" Target="https://statiz.sporki.com/player/?m=playerinfo&amp;p_no=2358" TargetMode="External"/><Relationship Id="rId15387" Type="http://schemas.openxmlformats.org/officeDocument/2006/relationships/hyperlink" Target="https://statiz.sporki.com/player/?m=playerinfo&amp;p_no=1771" TargetMode="External"/><Relationship Id="rId16785" Type="http://schemas.openxmlformats.org/officeDocument/2006/relationships/hyperlink" Target="https://statiz.sporki.com/add/?m=draft_school01&amp;ps_school=50111" TargetMode="External"/><Relationship Id="rId17836" Type="http://schemas.openxmlformats.org/officeDocument/2006/relationships/hyperlink" Target="https://statiz.sporki.com/add/?m=draft_school01&amp;ps_school=50108" TargetMode="External"/><Relationship Id="rId4395" Type="http://schemas.openxmlformats.org/officeDocument/2006/relationships/hyperlink" Target="https://statiz.sporki.com/add/?m=draft_school02&amp;ps_school=60203" TargetMode="External"/><Relationship Id="rId5446" Type="http://schemas.openxmlformats.org/officeDocument/2006/relationships/hyperlink" Target="https://statiz.sporki.com/player/?m=playerinfo&amp;p_no=10691" TargetMode="External"/><Relationship Id="rId16438" Type="http://schemas.openxmlformats.org/officeDocument/2006/relationships/hyperlink" Target="https://statiz.sporki.com/add/?m=draft_school01&amp;ps_school=51127" TargetMode="External"/><Relationship Id="rId4048" Type="http://schemas.openxmlformats.org/officeDocument/2006/relationships/hyperlink" Target="https://statiz.sporki.com/player/?m=playerinfo&amp;p_no=11333" TargetMode="External"/><Relationship Id="rId11997" Type="http://schemas.openxmlformats.org/officeDocument/2006/relationships/hyperlink" Target="https://statiz.sporki.com/add/?m=draft_school02&amp;ps_school=" TargetMode="External"/><Relationship Id="rId8669" Type="http://schemas.openxmlformats.org/officeDocument/2006/relationships/hyperlink" Target="https://statiz.sporki.com/add/?m=draft_school01&amp;ps_school=50401" TargetMode="External"/><Relationship Id="rId10599" Type="http://schemas.openxmlformats.org/officeDocument/2006/relationships/hyperlink" Target="https://statiz.sporki.com/add/?m=draft_school02&amp;ps_school=60109" TargetMode="External"/><Relationship Id="rId14470" Type="http://schemas.openxmlformats.org/officeDocument/2006/relationships/hyperlink" Target="https://statiz.sporki.com/player/?m=playerinfo&amp;p_no=10644" TargetMode="External"/><Relationship Id="rId15521" Type="http://schemas.openxmlformats.org/officeDocument/2006/relationships/hyperlink" Target="https://statiz.sporki.com/player/?m=playerinfo&amp;p_no=1678" TargetMode="External"/><Relationship Id="rId1709" Type="http://schemas.openxmlformats.org/officeDocument/2006/relationships/hyperlink" Target="https://statiz.sporki.com/add/?m=draft_school01&amp;ps_school=50802" TargetMode="External"/><Relationship Id="rId13072" Type="http://schemas.openxmlformats.org/officeDocument/2006/relationships/hyperlink" Target="https://statiz.sporki.com/player/?m=playerinfo&amp;p_no=12930" TargetMode="External"/><Relationship Id="rId14123" Type="http://schemas.openxmlformats.org/officeDocument/2006/relationships/hyperlink" Target="https://statiz.sporki.com/player/?m=playerinfo&amp;p_no=10163" TargetMode="External"/><Relationship Id="rId17693" Type="http://schemas.openxmlformats.org/officeDocument/2006/relationships/hyperlink" Target="https://statiz.sporki.com/add/?m=draft_school01&amp;ps_school=50604" TargetMode="External"/><Relationship Id="rId18744" Type="http://schemas.openxmlformats.org/officeDocument/2006/relationships/hyperlink" Target="https://statiz.sporki.com/add/?m=draft_school01&amp;ps_school=50711" TargetMode="External"/><Relationship Id="rId2080" Type="http://schemas.openxmlformats.org/officeDocument/2006/relationships/hyperlink" Target="https://statiz.sporki.com/player/?m=playerinfo&amp;p_no=14709" TargetMode="External"/><Relationship Id="rId3131" Type="http://schemas.openxmlformats.org/officeDocument/2006/relationships/hyperlink" Target="https://statiz.sporki.com/add/?m=draft_school01&amp;ps_school=50114" TargetMode="External"/><Relationship Id="rId7752" Type="http://schemas.openxmlformats.org/officeDocument/2006/relationships/hyperlink" Target="https://statiz.sporki.com/add/?m=draft_school02&amp;ps_school=" TargetMode="External"/><Relationship Id="rId8803" Type="http://schemas.openxmlformats.org/officeDocument/2006/relationships/hyperlink" Target="https://statiz.sporki.com/player/?m=playerinfo&amp;p_no=2118" TargetMode="External"/><Relationship Id="rId16295" Type="http://schemas.openxmlformats.org/officeDocument/2006/relationships/hyperlink" Target="https://statiz.sporki.com/add/?m=draft_school01&amp;ps_school=50116" TargetMode="External"/><Relationship Id="rId17346" Type="http://schemas.openxmlformats.org/officeDocument/2006/relationships/hyperlink" Target="https://statiz.sporki.com/add/?m=draft_school01&amp;ps_school=50606" TargetMode="External"/><Relationship Id="rId6354" Type="http://schemas.openxmlformats.org/officeDocument/2006/relationships/hyperlink" Target="https://statiz.sporki.com/add/?m=draft_school02&amp;ps_school=60108" TargetMode="External"/><Relationship Id="rId7405" Type="http://schemas.openxmlformats.org/officeDocument/2006/relationships/hyperlink" Target="https://statiz.sporki.com/player/?m=playerinfo&amp;p_no=2283" TargetMode="External"/><Relationship Id="rId10733" Type="http://schemas.openxmlformats.org/officeDocument/2006/relationships/hyperlink" Target="https://statiz.sporki.com/add/?m=draft_school01&amp;ps_school=50103" TargetMode="External"/><Relationship Id="rId6007" Type="http://schemas.openxmlformats.org/officeDocument/2006/relationships/hyperlink" Target="https://statiz.sporki.com/player/?m=playerinfo&amp;p_no=11354" TargetMode="External"/><Relationship Id="rId9577" Type="http://schemas.openxmlformats.org/officeDocument/2006/relationships/hyperlink" Target="https://statiz.sporki.com/player/?m=playerinfo&amp;p_no=1865" TargetMode="External"/><Relationship Id="rId13956" Type="http://schemas.openxmlformats.org/officeDocument/2006/relationships/hyperlink" Target="https://statiz.sporki.com/player/?m=playerinfo&amp;p_no=10860" TargetMode="External"/><Relationship Id="rId2964" Type="http://schemas.openxmlformats.org/officeDocument/2006/relationships/hyperlink" Target="https://statiz.sporki.com/add/?m=draft_school02&amp;ps_school=60109" TargetMode="External"/><Relationship Id="rId8179" Type="http://schemas.openxmlformats.org/officeDocument/2006/relationships/hyperlink" Target="https://statiz.sporki.com/player/?m=playerinfo&amp;p_no=2280" TargetMode="External"/><Relationship Id="rId12558" Type="http://schemas.openxmlformats.org/officeDocument/2006/relationships/hyperlink" Target="https://statiz.sporki.com/player/?m=playerinfo&amp;p_no=14854" TargetMode="External"/><Relationship Id="rId13609" Type="http://schemas.openxmlformats.org/officeDocument/2006/relationships/hyperlink" Target="https://statiz.sporki.com/player/?m=playerinfo&amp;p_no=13275" TargetMode="External"/><Relationship Id="rId936" Type="http://schemas.openxmlformats.org/officeDocument/2006/relationships/hyperlink" Target="https://statiz.sporki.com/add/?m=draft_school02&amp;ps_school=60502" TargetMode="External"/><Relationship Id="rId1219" Type="http://schemas.openxmlformats.org/officeDocument/2006/relationships/hyperlink" Target="https://statiz.sporki.com/player/?m=playerinfo&amp;p_no=14850" TargetMode="External"/><Relationship Id="rId1566" Type="http://schemas.openxmlformats.org/officeDocument/2006/relationships/hyperlink" Target="https://statiz.sporki.com/add/?m=draft_school02&amp;ps_school=" TargetMode="External"/><Relationship Id="rId2617" Type="http://schemas.openxmlformats.org/officeDocument/2006/relationships/hyperlink" Target="https://statiz.sporki.com/player/?m=playerinfo&amp;p_no=13060" TargetMode="External"/><Relationship Id="rId15031" Type="http://schemas.openxmlformats.org/officeDocument/2006/relationships/hyperlink" Target="https://statiz.sporki.com/player/?m=playerinfo&amp;p_no=2083" TargetMode="External"/><Relationship Id="rId19652" Type="http://schemas.openxmlformats.org/officeDocument/2006/relationships/hyperlink" Target="https://statiz.sporki.com/add/?m=draft_school01&amp;ps_school=50711" TargetMode="External"/><Relationship Id="rId4789" Type="http://schemas.openxmlformats.org/officeDocument/2006/relationships/hyperlink" Target="https://statiz.sporki.com/player/?m=playerinfo&amp;p_no=11162" TargetMode="External"/><Relationship Id="rId8660" Type="http://schemas.openxmlformats.org/officeDocument/2006/relationships/hyperlink" Target="https://statiz.sporki.com/add/?m=draft_school01&amp;ps_school=50702" TargetMode="External"/><Relationship Id="rId9711" Type="http://schemas.openxmlformats.org/officeDocument/2006/relationships/hyperlink" Target="https://statiz.sporki.com/add/?m=draft_school02&amp;ps_school=60113" TargetMode="External"/><Relationship Id="rId10590" Type="http://schemas.openxmlformats.org/officeDocument/2006/relationships/hyperlink" Target="https://statiz.sporki.com/add/?m=draft_school02&amp;ps_school=60802" TargetMode="External"/><Relationship Id="rId11641" Type="http://schemas.openxmlformats.org/officeDocument/2006/relationships/hyperlink" Target="https://statiz.sporki.com/player/?m=playerinfo&amp;p_no=1156" TargetMode="External"/><Relationship Id="rId18254" Type="http://schemas.openxmlformats.org/officeDocument/2006/relationships/hyperlink" Target="https://statiz.sporki.com/add/?m=draft_school01&amp;ps_school=50602" TargetMode="External"/><Relationship Id="rId19305" Type="http://schemas.openxmlformats.org/officeDocument/2006/relationships/hyperlink" Target="https://statiz.sporki.com/add/?m=draft_school01&amp;ps_school=50805" TargetMode="External"/><Relationship Id="rId1700" Type="http://schemas.openxmlformats.org/officeDocument/2006/relationships/hyperlink" Target="https://statiz.sporki.com/add/?m=draft_school01&amp;ps_school=50901" TargetMode="External"/><Relationship Id="rId7262" Type="http://schemas.openxmlformats.org/officeDocument/2006/relationships/hyperlink" Target="https://statiz.sporki.com/add/?m=draft_school01&amp;ps_school=" TargetMode="External"/><Relationship Id="rId8313" Type="http://schemas.openxmlformats.org/officeDocument/2006/relationships/hyperlink" Target="https://statiz.sporki.com/add/?m=draft_school02&amp;ps_school=" TargetMode="External"/><Relationship Id="rId10243" Type="http://schemas.openxmlformats.org/officeDocument/2006/relationships/hyperlink" Target="https://statiz.sporki.com/player/?m=playerinfo&amp;p_no=1593" TargetMode="External"/><Relationship Id="rId3872" Type="http://schemas.openxmlformats.org/officeDocument/2006/relationships/hyperlink" Target="https://statiz.sporki.com/add/?m=draft_school01&amp;ps_school=50207" TargetMode="External"/><Relationship Id="rId13466" Type="http://schemas.openxmlformats.org/officeDocument/2006/relationships/hyperlink" Target="https://statiz.sporki.com/player/?m=playerinfo&amp;p_no=11498" TargetMode="External"/><Relationship Id="rId14864" Type="http://schemas.openxmlformats.org/officeDocument/2006/relationships/hyperlink" Target="https://statiz.sporki.com/player/?m=playerinfo&amp;p_no=10634" TargetMode="External"/><Relationship Id="rId15915" Type="http://schemas.openxmlformats.org/officeDocument/2006/relationships/hyperlink" Target="https://statiz.sporki.com/player/?m=playerinfo&amp;p_no=1254" TargetMode="External"/><Relationship Id="rId793" Type="http://schemas.openxmlformats.org/officeDocument/2006/relationships/hyperlink" Target="https://statiz.sporki.com/player/?m=playerinfo&amp;p_no=15054" TargetMode="External"/><Relationship Id="rId2474" Type="http://schemas.openxmlformats.org/officeDocument/2006/relationships/hyperlink" Target="https://statiz.sporki.com/add/?m=draft_school01&amp;ps_school=50116" TargetMode="External"/><Relationship Id="rId3525" Type="http://schemas.openxmlformats.org/officeDocument/2006/relationships/hyperlink" Target="https://statiz.sporki.com/add/?m=draft_school02&amp;ps_school=" TargetMode="External"/><Relationship Id="rId4923" Type="http://schemas.openxmlformats.org/officeDocument/2006/relationships/hyperlink" Target="https://statiz.sporki.com/add/?m=draft_school02&amp;ps_school=60104" TargetMode="External"/><Relationship Id="rId9087" Type="http://schemas.openxmlformats.org/officeDocument/2006/relationships/hyperlink" Target="https://statiz.sporki.com/add/?m=draft_school02&amp;ps_school=" TargetMode="External"/><Relationship Id="rId12068" Type="http://schemas.openxmlformats.org/officeDocument/2006/relationships/hyperlink" Target="https://statiz.sporki.com/add/?m=draft_school01&amp;ps_school=50711" TargetMode="External"/><Relationship Id="rId13119" Type="http://schemas.openxmlformats.org/officeDocument/2006/relationships/hyperlink" Target="https://statiz.sporki.com/player/?m=playerinfo&amp;p_no=12919" TargetMode="External"/><Relationship Id="rId14517" Type="http://schemas.openxmlformats.org/officeDocument/2006/relationships/hyperlink" Target="https://statiz.sporki.com/player/?m=playerinfo&amp;p_no=10486" TargetMode="External"/><Relationship Id="rId446" Type="http://schemas.openxmlformats.org/officeDocument/2006/relationships/hyperlink" Target="https://statiz.sporki.com/add/?m=draft_school01&amp;ps_school=50402" TargetMode="External"/><Relationship Id="rId1076" Type="http://schemas.openxmlformats.org/officeDocument/2006/relationships/hyperlink" Target="https://statiz.sporki.com/add/?m=draft_school01&amp;ps_school=50110" TargetMode="External"/><Relationship Id="rId2127" Type="http://schemas.openxmlformats.org/officeDocument/2006/relationships/hyperlink" Target="https://statiz.sporki.com/add/?m=draft_school02&amp;ps_school=60109" TargetMode="External"/><Relationship Id="rId16689" Type="http://schemas.openxmlformats.org/officeDocument/2006/relationships/hyperlink" Target="https://statiz.sporki.com/add/?m=draft_school01&amp;ps_school=50703" TargetMode="External"/><Relationship Id="rId4299" Type="http://schemas.openxmlformats.org/officeDocument/2006/relationships/hyperlink" Target="https://statiz.sporki.com/add/?m=draft_school02&amp;ps_school=" TargetMode="External"/><Relationship Id="rId5697" Type="http://schemas.openxmlformats.org/officeDocument/2006/relationships/hyperlink" Target="https://statiz.sporki.com/add/?m=draft_school02&amp;ps_school=60203" TargetMode="External"/><Relationship Id="rId6748" Type="http://schemas.openxmlformats.org/officeDocument/2006/relationships/hyperlink" Target="https://statiz.sporki.com/player/?m=playerinfo&amp;p_no=10067" TargetMode="External"/><Relationship Id="rId8170" Type="http://schemas.openxmlformats.org/officeDocument/2006/relationships/hyperlink" Target="https://statiz.sporki.com/player/?m=playerinfo&amp;p_no=2216" TargetMode="External"/><Relationship Id="rId13600" Type="http://schemas.openxmlformats.org/officeDocument/2006/relationships/hyperlink" Target="https://statiz.sporki.com/player/?m=playerinfo&amp;p_no=11275" TargetMode="External"/><Relationship Id="rId19162" Type="http://schemas.openxmlformats.org/officeDocument/2006/relationships/hyperlink" Target="https://statiz.sporki.com/add/?m=draft_school01&amp;ps_school=50403" TargetMode="External"/><Relationship Id="rId9221" Type="http://schemas.openxmlformats.org/officeDocument/2006/relationships/hyperlink" Target="https://statiz.sporki.com/add/?m=draft_school01&amp;ps_school=50604" TargetMode="External"/><Relationship Id="rId11151" Type="http://schemas.openxmlformats.org/officeDocument/2006/relationships/hyperlink" Target="https://statiz.sporki.com/add/?m=draft_school02&amp;ps_school=60111" TargetMode="External"/><Relationship Id="rId12202" Type="http://schemas.openxmlformats.org/officeDocument/2006/relationships/hyperlink" Target="https://statiz.sporki.com/player/?m=playerinfo&amp;p_no=15427" TargetMode="External"/><Relationship Id="rId15772" Type="http://schemas.openxmlformats.org/officeDocument/2006/relationships/hyperlink" Target="https://statiz.sporki.com/player/?m=playerinfo&amp;p_no=1391" TargetMode="External"/><Relationship Id="rId16823" Type="http://schemas.openxmlformats.org/officeDocument/2006/relationships/hyperlink" Target="https://statiz.sporki.com/add/?m=draft_school01&amp;ps_school=50101" TargetMode="External"/><Relationship Id="rId1210" Type="http://schemas.openxmlformats.org/officeDocument/2006/relationships/hyperlink" Target="https://statiz.sporki.com/player/?m=playerinfo&amp;p_no=14838" TargetMode="External"/><Relationship Id="rId4780" Type="http://schemas.openxmlformats.org/officeDocument/2006/relationships/hyperlink" Target="https://statiz.sporki.com/player/?m=playerinfo&amp;p_no=10879" TargetMode="External"/><Relationship Id="rId5831" Type="http://schemas.openxmlformats.org/officeDocument/2006/relationships/hyperlink" Target="https://statiz.sporki.com/add/?m=draft_school01&amp;ps_school=50113" TargetMode="External"/><Relationship Id="rId14374" Type="http://schemas.openxmlformats.org/officeDocument/2006/relationships/hyperlink" Target="https://statiz.sporki.com/player/?m=playerinfo&amp;p_no=10106" TargetMode="External"/><Relationship Id="rId15425" Type="http://schemas.openxmlformats.org/officeDocument/2006/relationships/hyperlink" Target="https://statiz.sporki.com/player/?m=playerinfo&amp;p_no=1700" TargetMode="External"/><Relationship Id="rId3382" Type="http://schemas.openxmlformats.org/officeDocument/2006/relationships/hyperlink" Target="https://statiz.sporki.com/player/?m=playerinfo&amp;p_no=12640" TargetMode="External"/><Relationship Id="rId4433" Type="http://schemas.openxmlformats.org/officeDocument/2006/relationships/hyperlink" Target="https://statiz.sporki.com/add/?m=draft_school01&amp;ps_school=50107" TargetMode="External"/><Relationship Id="rId14027" Type="http://schemas.openxmlformats.org/officeDocument/2006/relationships/hyperlink" Target="https://statiz.sporki.com/player/?m=playerinfo&amp;p_no=2436" TargetMode="External"/><Relationship Id="rId17597" Type="http://schemas.openxmlformats.org/officeDocument/2006/relationships/hyperlink" Target="https://statiz.sporki.com/add/?m=draft_school01&amp;ps_school=50602" TargetMode="External"/><Relationship Id="rId18995" Type="http://schemas.openxmlformats.org/officeDocument/2006/relationships/hyperlink" Target="https://statiz.sporki.com/add/?m=draft_school01&amp;ps_school=50701" TargetMode="External"/><Relationship Id="rId3035" Type="http://schemas.openxmlformats.org/officeDocument/2006/relationships/hyperlink" Target="https://statiz.sporki.com/add/?m=draft_school01&amp;ps_school=50809" TargetMode="External"/><Relationship Id="rId7656" Type="http://schemas.openxmlformats.org/officeDocument/2006/relationships/hyperlink" Target="https://statiz.sporki.com/add/?m=draft_school02&amp;ps_school=60802" TargetMode="External"/><Relationship Id="rId8707" Type="http://schemas.openxmlformats.org/officeDocument/2006/relationships/hyperlink" Target="https://statiz.sporki.com/player/?m=playerinfo&amp;p_no=2005" TargetMode="External"/><Relationship Id="rId10984" Type="http://schemas.openxmlformats.org/officeDocument/2006/relationships/hyperlink" Target="https://statiz.sporki.com/player/?m=playerinfo&amp;p_no=1353" TargetMode="External"/><Relationship Id="rId16199" Type="http://schemas.openxmlformats.org/officeDocument/2006/relationships/hyperlink" Target="https://statiz.sporki.com/add/?m=draft_school01&amp;ps_school=50403" TargetMode="External"/><Relationship Id="rId18648" Type="http://schemas.openxmlformats.org/officeDocument/2006/relationships/hyperlink" Target="https://statiz.sporki.com/add/?m=draft_school01&amp;ps_school=50403" TargetMode="External"/><Relationship Id="rId6258" Type="http://schemas.openxmlformats.org/officeDocument/2006/relationships/hyperlink" Target="https://statiz.sporki.com/add/?m=draft_school02&amp;ps_school=60106" TargetMode="External"/><Relationship Id="rId7309" Type="http://schemas.openxmlformats.org/officeDocument/2006/relationships/hyperlink" Target="https://statiz.sporki.com/player/?m=playerinfo&amp;p_no=10599" TargetMode="External"/><Relationship Id="rId10637" Type="http://schemas.openxmlformats.org/officeDocument/2006/relationships/hyperlink" Target="https://statiz.sporki.com/add/?m=draft_school01&amp;ps_school=50702" TargetMode="External"/><Relationship Id="rId13110" Type="http://schemas.openxmlformats.org/officeDocument/2006/relationships/hyperlink" Target="https://statiz.sporki.com/player/?m=playerinfo&amp;p_no=12857" TargetMode="External"/><Relationship Id="rId16680" Type="http://schemas.openxmlformats.org/officeDocument/2006/relationships/hyperlink" Target="https://statiz.sporki.com/add/?m=draft_school01&amp;ps_school=50801" TargetMode="External"/><Relationship Id="rId17731" Type="http://schemas.openxmlformats.org/officeDocument/2006/relationships/hyperlink" Target="https://statiz.sporki.com/add/?m=draft_school01&amp;ps_school=50702" TargetMode="External"/><Relationship Id="rId2868" Type="http://schemas.openxmlformats.org/officeDocument/2006/relationships/hyperlink" Target="https://statiz.sporki.com/add/?m=draft_school02&amp;ps_school=" TargetMode="External"/><Relationship Id="rId3919" Type="http://schemas.openxmlformats.org/officeDocument/2006/relationships/hyperlink" Target="https://statiz.sporki.com/player/?m=playerinfo&amp;p_no=11497" TargetMode="External"/><Relationship Id="rId15282" Type="http://schemas.openxmlformats.org/officeDocument/2006/relationships/hyperlink" Target="https://statiz.sporki.com/player/?m=playerinfo&amp;p_no=1784" TargetMode="External"/><Relationship Id="rId16333" Type="http://schemas.openxmlformats.org/officeDocument/2006/relationships/hyperlink" Target="https://statiz.sporki.com/add/?m=draft_school01&amp;ps_school=50901" TargetMode="External"/><Relationship Id="rId4290" Type="http://schemas.openxmlformats.org/officeDocument/2006/relationships/hyperlink" Target="https://statiz.sporki.com/add/?m=draft_school02&amp;ps_school=" TargetMode="External"/><Relationship Id="rId5341" Type="http://schemas.openxmlformats.org/officeDocument/2006/relationships/hyperlink" Target="https://statiz.sporki.com/player/?m=playerinfo&amp;p_no=10741" TargetMode="External"/><Relationship Id="rId9962" Type="http://schemas.openxmlformats.org/officeDocument/2006/relationships/hyperlink" Target="https://statiz.sporki.com/add/?m=draft_school01&amp;ps_school=50210" TargetMode="External"/><Relationship Id="rId11892" Type="http://schemas.openxmlformats.org/officeDocument/2006/relationships/hyperlink" Target="https://statiz.sporki.com/add/?m=draft_school02&amp;ps_school=60803" TargetMode="External"/><Relationship Id="rId19556" Type="http://schemas.openxmlformats.org/officeDocument/2006/relationships/hyperlink" Target="https://statiz.sporki.com/add/?m=draft_school01&amp;ps_school=50102" TargetMode="External"/><Relationship Id="rId1951" Type="http://schemas.openxmlformats.org/officeDocument/2006/relationships/hyperlink" Target="https://statiz.sporki.com/player/?m=playerinfo&amp;p_no=14133" TargetMode="External"/><Relationship Id="rId8564" Type="http://schemas.openxmlformats.org/officeDocument/2006/relationships/hyperlink" Target="https://statiz.sporki.com/add/?m=draft_school01&amp;ps_school=50609" TargetMode="External"/><Relationship Id="rId9615" Type="http://schemas.openxmlformats.org/officeDocument/2006/relationships/hyperlink" Target="https://statiz.sporki.com/add/?m=draft_school02&amp;ps_school=60104" TargetMode="External"/><Relationship Id="rId10494" Type="http://schemas.openxmlformats.org/officeDocument/2006/relationships/hyperlink" Target="https://statiz.sporki.com/add/?m=draft_school02&amp;ps_school=" TargetMode="External"/><Relationship Id="rId11545" Type="http://schemas.openxmlformats.org/officeDocument/2006/relationships/hyperlink" Target="https://statiz.sporki.com/player/?m=playerinfo&amp;p_no=1174" TargetMode="External"/><Relationship Id="rId12943" Type="http://schemas.openxmlformats.org/officeDocument/2006/relationships/hyperlink" Target="https://statiz.sporki.com/player/?m=playerinfo&amp;p_no=13159" TargetMode="External"/><Relationship Id="rId18158" Type="http://schemas.openxmlformats.org/officeDocument/2006/relationships/hyperlink" Target="https://statiz.sporki.com/add/?m=draft_school01&amp;ps_school=50113" TargetMode="External"/><Relationship Id="rId19209" Type="http://schemas.openxmlformats.org/officeDocument/2006/relationships/hyperlink" Target="https://statiz.sporki.com/add/?m=draft_school01&amp;ps_school=50210" TargetMode="External"/><Relationship Id="rId1604" Type="http://schemas.openxmlformats.org/officeDocument/2006/relationships/hyperlink" Target="https://statiz.sporki.com/add/?m=draft_school01&amp;ps_school=50207" TargetMode="External"/><Relationship Id="rId7166" Type="http://schemas.openxmlformats.org/officeDocument/2006/relationships/hyperlink" Target="https://statiz.sporki.com/add/?m=draft_school01&amp;ps_school=50116" TargetMode="External"/><Relationship Id="rId8217" Type="http://schemas.openxmlformats.org/officeDocument/2006/relationships/hyperlink" Target="https://statiz.sporki.com/add/?m=draft_school02&amp;ps_school=60802" TargetMode="External"/><Relationship Id="rId10147" Type="http://schemas.openxmlformats.org/officeDocument/2006/relationships/hyperlink" Target="https://statiz.sporki.com/player/?m=playerinfo&amp;p_no=1585" TargetMode="External"/><Relationship Id="rId14768" Type="http://schemas.openxmlformats.org/officeDocument/2006/relationships/hyperlink" Target="https://statiz.sporki.com/player/?m=playerinfo&amp;p_no=10517" TargetMode="External"/><Relationship Id="rId15819" Type="http://schemas.openxmlformats.org/officeDocument/2006/relationships/hyperlink" Target="https://statiz.sporki.com/player/?m=playerinfo&amp;p_no=1534" TargetMode="External"/><Relationship Id="rId16190" Type="http://schemas.openxmlformats.org/officeDocument/2006/relationships/hyperlink" Target="https://statiz.sporki.com/add/?m=draft_school01&amp;ps_school=50114" TargetMode="External"/><Relationship Id="rId697" Type="http://schemas.openxmlformats.org/officeDocument/2006/relationships/hyperlink" Target="https://statiz.sporki.com/player/?m=playerinfo&amp;p_no=15030" TargetMode="External"/><Relationship Id="rId2378" Type="http://schemas.openxmlformats.org/officeDocument/2006/relationships/hyperlink" Target="https://statiz.sporki.com/add/?m=draft_school01&amp;ps_school=50602" TargetMode="External"/><Relationship Id="rId3429" Type="http://schemas.openxmlformats.org/officeDocument/2006/relationships/hyperlink" Target="https://statiz.sporki.com/add/?m=draft_school02&amp;ps_school=60114" TargetMode="External"/><Relationship Id="rId3776" Type="http://schemas.openxmlformats.org/officeDocument/2006/relationships/hyperlink" Target="https://statiz.sporki.com/add/?m=draft_school01&amp;ps_school=50210" TargetMode="External"/><Relationship Id="rId4827" Type="http://schemas.openxmlformats.org/officeDocument/2006/relationships/hyperlink" Target="https://statiz.sporki.com/add/?m=draft_school02&amp;ps_school=" TargetMode="External"/><Relationship Id="rId17241" Type="http://schemas.openxmlformats.org/officeDocument/2006/relationships/hyperlink" Target="https://statiz.sporki.com/add/?m=draft_school01&amp;ps_school=50107" TargetMode="External"/><Relationship Id="rId6999" Type="http://schemas.openxmlformats.org/officeDocument/2006/relationships/hyperlink" Target="https://statiz.sporki.com/add/?m=draft_school02&amp;ps_school=" TargetMode="External"/><Relationship Id="rId7300" Type="http://schemas.openxmlformats.org/officeDocument/2006/relationships/hyperlink" Target="https://statiz.sporki.com/player/?m=playerinfo&amp;p_no=2271" TargetMode="External"/><Relationship Id="rId13851" Type="http://schemas.openxmlformats.org/officeDocument/2006/relationships/hyperlink" Target="https://statiz.sporki.com/player/?m=playerinfo&amp;p_no=10833" TargetMode="External"/><Relationship Id="rId14902" Type="http://schemas.openxmlformats.org/officeDocument/2006/relationships/hyperlink" Target="https://statiz.sporki.com/player/?m=playerinfo&amp;p_no=2093" TargetMode="External"/><Relationship Id="rId3910" Type="http://schemas.openxmlformats.org/officeDocument/2006/relationships/hyperlink" Target="https://statiz.sporki.com/player/?m=playerinfo&amp;p_no=11495" TargetMode="External"/><Relationship Id="rId9472" Type="http://schemas.openxmlformats.org/officeDocument/2006/relationships/hyperlink" Target="https://statiz.sporki.com/player/?m=playerinfo&amp;p_no=10109" TargetMode="External"/><Relationship Id="rId12453" Type="http://schemas.openxmlformats.org/officeDocument/2006/relationships/hyperlink" Target="https://statiz.sporki.com/player/?m=playerinfo&amp;p_no=15131" TargetMode="External"/><Relationship Id="rId13504" Type="http://schemas.openxmlformats.org/officeDocument/2006/relationships/hyperlink" Target="https://statiz.sporki.com/player/?m=playerinfo&amp;p_no=11259" TargetMode="External"/><Relationship Id="rId19066" Type="http://schemas.openxmlformats.org/officeDocument/2006/relationships/hyperlink" Target="https://statiz.sporki.com/add/?m=draft_school01&amp;ps_school=50601" TargetMode="External"/><Relationship Id="rId831" Type="http://schemas.openxmlformats.org/officeDocument/2006/relationships/hyperlink" Target="https://statiz.sporki.com/add/?m=draft_school02&amp;ps_school=" TargetMode="External"/><Relationship Id="rId1461" Type="http://schemas.openxmlformats.org/officeDocument/2006/relationships/hyperlink" Target="https://statiz.sporki.com/add/?m=draft_school02&amp;ps_school=" TargetMode="External"/><Relationship Id="rId2512" Type="http://schemas.openxmlformats.org/officeDocument/2006/relationships/hyperlink" Target="https://statiz.sporki.com/player/?m=playerinfo&amp;p_no=13131" TargetMode="External"/><Relationship Id="rId8074" Type="http://schemas.openxmlformats.org/officeDocument/2006/relationships/hyperlink" Target="https://statiz.sporki.com/player/?m=playerinfo&amp;p_no=2092" TargetMode="External"/><Relationship Id="rId9125" Type="http://schemas.openxmlformats.org/officeDocument/2006/relationships/hyperlink" Target="https://statiz.sporki.com/add/?m=draft_school01&amp;ps_school=50113" TargetMode="External"/><Relationship Id="rId11055" Type="http://schemas.openxmlformats.org/officeDocument/2006/relationships/hyperlink" Target="https://statiz.sporki.com/add/?m=draft_school02&amp;ps_school=" TargetMode="External"/><Relationship Id="rId12106" Type="http://schemas.openxmlformats.org/officeDocument/2006/relationships/hyperlink" Target="https://statiz.sporki.com/player/?m=playerinfo&amp;p_no=1103" TargetMode="External"/><Relationship Id="rId15676" Type="http://schemas.openxmlformats.org/officeDocument/2006/relationships/hyperlink" Target="https://statiz.sporki.com/player/?m=playerinfo&amp;p_no=1468" TargetMode="External"/><Relationship Id="rId1114" Type="http://schemas.openxmlformats.org/officeDocument/2006/relationships/hyperlink" Target="https://statiz.sporki.com/player/?m=playerinfo&amp;p_no=14766" TargetMode="External"/><Relationship Id="rId4684" Type="http://schemas.openxmlformats.org/officeDocument/2006/relationships/hyperlink" Target="https://statiz.sporki.com/player/?m=playerinfo&amp;p_no=11177" TargetMode="External"/><Relationship Id="rId5735" Type="http://schemas.openxmlformats.org/officeDocument/2006/relationships/hyperlink" Target="https://statiz.sporki.com/add/?m=draft_school01&amp;ps_school=50602" TargetMode="External"/><Relationship Id="rId14278" Type="http://schemas.openxmlformats.org/officeDocument/2006/relationships/hyperlink" Target="https://statiz.sporki.com/player/?m=playerinfo&amp;p_no=10662" TargetMode="External"/><Relationship Id="rId15329" Type="http://schemas.openxmlformats.org/officeDocument/2006/relationships/hyperlink" Target="https://statiz.sporki.com/player/?m=playerinfo&amp;p_no=10036" TargetMode="External"/><Relationship Id="rId16727" Type="http://schemas.openxmlformats.org/officeDocument/2006/relationships/hyperlink" Target="https://statiz.sporki.com/add/?m=draft_school01&amp;ps_school=50103" TargetMode="External"/><Relationship Id="rId19200" Type="http://schemas.openxmlformats.org/officeDocument/2006/relationships/hyperlink" Target="https://statiz.sporki.com/add/?m=draft_school01&amp;ps_school=50105" TargetMode="External"/><Relationship Id="rId3286" Type="http://schemas.openxmlformats.org/officeDocument/2006/relationships/hyperlink" Target="https://statiz.sporki.com/player/?m=playerinfo&amp;p_no=12606" TargetMode="External"/><Relationship Id="rId4337" Type="http://schemas.openxmlformats.org/officeDocument/2006/relationships/hyperlink" Target="https://statiz.sporki.com/add/?m=draft_school01&amp;ps_school=" TargetMode="External"/><Relationship Id="rId18899" Type="http://schemas.openxmlformats.org/officeDocument/2006/relationships/hyperlink" Target="https://statiz.sporki.com/add/?m=draft_school01&amp;ps_school=50501" TargetMode="External"/><Relationship Id="rId8958" Type="http://schemas.openxmlformats.org/officeDocument/2006/relationships/hyperlink" Target="https://statiz.sporki.com/add/?m=draft_school02&amp;ps_school=60109" TargetMode="External"/><Relationship Id="rId10888" Type="http://schemas.openxmlformats.org/officeDocument/2006/relationships/hyperlink" Target="https://statiz.sporki.com/player/?m=playerinfo&amp;p_no=11472" TargetMode="External"/><Relationship Id="rId11939" Type="http://schemas.openxmlformats.org/officeDocument/2006/relationships/hyperlink" Target="https://statiz.sporki.com/add/?m=draft_school01&amp;ps_school=50712" TargetMode="External"/><Relationship Id="rId15810" Type="http://schemas.openxmlformats.org/officeDocument/2006/relationships/hyperlink" Target="https://statiz.sporki.com/player/?m=playerinfo&amp;p_no=1341" TargetMode="External"/><Relationship Id="rId13361" Type="http://schemas.openxmlformats.org/officeDocument/2006/relationships/hyperlink" Target="https://statiz.sporki.com/player/?m=playerinfo&amp;p_no=11353" TargetMode="External"/><Relationship Id="rId14412" Type="http://schemas.openxmlformats.org/officeDocument/2006/relationships/hyperlink" Target="https://statiz.sporki.com/player/?m=playerinfo&amp;p_no=10234" TargetMode="External"/><Relationship Id="rId17982" Type="http://schemas.openxmlformats.org/officeDocument/2006/relationships/hyperlink" Target="https://statiz.sporki.com/add/?m=draft_school01&amp;ps_school=50103" TargetMode="External"/><Relationship Id="rId3420" Type="http://schemas.openxmlformats.org/officeDocument/2006/relationships/hyperlink" Target="https://statiz.sporki.com/add/?m=draft_school02&amp;ps_school=" TargetMode="External"/><Relationship Id="rId6990" Type="http://schemas.openxmlformats.org/officeDocument/2006/relationships/hyperlink" Target="https://statiz.sporki.com/add/?m=draft_school02&amp;ps_school=" TargetMode="External"/><Relationship Id="rId13014" Type="http://schemas.openxmlformats.org/officeDocument/2006/relationships/hyperlink" Target="https://statiz.sporki.com/player/?m=playerinfo&amp;p_no=13060" TargetMode="External"/><Relationship Id="rId16584" Type="http://schemas.openxmlformats.org/officeDocument/2006/relationships/hyperlink" Target="https://statiz.sporki.com/add/?m=draft_school01&amp;ps_school=50114" TargetMode="External"/><Relationship Id="rId17635" Type="http://schemas.openxmlformats.org/officeDocument/2006/relationships/hyperlink" Target="https://statiz.sporki.com/add/?m=draft_school01&amp;ps_school=50801" TargetMode="External"/><Relationship Id="rId341" Type="http://schemas.openxmlformats.org/officeDocument/2006/relationships/hyperlink" Target="https://statiz.sporki.com/add/?m=draft_school01&amp;ps_school=" TargetMode="External"/><Relationship Id="rId2022" Type="http://schemas.openxmlformats.org/officeDocument/2006/relationships/hyperlink" Target="https://statiz.sporki.com/add/?m=draft_school02&amp;ps_school=" TargetMode="External"/><Relationship Id="rId5592" Type="http://schemas.openxmlformats.org/officeDocument/2006/relationships/hyperlink" Target="https://statiz.sporki.com/add/?m=draft_school02&amp;ps_school=60114" TargetMode="External"/><Relationship Id="rId6643" Type="http://schemas.openxmlformats.org/officeDocument/2006/relationships/hyperlink" Target="https://statiz.sporki.com/player/?m=playerinfo&amp;p_no=2386" TargetMode="External"/><Relationship Id="rId15186" Type="http://schemas.openxmlformats.org/officeDocument/2006/relationships/hyperlink" Target="https://statiz.sporki.com/player/?m=playerinfo&amp;p_no=1868" TargetMode="External"/><Relationship Id="rId16237" Type="http://schemas.openxmlformats.org/officeDocument/2006/relationships/hyperlink" Target="https://statiz.sporki.com/add/?m=draft_school01&amp;ps_school=50802" TargetMode="External"/><Relationship Id="rId4194" Type="http://schemas.openxmlformats.org/officeDocument/2006/relationships/hyperlink" Target="https://statiz.sporki.com/add/?m=draft_school02&amp;ps_school=60703" TargetMode="External"/><Relationship Id="rId5245" Type="http://schemas.openxmlformats.org/officeDocument/2006/relationships/hyperlink" Target="https://statiz.sporki.com/player/?m=playerinfo&amp;p_no=10771" TargetMode="External"/><Relationship Id="rId9866" Type="http://schemas.openxmlformats.org/officeDocument/2006/relationships/hyperlink" Target="https://statiz.sporki.com/add/?m=draft_school01&amp;ps_school=50802" TargetMode="External"/><Relationship Id="rId8468" Type="http://schemas.openxmlformats.org/officeDocument/2006/relationships/hyperlink" Target="https://statiz.sporki.com/add/?m=draft_school01&amp;ps_school=50105" TargetMode="External"/><Relationship Id="rId9519" Type="http://schemas.openxmlformats.org/officeDocument/2006/relationships/hyperlink" Target="https://statiz.sporki.com/add/?m=draft_school02&amp;ps_school=" TargetMode="External"/><Relationship Id="rId10398" Type="http://schemas.openxmlformats.org/officeDocument/2006/relationships/hyperlink" Target="https://statiz.sporki.com/add/?m=draft_school02&amp;ps_school=60802" TargetMode="External"/><Relationship Id="rId11796" Type="http://schemas.openxmlformats.org/officeDocument/2006/relationships/hyperlink" Target="https://statiz.sporki.com/add/?m=draft_school02&amp;ps_school=60108" TargetMode="External"/><Relationship Id="rId12847" Type="http://schemas.openxmlformats.org/officeDocument/2006/relationships/hyperlink" Target="https://statiz.sporki.com/player/?m=playerinfo&amp;p_no=14190" TargetMode="External"/><Relationship Id="rId1508" Type="http://schemas.openxmlformats.org/officeDocument/2006/relationships/hyperlink" Target="https://statiz.sporki.com/add/?m=draft_school01&amp;ps_school=50107" TargetMode="External"/><Relationship Id="rId1855" Type="http://schemas.openxmlformats.org/officeDocument/2006/relationships/hyperlink" Target="https://statiz.sporki.com/player/?m=playerinfo&amp;p_no=14188" TargetMode="External"/><Relationship Id="rId2906" Type="http://schemas.openxmlformats.org/officeDocument/2006/relationships/hyperlink" Target="https://statiz.sporki.com/add/?m=draft_school01&amp;ps_school=50111" TargetMode="External"/><Relationship Id="rId11449" Type="http://schemas.openxmlformats.org/officeDocument/2006/relationships/hyperlink" Target="https://statiz.sporki.com/player/?m=playerinfo&amp;p_no=1311" TargetMode="External"/><Relationship Id="rId15320" Type="http://schemas.openxmlformats.org/officeDocument/2006/relationships/hyperlink" Target="https://statiz.sporki.com/player/?m=playerinfo&amp;p_no=1858" TargetMode="External"/><Relationship Id="rId18890" Type="http://schemas.openxmlformats.org/officeDocument/2006/relationships/hyperlink" Target="https://statiz.sporki.com/add/?m=draft_school01&amp;ps_school=50609" TargetMode="External"/><Relationship Id="rId11930" Type="http://schemas.openxmlformats.org/officeDocument/2006/relationships/hyperlink" Target="https://statiz.sporki.com/add/?m=draft_school01&amp;ps_school=50812" TargetMode="External"/><Relationship Id="rId17492" Type="http://schemas.openxmlformats.org/officeDocument/2006/relationships/hyperlink" Target="https://statiz.sporki.com/add/?m=draft_school01&amp;ps_school=50114" TargetMode="External"/><Relationship Id="rId18543" Type="http://schemas.openxmlformats.org/officeDocument/2006/relationships/hyperlink" Target="https://statiz.sporki.com/add/?m=draft_school01&amp;ps_school=50202" TargetMode="External"/><Relationship Id="rId7551" Type="http://schemas.openxmlformats.org/officeDocument/2006/relationships/hyperlink" Target="https://statiz.sporki.com/add/?m=draft_school02&amp;ps_school=" TargetMode="External"/><Relationship Id="rId8602" Type="http://schemas.openxmlformats.org/officeDocument/2006/relationships/hyperlink" Target="https://statiz.sporki.com/player/?m=playerinfo&amp;p_no=2014" TargetMode="External"/><Relationship Id="rId10532" Type="http://schemas.openxmlformats.org/officeDocument/2006/relationships/hyperlink" Target="https://statiz.sporki.com/add/?m=draft_school01&amp;ps_school=50107" TargetMode="External"/><Relationship Id="rId16094" Type="http://schemas.openxmlformats.org/officeDocument/2006/relationships/hyperlink" Target="https://statiz.sporki.com/player/?m=playerinfo&amp;p_no=1047" TargetMode="External"/><Relationship Id="rId17145" Type="http://schemas.openxmlformats.org/officeDocument/2006/relationships/hyperlink" Target="https://statiz.sporki.com/add/?m=draft_school01&amp;ps_school=50108" TargetMode="External"/><Relationship Id="rId6153" Type="http://schemas.openxmlformats.org/officeDocument/2006/relationships/hyperlink" Target="https://statiz.sporki.com/add/?m=draft_school02&amp;ps_school=" TargetMode="External"/><Relationship Id="rId7204" Type="http://schemas.openxmlformats.org/officeDocument/2006/relationships/hyperlink" Target="https://statiz.sporki.com/player/?m=playerinfo&amp;p_no=10275" TargetMode="External"/><Relationship Id="rId13755" Type="http://schemas.openxmlformats.org/officeDocument/2006/relationships/hyperlink" Target="https://statiz.sporki.com/player/?m=playerinfo&amp;p_no=11148" TargetMode="External"/><Relationship Id="rId2763" Type="http://schemas.openxmlformats.org/officeDocument/2006/relationships/hyperlink" Target="https://statiz.sporki.com/add/?m=draft_school02&amp;ps_school=" TargetMode="External"/><Relationship Id="rId3814" Type="http://schemas.openxmlformats.org/officeDocument/2006/relationships/hyperlink" Target="https://statiz.sporki.com/player/?m=playerinfo&amp;p_no=11391" TargetMode="External"/><Relationship Id="rId9376" Type="http://schemas.openxmlformats.org/officeDocument/2006/relationships/hyperlink" Target="https://statiz.sporki.com/player/?m=playerinfo&amp;p_no=1794" TargetMode="External"/><Relationship Id="rId12357" Type="http://schemas.openxmlformats.org/officeDocument/2006/relationships/hyperlink" Target="https://statiz.sporki.com/player/?m=playerinfo&amp;p_no=15039" TargetMode="External"/><Relationship Id="rId13408" Type="http://schemas.openxmlformats.org/officeDocument/2006/relationships/hyperlink" Target="https://statiz.sporki.com/player/?m=playerinfo&amp;p_no=11350" TargetMode="External"/><Relationship Id="rId14806" Type="http://schemas.openxmlformats.org/officeDocument/2006/relationships/hyperlink" Target="https://statiz.sporki.com/player/?m=playerinfo&amp;p_no=2138" TargetMode="External"/><Relationship Id="rId735" Type="http://schemas.openxmlformats.org/officeDocument/2006/relationships/hyperlink" Target="https://statiz.sporki.com/add/?m=draft_school02&amp;ps_school=" TargetMode="External"/><Relationship Id="rId1365" Type="http://schemas.openxmlformats.org/officeDocument/2006/relationships/hyperlink" Target="https://statiz.sporki.com/add/?m=draft_school02&amp;ps_school=60111" TargetMode="External"/><Relationship Id="rId2416" Type="http://schemas.openxmlformats.org/officeDocument/2006/relationships/hyperlink" Target="https://statiz.sporki.com/player/?m=playerinfo&amp;p_no=13106" TargetMode="External"/><Relationship Id="rId9029" Type="http://schemas.openxmlformats.org/officeDocument/2006/relationships/hyperlink" Target="https://statiz.sporki.com/add/?m=draft_school01&amp;ps_school=50209" TargetMode="External"/><Relationship Id="rId16978" Type="http://schemas.openxmlformats.org/officeDocument/2006/relationships/hyperlink" Target="https://statiz.sporki.com/add/?m=draft_school01&amp;ps_school=50102" TargetMode="External"/><Relationship Id="rId1018" Type="http://schemas.openxmlformats.org/officeDocument/2006/relationships/hyperlink" Target="https://statiz.sporki.com/player/?m=playerinfo&amp;p_no=14776" TargetMode="External"/><Relationship Id="rId4588" Type="http://schemas.openxmlformats.org/officeDocument/2006/relationships/hyperlink" Target="https://statiz.sporki.com/player/?m=playerinfo&amp;p_no=11169" TargetMode="External"/><Relationship Id="rId5639" Type="http://schemas.openxmlformats.org/officeDocument/2006/relationships/hyperlink" Target="https://statiz.sporki.com/add/?m=draft_school01&amp;ps_school=50207" TargetMode="External"/><Relationship Id="rId5986" Type="http://schemas.openxmlformats.org/officeDocument/2006/relationships/hyperlink" Target="https://statiz.sporki.com/player/?m=playerinfo&amp;p_no=11215" TargetMode="External"/><Relationship Id="rId18053" Type="http://schemas.openxmlformats.org/officeDocument/2006/relationships/hyperlink" Target="https://statiz.sporki.com/add/?m=draft_school01&amp;ps_school=50702" TargetMode="External"/><Relationship Id="rId19451" Type="http://schemas.openxmlformats.org/officeDocument/2006/relationships/hyperlink" Target="https://statiz.sporki.com/add/?m=draft_school01&amp;ps_school=50123" TargetMode="External"/><Relationship Id="rId71" Type="http://schemas.openxmlformats.org/officeDocument/2006/relationships/hyperlink" Target="https://statiz.sporki.com/add/?m=draft_school01&amp;ps_school=50803" TargetMode="External"/><Relationship Id="rId7061" Type="http://schemas.openxmlformats.org/officeDocument/2006/relationships/hyperlink" Target="https://statiz.sporki.com/add/?m=draft_school01&amp;ps_school=" TargetMode="External"/><Relationship Id="rId8112" Type="http://schemas.openxmlformats.org/officeDocument/2006/relationships/hyperlink" Target="https://statiz.sporki.com/add/?m=draft_school02&amp;ps_school=60102" TargetMode="External"/><Relationship Id="rId9510" Type="http://schemas.openxmlformats.org/officeDocument/2006/relationships/hyperlink" Target="https://statiz.sporki.com/add/?m=draft_school02&amp;ps_school=" TargetMode="External"/><Relationship Id="rId11440" Type="http://schemas.openxmlformats.org/officeDocument/2006/relationships/hyperlink" Target="https://statiz.sporki.com/player/?m=playerinfo&amp;p_no=1227" TargetMode="External"/><Relationship Id="rId19104" Type="http://schemas.openxmlformats.org/officeDocument/2006/relationships/hyperlink" Target="https://statiz.sporki.com/add/?m=draft_school01&amp;ps_school=50711" TargetMode="External"/><Relationship Id="rId10042" Type="http://schemas.openxmlformats.org/officeDocument/2006/relationships/hyperlink" Target="https://statiz.sporki.com/player/?m=playerinfo&amp;p_no=1570" TargetMode="External"/><Relationship Id="rId14663" Type="http://schemas.openxmlformats.org/officeDocument/2006/relationships/hyperlink" Target="https://statiz.sporki.com/player/?m=playerinfo&amp;p_no=10083" TargetMode="External"/><Relationship Id="rId15714" Type="http://schemas.openxmlformats.org/officeDocument/2006/relationships/hyperlink" Target="https://statiz.sporki.com/player/?m=playerinfo&amp;p_no=1449" TargetMode="External"/><Relationship Id="rId3671" Type="http://schemas.openxmlformats.org/officeDocument/2006/relationships/hyperlink" Target="https://statiz.sporki.com/add/?m=draft_school01&amp;ps_school=50805" TargetMode="External"/><Relationship Id="rId4722" Type="http://schemas.openxmlformats.org/officeDocument/2006/relationships/hyperlink" Target="https://statiz.sporki.com/add/?m=draft_school02&amp;ps_school=60801" TargetMode="External"/><Relationship Id="rId13265" Type="http://schemas.openxmlformats.org/officeDocument/2006/relationships/hyperlink" Target="https://statiz.sporki.com/player/?m=playerinfo&amp;p_no=12617" TargetMode="External"/><Relationship Id="rId14316" Type="http://schemas.openxmlformats.org/officeDocument/2006/relationships/hyperlink" Target="https://statiz.sporki.com/player/?m=playerinfo&amp;p_no=12944" TargetMode="External"/><Relationship Id="rId17886" Type="http://schemas.openxmlformats.org/officeDocument/2006/relationships/hyperlink" Target="https://statiz.sporki.com/add/?m=draft_school01&amp;ps_school=50113" TargetMode="External"/><Relationship Id="rId592" Type="http://schemas.openxmlformats.org/officeDocument/2006/relationships/hyperlink" Target="https://statiz.sporki.com/player/?m=playerinfo&amp;p_no=15016" TargetMode="External"/><Relationship Id="rId2273" Type="http://schemas.openxmlformats.org/officeDocument/2006/relationships/hyperlink" Target="https://statiz.sporki.com/add/?m=draft_school01&amp;ps_school=50208" TargetMode="External"/><Relationship Id="rId3324" Type="http://schemas.openxmlformats.org/officeDocument/2006/relationships/hyperlink" Target="https://statiz.sporki.com/add/?m=draft_school02&amp;ps_school=" TargetMode="External"/><Relationship Id="rId6894" Type="http://schemas.openxmlformats.org/officeDocument/2006/relationships/hyperlink" Target="https://statiz.sporki.com/add/?m=draft_school02&amp;ps_school=" TargetMode="External"/><Relationship Id="rId7945" Type="http://schemas.openxmlformats.org/officeDocument/2006/relationships/hyperlink" Target="https://statiz.sporki.com/player/?m=playerinfo&amp;p_no=10518" TargetMode="External"/><Relationship Id="rId16488" Type="http://schemas.openxmlformats.org/officeDocument/2006/relationships/hyperlink" Target="https://statiz.sporki.com/add/?m=draft_school01&amp;ps_school=50301" TargetMode="External"/><Relationship Id="rId17539" Type="http://schemas.openxmlformats.org/officeDocument/2006/relationships/hyperlink" Target="https://statiz.sporki.com/add/?m=draft_school01&amp;ps_school=50502" TargetMode="External"/><Relationship Id="rId18937" Type="http://schemas.openxmlformats.org/officeDocument/2006/relationships/hyperlink" Target="https://statiz.sporki.com/add/?m=draft_school01&amp;ps_school=50209" TargetMode="External"/><Relationship Id="rId245" Type="http://schemas.openxmlformats.org/officeDocument/2006/relationships/hyperlink" Target="https://statiz.sporki.com/add/?m=draft_school01&amp;ps_school=50107" TargetMode="External"/><Relationship Id="rId5496" Type="http://schemas.openxmlformats.org/officeDocument/2006/relationships/hyperlink" Target="https://statiz.sporki.com/add/?m=draft_school02&amp;ps_school=" TargetMode="External"/><Relationship Id="rId6547" Type="http://schemas.openxmlformats.org/officeDocument/2006/relationships/hyperlink" Target="https://statiz.sporki.com/player/?m=playerinfo&amp;p_no=10188" TargetMode="External"/><Relationship Id="rId10926" Type="http://schemas.openxmlformats.org/officeDocument/2006/relationships/hyperlink" Target="https://statiz.sporki.com/add/?m=draft_school02&amp;ps_school=" TargetMode="External"/><Relationship Id="rId4098" Type="http://schemas.openxmlformats.org/officeDocument/2006/relationships/hyperlink" Target="https://statiz.sporki.com/add/?m=draft_school02&amp;ps_school=" TargetMode="External"/><Relationship Id="rId5149" Type="http://schemas.openxmlformats.org/officeDocument/2006/relationships/hyperlink" Target="https://statiz.sporki.com/player/?m=playerinfo&amp;p_no=11114" TargetMode="External"/><Relationship Id="rId9020" Type="http://schemas.openxmlformats.org/officeDocument/2006/relationships/hyperlink" Target="https://statiz.sporki.com/add/?m=draft_school01&amp;ps_school=50110" TargetMode="External"/><Relationship Id="rId12001" Type="http://schemas.openxmlformats.org/officeDocument/2006/relationships/hyperlink" Target="https://statiz.sporki.com/player/?m=playerinfo&amp;p_no=1102" TargetMode="External"/><Relationship Id="rId15571" Type="http://schemas.openxmlformats.org/officeDocument/2006/relationships/hyperlink" Target="https://statiz.sporki.com/player/?m=playerinfo&amp;p_no=1544" TargetMode="External"/><Relationship Id="rId16622" Type="http://schemas.openxmlformats.org/officeDocument/2006/relationships/hyperlink" Target="https://statiz.sporki.com/add/?m=draft_school01&amp;ps_school=50805" TargetMode="External"/><Relationship Id="rId1759" Type="http://schemas.openxmlformats.org/officeDocument/2006/relationships/hyperlink" Target="https://statiz.sporki.com/player/?m=playerinfo&amp;p_no=14742" TargetMode="External"/><Relationship Id="rId3181" Type="http://schemas.openxmlformats.org/officeDocument/2006/relationships/hyperlink" Target="https://statiz.sporki.com/player/?m=playerinfo&amp;p_no=12521" TargetMode="External"/><Relationship Id="rId5630" Type="http://schemas.openxmlformats.org/officeDocument/2006/relationships/hyperlink" Target="https://statiz.sporki.com/add/?m=draft_school01&amp;ps_school=50801" TargetMode="External"/><Relationship Id="rId14173" Type="http://schemas.openxmlformats.org/officeDocument/2006/relationships/hyperlink" Target="https://statiz.sporki.com/player/?m=playerinfo&amp;p_no=10230" TargetMode="External"/><Relationship Id="rId15224" Type="http://schemas.openxmlformats.org/officeDocument/2006/relationships/hyperlink" Target="https://statiz.sporki.com/player/?m=playerinfo&amp;p_no=2017" TargetMode="External"/><Relationship Id="rId18794" Type="http://schemas.openxmlformats.org/officeDocument/2006/relationships/hyperlink" Target="https://statiz.sporki.com/add/?m=draft_school01&amp;ps_school=50110" TargetMode="External"/><Relationship Id="rId4232" Type="http://schemas.openxmlformats.org/officeDocument/2006/relationships/hyperlink" Target="https://statiz.sporki.com/add/?m=draft_school01&amp;ps_school=50103" TargetMode="External"/><Relationship Id="rId8853" Type="http://schemas.openxmlformats.org/officeDocument/2006/relationships/hyperlink" Target="https://statiz.sporki.com/add/?m=draft_school02&amp;ps_school=60113" TargetMode="External"/><Relationship Id="rId9904" Type="http://schemas.openxmlformats.org/officeDocument/2006/relationships/hyperlink" Target="https://statiz.sporki.com/player/?m=playerinfo&amp;p_no=1662" TargetMode="External"/><Relationship Id="rId10783" Type="http://schemas.openxmlformats.org/officeDocument/2006/relationships/hyperlink" Target="https://statiz.sporki.com/player/?m=playerinfo&amp;p_no=1384" TargetMode="External"/><Relationship Id="rId11834" Type="http://schemas.openxmlformats.org/officeDocument/2006/relationships/hyperlink" Target="https://statiz.sporki.com/add/?m=draft_school01&amp;ps_school=50107" TargetMode="External"/><Relationship Id="rId17396" Type="http://schemas.openxmlformats.org/officeDocument/2006/relationships/hyperlink" Target="https://statiz.sporki.com/add/?m=draft_school01&amp;ps_school=50102" TargetMode="External"/><Relationship Id="rId18447" Type="http://schemas.openxmlformats.org/officeDocument/2006/relationships/hyperlink" Target="https://statiz.sporki.com/add/?m=draft_school01&amp;ps_school=50202" TargetMode="External"/><Relationship Id="rId7455" Type="http://schemas.openxmlformats.org/officeDocument/2006/relationships/hyperlink" Target="https://statiz.sporki.com/add/?m=draft_school02&amp;ps_school=60602" TargetMode="External"/><Relationship Id="rId8506" Type="http://schemas.openxmlformats.org/officeDocument/2006/relationships/hyperlink" Target="https://statiz.sporki.com/player/?m=playerinfo&amp;p_no=10022" TargetMode="External"/><Relationship Id="rId10436" Type="http://schemas.openxmlformats.org/officeDocument/2006/relationships/hyperlink" Target="https://statiz.sporki.com/add/?m=draft_school01&amp;ps_school=50115" TargetMode="External"/><Relationship Id="rId17049" Type="http://schemas.openxmlformats.org/officeDocument/2006/relationships/hyperlink" Target="https://statiz.sporki.com/add/?m=draft_school01&amp;ps_school=50807" TargetMode="External"/><Relationship Id="rId6057" Type="http://schemas.openxmlformats.org/officeDocument/2006/relationships/hyperlink" Target="https://statiz.sporki.com/add/?m=draft_school02&amp;ps_school=" TargetMode="External"/><Relationship Id="rId7108" Type="http://schemas.openxmlformats.org/officeDocument/2006/relationships/hyperlink" Target="https://statiz.sporki.com/player/?m=playerinfo&amp;p_no=10203" TargetMode="External"/><Relationship Id="rId986" Type="http://schemas.openxmlformats.org/officeDocument/2006/relationships/hyperlink" Target="https://statiz.sporki.com/add/?m=draft_school01&amp;ps_school=50103" TargetMode="External"/><Relationship Id="rId2667" Type="http://schemas.openxmlformats.org/officeDocument/2006/relationships/hyperlink" Target="https://statiz.sporki.com/add/?m=draft_school02&amp;ps_school=" TargetMode="External"/><Relationship Id="rId3718" Type="http://schemas.openxmlformats.org/officeDocument/2006/relationships/hyperlink" Target="https://statiz.sporki.com/player/?m=playerinfo&amp;p_no=13283" TargetMode="External"/><Relationship Id="rId13659" Type="http://schemas.openxmlformats.org/officeDocument/2006/relationships/hyperlink" Target="https://statiz.sporki.com/player/?m=playerinfo&amp;p_no=11121" TargetMode="External"/><Relationship Id="rId15081" Type="http://schemas.openxmlformats.org/officeDocument/2006/relationships/hyperlink" Target="https://statiz.sporki.com/player/?m=playerinfo&amp;p_no=1915" TargetMode="External"/><Relationship Id="rId16132" Type="http://schemas.openxmlformats.org/officeDocument/2006/relationships/hyperlink" Target="https://statiz.sporki.com/player/?m=playerinfo&amp;p_no=1123" TargetMode="External"/><Relationship Id="rId17530" Type="http://schemas.openxmlformats.org/officeDocument/2006/relationships/hyperlink" Target="https://statiz.sporki.com/add/?m=draft_school01&amp;ps_school=50101" TargetMode="External"/><Relationship Id="rId639" Type="http://schemas.openxmlformats.org/officeDocument/2006/relationships/hyperlink" Target="https://statiz.sporki.com/add/?m=draft_school02&amp;ps_school=" TargetMode="External"/><Relationship Id="rId1269" Type="http://schemas.openxmlformats.org/officeDocument/2006/relationships/hyperlink" Target="https://statiz.sporki.com/add/?m=draft_school02&amp;ps_school=60114" TargetMode="External"/><Relationship Id="rId5140" Type="http://schemas.openxmlformats.org/officeDocument/2006/relationships/hyperlink" Target="https://statiz.sporki.com/player/?m=playerinfo&amp;p_no=11107" TargetMode="External"/><Relationship Id="rId9761" Type="http://schemas.openxmlformats.org/officeDocument/2006/relationships/hyperlink" Target="https://statiz.sporki.com/add/?m=draft_school01&amp;ps_school=50604" TargetMode="External"/><Relationship Id="rId11691" Type="http://schemas.openxmlformats.org/officeDocument/2006/relationships/hyperlink" Target="https://statiz.sporki.com/add/?m=draft_school02&amp;ps_school=" TargetMode="External"/><Relationship Id="rId12742" Type="http://schemas.openxmlformats.org/officeDocument/2006/relationships/hyperlink" Target="https://statiz.sporki.com/player/?m=playerinfo&amp;p_no=13677" TargetMode="External"/><Relationship Id="rId19355" Type="http://schemas.openxmlformats.org/officeDocument/2006/relationships/hyperlink" Target="https://statiz.sporki.com/add/?m=draft_school01&amp;ps_school=51100" TargetMode="External"/><Relationship Id="rId1750" Type="http://schemas.openxmlformats.org/officeDocument/2006/relationships/hyperlink" Target="https://statiz.sporki.com/player/?m=playerinfo&amp;p_no=14630" TargetMode="External"/><Relationship Id="rId2801" Type="http://schemas.openxmlformats.org/officeDocument/2006/relationships/hyperlink" Target="https://statiz.sporki.com/add/?m=draft_school01&amp;ps_school=50108" TargetMode="External"/><Relationship Id="rId8016" Type="http://schemas.openxmlformats.org/officeDocument/2006/relationships/hyperlink" Target="https://statiz.sporki.com/add/?m=draft_school02&amp;ps_school=" TargetMode="External"/><Relationship Id="rId8363" Type="http://schemas.openxmlformats.org/officeDocument/2006/relationships/hyperlink" Target="https://statiz.sporki.com/add/?m=draft_school01&amp;ps_school=50802" TargetMode="External"/><Relationship Id="rId9414" Type="http://schemas.openxmlformats.org/officeDocument/2006/relationships/hyperlink" Target="https://statiz.sporki.com/add/?m=draft_school02&amp;ps_school=60802" TargetMode="External"/><Relationship Id="rId10293" Type="http://schemas.openxmlformats.org/officeDocument/2006/relationships/hyperlink" Target="https://statiz.sporki.com/add/?m=draft_school02&amp;ps_school=60104" TargetMode="External"/><Relationship Id="rId11344" Type="http://schemas.openxmlformats.org/officeDocument/2006/relationships/hyperlink" Target="https://statiz.sporki.com/player/?m=playerinfo&amp;p_no=1276" TargetMode="External"/><Relationship Id="rId15965" Type="http://schemas.openxmlformats.org/officeDocument/2006/relationships/hyperlink" Target="https://statiz.sporki.com/player/?m=playerinfo&amp;p_no=1221" TargetMode="External"/><Relationship Id="rId19008" Type="http://schemas.openxmlformats.org/officeDocument/2006/relationships/hyperlink" Target="https://statiz.sporki.com/add/?m=draft_school01&amp;ps_school=50602" TargetMode="External"/><Relationship Id="rId1403" Type="http://schemas.openxmlformats.org/officeDocument/2006/relationships/hyperlink" Target="https://statiz.sporki.com/add/?m=draft_school01&amp;ps_school=50701" TargetMode="External"/><Relationship Id="rId4973" Type="http://schemas.openxmlformats.org/officeDocument/2006/relationships/hyperlink" Target="https://statiz.sporki.com/add/?m=draft_school01&amp;ps_school=50208" TargetMode="External"/><Relationship Id="rId14567" Type="http://schemas.openxmlformats.org/officeDocument/2006/relationships/hyperlink" Target="https://statiz.sporki.com/player/?m=playerinfo&amp;p_no=2296" TargetMode="External"/><Relationship Id="rId15618" Type="http://schemas.openxmlformats.org/officeDocument/2006/relationships/hyperlink" Target="https://statiz.sporki.com/player/?m=playerinfo&amp;p_no=1519" TargetMode="External"/><Relationship Id="rId3575" Type="http://schemas.openxmlformats.org/officeDocument/2006/relationships/hyperlink" Target="https://statiz.sporki.com/add/?m=draft_school01&amp;ps_school=50705" TargetMode="External"/><Relationship Id="rId4626" Type="http://schemas.openxmlformats.org/officeDocument/2006/relationships/hyperlink" Target="https://statiz.sporki.com/add/?m=draft_school02&amp;ps_school=60801" TargetMode="External"/><Relationship Id="rId13169" Type="http://schemas.openxmlformats.org/officeDocument/2006/relationships/hyperlink" Target="https://statiz.sporki.com/player/?m=playerinfo&amp;p_no=12952" TargetMode="External"/><Relationship Id="rId17040" Type="http://schemas.openxmlformats.org/officeDocument/2006/relationships/hyperlink" Target="https://statiz.sporki.com/add/?m=draft_school01&amp;ps_school=50706" TargetMode="External"/><Relationship Id="rId496" Type="http://schemas.openxmlformats.org/officeDocument/2006/relationships/hyperlink" Target="https://statiz.sporki.com/player/?m=playerinfo&amp;p_no=15034" TargetMode="External"/><Relationship Id="rId2177" Type="http://schemas.openxmlformats.org/officeDocument/2006/relationships/hyperlink" Target="https://statiz.sporki.com/add/?m=draft_school01&amp;ps_school=" TargetMode="External"/><Relationship Id="rId3228" Type="http://schemas.openxmlformats.org/officeDocument/2006/relationships/hyperlink" Target="https://statiz.sporki.com/add/?m=draft_school02&amp;ps_school=" TargetMode="External"/><Relationship Id="rId6798" Type="http://schemas.openxmlformats.org/officeDocument/2006/relationships/hyperlink" Target="https://statiz.sporki.com/add/?m=draft_school02&amp;ps_school=60106" TargetMode="External"/><Relationship Id="rId7849" Type="http://schemas.openxmlformats.org/officeDocument/2006/relationships/hyperlink" Target="https://statiz.sporki.com/player/?m=playerinfo&amp;p_no=10269" TargetMode="External"/><Relationship Id="rId149" Type="http://schemas.openxmlformats.org/officeDocument/2006/relationships/hyperlink" Target="https://statiz.sporki.com/add/?m=draft_school01&amp;ps_school=50805" TargetMode="External"/><Relationship Id="rId9271" Type="http://schemas.openxmlformats.org/officeDocument/2006/relationships/hyperlink" Target="https://statiz.sporki.com/player/?m=playerinfo&amp;p_no=1876" TargetMode="External"/><Relationship Id="rId13650" Type="http://schemas.openxmlformats.org/officeDocument/2006/relationships/hyperlink" Target="https://statiz.sporki.com/player/?m=playerinfo&amp;p_no=11116" TargetMode="External"/><Relationship Id="rId14701" Type="http://schemas.openxmlformats.org/officeDocument/2006/relationships/hyperlink" Target="https://statiz.sporki.com/player/?m=playerinfo&amp;p_no=10006" TargetMode="External"/><Relationship Id="rId1260" Type="http://schemas.openxmlformats.org/officeDocument/2006/relationships/hyperlink" Target="https://statiz.sporki.com/add/?m=draft_school02&amp;ps_school=" TargetMode="External"/><Relationship Id="rId12252" Type="http://schemas.openxmlformats.org/officeDocument/2006/relationships/hyperlink" Target="https://statiz.sporki.com/player/?m=playerinfo&amp;p_no=15534" TargetMode="External"/><Relationship Id="rId13303" Type="http://schemas.openxmlformats.org/officeDocument/2006/relationships/hyperlink" Target="https://statiz.sporki.com/player/?m=playerinfo&amp;p_no=12689" TargetMode="External"/><Relationship Id="rId16873" Type="http://schemas.openxmlformats.org/officeDocument/2006/relationships/hyperlink" Target="https://statiz.sporki.com/add/?m=draft_school01&amp;ps_school=50301" TargetMode="External"/><Relationship Id="rId17924" Type="http://schemas.openxmlformats.org/officeDocument/2006/relationships/hyperlink" Target="https://statiz.sporki.com/add/?m=draft_school01&amp;ps_school=50802" TargetMode="External"/><Relationship Id="rId630" Type="http://schemas.openxmlformats.org/officeDocument/2006/relationships/hyperlink" Target="https://statiz.sporki.com/add/?m=draft_school02&amp;ps_school=" TargetMode="External"/><Relationship Id="rId2311" Type="http://schemas.openxmlformats.org/officeDocument/2006/relationships/hyperlink" Target="https://statiz.sporki.com/player/?m=playerinfo&amp;p_no=13145" TargetMode="External"/><Relationship Id="rId5881" Type="http://schemas.openxmlformats.org/officeDocument/2006/relationships/hyperlink" Target="https://statiz.sporki.com/player/?m=playerinfo&amp;p_no=10548" TargetMode="External"/><Relationship Id="rId6932" Type="http://schemas.openxmlformats.org/officeDocument/2006/relationships/hyperlink" Target="https://statiz.sporki.com/add/?m=draft_school01&amp;ps_school=50606" TargetMode="External"/><Relationship Id="rId15475" Type="http://schemas.openxmlformats.org/officeDocument/2006/relationships/hyperlink" Target="https://statiz.sporki.com/player/?m=playerinfo&amp;p_no=1561" TargetMode="External"/><Relationship Id="rId16526" Type="http://schemas.openxmlformats.org/officeDocument/2006/relationships/hyperlink" Target="https://statiz.sporki.com/add/?m=draft_school01&amp;ps_school=50215" TargetMode="External"/><Relationship Id="rId4483" Type="http://schemas.openxmlformats.org/officeDocument/2006/relationships/hyperlink" Target="https://statiz.sporki.com/player/?m=playerinfo&amp;p_no=12697" TargetMode="External"/><Relationship Id="rId5534" Type="http://schemas.openxmlformats.org/officeDocument/2006/relationships/hyperlink" Target="https://statiz.sporki.com/add/?m=draft_school01&amp;ps_school=50108" TargetMode="External"/><Relationship Id="rId14077" Type="http://schemas.openxmlformats.org/officeDocument/2006/relationships/hyperlink" Target="https://statiz.sporki.com/player/?m=playerinfo&amp;p_no=10013" TargetMode="External"/><Relationship Id="rId15128" Type="http://schemas.openxmlformats.org/officeDocument/2006/relationships/hyperlink" Target="https://statiz.sporki.com/player/?m=playerinfo&amp;p_no=1975" TargetMode="External"/><Relationship Id="rId18698" Type="http://schemas.openxmlformats.org/officeDocument/2006/relationships/hyperlink" Target="https://statiz.sporki.com/add/?m=draft_school01&amp;ps_school=50203" TargetMode="External"/><Relationship Id="rId3085" Type="http://schemas.openxmlformats.org/officeDocument/2006/relationships/hyperlink" Target="https://statiz.sporki.com/player/?m=playerinfo&amp;p_no=12948" TargetMode="External"/><Relationship Id="rId4136" Type="http://schemas.openxmlformats.org/officeDocument/2006/relationships/hyperlink" Target="https://statiz.sporki.com/add/?m=draft_school01&amp;ps_school=50101" TargetMode="External"/><Relationship Id="rId8757" Type="http://schemas.openxmlformats.org/officeDocument/2006/relationships/hyperlink" Target="https://statiz.sporki.com/add/?m=draft_school02&amp;ps_school=" TargetMode="External"/><Relationship Id="rId9808" Type="http://schemas.openxmlformats.org/officeDocument/2006/relationships/hyperlink" Target="https://statiz.sporki.com/player/?m=playerinfo&amp;p_no=1650" TargetMode="External"/><Relationship Id="rId10687" Type="http://schemas.openxmlformats.org/officeDocument/2006/relationships/hyperlink" Target="https://statiz.sporki.com/player/?m=playerinfo&amp;p_no=1490" TargetMode="External"/><Relationship Id="rId7359" Type="http://schemas.openxmlformats.org/officeDocument/2006/relationships/hyperlink" Target="https://statiz.sporki.com/add/?m=draft_school02&amp;ps_school=" TargetMode="External"/><Relationship Id="rId11738" Type="http://schemas.openxmlformats.org/officeDocument/2006/relationships/hyperlink" Target="https://statiz.sporki.com/add/?m=draft_school01&amp;ps_school=" TargetMode="External"/><Relationship Id="rId13160" Type="http://schemas.openxmlformats.org/officeDocument/2006/relationships/hyperlink" Target="https://statiz.sporki.com/player/?m=playerinfo&amp;p_no=12949" TargetMode="External"/><Relationship Id="rId14211" Type="http://schemas.openxmlformats.org/officeDocument/2006/relationships/hyperlink" Target="https://statiz.sporki.com/player/?m=playerinfo&amp;p_no=10546" TargetMode="External"/><Relationship Id="rId17781" Type="http://schemas.openxmlformats.org/officeDocument/2006/relationships/hyperlink" Target="https://statiz.sporki.com/add/?m=draft_school01&amp;ps_school=50605" TargetMode="External"/><Relationship Id="rId18832" Type="http://schemas.openxmlformats.org/officeDocument/2006/relationships/hyperlink" Target="https://statiz.sporki.com/add/?m=draft_school01&amp;ps_school=50107" TargetMode="External"/><Relationship Id="rId140" Type="http://schemas.openxmlformats.org/officeDocument/2006/relationships/hyperlink" Target="https://statiz.sporki.com/add/?m=draft_school01&amp;ps_school=50404" TargetMode="External"/><Relationship Id="rId3969" Type="http://schemas.openxmlformats.org/officeDocument/2006/relationships/hyperlink" Target="https://statiz.sporki.com/add/?m=draft_school02&amp;ps_school=" TargetMode="External"/><Relationship Id="rId5391" Type="http://schemas.openxmlformats.org/officeDocument/2006/relationships/hyperlink" Target="https://statiz.sporki.com/add/?m=draft_school02&amp;ps_school=" TargetMode="External"/><Relationship Id="rId7840" Type="http://schemas.openxmlformats.org/officeDocument/2006/relationships/hyperlink" Target="https://statiz.sporki.com/player/?m=playerinfo&amp;p_no=10241" TargetMode="External"/><Relationship Id="rId10821" Type="http://schemas.openxmlformats.org/officeDocument/2006/relationships/hyperlink" Target="https://statiz.sporki.com/add/?m=draft_school02&amp;ps_school=60104" TargetMode="External"/><Relationship Id="rId16383" Type="http://schemas.openxmlformats.org/officeDocument/2006/relationships/hyperlink" Target="https://statiz.sporki.com/add/?m=draft_school01&amp;ps_school=50106" TargetMode="External"/><Relationship Id="rId17434" Type="http://schemas.openxmlformats.org/officeDocument/2006/relationships/hyperlink" Target="https://statiz.sporki.com/add/?m=draft_school01&amp;ps_school=50210" TargetMode="External"/><Relationship Id="rId6" Type="http://schemas.openxmlformats.org/officeDocument/2006/relationships/hyperlink" Target="https://statiz.sporki.com/add/?m=draft_school02&amp;ps_school=" TargetMode="External"/><Relationship Id="rId5044" Type="http://schemas.openxmlformats.org/officeDocument/2006/relationships/hyperlink" Target="https://statiz.sporki.com/player/?m=playerinfo&amp;p_no=11133" TargetMode="External"/><Relationship Id="rId6442" Type="http://schemas.openxmlformats.org/officeDocument/2006/relationships/hyperlink" Target="https://statiz.sporki.com/player/?m=playerinfo&amp;p_no=2409" TargetMode="External"/><Relationship Id="rId12993" Type="http://schemas.openxmlformats.org/officeDocument/2006/relationships/hyperlink" Target="https://statiz.sporki.com/player/?m=playerinfo&amp;p_no=13164" TargetMode="External"/><Relationship Id="rId16036" Type="http://schemas.openxmlformats.org/officeDocument/2006/relationships/hyperlink" Target="https://statiz.sporki.com/player/?m=playerinfo&amp;p_no=1147" TargetMode="External"/><Relationship Id="rId9665" Type="http://schemas.openxmlformats.org/officeDocument/2006/relationships/hyperlink" Target="https://statiz.sporki.com/add/?m=draft_school01&amp;ps_school=50701" TargetMode="External"/><Relationship Id="rId11595" Type="http://schemas.openxmlformats.org/officeDocument/2006/relationships/hyperlink" Target="https://statiz.sporki.com/add/?m=draft_school02&amp;ps_school=60109" TargetMode="External"/><Relationship Id="rId12646" Type="http://schemas.openxmlformats.org/officeDocument/2006/relationships/hyperlink" Target="https://statiz.sporki.com/player/?m=playerinfo&amp;p_no=14584" TargetMode="External"/><Relationship Id="rId19259" Type="http://schemas.openxmlformats.org/officeDocument/2006/relationships/hyperlink" Target="https://statiz.sporki.com/add/?m=draft_school01&amp;ps_school=50813" TargetMode="External"/><Relationship Id="rId1654" Type="http://schemas.openxmlformats.org/officeDocument/2006/relationships/hyperlink" Target="https://statiz.sporki.com/player/?m=playerinfo&amp;p_no=14718" TargetMode="External"/><Relationship Id="rId2705" Type="http://schemas.openxmlformats.org/officeDocument/2006/relationships/hyperlink" Target="https://statiz.sporki.com/add/?m=draft_school01&amp;ps_school=50103" TargetMode="External"/><Relationship Id="rId8267" Type="http://schemas.openxmlformats.org/officeDocument/2006/relationships/hyperlink" Target="https://statiz.sporki.com/add/?m=draft_school01&amp;ps_school=" TargetMode="External"/><Relationship Id="rId9318" Type="http://schemas.openxmlformats.org/officeDocument/2006/relationships/hyperlink" Target="https://statiz.sporki.com/add/?m=draft_school02&amp;ps_school=60114" TargetMode="External"/><Relationship Id="rId10197" Type="http://schemas.openxmlformats.org/officeDocument/2006/relationships/hyperlink" Target="https://statiz.sporki.com/add/?m=draft_school02&amp;ps_school=" TargetMode="External"/><Relationship Id="rId11248" Type="http://schemas.openxmlformats.org/officeDocument/2006/relationships/hyperlink" Target="https://statiz.sporki.com/player/?m=playerinfo&amp;p_no=1326" TargetMode="External"/><Relationship Id="rId1307" Type="http://schemas.openxmlformats.org/officeDocument/2006/relationships/hyperlink" Target="https://statiz.sporki.com/add/?m=draft_school01&amp;ps_school=" TargetMode="External"/><Relationship Id="rId4877" Type="http://schemas.openxmlformats.org/officeDocument/2006/relationships/hyperlink" Target="https://statiz.sporki.com/add/?m=draft_school01&amp;ps_school=50602" TargetMode="External"/><Relationship Id="rId5928" Type="http://schemas.openxmlformats.org/officeDocument/2006/relationships/hyperlink" Target="https://statiz.sporki.com/add/?m=draft_school02&amp;ps_school=" TargetMode="External"/><Relationship Id="rId15869" Type="http://schemas.openxmlformats.org/officeDocument/2006/relationships/hyperlink" Target="https://statiz.sporki.com/player/?m=playerinfo&amp;p_no=1329" TargetMode="External"/><Relationship Id="rId17291" Type="http://schemas.openxmlformats.org/officeDocument/2006/relationships/hyperlink" Target="https://statiz.sporki.com/add/?m=draft_school01&amp;ps_school=50210" TargetMode="External"/><Relationship Id="rId18342" Type="http://schemas.openxmlformats.org/officeDocument/2006/relationships/hyperlink" Target="https://statiz.sporki.com/add/?m=draft_school01&amp;ps_school=50701" TargetMode="External"/><Relationship Id="rId13" Type="http://schemas.openxmlformats.org/officeDocument/2006/relationships/hyperlink" Target="https://statiz.sporki.com/player/?m=playerinfo&amp;p_no=15461" TargetMode="External"/><Relationship Id="rId3479" Type="http://schemas.openxmlformats.org/officeDocument/2006/relationships/hyperlink" Target="https://statiz.sporki.com/add/?m=draft_school01&amp;ps_school=" TargetMode="External"/><Relationship Id="rId7350" Type="http://schemas.openxmlformats.org/officeDocument/2006/relationships/hyperlink" Target="https://statiz.sporki.com/add/?m=draft_school02&amp;ps_school=" TargetMode="External"/><Relationship Id="rId8401" Type="http://schemas.openxmlformats.org/officeDocument/2006/relationships/hyperlink" Target="https://statiz.sporki.com/player/?m=playerinfo&amp;p_no=2020" TargetMode="External"/><Relationship Id="rId7003" Type="http://schemas.openxmlformats.org/officeDocument/2006/relationships/hyperlink" Target="https://statiz.sporki.com/player/?m=playerinfo&amp;p_no=2421" TargetMode="External"/><Relationship Id="rId10331" Type="http://schemas.openxmlformats.org/officeDocument/2006/relationships/hyperlink" Target="https://statiz.sporki.com/add/?m=draft_school01&amp;ps_school=50803" TargetMode="External"/><Relationship Id="rId14952" Type="http://schemas.openxmlformats.org/officeDocument/2006/relationships/hyperlink" Target="https://statiz.sporki.com/player/?m=playerinfo&amp;p_no=2049" TargetMode="External"/><Relationship Id="rId3960" Type="http://schemas.openxmlformats.org/officeDocument/2006/relationships/hyperlink" Target="https://statiz.sporki.com/add/?m=draft_school02&amp;ps_school=61104" TargetMode="External"/><Relationship Id="rId9175" Type="http://schemas.openxmlformats.org/officeDocument/2006/relationships/hyperlink" Target="https://statiz.sporki.com/player/?m=playerinfo&amp;p_no=1888" TargetMode="External"/><Relationship Id="rId13554" Type="http://schemas.openxmlformats.org/officeDocument/2006/relationships/hyperlink" Target="https://statiz.sporki.com/player/?m=playerinfo&amp;p_no=12678" TargetMode="External"/><Relationship Id="rId14605" Type="http://schemas.openxmlformats.org/officeDocument/2006/relationships/hyperlink" Target="https://statiz.sporki.com/player/?m=playerinfo&amp;p_no=2252" TargetMode="External"/><Relationship Id="rId881" Type="http://schemas.openxmlformats.org/officeDocument/2006/relationships/hyperlink" Target="https://statiz.sporki.com/add/?m=draft_school01&amp;ps_school=" TargetMode="External"/><Relationship Id="rId2562" Type="http://schemas.openxmlformats.org/officeDocument/2006/relationships/hyperlink" Target="https://statiz.sporki.com/add/?m=draft_school02&amp;ps_school=60108" TargetMode="External"/><Relationship Id="rId3613" Type="http://schemas.openxmlformats.org/officeDocument/2006/relationships/hyperlink" Target="https://statiz.sporki.com/player/?m=playerinfo&amp;p_no=11318" TargetMode="External"/><Relationship Id="rId12156" Type="http://schemas.openxmlformats.org/officeDocument/2006/relationships/hyperlink" Target="https://statiz.sporki.com/player/?m=playerinfo&amp;p_no=15462" TargetMode="External"/><Relationship Id="rId13207" Type="http://schemas.openxmlformats.org/officeDocument/2006/relationships/hyperlink" Target="https://statiz.sporki.com/player/?m=playerinfo&amp;p_no=12524" TargetMode="External"/><Relationship Id="rId16777" Type="http://schemas.openxmlformats.org/officeDocument/2006/relationships/hyperlink" Target="https://statiz.sporki.com/add/?m=draft_school01&amp;ps_school=50705" TargetMode="External"/><Relationship Id="rId17828" Type="http://schemas.openxmlformats.org/officeDocument/2006/relationships/hyperlink" Target="https://statiz.sporki.com/add/?m=draft_school01&amp;ps_school=50103" TargetMode="External"/><Relationship Id="rId534" Type="http://schemas.openxmlformats.org/officeDocument/2006/relationships/hyperlink" Target="https://statiz.sporki.com/add/?m=draft_school02&amp;ps_school=" TargetMode="External"/><Relationship Id="rId1164" Type="http://schemas.openxmlformats.org/officeDocument/2006/relationships/hyperlink" Target="https://statiz.sporki.com/add/?m=draft_school02&amp;ps_school=" TargetMode="External"/><Relationship Id="rId2215" Type="http://schemas.openxmlformats.org/officeDocument/2006/relationships/hyperlink" Target="https://statiz.sporki.com/player/?m=playerinfo&amp;p_no=13940" TargetMode="External"/><Relationship Id="rId5785" Type="http://schemas.openxmlformats.org/officeDocument/2006/relationships/hyperlink" Target="https://statiz.sporki.com/player/?m=playerinfo&amp;p_no=10189" TargetMode="External"/><Relationship Id="rId6836" Type="http://schemas.openxmlformats.org/officeDocument/2006/relationships/hyperlink" Target="https://statiz.sporki.com/add/?m=draft_school01&amp;ps_school=" TargetMode="External"/><Relationship Id="rId15379" Type="http://schemas.openxmlformats.org/officeDocument/2006/relationships/hyperlink" Target="https://statiz.sporki.com/player/?m=playerinfo&amp;p_no=1780" TargetMode="External"/><Relationship Id="rId19250" Type="http://schemas.openxmlformats.org/officeDocument/2006/relationships/hyperlink" Target="https://statiz.sporki.com/add/?m=draft_school01&amp;ps_school=50903" TargetMode="External"/><Relationship Id="rId4387" Type="http://schemas.openxmlformats.org/officeDocument/2006/relationships/hyperlink" Target="https://statiz.sporki.com/player/?m=playerinfo&amp;p_no=11296" TargetMode="External"/><Relationship Id="rId5438" Type="http://schemas.openxmlformats.org/officeDocument/2006/relationships/hyperlink" Target="https://statiz.sporki.com/add/?m=draft_school01&amp;ps_school=50109" TargetMode="External"/><Relationship Id="rId11989" Type="http://schemas.openxmlformats.org/officeDocument/2006/relationships/hyperlink" Target="https://statiz.sporki.com/player/?m=playerinfo&amp;p_no=1066" TargetMode="External"/><Relationship Id="rId15860" Type="http://schemas.openxmlformats.org/officeDocument/2006/relationships/hyperlink" Target="https://statiz.sporki.com/player/?m=playerinfo&amp;p_no=1316" TargetMode="External"/><Relationship Id="rId16911" Type="http://schemas.openxmlformats.org/officeDocument/2006/relationships/hyperlink" Target="https://statiz.sporki.com/add/?m=draft_school01&amp;ps_school=50207" TargetMode="External"/><Relationship Id="rId3470" Type="http://schemas.openxmlformats.org/officeDocument/2006/relationships/hyperlink" Target="https://statiz.sporki.com/add/?m=draft_school01&amp;ps_school=50301" TargetMode="External"/><Relationship Id="rId13064" Type="http://schemas.openxmlformats.org/officeDocument/2006/relationships/hyperlink" Target="https://statiz.sporki.com/player/?m=playerinfo&amp;p_no=12923" TargetMode="External"/><Relationship Id="rId14462" Type="http://schemas.openxmlformats.org/officeDocument/2006/relationships/hyperlink" Target="https://statiz.sporki.com/player/?m=playerinfo&amp;p_no=2332" TargetMode="External"/><Relationship Id="rId15513" Type="http://schemas.openxmlformats.org/officeDocument/2006/relationships/hyperlink" Target="https://statiz.sporki.com/player/?m=playerinfo&amp;p_no=1574" TargetMode="External"/><Relationship Id="rId391" Type="http://schemas.openxmlformats.org/officeDocument/2006/relationships/hyperlink" Target="https://statiz.sporki.com/player/?m=playerinfo&amp;p_no=15643" TargetMode="External"/><Relationship Id="rId2072" Type="http://schemas.openxmlformats.org/officeDocument/2006/relationships/hyperlink" Target="https://statiz.sporki.com/add/?m=draft_school01&amp;ps_school=50202" TargetMode="External"/><Relationship Id="rId3123" Type="http://schemas.openxmlformats.org/officeDocument/2006/relationships/hyperlink" Target="https://statiz.sporki.com/add/?m=draft_school02&amp;ps_school=60804" TargetMode="External"/><Relationship Id="rId4521" Type="http://schemas.openxmlformats.org/officeDocument/2006/relationships/hyperlink" Target="https://statiz.sporki.com/add/?m=draft_school02&amp;ps_school=" TargetMode="External"/><Relationship Id="rId14115" Type="http://schemas.openxmlformats.org/officeDocument/2006/relationships/hyperlink" Target="https://statiz.sporki.com/player/?m=playerinfo&amp;p_no=10023" TargetMode="External"/><Relationship Id="rId17685" Type="http://schemas.openxmlformats.org/officeDocument/2006/relationships/hyperlink" Target="https://statiz.sporki.com/add/?m=draft_school01&amp;ps_school=50605" TargetMode="External"/><Relationship Id="rId18736" Type="http://schemas.openxmlformats.org/officeDocument/2006/relationships/hyperlink" Target="https://statiz.sporki.com/add/?m=draft_school01&amp;ps_school=50803" TargetMode="External"/><Relationship Id="rId6693" Type="http://schemas.openxmlformats.org/officeDocument/2006/relationships/hyperlink" Target="https://statiz.sporki.com/add/?m=draft_school02&amp;ps_school=" TargetMode="External"/><Relationship Id="rId7744" Type="http://schemas.openxmlformats.org/officeDocument/2006/relationships/hyperlink" Target="https://statiz.sporki.com/player/?m=playerinfo&amp;p_no=2199" TargetMode="External"/><Relationship Id="rId10725" Type="http://schemas.openxmlformats.org/officeDocument/2006/relationships/hyperlink" Target="https://statiz.sporki.com/add/?m=draft_school02&amp;ps_school=" TargetMode="External"/><Relationship Id="rId16287" Type="http://schemas.openxmlformats.org/officeDocument/2006/relationships/hyperlink" Target="https://statiz.sporki.com/add/?m=draft_school01&amp;ps_school=50108" TargetMode="External"/><Relationship Id="rId17338" Type="http://schemas.openxmlformats.org/officeDocument/2006/relationships/hyperlink" Target="https://statiz.sporki.com/add/?m=draft_school01&amp;ps_school=50208" TargetMode="External"/><Relationship Id="rId5295" Type="http://schemas.openxmlformats.org/officeDocument/2006/relationships/hyperlink" Target="https://statiz.sporki.com/add/?m=draft_school02&amp;ps_school=" TargetMode="External"/><Relationship Id="rId6346" Type="http://schemas.openxmlformats.org/officeDocument/2006/relationships/hyperlink" Target="https://statiz.sporki.com/player/?m=playerinfo&amp;p_no=10238" TargetMode="External"/><Relationship Id="rId12897" Type="http://schemas.openxmlformats.org/officeDocument/2006/relationships/hyperlink" Target="https://statiz.sporki.com/player/?m=playerinfo&amp;p_no=14213" TargetMode="External"/><Relationship Id="rId2956" Type="http://schemas.openxmlformats.org/officeDocument/2006/relationships/hyperlink" Target="https://statiz.sporki.com/player/?m=playerinfo&amp;p_no=12861" TargetMode="External"/><Relationship Id="rId9569" Type="http://schemas.openxmlformats.org/officeDocument/2006/relationships/hyperlink" Target="https://statiz.sporki.com/add/?m=draft_school01&amp;ps_school=50805" TargetMode="External"/><Relationship Id="rId11499" Type="http://schemas.openxmlformats.org/officeDocument/2006/relationships/hyperlink" Target="https://statiz.sporki.com/add/?m=draft_school02&amp;ps_school=60104" TargetMode="External"/><Relationship Id="rId13948" Type="http://schemas.openxmlformats.org/officeDocument/2006/relationships/hyperlink" Target="https://statiz.sporki.com/player/?m=playerinfo&amp;p_no=10719" TargetMode="External"/><Relationship Id="rId15370" Type="http://schemas.openxmlformats.org/officeDocument/2006/relationships/hyperlink" Target="https://statiz.sporki.com/player/?m=playerinfo&amp;p_no=1734" TargetMode="External"/><Relationship Id="rId16421" Type="http://schemas.openxmlformats.org/officeDocument/2006/relationships/hyperlink" Target="https://statiz.sporki.com/add/?m=draft_school01&amp;ps_school=50902" TargetMode="External"/><Relationship Id="rId928" Type="http://schemas.openxmlformats.org/officeDocument/2006/relationships/hyperlink" Target="https://statiz.sporki.com/player/?m=playerinfo&amp;p_no=15130" TargetMode="External"/><Relationship Id="rId1558" Type="http://schemas.openxmlformats.org/officeDocument/2006/relationships/hyperlink" Target="https://statiz.sporki.com/player/?m=playerinfo&amp;p_no=14714" TargetMode="External"/><Relationship Id="rId2609" Type="http://schemas.openxmlformats.org/officeDocument/2006/relationships/hyperlink" Target="https://statiz.sporki.com/add/?m=draft_school01&amp;ps_school=50202" TargetMode="External"/><Relationship Id="rId15023" Type="http://schemas.openxmlformats.org/officeDocument/2006/relationships/hyperlink" Target="https://statiz.sporki.com/player/?m=playerinfo&amp;p_no=2004" TargetMode="External"/><Relationship Id="rId4031" Type="http://schemas.openxmlformats.org/officeDocument/2006/relationships/hyperlink" Target="https://statiz.sporki.com/add/?m=draft_school01&amp;ps_school=50103" TargetMode="External"/><Relationship Id="rId11980" Type="http://schemas.openxmlformats.org/officeDocument/2006/relationships/hyperlink" Target="https://statiz.sporki.com/player/?m=playerinfo&amp;p_no=1099" TargetMode="External"/><Relationship Id="rId17195" Type="http://schemas.openxmlformats.org/officeDocument/2006/relationships/hyperlink" Target="https://statiz.sporki.com/add/?m=draft_school01&amp;ps_school=50208" TargetMode="External"/><Relationship Id="rId18593" Type="http://schemas.openxmlformats.org/officeDocument/2006/relationships/hyperlink" Target="https://statiz.sporki.com/add/?m=draft_school01&amp;ps_school=50103" TargetMode="External"/><Relationship Id="rId19644" Type="http://schemas.openxmlformats.org/officeDocument/2006/relationships/hyperlink" Target="https://statiz.sporki.com/add/?m=draft_school01&amp;ps_school=50701" TargetMode="External"/><Relationship Id="rId7254" Type="http://schemas.openxmlformats.org/officeDocument/2006/relationships/hyperlink" Target="https://statiz.sporki.com/add/?m=draft_school02&amp;ps_school=" TargetMode="External"/><Relationship Id="rId8305" Type="http://schemas.openxmlformats.org/officeDocument/2006/relationships/hyperlink" Target="https://statiz.sporki.com/player/?m=playerinfo&amp;p_no=2027" TargetMode="External"/><Relationship Id="rId8652" Type="http://schemas.openxmlformats.org/officeDocument/2006/relationships/hyperlink" Target="https://statiz.sporki.com/add/?m=draft_school02&amp;ps_school=" TargetMode="External"/><Relationship Id="rId9703" Type="http://schemas.openxmlformats.org/officeDocument/2006/relationships/hyperlink" Target="https://statiz.sporki.com/player/?m=playerinfo&amp;p_no=1726" TargetMode="External"/><Relationship Id="rId10582" Type="http://schemas.openxmlformats.org/officeDocument/2006/relationships/hyperlink" Target="https://statiz.sporki.com/player/?m=playerinfo&amp;p_no=13923" TargetMode="External"/><Relationship Id="rId11633" Type="http://schemas.openxmlformats.org/officeDocument/2006/relationships/hyperlink" Target="https://statiz.sporki.com/add/?m=draft_school01&amp;ps_school=50209" TargetMode="External"/><Relationship Id="rId18246" Type="http://schemas.openxmlformats.org/officeDocument/2006/relationships/hyperlink" Target="https://statiz.sporki.com/add/?m=draft_school01&amp;ps_school=50106" TargetMode="External"/><Relationship Id="rId10235" Type="http://schemas.openxmlformats.org/officeDocument/2006/relationships/hyperlink" Target="https://statiz.sporki.com/add/?m=draft_school01&amp;ps_school=50706" TargetMode="External"/><Relationship Id="rId14856" Type="http://schemas.openxmlformats.org/officeDocument/2006/relationships/hyperlink" Target="https://statiz.sporki.com/player/?m=playerinfo&amp;p_no=10663" TargetMode="External"/><Relationship Id="rId15907" Type="http://schemas.openxmlformats.org/officeDocument/2006/relationships/hyperlink" Target="https://statiz.sporki.com/player/?m=playerinfo&amp;p_no=1256" TargetMode="External"/><Relationship Id="rId3864" Type="http://schemas.openxmlformats.org/officeDocument/2006/relationships/hyperlink" Target="https://statiz.sporki.com/add/?m=draft_school02&amp;ps_school=60101" TargetMode="External"/><Relationship Id="rId4915" Type="http://schemas.openxmlformats.org/officeDocument/2006/relationships/hyperlink" Target="https://statiz.sporki.com/player/?m=playerinfo&amp;p_no=10911" TargetMode="External"/><Relationship Id="rId13458" Type="http://schemas.openxmlformats.org/officeDocument/2006/relationships/hyperlink" Target="https://statiz.sporki.com/player/?m=playerinfo&amp;p_no=11408" TargetMode="External"/><Relationship Id="rId14509" Type="http://schemas.openxmlformats.org/officeDocument/2006/relationships/hyperlink" Target="https://statiz.sporki.com/player/?m=playerinfo&amp;p_no=10042" TargetMode="External"/><Relationship Id="rId785" Type="http://schemas.openxmlformats.org/officeDocument/2006/relationships/hyperlink" Target="https://statiz.sporki.com/add/?m=draft_school01&amp;ps_school=50809" TargetMode="External"/><Relationship Id="rId2466" Type="http://schemas.openxmlformats.org/officeDocument/2006/relationships/hyperlink" Target="https://statiz.sporki.com/add/?m=draft_school02&amp;ps_school=" TargetMode="External"/><Relationship Id="rId3517" Type="http://schemas.openxmlformats.org/officeDocument/2006/relationships/hyperlink" Target="https://statiz.sporki.com/player/?m=playerinfo&amp;p_no=12517" TargetMode="External"/><Relationship Id="rId9079" Type="http://schemas.openxmlformats.org/officeDocument/2006/relationships/hyperlink" Target="https://statiz.sporki.com/player/?m=playerinfo&amp;p_no=10001" TargetMode="External"/><Relationship Id="rId438" Type="http://schemas.openxmlformats.org/officeDocument/2006/relationships/hyperlink" Target="https://statiz.sporki.com/add/?m=draft_school02&amp;ps_school=60805" TargetMode="External"/><Relationship Id="rId1068" Type="http://schemas.openxmlformats.org/officeDocument/2006/relationships/hyperlink" Target="https://statiz.sporki.com/add/?m=draft_school02&amp;ps_school=" TargetMode="External"/><Relationship Id="rId2119" Type="http://schemas.openxmlformats.org/officeDocument/2006/relationships/hyperlink" Target="https://statiz.sporki.com/player/?m=playerinfo&amp;p_no=14143" TargetMode="External"/><Relationship Id="rId5689" Type="http://schemas.openxmlformats.org/officeDocument/2006/relationships/hyperlink" Target="https://statiz.sporki.com/player/?m=playerinfo&amp;p_no=10619" TargetMode="External"/><Relationship Id="rId9560" Type="http://schemas.openxmlformats.org/officeDocument/2006/relationships/hyperlink" Target="https://statiz.sporki.com/add/?m=draft_school01&amp;ps_school=50402" TargetMode="External"/><Relationship Id="rId19154" Type="http://schemas.openxmlformats.org/officeDocument/2006/relationships/hyperlink" Target="https://statiz.sporki.com/add/?m=draft_school01&amp;ps_school=50602" TargetMode="External"/><Relationship Id="rId8162" Type="http://schemas.openxmlformats.org/officeDocument/2006/relationships/hyperlink" Target="https://statiz.sporki.com/add/?m=draft_school01&amp;ps_school=50105" TargetMode="External"/><Relationship Id="rId9213" Type="http://schemas.openxmlformats.org/officeDocument/2006/relationships/hyperlink" Target="https://statiz.sporki.com/add/?m=draft_school02&amp;ps_school=" TargetMode="External"/><Relationship Id="rId10092" Type="http://schemas.openxmlformats.org/officeDocument/2006/relationships/hyperlink" Target="https://statiz.sporki.com/add/?m=draft_school02&amp;ps_school=60104" TargetMode="External"/><Relationship Id="rId11143" Type="http://schemas.openxmlformats.org/officeDocument/2006/relationships/hyperlink" Target="https://statiz.sporki.com/player/?m=playerinfo&amp;p_no=1272" TargetMode="External"/><Relationship Id="rId11490" Type="http://schemas.openxmlformats.org/officeDocument/2006/relationships/hyperlink" Target="https://statiz.sporki.com/add/?m=draft_school02&amp;ps_school=" TargetMode="External"/><Relationship Id="rId12541" Type="http://schemas.openxmlformats.org/officeDocument/2006/relationships/hyperlink" Target="https://statiz.sporki.com/player/?m=playerinfo&amp;p_no=14779" TargetMode="External"/><Relationship Id="rId1202" Type="http://schemas.openxmlformats.org/officeDocument/2006/relationships/hyperlink" Target="https://statiz.sporki.com/add/?m=draft_school01&amp;ps_school=50118" TargetMode="External"/><Relationship Id="rId2600" Type="http://schemas.openxmlformats.org/officeDocument/2006/relationships/hyperlink" Target="https://statiz.sporki.com/add/?m=draft_school01&amp;ps_school=50103" TargetMode="External"/><Relationship Id="rId15764" Type="http://schemas.openxmlformats.org/officeDocument/2006/relationships/hyperlink" Target="https://statiz.sporki.com/player/?m=playerinfo&amp;p_no=1392" TargetMode="External"/><Relationship Id="rId16815" Type="http://schemas.openxmlformats.org/officeDocument/2006/relationships/hyperlink" Target="https://statiz.sporki.com/add/?m=draft_school01&amp;ps_school=50604" TargetMode="External"/><Relationship Id="rId4772" Type="http://schemas.openxmlformats.org/officeDocument/2006/relationships/hyperlink" Target="https://statiz.sporki.com/add/?m=draft_school01&amp;ps_school=50701" TargetMode="External"/><Relationship Id="rId5823" Type="http://schemas.openxmlformats.org/officeDocument/2006/relationships/hyperlink" Target="https://statiz.sporki.com/add/?m=draft_school02&amp;ps_school=" TargetMode="External"/><Relationship Id="rId14366" Type="http://schemas.openxmlformats.org/officeDocument/2006/relationships/hyperlink" Target="https://statiz.sporki.com/player/?m=playerinfo&amp;p_no=10212" TargetMode="External"/><Relationship Id="rId15417" Type="http://schemas.openxmlformats.org/officeDocument/2006/relationships/hyperlink" Target="https://statiz.sporki.com/player/?m=playerinfo&amp;p_no=10339" TargetMode="External"/><Relationship Id="rId18987" Type="http://schemas.openxmlformats.org/officeDocument/2006/relationships/hyperlink" Target="https://statiz.sporki.com/add/?m=draft_school01&amp;ps_school=50403" TargetMode="External"/><Relationship Id="rId295" Type="http://schemas.openxmlformats.org/officeDocument/2006/relationships/hyperlink" Target="https://statiz.sporki.com/player/?m=playerinfo&amp;p_no=15526" TargetMode="External"/><Relationship Id="rId3374" Type="http://schemas.openxmlformats.org/officeDocument/2006/relationships/hyperlink" Target="https://statiz.sporki.com/add/?m=draft_school01&amp;ps_school=50807" TargetMode="External"/><Relationship Id="rId4425" Type="http://schemas.openxmlformats.org/officeDocument/2006/relationships/hyperlink" Target="https://statiz.sporki.com/add/?m=draft_school02&amp;ps_school=61001" TargetMode="External"/><Relationship Id="rId7995" Type="http://schemas.openxmlformats.org/officeDocument/2006/relationships/hyperlink" Target="https://statiz.sporki.com/add/?m=draft_school02&amp;ps_school=" TargetMode="External"/><Relationship Id="rId10976" Type="http://schemas.openxmlformats.org/officeDocument/2006/relationships/hyperlink" Target="https://statiz.sporki.com/add/?m=draft_school01&amp;ps_school=50803" TargetMode="External"/><Relationship Id="rId14019" Type="http://schemas.openxmlformats.org/officeDocument/2006/relationships/hyperlink" Target="https://statiz.sporki.com/player/?m=playerinfo&amp;p_no=10065" TargetMode="External"/><Relationship Id="rId17589" Type="http://schemas.openxmlformats.org/officeDocument/2006/relationships/hyperlink" Target="https://statiz.sporki.com/add/?m=draft_school01&amp;ps_school=50806" TargetMode="External"/><Relationship Id="rId3027" Type="http://schemas.openxmlformats.org/officeDocument/2006/relationships/hyperlink" Target="https://statiz.sporki.com/add/?m=draft_school02&amp;ps_school=" TargetMode="External"/><Relationship Id="rId6597" Type="http://schemas.openxmlformats.org/officeDocument/2006/relationships/hyperlink" Target="https://statiz.sporki.com/add/?m=draft_school02&amp;ps_school=" TargetMode="External"/><Relationship Id="rId7648" Type="http://schemas.openxmlformats.org/officeDocument/2006/relationships/hyperlink" Target="https://statiz.sporki.com/player/?m=playerinfo&amp;p_no=2205" TargetMode="External"/><Relationship Id="rId10629" Type="http://schemas.openxmlformats.org/officeDocument/2006/relationships/hyperlink" Target="https://statiz.sporki.com/add/?m=draft_school02&amp;ps_school=60103" TargetMode="External"/><Relationship Id="rId14500" Type="http://schemas.openxmlformats.org/officeDocument/2006/relationships/hyperlink" Target="https://statiz.sporki.com/player/?m=playerinfo&amp;p_no=2310" TargetMode="External"/><Relationship Id="rId5199" Type="http://schemas.openxmlformats.org/officeDocument/2006/relationships/hyperlink" Target="https://statiz.sporki.com/add/?m=draft_school02&amp;ps_school=" TargetMode="External"/><Relationship Id="rId9070" Type="http://schemas.openxmlformats.org/officeDocument/2006/relationships/hyperlink" Target="https://statiz.sporki.com/player/?m=playerinfo&amp;p_no=10449" TargetMode="External"/><Relationship Id="rId12051" Type="http://schemas.openxmlformats.org/officeDocument/2006/relationships/hyperlink" Target="https://statiz.sporki.com/add/?m=draft_school02&amp;ps_school=60101" TargetMode="External"/><Relationship Id="rId13102" Type="http://schemas.openxmlformats.org/officeDocument/2006/relationships/hyperlink" Target="https://statiz.sporki.com/player/?m=playerinfo&amp;p_no=12878" TargetMode="External"/><Relationship Id="rId2110" Type="http://schemas.openxmlformats.org/officeDocument/2006/relationships/hyperlink" Target="https://statiz.sporki.com/player/?m=playerinfo&amp;p_no=14210" TargetMode="External"/><Relationship Id="rId5680" Type="http://schemas.openxmlformats.org/officeDocument/2006/relationships/hyperlink" Target="https://statiz.sporki.com/player/?m=playerinfo&amp;p_no=2432" TargetMode="External"/><Relationship Id="rId15274" Type="http://schemas.openxmlformats.org/officeDocument/2006/relationships/hyperlink" Target="https://statiz.sporki.com/player/?m=playerinfo&amp;p_no=1803" TargetMode="External"/><Relationship Id="rId16672" Type="http://schemas.openxmlformats.org/officeDocument/2006/relationships/hyperlink" Target="https://statiz.sporki.com/add/?m=draft_school01&amp;ps_school=50208" TargetMode="External"/><Relationship Id="rId17723" Type="http://schemas.openxmlformats.org/officeDocument/2006/relationships/hyperlink" Target="https://statiz.sporki.com/add/?m=draft_school01&amp;ps_school=50202" TargetMode="External"/><Relationship Id="rId4282" Type="http://schemas.openxmlformats.org/officeDocument/2006/relationships/hyperlink" Target="https://statiz.sporki.com/player/?m=playerinfo&amp;p_no=12512" TargetMode="External"/><Relationship Id="rId5333" Type="http://schemas.openxmlformats.org/officeDocument/2006/relationships/hyperlink" Target="https://statiz.sporki.com/add/?m=draft_school01&amp;ps_school=50701" TargetMode="External"/><Relationship Id="rId6731" Type="http://schemas.openxmlformats.org/officeDocument/2006/relationships/hyperlink" Target="https://statiz.sporki.com/add/?m=draft_school01&amp;ps_school=50805" TargetMode="External"/><Relationship Id="rId16325" Type="http://schemas.openxmlformats.org/officeDocument/2006/relationships/hyperlink" Target="https://statiz.sporki.com/add/?m=draft_school01&amp;ps_school=50109" TargetMode="External"/><Relationship Id="rId9954" Type="http://schemas.openxmlformats.org/officeDocument/2006/relationships/hyperlink" Target="https://statiz.sporki.com/add/?m=draft_school02&amp;ps_school=" TargetMode="External"/><Relationship Id="rId11884" Type="http://schemas.openxmlformats.org/officeDocument/2006/relationships/hyperlink" Target="https://statiz.sporki.com/player/?m=playerinfo&amp;p_no=1120" TargetMode="External"/><Relationship Id="rId12935" Type="http://schemas.openxmlformats.org/officeDocument/2006/relationships/hyperlink" Target="https://statiz.sporki.com/player/?m=playerinfo&amp;p_no=13116" TargetMode="External"/><Relationship Id="rId18497" Type="http://schemas.openxmlformats.org/officeDocument/2006/relationships/hyperlink" Target="https://statiz.sporki.com/add/?m=draft_school01&amp;ps_school=50107" TargetMode="External"/><Relationship Id="rId19548" Type="http://schemas.openxmlformats.org/officeDocument/2006/relationships/hyperlink" Target="https://statiz.sporki.com/add/?m=draft_school01&amp;ps_school=50112" TargetMode="External"/><Relationship Id="rId1943" Type="http://schemas.openxmlformats.org/officeDocument/2006/relationships/hyperlink" Target="https://statiz.sporki.com/add/?m=draft_school01&amp;ps_school=50110" TargetMode="External"/><Relationship Id="rId8556" Type="http://schemas.openxmlformats.org/officeDocument/2006/relationships/hyperlink" Target="https://statiz.sporki.com/add/?m=draft_school02&amp;ps_school=60113" TargetMode="External"/><Relationship Id="rId9607" Type="http://schemas.openxmlformats.org/officeDocument/2006/relationships/hyperlink" Target="https://statiz.sporki.com/player/?m=playerinfo&amp;p_no=1754" TargetMode="External"/><Relationship Id="rId10486" Type="http://schemas.openxmlformats.org/officeDocument/2006/relationships/hyperlink" Target="https://statiz.sporki.com/player/?m=playerinfo&amp;p_no=1547" TargetMode="External"/><Relationship Id="rId11537" Type="http://schemas.openxmlformats.org/officeDocument/2006/relationships/hyperlink" Target="https://statiz.sporki.com/add/?m=draft_school01&amp;ps_school=" TargetMode="External"/><Relationship Id="rId17099" Type="http://schemas.openxmlformats.org/officeDocument/2006/relationships/hyperlink" Target="https://statiz.sporki.com/add/?m=draft_school01&amp;ps_school=50114" TargetMode="External"/><Relationship Id="rId7158" Type="http://schemas.openxmlformats.org/officeDocument/2006/relationships/hyperlink" Target="https://statiz.sporki.com/add/?m=draft_school02&amp;ps_school=" TargetMode="External"/><Relationship Id="rId8209" Type="http://schemas.openxmlformats.org/officeDocument/2006/relationships/hyperlink" Target="https://statiz.sporki.com/player/?m=playerinfo&amp;p_no=2087" TargetMode="External"/><Relationship Id="rId10139" Type="http://schemas.openxmlformats.org/officeDocument/2006/relationships/hyperlink" Target="https://statiz.sporki.com/add/?m=draft_school01&amp;ps_school=" TargetMode="External"/><Relationship Id="rId14010" Type="http://schemas.openxmlformats.org/officeDocument/2006/relationships/hyperlink" Target="https://statiz.sporki.com/player/?m=playerinfo&amp;p_no=10924" TargetMode="External"/><Relationship Id="rId17580" Type="http://schemas.openxmlformats.org/officeDocument/2006/relationships/hyperlink" Target="https://statiz.sporki.com/add/?m=draft_school01&amp;ps_school=50207" TargetMode="External"/><Relationship Id="rId18631" Type="http://schemas.openxmlformats.org/officeDocument/2006/relationships/hyperlink" Target="https://statiz.sporki.com/add/?m=draft_school01&amp;ps_school=50115" TargetMode="External"/><Relationship Id="rId3768" Type="http://schemas.openxmlformats.org/officeDocument/2006/relationships/hyperlink" Target="https://statiz.sporki.com/add/?m=draft_school02&amp;ps_school=" TargetMode="External"/><Relationship Id="rId4819" Type="http://schemas.openxmlformats.org/officeDocument/2006/relationships/hyperlink" Target="https://statiz.sporki.com/player/?m=playerinfo&amp;p_no=10865" TargetMode="External"/><Relationship Id="rId16182" Type="http://schemas.openxmlformats.org/officeDocument/2006/relationships/hyperlink" Target="https://statiz.sporki.com/player/?m=playerinfo&amp;p_no=1005" TargetMode="External"/><Relationship Id="rId17233" Type="http://schemas.openxmlformats.org/officeDocument/2006/relationships/hyperlink" Target="https://statiz.sporki.com/add/?m=draft_school01&amp;ps_school=50605" TargetMode="External"/><Relationship Id="rId689" Type="http://schemas.openxmlformats.org/officeDocument/2006/relationships/hyperlink" Target="https://statiz.sporki.com/add/?m=draft_school01&amp;ps_school=50807" TargetMode="External"/><Relationship Id="rId5190" Type="http://schemas.openxmlformats.org/officeDocument/2006/relationships/hyperlink" Target="https://statiz.sporki.com/add/?m=draft_school02&amp;ps_school=" TargetMode="External"/><Relationship Id="rId6241" Type="http://schemas.openxmlformats.org/officeDocument/2006/relationships/hyperlink" Target="https://statiz.sporki.com/player/?m=playerinfo&amp;p_no=10151" TargetMode="External"/><Relationship Id="rId10620" Type="http://schemas.openxmlformats.org/officeDocument/2006/relationships/hyperlink" Target="https://statiz.sporki.com/add/?m=draft_school02&amp;ps_school=60802" TargetMode="External"/><Relationship Id="rId9464" Type="http://schemas.openxmlformats.org/officeDocument/2006/relationships/hyperlink" Target="https://statiz.sporki.com/add/?m=draft_school01&amp;ps_school=50604" TargetMode="External"/><Relationship Id="rId12792" Type="http://schemas.openxmlformats.org/officeDocument/2006/relationships/hyperlink" Target="https://statiz.sporki.com/player/?m=playerinfo&amp;p_no=14133" TargetMode="External"/><Relationship Id="rId13843" Type="http://schemas.openxmlformats.org/officeDocument/2006/relationships/hyperlink" Target="https://statiz.sporki.com/player/?m=playerinfo&amp;p_no=10858" TargetMode="External"/><Relationship Id="rId19058" Type="http://schemas.openxmlformats.org/officeDocument/2006/relationships/hyperlink" Target="https://statiz.sporki.com/add/?m=draft_school01&amp;ps_school=50110" TargetMode="External"/><Relationship Id="rId2851" Type="http://schemas.openxmlformats.org/officeDocument/2006/relationships/hyperlink" Target="https://statiz.sporki.com/player/?m=playerinfo&amp;p_no=12927" TargetMode="External"/><Relationship Id="rId3902" Type="http://schemas.openxmlformats.org/officeDocument/2006/relationships/hyperlink" Target="https://statiz.sporki.com/add/?m=draft_school01&amp;ps_school=" TargetMode="External"/><Relationship Id="rId8066" Type="http://schemas.openxmlformats.org/officeDocument/2006/relationships/hyperlink" Target="https://statiz.sporki.com/add/?m=draft_school01&amp;ps_school=50804" TargetMode="External"/><Relationship Id="rId9117" Type="http://schemas.openxmlformats.org/officeDocument/2006/relationships/hyperlink" Target="https://statiz.sporki.com/add/?m=draft_school02&amp;ps_school=60501" TargetMode="External"/><Relationship Id="rId11394" Type="http://schemas.openxmlformats.org/officeDocument/2006/relationships/hyperlink" Target="https://statiz.sporki.com/add/?m=draft_school02&amp;ps_school=60101" TargetMode="External"/><Relationship Id="rId12445" Type="http://schemas.openxmlformats.org/officeDocument/2006/relationships/hyperlink" Target="https://statiz.sporki.com/player/?m=playerinfo&amp;p_no=15128" TargetMode="External"/><Relationship Id="rId823" Type="http://schemas.openxmlformats.org/officeDocument/2006/relationships/hyperlink" Target="https://statiz.sporki.com/player/?m=playerinfo&amp;p_no=15000" TargetMode="External"/><Relationship Id="rId1453" Type="http://schemas.openxmlformats.org/officeDocument/2006/relationships/hyperlink" Target="https://statiz.sporki.com/player/?m=playerinfo&amp;p_no=14585" TargetMode="External"/><Relationship Id="rId2504" Type="http://schemas.openxmlformats.org/officeDocument/2006/relationships/hyperlink" Target="https://statiz.sporki.com/add/?m=draft_school01&amp;ps_school=50705" TargetMode="External"/><Relationship Id="rId11047" Type="http://schemas.openxmlformats.org/officeDocument/2006/relationships/hyperlink" Target="https://statiz.sporki.com/player/?m=playerinfo&amp;p_no=1370" TargetMode="External"/><Relationship Id="rId15668" Type="http://schemas.openxmlformats.org/officeDocument/2006/relationships/hyperlink" Target="https://statiz.sporki.com/player/?m=playerinfo&amp;p_no=1426" TargetMode="External"/><Relationship Id="rId16719" Type="http://schemas.openxmlformats.org/officeDocument/2006/relationships/hyperlink" Target="https://statiz.sporki.com/add/?m=draft_school01&amp;ps_school=50811" TargetMode="External"/><Relationship Id="rId1106" Type="http://schemas.openxmlformats.org/officeDocument/2006/relationships/hyperlink" Target="https://statiz.sporki.com/add/?m=draft_school01&amp;ps_school=50208" TargetMode="External"/><Relationship Id="rId4676" Type="http://schemas.openxmlformats.org/officeDocument/2006/relationships/hyperlink" Target="https://statiz.sporki.com/add/?m=draft_school01&amp;ps_school=" TargetMode="External"/><Relationship Id="rId5727" Type="http://schemas.openxmlformats.org/officeDocument/2006/relationships/hyperlink" Target="https://statiz.sporki.com/add/?m=draft_school02&amp;ps_school=" TargetMode="External"/><Relationship Id="rId17090" Type="http://schemas.openxmlformats.org/officeDocument/2006/relationships/hyperlink" Target="https://statiz.sporki.com/add/?m=draft_school01&amp;ps_school=50809" TargetMode="External"/><Relationship Id="rId18141" Type="http://schemas.openxmlformats.org/officeDocument/2006/relationships/hyperlink" Target="https://statiz.sporki.com/add/?m=draft_school01&amp;ps_school=50401" TargetMode="External"/><Relationship Id="rId3278" Type="http://schemas.openxmlformats.org/officeDocument/2006/relationships/hyperlink" Target="https://statiz.sporki.com/add/?m=draft_school01&amp;ps_school=50706" TargetMode="External"/><Relationship Id="rId4329" Type="http://schemas.openxmlformats.org/officeDocument/2006/relationships/hyperlink" Target="https://statiz.sporki.com/add/?m=draft_school02&amp;ps_school=" TargetMode="External"/><Relationship Id="rId7899" Type="http://schemas.openxmlformats.org/officeDocument/2006/relationships/hyperlink" Target="https://statiz.sporki.com/add/?m=draft_school02&amp;ps_school=60109" TargetMode="External"/><Relationship Id="rId8200" Type="http://schemas.openxmlformats.org/officeDocument/2006/relationships/hyperlink" Target="https://statiz.sporki.com/player/?m=playerinfo&amp;p_no=11442" TargetMode="External"/><Relationship Id="rId10130" Type="http://schemas.openxmlformats.org/officeDocument/2006/relationships/hyperlink" Target="https://statiz.sporki.com/add/?m=draft_school01&amp;ps_school=50502" TargetMode="External"/><Relationship Id="rId199" Type="http://schemas.openxmlformats.org/officeDocument/2006/relationships/hyperlink" Target="https://statiz.sporki.com/player/?m=playerinfo&amp;p_no=15491" TargetMode="External"/><Relationship Id="rId13353" Type="http://schemas.openxmlformats.org/officeDocument/2006/relationships/hyperlink" Target="https://statiz.sporki.com/player/?m=playerinfo&amp;p_no=13239" TargetMode="External"/><Relationship Id="rId14751" Type="http://schemas.openxmlformats.org/officeDocument/2006/relationships/hyperlink" Target="https://statiz.sporki.com/player/?m=playerinfo&amp;p_no=10559" TargetMode="External"/><Relationship Id="rId15802" Type="http://schemas.openxmlformats.org/officeDocument/2006/relationships/hyperlink" Target="https://statiz.sporki.com/player/?m=playerinfo&amp;p_no=1363" TargetMode="External"/><Relationship Id="rId680" Type="http://schemas.openxmlformats.org/officeDocument/2006/relationships/hyperlink" Target="https://statiz.sporki.com/add/?m=draft_school01&amp;ps_school=50301" TargetMode="External"/><Relationship Id="rId2361" Type="http://schemas.openxmlformats.org/officeDocument/2006/relationships/hyperlink" Target="https://statiz.sporki.com/add/?m=draft_school02&amp;ps_school=" TargetMode="External"/><Relationship Id="rId3412" Type="http://schemas.openxmlformats.org/officeDocument/2006/relationships/hyperlink" Target="https://statiz.sporki.com/player/?m=playerinfo&amp;p_no=12641" TargetMode="External"/><Relationship Id="rId4810" Type="http://schemas.openxmlformats.org/officeDocument/2006/relationships/hyperlink" Target="https://statiz.sporki.com/player/?m=playerinfo&amp;p_no=10864" TargetMode="External"/><Relationship Id="rId13006" Type="http://schemas.openxmlformats.org/officeDocument/2006/relationships/hyperlink" Target="https://statiz.sporki.com/player/?m=playerinfo&amp;p_no=13177" TargetMode="External"/><Relationship Id="rId14404" Type="http://schemas.openxmlformats.org/officeDocument/2006/relationships/hyperlink" Target="https://statiz.sporki.com/player/?m=playerinfo&amp;p_no=10832" TargetMode="External"/><Relationship Id="rId17974" Type="http://schemas.openxmlformats.org/officeDocument/2006/relationships/hyperlink" Target="https://statiz.sporki.com/add/?m=draft_school01&amp;ps_school=50805" TargetMode="External"/><Relationship Id="rId333" Type="http://schemas.openxmlformats.org/officeDocument/2006/relationships/hyperlink" Target="https://statiz.sporki.com/add/?m=draft_school02&amp;ps_school=" TargetMode="External"/><Relationship Id="rId2014" Type="http://schemas.openxmlformats.org/officeDocument/2006/relationships/hyperlink" Target="https://statiz.sporki.com/player/?m=playerinfo&amp;p_no=14175" TargetMode="External"/><Relationship Id="rId6982" Type="http://schemas.openxmlformats.org/officeDocument/2006/relationships/hyperlink" Target="https://statiz.sporki.com/player/?m=playerinfo&amp;p_no=10160" TargetMode="External"/><Relationship Id="rId16576" Type="http://schemas.openxmlformats.org/officeDocument/2006/relationships/hyperlink" Target="https://statiz.sporki.com/add/?m=draft_school01&amp;ps_school=51117" TargetMode="External"/><Relationship Id="rId17627" Type="http://schemas.openxmlformats.org/officeDocument/2006/relationships/hyperlink" Target="https://statiz.sporki.com/add/?m=draft_school01&amp;ps_school=51001" TargetMode="External"/><Relationship Id="rId4186" Type="http://schemas.openxmlformats.org/officeDocument/2006/relationships/hyperlink" Target="https://statiz.sporki.com/player/?m=playerinfo&amp;p_no=11221" TargetMode="External"/><Relationship Id="rId5584" Type="http://schemas.openxmlformats.org/officeDocument/2006/relationships/hyperlink" Target="https://statiz.sporki.com/player/?m=playerinfo&amp;p_no=10104" TargetMode="External"/><Relationship Id="rId6635" Type="http://schemas.openxmlformats.org/officeDocument/2006/relationships/hyperlink" Target="https://statiz.sporki.com/add/?m=draft_school01&amp;ps_school=" TargetMode="External"/><Relationship Id="rId15178" Type="http://schemas.openxmlformats.org/officeDocument/2006/relationships/hyperlink" Target="https://statiz.sporki.com/player/?m=playerinfo&amp;p_no=2003" TargetMode="External"/><Relationship Id="rId16229" Type="http://schemas.openxmlformats.org/officeDocument/2006/relationships/hyperlink" Target="https://statiz.sporki.com/add/?m=draft_school01&amp;ps_school=50402" TargetMode="External"/><Relationship Id="rId5237" Type="http://schemas.openxmlformats.org/officeDocument/2006/relationships/hyperlink" Target="https://statiz.sporki.com/add/?m=draft_school01&amp;ps_school=50703" TargetMode="External"/><Relationship Id="rId9858" Type="http://schemas.openxmlformats.org/officeDocument/2006/relationships/hyperlink" Target="https://statiz.sporki.com/add/?m=draft_school02&amp;ps_school=60208" TargetMode="External"/><Relationship Id="rId11788" Type="http://schemas.openxmlformats.org/officeDocument/2006/relationships/hyperlink" Target="https://statiz.sporki.com/player/?m=playerinfo&amp;p_no=1007" TargetMode="External"/><Relationship Id="rId12839" Type="http://schemas.openxmlformats.org/officeDocument/2006/relationships/hyperlink" Target="https://statiz.sporki.com/player/?m=playerinfo&amp;p_no=14650" TargetMode="External"/><Relationship Id="rId16710" Type="http://schemas.openxmlformats.org/officeDocument/2006/relationships/hyperlink" Target="https://statiz.sporki.com/add/?m=draft_school01&amp;ps_school=50101" TargetMode="External"/><Relationship Id="rId1847" Type="http://schemas.openxmlformats.org/officeDocument/2006/relationships/hyperlink" Target="https://statiz.sporki.com/add/?m=draft_school01&amp;ps_school=50601" TargetMode="External"/><Relationship Id="rId14261" Type="http://schemas.openxmlformats.org/officeDocument/2006/relationships/hyperlink" Target="https://statiz.sporki.com/player/?m=playerinfo&amp;p_no=10396" TargetMode="External"/><Relationship Id="rId15312" Type="http://schemas.openxmlformats.org/officeDocument/2006/relationships/hyperlink" Target="https://statiz.sporki.com/player/?m=playerinfo&amp;p_no=1807" TargetMode="External"/><Relationship Id="rId4320" Type="http://schemas.openxmlformats.org/officeDocument/2006/relationships/hyperlink" Target="https://statiz.sporki.com/add/?m=draft_school02&amp;ps_school=60113" TargetMode="External"/><Relationship Id="rId7890" Type="http://schemas.openxmlformats.org/officeDocument/2006/relationships/hyperlink" Target="https://statiz.sporki.com/add/?m=draft_school02&amp;ps_school=60103" TargetMode="External"/><Relationship Id="rId17484" Type="http://schemas.openxmlformats.org/officeDocument/2006/relationships/hyperlink" Target="https://statiz.sporki.com/add/?m=draft_school01&amp;ps_school=50110" TargetMode="External"/><Relationship Id="rId18882" Type="http://schemas.openxmlformats.org/officeDocument/2006/relationships/hyperlink" Target="https://statiz.sporki.com/add/?m=draft_school01&amp;ps_school=50805" TargetMode="External"/><Relationship Id="rId190" Type="http://schemas.openxmlformats.org/officeDocument/2006/relationships/hyperlink" Target="https://statiz.sporki.com/player/?m=playerinfo&amp;p_no=15456" TargetMode="External"/><Relationship Id="rId6492" Type="http://schemas.openxmlformats.org/officeDocument/2006/relationships/hyperlink" Target="https://statiz.sporki.com/add/?m=draft_school02&amp;ps_school=60601" TargetMode="External"/><Relationship Id="rId7543" Type="http://schemas.openxmlformats.org/officeDocument/2006/relationships/hyperlink" Target="https://statiz.sporki.com/player/?m=playerinfo&amp;p_no=2258" TargetMode="External"/><Relationship Id="rId8941" Type="http://schemas.openxmlformats.org/officeDocument/2006/relationships/hyperlink" Target="https://statiz.sporki.com/player/?m=playerinfo&amp;p_no=10332" TargetMode="External"/><Relationship Id="rId10871" Type="http://schemas.openxmlformats.org/officeDocument/2006/relationships/hyperlink" Target="https://statiz.sporki.com/add/?m=draft_school01&amp;ps_school=50110" TargetMode="External"/><Relationship Id="rId11922" Type="http://schemas.openxmlformats.org/officeDocument/2006/relationships/hyperlink" Target="https://statiz.sporki.com/add/?m=draft_school02&amp;ps_school=60103" TargetMode="External"/><Relationship Id="rId16086" Type="http://schemas.openxmlformats.org/officeDocument/2006/relationships/hyperlink" Target="https://statiz.sporki.com/player/?m=playerinfo&amp;p_no=1106" TargetMode="External"/><Relationship Id="rId17137" Type="http://schemas.openxmlformats.org/officeDocument/2006/relationships/hyperlink" Target="https://statiz.sporki.com/add/?m=draft_school01&amp;ps_school=50101" TargetMode="External"/><Relationship Id="rId18535" Type="http://schemas.openxmlformats.org/officeDocument/2006/relationships/hyperlink" Target="https://statiz.sporki.com/add/?m=draft_school01&amp;ps_school=50203" TargetMode="External"/><Relationship Id="rId5094" Type="http://schemas.openxmlformats.org/officeDocument/2006/relationships/hyperlink" Target="https://statiz.sporki.com/add/?m=draft_school02&amp;ps_school=60501" TargetMode="External"/><Relationship Id="rId6145" Type="http://schemas.openxmlformats.org/officeDocument/2006/relationships/hyperlink" Target="https://statiz.sporki.com/player/?m=playerinfo&amp;p_no=10414" TargetMode="External"/><Relationship Id="rId10524" Type="http://schemas.openxmlformats.org/officeDocument/2006/relationships/hyperlink" Target="https://statiz.sporki.com/add/?m=draft_school02&amp;ps_school=" TargetMode="External"/><Relationship Id="rId12696" Type="http://schemas.openxmlformats.org/officeDocument/2006/relationships/hyperlink" Target="https://statiz.sporki.com/player/?m=playerinfo&amp;p_no=14692" TargetMode="External"/><Relationship Id="rId13747" Type="http://schemas.openxmlformats.org/officeDocument/2006/relationships/hyperlink" Target="https://statiz.sporki.com/player/?m=playerinfo&amp;p_no=10910" TargetMode="External"/><Relationship Id="rId2755" Type="http://schemas.openxmlformats.org/officeDocument/2006/relationships/hyperlink" Target="https://statiz.sporki.com/player/?m=playerinfo&amp;p_no=12906" TargetMode="External"/><Relationship Id="rId3806" Type="http://schemas.openxmlformats.org/officeDocument/2006/relationships/hyperlink" Target="https://statiz.sporki.com/add/?m=draft_school01&amp;ps_school=50116" TargetMode="External"/><Relationship Id="rId9368" Type="http://schemas.openxmlformats.org/officeDocument/2006/relationships/hyperlink" Target="https://statiz.sporki.com/add/?m=draft_school01&amp;ps_school=50403" TargetMode="External"/><Relationship Id="rId11298" Type="http://schemas.openxmlformats.org/officeDocument/2006/relationships/hyperlink" Target="https://statiz.sporki.com/add/?m=draft_school02&amp;ps_school=60103" TargetMode="External"/><Relationship Id="rId12349" Type="http://schemas.openxmlformats.org/officeDocument/2006/relationships/hyperlink" Target="https://statiz.sporki.com/player/?m=playerinfo&amp;p_no=15017" TargetMode="External"/><Relationship Id="rId16220" Type="http://schemas.openxmlformats.org/officeDocument/2006/relationships/hyperlink" Target="https://statiz.sporki.com/add/?m=draft_school01&amp;ps_school=50807" TargetMode="External"/><Relationship Id="rId727" Type="http://schemas.openxmlformats.org/officeDocument/2006/relationships/hyperlink" Target="https://statiz.sporki.com/player/?m=playerinfo&amp;p_no=15031" TargetMode="External"/><Relationship Id="rId1357" Type="http://schemas.openxmlformats.org/officeDocument/2006/relationships/hyperlink" Target="https://statiz.sporki.com/player/?m=playerinfo&amp;p_no=14834" TargetMode="External"/><Relationship Id="rId2408" Type="http://schemas.openxmlformats.org/officeDocument/2006/relationships/hyperlink" Target="https://statiz.sporki.com/add/?m=draft_school01&amp;ps_school=50209" TargetMode="External"/><Relationship Id="rId5978" Type="http://schemas.openxmlformats.org/officeDocument/2006/relationships/hyperlink" Target="https://statiz.sporki.com/add/?m=draft_school01&amp;ps_school=50207" TargetMode="External"/><Relationship Id="rId18392" Type="http://schemas.openxmlformats.org/officeDocument/2006/relationships/hyperlink" Target="https://statiz.sporki.com/add/?m=draft_school01&amp;ps_school=50112" TargetMode="External"/><Relationship Id="rId19443" Type="http://schemas.openxmlformats.org/officeDocument/2006/relationships/hyperlink" Target="https://statiz.sporki.com/add/?m=draft_school01&amp;ps_school=50608" TargetMode="External"/><Relationship Id="rId63" Type="http://schemas.openxmlformats.org/officeDocument/2006/relationships/hyperlink" Target="https://statiz.sporki.com/add/?m=draft_school02&amp;ps_school=" TargetMode="External"/><Relationship Id="rId8451" Type="http://schemas.openxmlformats.org/officeDocument/2006/relationships/hyperlink" Target="https://statiz.sporki.com/add/?m=draft_school02&amp;ps_school=" TargetMode="External"/><Relationship Id="rId9502" Type="http://schemas.openxmlformats.org/officeDocument/2006/relationships/hyperlink" Target="https://statiz.sporki.com/player/?m=playerinfo&amp;p_no=1834" TargetMode="External"/><Relationship Id="rId10381" Type="http://schemas.openxmlformats.org/officeDocument/2006/relationships/hyperlink" Target="https://statiz.sporki.com/player/?m=playerinfo&amp;p_no=1501" TargetMode="External"/><Relationship Id="rId11432" Type="http://schemas.openxmlformats.org/officeDocument/2006/relationships/hyperlink" Target="https://statiz.sporki.com/add/?m=draft_school01&amp;ps_school=" TargetMode="External"/><Relationship Id="rId12830" Type="http://schemas.openxmlformats.org/officeDocument/2006/relationships/hyperlink" Target="https://statiz.sporki.com/player/?m=playerinfo&amp;p_no=14221" TargetMode="External"/><Relationship Id="rId18045" Type="http://schemas.openxmlformats.org/officeDocument/2006/relationships/hyperlink" Target="https://statiz.sporki.com/add/?m=draft_school01&amp;ps_school=50112" TargetMode="External"/><Relationship Id="rId7053" Type="http://schemas.openxmlformats.org/officeDocument/2006/relationships/hyperlink" Target="https://statiz.sporki.com/add/?m=draft_school02&amp;ps_school=" TargetMode="External"/><Relationship Id="rId8104" Type="http://schemas.openxmlformats.org/officeDocument/2006/relationships/hyperlink" Target="https://statiz.sporki.com/player/?m=playerinfo&amp;p_no=10346" TargetMode="External"/><Relationship Id="rId10034" Type="http://schemas.openxmlformats.org/officeDocument/2006/relationships/hyperlink" Target="https://statiz.sporki.com/add/?m=draft_school01&amp;ps_school=" TargetMode="External"/><Relationship Id="rId14655" Type="http://schemas.openxmlformats.org/officeDocument/2006/relationships/hyperlink" Target="https://statiz.sporki.com/player/?m=playerinfo&amp;p_no=10489" TargetMode="External"/><Relationship Id="rId15706" Type="http://schemas.openxmlformats.org/officeDocument/2006/relationships/hyperlink" Target="https://statiz.sporki.com/player/?m=playerinfo&amp;p_no=1456" TargetMode="External"/><Relationship Id="rId584" Type="http://schemas.openxmlformats.org/officeDocument/2006/relationships/hyperlink" Target="https://statiz.sporki.com/add/?m=draft_school01&amp;ps_school=50901" TargetMode="External"/><Relationship Id="rId2265" Type="http://schemas.openxmlformats.org/officeDocument/2006/relationships/hyperlink" Target="https://statiz.sporki.com/add/?m=draft_school02&amp;ps_school=60104" TargetMode="External"/><Relationship Id="rId3663" Type="http://schemas.openxmlformats.org/officeDocument/2006/relationships/hyperlink" Target="https://statiz.sporki.com/add/?m=draft_school02&amp;ps_school=" TargetMode="External"/><Relationship Id="rId4714" Type="http://schemas.openxmlformats.org/officeDocument/2006/relationships/hyperlink" Target="https://statiz.sporki.com/player/?m=playerinfo&amp;p_no=13251" TargetMode="External"/><Relationship Id="rId13257" Type="http://schemas.openxmlformats.org/officeDocument/2006/relationships/hyperlink" Target="https://statiz.sporki.com/player/?m=playerinfo&amp;p_no=12523" TargetMode="External"/><Relationship Id="rId14308" Type="http://schemas.openxmlformats.org/officeDocument/2006/relationships/hyperlink" Target="https://statiz.sporki.com/player/?m=playerinfo&amp;p_no=10247" TargetMode="External"/><Relationship Id="rId17878" Type="http://schemas.openxmlformats.org/officeDocument/2006/relationships/hyperlink" Target="https://statiz.sporki.com/add/?m=draft_school01&amp;ps_school=50208" TargetMode="External"/><Relationship Id="rId18929" Type="http://schemas.openxmlformats.org/officeDocument/2006/relationships/hyperlink" Target="https://statiz.sporki.com/add/?m=draft_school01&amp;ps_school=50711" TargetMode="External"/><Relationship Id="rId237" Type="http://schemas.openxmlformats.org/officeDocument/2006/relationships/hyperlink" Target="https://statiz.sporki.com/add/?m=draft_school02&amp;ps_school=60603" TargetMode="External"/><Relationship Id="rId3316" Type="http://schemas.openxmlformats.org/officeDocument/2006/relationships/hyperlink" Target="https://statiz.sporki.com/player/?m=playerinfo&amp;p_no=12607" TargetMode="External"/><Relationship Id="rId6886" Type="http://schemas.openxmlformats.org/officeDocument/2006/relationships/hyperlink" Target="https://statiz.sporki.com/player/?m=playerinfo&amp;p_no=2359" TargetMode="External"/><Relationship Id="rId7937" Type="http://schemas.openxmlformats.org/officeDocument/2006/relationships/hyperlink" Target="https://statiz.sporki.com/add/?m=draft_school01&amp;ps_school=50202" TargetMode="External"/><Relationship Id="rId10918" Type="http://schemas.openxmlformats.org/officeDocument/2006/relationships/hyperlink" Target="https://statiz.sporki.com/player/?m=playerinfo&amp;p_no=1409" TargetMode="External"/><Relationship Id="rId5488" Type="http://schemas.openxmlformats.org/officeDocument/2006/relationships/hyperlink" Target="https://statiz.sporki.com/player/?m=playerinfo&amp;p_no=10130" TargetMode="External"/><Relationship Id="rId6539" Type="http://schemas.openxmlformats.org/officeDocument/2006/relationships/hyperlink" Target="https://statiz.sporki.com/add/?m=draft_school01&amp;ps_school=50501" TargetMode="External"/><Relationship Id="rId12340" Type="http://schemas.openxmlformats.org/officeDocument/2006/relationships/hyperlink" Target="https://statiz.sporki.com/player/?m=playerinfo&amp;p_no=15060" TargetMode="External"/><Relationship Id="rId9012" Type="http://schemas.openxmlformats.org/officeDocument/2006/relationships/hyperlink" Target="https://statiz.sporki.com/add/?m=draft_school02&amp;ps_school=60108" TargetMode="External"/><Relationship Id="rId15563" Type="http://schemas.openxmlformats.org/officeDocument/2006/relationships/hyperlink" Target="https://statiz.sporki.com/player/?m=playerinfo&amp;p_no=15650" TargetMode="External"/><Relationship Id="rId16961" Type="http://schemas.openxmlformats.org/officeDocument/2006/relationships/hyperlink" Target="https://statiz.sporki.com/add/?m=draft_school01&amp;ps_school=50103" TargetMode="External"/><Relationship Id="rId1001" Type="http://schemas.openxmlformats.org/officeDocument/2006/relationships/hyperlink" Target="https://statiz.sporki.com/add/?m=draft_school01&amp;ps_school=50109" TargetMode="External"/><Relationship Id="rId4571" Type="http://schemas.openxmlformats.org/officeDocument/2006/relationships/hyperlink" Target="https://statiz.sporki.com/add/?m=draft_school01&amp;ps_school=50209" TargetMode="External"/><Relationship Id="rId5622" Type="http://schemas.openxmlformats.org/officeDocument/2006/relationships/hyperlink" Target="https://statiz.sporki.com/add/?m=draft_school02&amp;ps_school=60602" TargetMode="External"/><Relationship Id="rId14165" Type="http://schemas.openxmlformats.org/officeDocument/2006/relationships/hyperlink" Target="https://statiz.sporki.com/player/?m=playerinfo&amp;p_no=10024" TargetMode="External"/><Relationship Id="rId15216" Type="http://schemas.openxmlformats.org/officeDocument/2006/relationships/hyperlink" Target="https://statiz.sporki.com/player/?m=playerinfo&amp;p_no=2099" TargetMode="External"/><Relationship Id="rId16614" Type="http://schemas.openxmlformats.org/officeDocument/2006/relationships/hyperlink" Target="https://statiz.sporki.com/add/?m=draft_school01&amp;ps_school=50604" TargetMode="External"/><Relationship Id="rId3173" Type="http://schemas.openxmlformats.org/officeDocument/2006/relationships/hyperlink" Target="https://statiz.sporki.com/add/?m=draft_school01&amp;ps_school=50701" TargetMode="External"/><Relationship Id="rId4224" Type="http://schemas.openxmlformats.org/officeDocument/2006/relationships/hyperlink" Target="https://statiz.sporki.com/add/?m=draft_school02&amp;ps_school=" TargetMode="External"/><Relationship Id="rId18786" Type="http://schemas.openxmlformats.org/officeDocument/2006/relationships/hyperlink" Target="https://statiz.sporki.com/add/?m=draft_school01&amp;ps_school=50402" TargetMode="External"/><Relationship Id="rId6396" Type="http://schemas.openxmlformats.org/officeDocument/2006/relationships/hyperlink" Target="https://statiz.sporki.com/add/?m=draft_school02&amp;ps_school=" TargetMode="External"/><Relationship Id="rId7794" Type="http://schemas.openxmlformats.org/officeDocument/2006/relationships/hyperlink" Target="https://statiz.sporki.com/add/?m=draft_school02&amp;ps_school=60705" TargetMode="External"/><Relationship Id="rId8845" Type="http://schemas.openxmlformats.org/officeDocument/2006/relationships/hyperlink" Target="https://statiz.sporki.com/player/?m=playerinfo&amp;p_no=1936" TargetMode="External"/><Relationship Id="rId10775" Type="http://schemas.openxmlformats.org/officeDocument/2006/relationships/hyperlink" Target="https://statiz.sporki.com/add/?m=draft_school01&amp;ps_school=50108" TargetMode="External"/><Relationship Id="rId11826" Type="http://schemas.openxmlformats.org/officeDocument/2006/relationships/hyperlink" Target="https://statiz.sporki.com/add/?m=draft_school02&amp;ps_school=" TargetMode="External"/><Relationship Id="rId17388" Type="http://schemas.openxmlformats.org/officeDocument/2006/relationships/hyperlink" Target="https://statiz.sporki.com/add/?m=draft_school01&amp;ps_school=50113" TargetMode="External"/><Relationship Id="rId18439" Type="http://schemas.openxmlformats.org/officeDocument/2006/relationships/hyperlink" Target="https://statiz.sporki.com/add/?m=draft_school01&amp;ps_school=50602" TargetMode="External"/><Relationship Id="rId6049" Type="http://schemas.openxmlformats.org/officeDocument/2006/relationships/hyperlink" Target="https://statiz.sporki.com/player/?m=playerinfo&amp;p_no=10030" TargetMode="External"/><Relationship Id="rId7447" Type="http://schemas.openxmlformats.org/officeDocument/2006/relationships/hyperlink" Target="https://statiz.sporki.com/player/?m=playerinfo&amp;p_no=10255" TargetMode="External"/><Relationship Id="rId10428" Type="http://schemas.openxmlformats.org/officeDocument/2006/relationships/hyperlink" Target="https://statiz.sporki.com/add/?m=draft_school02&amp;ps_school=" TargetMode="External"/><Relationship Id="rId13998" Type="http://schemas.openxmlformats.org/officeDocument/2006/relationships/hyperlink" Target="https://statiz.sporki.com/player/?m=playerinfo&amp;p_no=10019" TargetMode="External"/><Relationship Id="rId18920" Type="http://schemas.openxmlformats.org/officeDocument/2006/relationships/hyperlink" Target="https://statiz.sporki.com/add/?m=draft_school01&amp;ps_school=50802" TargetMode="External"/><Relationship Id="rId16471" Type="http://schemas.openxmlformats.org/officeDocument/2006/relationships/hyperlink" Target="https://statiz.sporki.com/add/?m=draft_school01&amp;ps_school=50705" TargetMode="External"/><Relationship Id="rId17522" Type="http://schemas.openxmlformats.org/officeDocument/2006/relationships/hyperlink" Target="https://statiz.sporki.com/add/?m=draft_school01&amp;ps_school=50808" TargetMode="External"/><Relationship Id="rId978" Type="http://schemas.openxmlformats.org/officeDocument/2006/relationships/hyperlink" Target="https://statiz.sporki.com/add/?m=draft_school02&amp;ps_school=" TargetMode="External"/><Relationship Id="rId2659" Type="http://schemas.openxmlformats.org/officeDocument/2006/relationships/hyperlink" Target="https://statiz.sporki.com/player/?m=playerinfo&amp;p_no=13287" TargetMode="External"/><Relationship Id="rId6530" Type="http://schemas.openxmlformats.org/officeDocument/2006/relationships/hyperlink" Target="https://statiz.sporki.com/add/?m=draft_school01&amp;ps_school=50602" TargetMode="External"/><Relationship Id="rId15073" Type="http://schemas.openxmlformats.org/officeDocument/2006/relationships/hyperlink" Target="https://statiz.sporki.com/player/?m=playerinfo&amp;p_no=1914" TargetMode="External"/><Relationship Id="rId16124" Type="http://schemas.openxmlformats.org/officeDocument/2006/relationships/hyperlink" Target="https://statiz.sporki.com/player/?m=playerinfo&amp;p_no=1093" TargetMode="External"/><Relationship Id="rId4081" Type="http://schemas.openxmlformats.org/officeDocument/2006/relationships/hyperlink" Target="https://statiz.sporki.com/player/?m=playerinfo&amp;p_no=11197" TargetMode="External"/><Relationship Id="rId5132" Type="http://schemas.openxmlformats.org/officeDocument/2006/relationships/hyperlink" Target="https://statiz.sporki.com/add/?m=draft_school01&amp;ps_school=50206" TargetMode="External"/><Relationship Id="rId9753" Type="http://schemas.openxmlformats.org/officeDocument/2006/relationships/hyperlink" Target="https://statiz.sporki.com/add/?m=draft_school02&amp;ps_school=" TargetMode="External"/><Relationship Id="rId18296" Type="http://schemas.openxmlformats.org/officeDocument/2006/relationships/hyperlink" Target="https://statiz.sporki.com/add/?m=draft_school01&amp;ps_school=50301" TargetMode="External"/><Relationship Id="rId19347" Type="http://schemas.openxmlformats.org/officeDocument/2006/relationships/hyperlink" Target="https://statiz.sporki.com/add/?m=draft_school01&amp;ps_school=50701" TargetMode="External"/><Relationship Id="rId8355" Type="http://schemas.openxmlformats.org/officeDocument/2006/relationships/hyperlink" Target="https://statiz.sporki.com/add/?m=draft_school02&amp;ps_school=60108" TargetMode="External"/><Relationship Id="rId9406" Type="http://schemas.openxmlformats.org/officeDocument/2006/relationships/hyperlink" Target="https://statiz.sporki.com/player/?m=playerinfo&amp;p_no=10481" TargetMode="External"/><Relationship Id="rId11683" Type="http://schemas.openxmlformats.org/officeDocument/2006/relationships/hyperlink" Target="https://statiz.sporki.com/player/?m=playerinfo&amp;p_no=1147" TargetMode="External"/><Relationship Id="rId12734" Type="http://schemas.openxmlformats.org/officeDocument/2006/relationships/hyperlink" Target="https://statiz.sporki.com/player/?m=playerinfo&amp;p_no=14729" TargetMode="External"/><Relationship Id="rId1742" Type="http://schemas.openxmlformats.org/officeDocument/2006/relationships/hyperlink" Target="https://statiz.sporki.com/add/?m=draft_school01&amp;ps_school=51100" TargetMode="External"/><Relationship Id="rId8008" Type="http://schemas.openxmlformats.org/officeDocument/2006/relationships/hyperlink" Target="https://statiz.sporki.com/player/?m=playerinfo&amp;p_no=2134" TargetMode="External"/><Relationship Id="rId10285" Type="http://schemas.openxmlformats.org/officeDocument/2006/relationships/hyperlink" Target="https://statiz.sporki.com/player/?m=playerinfo&amp;p_no=1503" TargetMode="External"/><Relationship Id="rId11336" Type="http://schemas.openxmlformats.org/officeDocument/2006/relationships/hyperlink" Target="https://statiz.sporki.com/add/?m=draft_school01&amp;ps_school=50701" TargetMode="External"/><Relationship Id="rId15957" Type="http://schemas.openxmlformats.org/officeDocument/2006/relationships/hyperlink" Target="https://statiz.sporki.com/player/?m=playerinfo&amp;p_no=1217" TargetMode="External"/><Relationship Id="rId4965" Type="http://schemas.openxmlformats.org/officeDocument/2006/relationships/hyperlink" Target="https://statiz.sporki.com/add/?m=draft_school02&amp;ps_school=60803" TargetMode="External"/><Relationship Id="rId14559" Type="http://schemas.openxmlformats.org/officeDocument/2006/relationships/hyperlink" Target="https://statiz.sporki.com/player/?m=playerinfo&amp;p_no=2281" TargetMode="External"/><Relationship Id="rId18430" Type="http://schemas.openxmlformats.org/officeDocument/2006/relationships/hyperlink" Target="https://statiz.sporki.com/add/?m=draft_school01&amp;ps_school=50102" TargetMode="External"/><Relationship Id="rId3567" Type="http://schemas.openxmlformats.org/officeDocument/2006/relationships/hyperlink" Target="https://statiz.sporki.com/add/?m=draft_school02&amp;ps_school=60101" TargetMode="External"/><Relationship Id="rId4618" Type="http://schemas.openxmlformats.org/officeDocument/2006/relationships/hyperlink" Target="https://statiz.sporki.com/player/?m=playerinfo&amp;p_no=13244" TargetMode="External"/><Relationship Id="rId17032" Type="http://schemas.openxmlformats.org/officeDocument/2006/relationships/hyperlink" Target="https://statiz.sporki.com/add/?m=draft_school01&amp;ps_school=50201" TargetMode="External"/><Relationship Id="rId488" Type="http://schemas.openxmlformats.org/officeDocument/2006/relationships/hyperlink" Target="https://statiz.sporki.com/add/?m=draft_school01&amp;ps_school=50209" TargetMode="External"/><Relationship Id="rId2169" Type="http://schemas.openxmlformats.org/officeDocument/2006/relationships/hyperlink" Target="https://statiz.sporki.com/add/?m=draft_school02&amp;ps_school=60109" TargetMode="External"/><Relationship Id="rId6040" Type="http://schemas.openxmlformats.org/officeDocument/2006/relationships/hyperlink" Target="https://statiz.sporki.com/player/?m=playerinfo&amp;p_no=10533" TargetMode="External"/><Relationship Id="rId12591" Type="http://schemas.openxmlformats.org/officeDocument/2006/relationships/hyperlink" Target="https://statiz.sporki.com/player/?m=playerinfo&amp;p_no=14839" TargetMode="External"/><Relationship Id="rId13642" Type="http://schemas.openxmlformats.org/officeDocument/2006/relationships/hyperlink" Target="https://statiz.sporki.com/player/?m=playerinfo&amp;p_no=11314" TargetMode="External"/><Relationship Id="rId2650" Type="http://schemas.openxmlformats.org/officeDocument/2006/relationships/hyperlink" Target="https://statiz.sporki.com/player/?m=playerinfo&amp;p_no=13064" TargetMode="External"/><Relationship Id="rId3701" Type="http://schemas.openxmlformats.org/officeDocument/2006/relationships/hyperlink" Target="https://statiz.sporki.com/add/?m=draft_school01&amp;ps_school=50203" TargetMode="External"/><Relationship Id="rId9263" Type="http://schemas.openxmlformats.org/officeDocument/2006/relationships/hyperlink" Target="https://statiz.sporki.com/add/?m=draft_school01&amp;ps_school=50711" TargetMode="External"/><Relationship Id="rId11193" Type="http://schemas.openxmlformats.org/officeDocument/2006/relationships/hyperlink" Target="https://statiz.sporki.com/add/?m=draft_school02&amp;ps_school=60703" TargetMode="External"/><Relationship Id="rId12244" Type="http://schemas.openxmlformats.org/officeDocument/2006/relationships/hyperlink" Target="https://statiz.sporki.com/player/?m=playerinfo&amp;p_no=15471" TargetMode="External"/><Relationship Id="rId622" Type="http://schemas.openxmlformats.org/officeDocument/2006/relationships/hyperlink" Target="https://statiz.sporki.com/player/?m=playerinfo&amp;p_no=15017" TargetMode="External"/><Relationship Id="rId1252" Type="http://schemas.openxmlformats.org/officeDocument/2006/relationships/hyperlink" Target="https://statiz.sporki.com/player/?m=playerinfo&amp;p_no=14876" TargetMode="External"/><Relationship Id="rId2303" Type="http://schemas.openxmlformats.org/officeDocument/2006/relationships/hyperlink" Target="https://statiz.sporki.com/add/?m=draft_school01&amp;ps_school=50202" TargetMode="External"/><Relationship Id="rId16865" Type="http://schemas.openxmlformats.org/officeDocument/2006/relationships/hyperlink" Target="https://statiz.sporki.com/add/?m=draft_school01&amp;ps_school=50802" TargetMode="External"/><Relationship Id="rId17916" Type="http://schemas.openxmlformats.org/officeDocument/2006/relationships/hyperlink" Target="https://statiz.sporki.com/add/?m=draft_school01&amp;ps_school=50206" TargetMode="External"/><Relationship Id="rId4475" Type="http://schemas.openxmlformats.org/officeDocument/2006/relationships/hyperlink" Target="https://statiz.sporki.com/add/?m=draft_school01&amp;ps_school=50110" TargetMode="External"/><Relationship Id="rId5873" Type="http://schemas.openxmlformats.org/officeDocument/2006/relationships/hyperlink" Target="https://statiz.sporki.com/add/?m=draft_school01&amp;ps_school=50602" TargetMode="External"/><Relationship Id="rId6924" Type="http://schemas.openxmlformats.org/officeDocument/2006/relationships/hyperlink" Target="https://statiz.sporki.com/add/?m=draft_school02&amp;ps_school=60702" TargetMode="External"/><Relationship Id="rId14069" Type="http://schemas.openxmlformats.org/officeDocument/2006/relationships/hyperlink" Target="https://statiz.sporki.com/player/?m=playerinfo&amp;p_no=10095" TargetMode="External"/><Relationship Id="rId15467" Type="http://schemas.openxmlformats.org/officeDocument/2006/relationships/hyperlink" Target="https://statiz.sporki.com/player/?m=playerinfo&amp;p_no=1692" TargetMode="External"/><Relationship Id="rId16518" Type="http://schemas.openxmlformats.org/officeDocument/2006/relationships/hyperlink" Target="https://statiz.sporki.com/add/?m=draft_school01&amp;ps_school=50101" TargetMode="External"/><Relationship Id="rId3077" Type="http://schemas.openxmlformats.org/officeDocument/2006/relationships/hyperlink" Target="https://statiz.sporki.com/add/?m=draft_school01&amp;ps_school=51119" TargetMode="External"/><Relationship Id="rId4128" Type="http://schemas.openxmlformats.org/officeDocument/2006/relationships/hyperlink" Target="https://statiz.sporki.com/add/?m=draft_school02&amp;ps_school=" TargetMode="External"/><Relationship Id="rId5526" Type="http://schemas.openxmlformats.org/officeDocument/2006/relationships/hyperlink" Target="https://statiz.sporki.com/add/?m=draft_school02&amp;ps_school=" TargetMode="External"/><Relationship Id="rId7698" Type="http://schemas.openxmlformats.org/officeDocument/2006/relationships/hyperlink" Target="https://statiz.sporki.com/add/?m=draft_school02&amp;ps_school=60102" TargetMode="External"/><Relationship Id="rId8749" Type="http://schemas.openxmlformats.org/officeDocument/2006/relationships/hyperlink" Target="https://statiz.sporki.com/player/?m=playerinfo&amp;p_no=2016" TargetMode="External"/><Relationship Id="rId10679" Type="http://schemas.openxmlformats.org/officeDocument/2006/relationships/hyperlink" Target="https://statiz.sporki.com/add/?m=draft_school01&amp;ps_school=50103" TargetMode="External"/><Relationship Id="rId14550" Type="http://schemas.openxmlformats.org/officeDocument/2006/relationships/hyperlink" Target="https://statiz.sporki.com/player/?m=playerinfo&amp;p_no=10484" TargetMode="External"/><Relationship Id="rId15601" Type="http://schemas.openxmlformats.org/officeDocument/2006/relationships/hyperlink" Target="https://statiz.sporki.com/player/?m=playerinfo&amp;p_no=10158" TargetMode="External"/><Relationship Id="rId13152" Type="http://schemas.openxmlformats.org/officeDocument/2006/relationships/hyperlink" Target="https://statiz.sporki.com/player/?m=playerinfo&amp;p_no=12916" TargetMode="External"/><Relationship Id="rId14203" Type="http://schemas.openxmlformats.org/officeDocument/2006/relationships/hyperlink" Target="https://statiz.sporki.com/player/?m=playerinfo&amp;p_no=2423" TargetMode="External"/><Relationship Id="rId17773" Type="http://schemas.openxmlformats.org/officeDocument/2006/relationships/hyperlink" Target="https://statiz.sporki.com/add/?m=draft_school01&amp;ps_school=50604" TargetMode="External"/><Relationship Id="rId2160" Type="http://schemas.openxmlformats.org/officeDocument/2006/relationships/hyperlink" Target="https://statiz.sporki.com/add/?m=draft_school02&amp;ps_school=" TargetMode="External"/><Relationship Id="rId3211" Type="http://schemas.openxmlformats.org/officeDocument/2006/relationships/hyperlink" Target="https://statiz.sporki.com/player/?m=playerinfo&amp;p_no=12573" TargetMode="External"/><Relationship Id="rId6781" Type="http://schemas.openxmlformats.org/officeDocument/2006/relationships/hyperlink" Target="https://statiz.sporki.com/player/?m=playerinfo&amp;p_no=10128" TargetMode="External"/><Relationship Id="rId7832" Type="http://schemas.openxmlformats.org/officeDocument/2006/relationships/hyperlink" Target="https://statiz.sporki.com/add/?m=draft_school01&amp;ps_school=50803" TargetMode="External"/><Relationship Id="rId16375" Type="http://schemas.openxmlformats.org/officeDocument/2006/relationships/hyperlink" Target="https://statiz.sporki.com/add/?m=draft_school01&amp;ps_school=50101" TargetMode="External"/><Relationship Id="rId17426" Type="http://schemas.openxmlformats.org/officeDocument/2006/relationships/hyperlink" Target="https://statiz.sporki.com/add/?m=draft_school01&amp;ps_school=50701" TargetMode="External"/><Relationship Id="rId18824" Type="http://schemas.openxmlformats.org/officeDocument/2006/relationships/hyperlink" Target="https://statiz.sporki.com/add/?m=draft_school01&amp;ps_school=50209" TargetMode="External"/><Relationship Id="rId132" Type="http://schemas.openxmlformats.org/officeDocument/2006/relationships/hyperlink" Target="https://statiz.sporki.com/add/?m=draft_school02&amp;ps_school=" TargetMode="External"/><Relationship Id="rId5383" Type="http://schemas.openxmlformats.org/officeDocument/2006/relationships/hyperlink" Target="https://statiz.sporki.com/player/?m=playerinfo&amp;p_no=10658" TargetMode="External"/><Relationship Id="rId6434" Type="http://schemas.openxmlformats.org/officeDocument/2006/relationships/hyperlink" Target="https://statiz.sporki.com/add/?m=draft_school01&amp;ps_school=50602" TargetMode="External"/><Relationship Id="rId10813" Type="http://schemas.openxmlformats.org/officeDocument/2006/relationships/hyperlink" Target="https://statiz.sporki.com/player/?m=playerinfo&amp;p_no=12724" TargetMode="External"/><Relationship Id="rId16028" Type="http://schemas.openxmlformats.org/officeDocument/2006/relationships/hyperlink" Target="https://statiz.sporki.com/player/?m=playerinfo&amp;p_no=1150" TargetMode="External"/><Relationship Id="rId5036" Type="http://schemas.openxmlformats.org/officeDocument/2006/relationships/hyperlink" Target="https://statiz.sporki.com/add/?m=draft_school01&amp;ps_school=" TargetMode="External"/><Relationship Id="rId12985" Type="http://schemas.openxmlformats.org/officeDocument/2006/relationships/hyperlink" Target="https://statiz.sporki.com/player/?m=playerinfo&amp;p_no=13121" TargetMode="External"/><Relationship Id="rId19598" Type="http://schemas.openxmlformats.org/officeDocument/2006/relationships/hyperlink" Target="https://statiz.sporki.com/add/?m=draft_school01&amp;ps_school=50807" TargetMode="External"/><Relationship Id="rId1993" Type="http://schemas.openxmlformats.org/officeDocument/2006/relationships/hyperlink" Target="https://statiz.sporki.com/player/?m=playerinfo&amp;p_no=14128" TargetMode="External"/><Relationship Id="rId8259" Type="http://schemas.openxmlformats.org/officeDocument/2006/relationships/hyperlink" Target="https://statiz.sporki.com/add/?m=draft_school02&amp;ps_school=" TargetMode="External"/><Relationship Id="rId9657" Type="http://schemas.openxmlformats.org/officeDocument/2006/relationships/hyperlink" Target="https://statiz.sporki.com/add/?m=draft_school02&amp;ps_school=60114" TargetMode="External"/><Relationship Id="rId11587" Type="http://schemas.openxmlformats.org/officeDocument/2006/relationships/hyperlink" Target="https://statiz.sporki.com/player/?m=playerinfo&amp;p_no=1161" TargetMode="External"/><Relationship Id="rId12638" Type="http://schemas.openxmlformats.org/officeDocument/2006/relationships/hyperlink" Target="https://statiz.sporki.com/player/?m=playerinfo&amp;p_no=14622" TargetMode="External"/><Relationship Id="rId1646" Type="http://schemas.openxmlformats.org/officeDocument/2006/relationships/hyperlink" Target="https://statiz.sporki.com/add/?m=draft_school01&amp;ps_school=50601" TargetMode="External"/><Relationship Id="rId10189" Type="http://schemas.openxmlformats.org/officeDocument/2006/relationships/hyperlink" Target="https://statiz.sporki.com/player/?m=playerinfo&amp;p_no=1594" TargetMode="External"/><Relationship Id="rId14060" Type="http://schemas.openxmlformats.org/officeDocument/2006/relationships/hyperlink" Target="https://statiz.sporki.com/player/?m=playerinfo&amp;p_no=10423" TargetMode="External"/><Relationship Id="rId15111" Type="http://schemas.openxmlformats.org/officeDocument/2006/relationships/hyperlink" Target="https://statiz.sporki.com/player/?m=playerinfo&amp;p_no=2204" TargetMode="External"/><Relationship Id="rId18681" Type="http://schemas.openxmlformats.org/officeDocument/2006/relationships/hyperlink" Target="https://statiz.sporki.com/add/?m=draft_school01&amp;ps_school=50701" TargetMode="External"/><Relationship Id="rId4869" Type="http://schemas.openxmlformats.org/officeDocument/2006/relationships/hyperlink" Target="https://statiz.sporki.com/add/?m=draft_school02&amp;ps_school=60102" TargetMode="External"/><Relationship Id="rId8740" Type="http://schemas.openxmlformats.org/officeDocument/2006/relationships/hyperlink" Target="https://statiz.sporki.com/player/?m=playerinfo&amp;p_no=10098" TargetMode="External"/><Relationship Id="rId10670" Type="http://schemas.openxmlformats.org/officeDocument/2006/relationships/hyperlink" Target="https://statiz.sporki.com/add/?m=draft_school01&amp;ps_school=50703" TargetMode="External"/><Relationship Id="rId11721" Type="http://schemas.openxmlformats.org/officeDocument/2006/relationships/hyperlink" Target="https://statiz.sporki.com/add/?m=draft_school02&amp;ps_school=" TargetMode="External"/><Relationship Id="rId17283" Type="http://schemas.openxmlformats.org/officeDocument/2006/relationships/hyperlink" Target="https://statiz.sporki.com/add/?m=draft_school01&amp;ps_school=50302" TargetMode="External"/><Relationship Id="rId18334" Type="http://schemas.openxmlformats.org/officeDocument/2006/relationships/hyperlink" Target="https://statiz.sporki.com/add/?m=draft_school01&amp;ps_school=50110" TargetMode="External"/><Relationship Id="rId6291" Type="http://schemas.openxmlformats.org/officeDocument/2006/relationships/hyperlink" Target="https://statiz.sporki.com/add/?m=draft_school02&amp;ps_school=" TargetMode="External"/><Relationship Id="rId7342" Type="http://schemas.openxmlformats.org/officeDocument/2006/relationships/hyperlink" Target="https://statiz.sporki.com/player/?m=playerinfo&amp;p_no=10124" TargetMode="External"/><Relationship Id="rId10323" Type="http://schemas.openxmlformats.org/officeDocument/2006/relationships/hyperlink" Target="https://statiz.sporki.com/add/?m=draft_school02&amp;ps_school=60108" TargetMode="External"/><Relationship Id="rId12495" Type="http://schemas.openxmlformats.org/officeDocument/2006/relationships/hyperlink" Target="https://statiz.sporki.com/player/?m=playerinfo&amp;p_no=14773" TargetMode="External"/><Relationship Id="rId13893" Type="http://schemas.openxmlformats.org/officeDocument/2006/relationships/hyperlink" Target="https://statiz.sporki.com/player/?m=playerinfo&amp;p_no=11220" TargetMode="External"/><Relationship Id="rId14944" Type="http://schemas.openxmlformats.org/officeDocument/2006/relationships/hyperlink" Target="https://statiz.sporki.com/player/?m=playerinfo&amp;p_no=10349" TargetMode="External"/><Relationship Id="rId873" Type="http://schemas.openxmlformats.org/officeDocument/2006/relationships/hyperlink" Target="https://statiz.sporki.com/add/?m=draft_school02&amp;ps_school=" TargetMode="External"/><Relationship Id="rId2554" Type="http://schemas.openxmlformats.org/officeDocument/2006/relationships/hyperlink" Target="https://statiz.sporki.com/player/?m=playerinfo&amp;p_no=13164" TargetMode="External"/><Relationship Id="rId3952" Type="http://schemas.openxmlformats.org/officeDocument/2006/relationships/hyperlink" Target="https://statiz.sporki.com/player/?m=playerinfo&amp;p_no=11409" TargetMode="External"/><Relationship Id="rId9167" Type="http://schemas.openxmlformats.org/officeDocument/2006/relationships/hyperlink" Target="https://statiz.sporki.com/add/?m=draft_school01&amp;ps_school=50805" TargetMode="External"/><Relationship Id="rId11097" Type="http://schemas.openxmlformats.org/officeDocument/2006/relationships/hyperlink" Target="https://statiz.sporki.com/add/?m=draft_school02&amp;ps_school=60101" TargetMode="External"/><Relationship Id="rId12148" Type="http://schemas.openxmlformats.org/officeDocument/2006/relationships/hyperlink" Target="https://statiz.sporki.com/player/?m=playerinfo&amp;p_no=15484" TargetMode="External"/><Relationship Id="rId13546" Type="http://schemas.openxmlformats.org/officeDocument/2006/relationships/hyperlink" Target="https://statiz.sporki.com/player/?m=playerinfo&amp;p_no=11223" TargetMode="External"/><Relationship Id="rId526" Type="http://schemas.openxmlformats.org/officeDocument/2006/relationships/hyperlink" Target="https://statiz.sporki.com/player/?m=playerinfo&amp;p_no=15035" TargetMode="External"/><Relationship Id="rId1156" Type="http://schemas.openxmlformats.org/officeDocument/2006/relationships/hyperlink" Target="https://statiz.sporki.com/player/?m=playerinfo&amp;p_no=14864" TargetMode="External"/><Relationship Id="rId2207" Type="http://schemas.openxmlformats.org/officeDocument/2006/relationships/hyperlink" Target="https://statiz.sporki.com/add/?m=draft_school01&amp;ps_school=" TargetMode="External"/><Relationship Id="rId3605" Type="http://schemas.openxmlformats.org/officeDocument/2006/relationships/hyperlink" Target="https://statiz.sporki.com/add/?m=draft_school01&amp;ps_school=50605" TargetMode="External"/><Relationship Id="rId16769" Type="http://schemas.openxmlformats.org/officeDocument/2006/relationships/hyperlink" Target="https://statiz.sporki.com/add/?m=draft_school01&amp;ps_school=50801" TargetMode="External"/><Relationship Id="rId5777" Type="http://schemas.openxmlformats.org/officeDocument/2006/relationships/hyperlink" Target="https://statiz.sporki.com/add/?m=draft_school01&amp;ps_school=50602" TargetMode="External"/><Relationship Id="rId6828" Type="http://schemas.openxmlformats.org/officeDocument/2006/relationships/hyperlink" Target="https://statiz.sporki.com/add/?m=draft_school02&amp;ps_school=" TargetMode="External"/><Relationship Id="rId18191" Type="http://schemas.openxmlformats.org/officeDocument/2006/relationships/hyperlink" Target="https://statiz.sporki.com/add/?m=draft_school01&amp;ps_school=50701" TargetMode="External"/><Relationship Id="rId19242" Type="http://schemas.openxmlformats.org/officeDocument/2006/relationships/hyperlink" Target="https://statiz.sporki.com/add/?m=draft_school01&amp;ps_school=50805" TargetMode="External"/><Relationship Id="rId4379" Type="http://schemas.openxmlformats.org/officeDocument/2006/relationships/hyperlink" Target="https://statiz.sporki.com/add/?m=draft_school01&amp;ps_school=" TargetMode="External"/><Relationship Id="rId8250" Type="http://schemas.openxmlformats.org/officeDocument/2006/relationships/hyperlink" Target="https://statiz.sporki.com/add/?m=draft_school02&amp;ps_school=" TargetMode="External"/><Relationship Id="rId9301" Type="http://schemas.openxmlformats.org/officeDocument/2006/relationships/hyperlink" Target="https://statiz.sporki.com/player/?m=playerinfo&amp;p_no=1783" TargetMode="External"/><Relationship Id="rId10180" Type="http://schemas.openxmlformats.org/officeDocument/2006/relationships/hyperlink" Target="https://statiz.sporki.com/player/?m=playerinfo&amp;p_no=10550" TargetMode="External"/><Relationship Id="rId11231" Type="http://schemas.openxmlformats.org/officeDocument/2006/relationships/hyperlink" Target="https://statiz.sporki.com/add/?m=draft_school01&amp;ps_school=50701" TargetMode="External"/><Relationship Id="rId15852" Type="http://schemas.openxmlformats.org/officeDocument/2006/relationships/hyperlink" Target="https://statiz.sporki.com/player/?m=playerinfo&amp;p_no=1367" TargetMode="External"/><Relationship Id="rId4860" Type="http://schemas.openxmlformats.org/officeDocument/2006/relationships/hyperlink" Target="https://statiz.sporki.com/add/?m=draft_school02&amp;ps_school=" TargetMode="External"/><Relationship Id="rId5911" Type="http://schemas.openxmlformats.org/officeDocument/2006/relationships/hyperlink" Target="https://statiz.sporki.com/player/?m=playerinfo&amp;p_no=10186" TargetMode="External"/><Relationship Id="rId14454" Type="http://schemas.openxmlformats.org/officeDocument/2006/relationships/hyperlink" Target="https://statiz.sporki.com/player/?m=playerinfo&amp;p_no=10145" TargetMode="External"/><Relationship Id="rId15505" Type="http://schemas.openxmlformats.org/officeDocument/2006/relationships/hyperlink" Target="https://statiz.sporki.com/player/?m=playerinfo&amp;p_no=1588" TargetMode="External"/><Relationship Id="rId16903" Type="http://schemas.openxmlformats.org/officeDocument/2006/relationships/hyperlink" Target="https://statiz.sporki.com/add/?m=draft_school01&amp;ps_school=50701" TargetMode="External"/><Relationship Id="rId3462" Type="http://schemas.openxmlformats.org/officeDocument/2006/relationships/hyperlink" Target="https://statiz.sporki.com/add/?m=draft_school02&amp;ps_school=60104" TargetMode="External"/><Relationship Id="rId4513" Type="http://schemas.openxmlformats.org/officeDocument/2006/relationships/hyperlink" Target="https://statiz.sporki.com/player/?m=playerinfo&amp;p_no=11135" TargetMode="External"/><Relationship Id="rId13056" Type="http://schemas.openxmlformats.org/officeDocument/2006/relationships/hyperlink" Target="https://statiz.sporki.com/player/?m=playerinfo&amp;p_no=12939" TargetMode="External"/><Relationship Id="rId14107" Type="http://schemas.openxmlformats.org/officeDocument/2006/relationships/hyperlink" Target="https://statiz.sporki.com/player/?m=playerinfo&amp;p_no=10034" TargetMode="External"/><Relationship Id="rId383" Type="http://schemas.openxmlformats.org/officeDocument/2006/relationships/hyperlink" Target="https://statiz.sporki.com/add/?m=draft_school01&amp;ps_school=" TargetMode="External"/><Relationship Id="rId2064" Type="http://schemas.openxmlformats.org/officeDocument/2006/relationships/hyperlink" Target="https://statiz.sporki.com/add/?m=draft_school02&amp;ps_school=" TargetMode="External"/><Relationship Id="rId3115" Type="http://schemas.openxmlformats.org/officeDocument/2006/relationships/hyperlink" Target="https://statiz.sporki.com/player/?m=playerinfo&amp;p_no=12953" TargetMode="External"/><Relationship Id="rId6685" Type="http://schemas.openxmlformats.org/officeDocument/2006/relationships/hyperlink" Target="https://statiz.sporki.com/player/?m=playerinfo&amp;p_no=10560" TargetMode="External"/><Relationship Id="rId16279" Type="http://schemas.openxmlformats.org/officeDocument/2006/relationships/hyperlink" Target="https://statiz.sporki.com/add/?m=draft_school01&amp;ps_school=50210" TargetMode="External"/><Relationship Id="rId17677" Type="http://schemas.openxmlformats.org/officeDocument/2006/relationships/hyperlink" Target="https://statiz.sporki.com/add/?m=draft_school01&amp;ps_school=50602" TargetMode="External"/><Relationship Id="rId18728" Type="http://schemas.openxmlformats.org/officeDocument/2006/relationships/hyperlink" Target="https://statiz.sporki.com/add/?m=draft_school01&amp;ps_school=50121" TargetMode="External"/><Relationship Id="rId5287" Type="http://schemas.openxmlformats.org/officeDocument/2006/relationships/hyperlink" Target="https://statiz.sporki.com/player/?m=playerinfo&amp;p_no=10754" TargetMode="External"/><Relationship Id="rId6338" Type="http://schemas.openxmlformats.org/officeDocument/2006/relationships/hyperlink" Target="https://statiz.sporki.com/add/?m=draft_school01&amp;ps_school=50111" TargetMode="External"/><Relationship Id="rId7736" Type="http://schemas.openxmlformats.org/officeDocument/2006/relationships/hyperlink" Target="https://statiz.sporki.com/add/?m=draft_school01&amp;ps_school=" TargetMode="External"/><Relationship Id="rId10717" Type="http://schemas.openxmlformats.org/officeDocument/2006/relationships/hyperlink" Target="https://statiz.sporki.com/player/?m=playerinfo&amp;p_no=1449" TargetMode="External"/><Relationship Id="rId12889" Type="http://schemas.openxmlformats.org/officeDocument/2006/relationships/hyperlink" Target="https://statiz.sporki.com/player/?m=playerinfo&amp;p_no=13939" TargetMode="External"/><Relationship Id="rId16760" Type="http://schemas.openxmlformats.org/officeDocument/2006/relationships/hyperlink" Target="https://statiz.sporki.com/add/?m=draft_school01&amp;ps_school=50107" TargetMode="External"/><Relationship Id="rId17811" Type="http://schemas.openxmlformats.org/officeDocument/2006/relationships/hyperlink" Target="https://statiz.sporki.com/add/?m=draft_school01&amp;ps_school=50109" TargetMode="External"/><Relationship Id="rId1897" Type="http://schemas.openxmlformats.org/officeDocument/2006/relationships/hyperlink" Target="https://statiz.sporki.com/player/?m=playerinfo&amp;p_no=14160" TargetMode="External"/><Relationship Id="rId2948" Type="http://schemas.openxmlformats.org/officeDocument/2006/relationships/hyperlink" Target="https://statiz.sporki.com/add/?m=draft_school01&amp;ps_school=50205" TargetMode="External"/><Relationship Id="rId15362" Type="http://schemas.openxmlformats.org/officeDocument/2006/relationships/hyperlink" Target="https://statiz.sporki.com/player/?m=playerinfo&amp;p_no=1845" TargetMode="External"/><Relationship Id="rId16413" Type="http://schemas.openxmlformats.org/officeDocument/2006/relationships/hyperlink" Target="https://statiz.sporki.com/add/?m=draft_school01&amp;ps_school=50604" TargetMode="External"/><Relationship Id="rId4370" Type="http://schemas.openxmlformats.org/officeDocument/2006/relationships/hyperlink" Target="https://statiz.sporki.com/add/?m=draft_school01&amp;ps_school=" TargetMode="External"/><Relationship Id="rId5421" Type="http://schemas.openxmlformats.org/officeDocument/2006/relationships/hyperlink" Target="https://statiz.sporki.com/add/?m=draft_school02&amp;ps_school=" TargetMode="External"/><Relationship Id="rId8991" Type="http://schemas.openxmlformats.org/officeDocument/2006/relationships/hyperlink" Target="https://statiz.sporki.com/add/?m=draft_school02&amp;ps_school=60111" TargetMode="External"/><Relationship Id="rId15015" Type="http://schemas.openxmlformats.org/officeDocument/2006/relationships/hyperlink" Target="https://statiz.sporki.com/player/?m=playerinfo&amp;p_no=10398" TargetMode="External"/><Relationship Id="rId18585" Type="http://schemas.openxmlformats.org/officeDocument/2006/relationships/hyperlink" Target="https://statiz.sporki.com/add/?m=draft_school01&amp;ps_school=50111" TargetMode="External"/><Relationship Id="rId19636" Type="http://schemas.openxmlformats.org/officeDocument/2006/relationships/hyperlink" Target="https://statiz.sporki.com/add/?m=draft_school01&amp;ps_school=50701" TargetMode="External"/><Relationship Id="rId4023" Type="http://schemas.openxmlformats.org/officeDocument/2006/relationships/hyperlink" Target="https://statiz.sporki.com/add/?m=draft_school02&amp;ps_school=60104" TargetMode="External"/><Relationship Id="rId7593" Type="http://schemas.openxmlformats.org/officeDocument/2006/relationships/hyperlink" Target="https://statiz.sporki.com/add/?m=draft_school02&amp;ps_school=" TargetMode="External"/><Relationship Id="rId8644" Type="http://schemas.openxmlformats.org/officeDocument/2006/relationships/hyperlink" Target="https://statiz.sporki.com/player/?m=playerinfo&amp;p_no=2004" TargetMode="External"/><Relationship Id="rId11972" Type="http://schemas.openxmlformats.org/officeDocument/2006/relationships/hyperlink" Target="https://statiz.sporki.com/add/?m=draft_school01&amp;ps_school=50202" TargetMode="External"/><Relationship Id="rId17187" Type="http://schemas.openxmlformats.org/officeDocument/2006/relationships/hyperlink" Target="https://statiz.sporki.com/add/?m=draft_school01&amp;ps_school=50208" TargetMode="External"/><Relationship Id="rId18238" Type="http://schemas.openxmlformats.org/officeDocument/2006/relationships/hyperlink" Target="https://statiz.sporki.com/add/?m=draft_school01&amp;ps_school=50702" TargetMode="External"/><Relationship Id="rId6195" Type="http://schemas.openxmlformats.org/officeDocument/2006/relationships/hyperlink" Target="https://statiz.sporki.com/add/?m=draft_school02&amp;ps_school=" TargetMode="External"/><Relationship Id="rId7246" Type="http://schemas.openxmlformats.org/officeDocument/2006/relationships/hyperlink" Target="https://statiz.sporki.com/player/?m=playerinfo&amp;p_no=2289" TargetMode="External"/><Relationship Id="rId10227" Type="http://schemas.openxmlformats.org/officeDocument/2006/relationships/hyperlink" Target="https://statiz.sporki.com/add/?m=draft_school02&amp;ps_school=" TargetMode="External"/><Relationship Id="rId10574" Type="http://schemas.openxmlformats.org/officeDocument/2006/relationships/hyperlink" Target="https://statiz.sporki.com/add/?m=draft_school01&amp;ps_school=50210" TargetMode="External"/><Relationship Id="rId11625" Type="http://schemas.openxmlformats.org/officeDocument/2006/relationships/hyperlink" Target="https://statiz.sporki.com/add/?m=draft_school02&amp;ps_school=60111" TargetMode="External"/><Relationship Id="rId13797" Type="http://schemas.openxmlformats.org/officeDocument/2006/relationships/hyperlink" Target="https://statiz.sporki.com/player/?m=playerinfo&amp;p_no=10871" TargetMode="External"/><Relationship Id="rId14848" Type="http://schemas.openxmlformats.org/officeDocument/2006/relationships/hyperlink" Target="https://statiz.sporki.com/player/?m=playerinfo&amp;p_no=10010" TargetMode="External"/><Relationship Id="rId3856" Type="http://schemas.openxmlformats.org/officeDocument/2006/relationships/hyperlink" Target="https://statiz.sporki.com/player/?m=playerinfo&amp;p_no=11423" TargetMode="External"/><Relationship Id="rId4907" Type="http://schemas.openxmlformats.org/officeDocument/2006/relationships/hyperlink" Target="https://statiz.sporki.com/add/?m=draft_school01&amp;ps_school=50107" TargetMode="External"/><Relationship Id="rId12399" Type="http://schemas.openxmlformats.org/officeDocument/2006/relationships/hyperlink" Target="https://statiz.sporki.com/player/?m=playerinfo&amp;p_no=15021" TargetMode="External"/><Relationship Id="rId16270" Type="http://schemas.openxmlformats.org/officeDocument/2006/relationships/hyperlink" Target="https://statiz.sporki.com/add/?m=draft_school01&amp;ps_school=50107" TargetMode="External"/><Relationship Id="rId17321" Type="http://schemas.openxmlformats.org/officeDocument/2006/relationships/hyperlink" Target="https://statiz.sporki.com/add/?m=draft_school01&amp;ps_school=50708" TargetMode="External"/><Relationship Id="rId777" Type="http://schemas.openxmlformats.org/officeDocument/2006/relationships/hyperlink" Target="https://statiz.sporki.com/add/?m=draft_school02&amp;ps_school=60607" TargetMode="External"/><Relationship Id="rId2458" Type="http://schemas.openxmlformats.org/officeDocument/2006/relationships/hyperlink" Target="https://statiz.sporki.com/player/?m=playerinfo&amp;p_no=13074" TargetMode="External"/><Relationship Id="rId3509" Type="http://schemas.openxmlformats.org/officeDocument/2006/relationships/hyperlink" Target="https://statiz.sporki.com/add/?m=draft_school01&amp;ps_school=" TargetMode="External"/><Relationship Id="rId12880" Type="http://schemas.openxmlformats.org/officeDocument/2006/relationships/hyperlink" Target="https://statiz.sporki.com/player/?m=playerinfo&amp;p_no=13940" TargetMode="External"/><Relationship Id="rId13931" Type="http://schemas.openxmlformats.org/officeDocument/2006/relationships/hyperlink" Target="https://statiz.sporki.com/player/?m=playerinfo&amp;p_no=10649" TargetMode="External"/><Relationship Id="rId19493" Type="http://schemas.openxmlformats.org/officeDocument/2006/relationships/hyperlink" Target="https://statiz.sporki.com/add/?m=draft_school01&amp;ps_school=50105" TargetMode="External"/><Relationship Id="rId9552" Type="http://schemas.openxmlformats.org/officeDocument/2006/relationships/hyperlink" Target="https://statiz.sporki.com/add/?m=draft_school02&amp;ps_school=60703" TargetMode="External"/><Relationship Id="rId11482" Type="http://schemas.openxmlformats.org/officeDocument/2006/relationships/hyperlink" Target="https://statiz.sporki.com/player/?m=playerinfo&amp;p_no=1196" TargetMode="External"/><Relationship Id="rId12533" Type="http://schemas.openxmlformats.org/officeDocument/2006/relationships/hyperlink" Target="https://statiz.sporki.com/player/?m=playerinfo&amp;p_no=14828" TargetMode="External"/><Relationship Id="rId18095" Type="http://schemas.openxmlformats.org/officeDocument/2006/relationships/hyperlink" Target="https://statiz.sporki.com/add/?m=draft_school01&amp;ps_school=50110" TargetMode="External"/><Relationship Id="rId19146" Type="http://schemas.openxmlformats.org/officeDocument/2006/relationships/hyperlink" Target="https://statiz.sporki.com/add/?m=draft_school01&amp;ps_school=50607" TargetMode="External"/><Relationship Id="rId911" Type="http://schemas.openxmlformats.org/officeDocument/2006/relationships/hyperlink" Target="https://statiz.sporki.com/add/?m=draft_school01&amp;ps_school=50804" TargetMode="External"/><Relationship Id="rId1541" Type="http://schemas.openxmlformats.org/officeDocument/2006/relationships/hyperlink" Target="https://statiz.sporki.com/add/?m=draft_school01&amp;ps_school=50105" TargetMode="External"/><Relationship Id="rId8154" Type="http://schemas.openxmlformats.org/officeDocument/2006/relationships/hyperlink" Target="https://statiz.sporki.com/add/?m=draft_school02&amp;ps_school=60803" TargetMode="External"/><Relationship Id="rId9205" Type="http://schemas.openxmlformats.org/officeDocument/2006/relationships/hyperlink" Target="https://statiz.sporki.com/player/?m=playerinfo&amp;p_no=1922" TargetMode="External"/><Relationship Id="rId10084" Type="http://schemas.openxmlformats.org/officeDocument/2006/relationships/hyperlink" Target="https://statiz.sporki.com/player/?m=playerinfo&amp;p_no=11429" TargetMode="External"/><Relationship Id="rId11135" Type="http://schemas.openxmlformats.org/officeDocument/2006/relationships/hyperlink" Target="https://statiz.sporki.com/add/?m=draft_school01&amp;ps_school=" TargetMode="External"/><Relationship Id="rId4764" Type="http://schemas.openxmlformats.org/officeDocument/2006/relationships/hyperlink" Target="https://statiz.sporki.com/add/?m=draft_school02&amp;ps_school=" TargetMode="External"/><Relationship Id="rId14358" Type="http://schemas.openxmlformats.org/officeDocument/2006/relationships/hyperlink" Target="https://statiz.sporki.com/player/?m=playerinfo&amp;p_no=2378" TargetMode="External"/><Relationship Id="rId15756" Type="http://schemas.openxmlformats.org/officeDocument/2006/relationships/hyperlink" Target="https://statiz.sporki.com/player/?m=playerinfo&amp;p_no=15156" TargetMode="External"/><Relationship Id="rId16807" Type="http://schemas.openxmlformats.org/officeDocument/2006/relationships/hyperlink" Target="https://statiz.sporki.com/add/?m=draft_school01&amp;ps_school=50302" TargetMode="External"/><Relationship Id="rId3366" Type="http://schemas.openxmlformats.org/officeDocument/2006/relationships/hyperlink" Target="https://statiz.sporki.com/add/?m=draft_school02&amp;ps_school=60109" TargetMode="External"/><Relationship Id="rId4417" Type="http://schemas.openxmlformats.org/officeDocument/2006/relationships/hyperlink" Target="https://statiz.sporki.com/player/?m=playerinfo&amp;p_no=12665" TargetMode="External"/><Relationship Id="rId5815" Type="http://schemas.openxmlformats.org/officeDocument/2006/relationships/hyperlink" Target="https://statiz.sporki.com/player/?m=playerinfo&amp;p_no=10495" TargetMode="External"/><Relationship Id="rId15409" Type="http://schemas.openxmlformats.org/officeDocument/2006/relationships/hyperlink" Target="https://statiz.sporki.com/player/?m=playerinfo&amp;p_no=1715" TargetMode="External"/><Relationship Id="rId18979" Type="http://schemas.openxmlformats.org/officeDocument/2006/relationships/hyperlink" Target="https://statiz.sporki.com/add/?m=draft_school01&amp;ps_school=50901" TargetMode="External"/><Relationship Id="rId287" Type="http://schemas.openxmlformats.org/officeDocument/2006/relationships/hyperlink" Target="https://statiz.sporki.com/add/?m=draft_school01&amp;ps_school=50106" TargetMode="External"/><Relationship Id="rId3019" Type="http://schemas.openxmlformats.org/officeDocument/2006/relationships/hyperlink" Target="https://statiz.sporki.com/player/?m=playerinfo&amp;p_no=12890" TargetMode="External"/><Relationship Id="rId7987" Type="http://schemas.openxmlformats.org/officeDocument/2006/relationships/hyperlink" Target="https://statiz.sporki.com/player/?m=playerinfo&amp;p_no=2142" TargetMode="External"/><Relationship Id="rId10968" Type="http://schemas.openxmlformats.org/officeDocument/2006/relationships/hyperlink" Target="https://statiz.sporki.com/add/?m=draft_school02&amp;ps_school=60703" TargetMode="External"/><Relationship Id="rId6589" Type="http://schemas.openxmlformats.org/officeDocument/2006/relationships/hyperlink" Target="https://statiz.sporki.com/player/?m=playerinfo&amp;p_no=10274" TargetMode="External"/><Relationship Id="rId9062" Type="http://schemas.openxmlformats.org/officeDocument/2006/relationships/hyperlink" Target="https://statiz.sporki.com/add/?m=draft_school01&amp;ps_school=50702" TargetMode="External"/><Relationship Id="rId12390" Type="http://schemas.openxmlformats.org/officeDocument/2006/relationships/hyperlink" Target="https://statiz.sporki.com/player/?m=playerinfo&amp;p_no=15065" TargetMode="External"/><Relationship Id="rId13441" Type="http://schemas.openxmlformats.org/officeDocument/2006/relationships/hyperlink" Target="https://statiz.sporki.com/player/?m=playerinfo&amp;p_no=11301" TargetMode="External"/><Relationship Id="rId3500" Type="http://schemas.openxmlformats.org/officeDocument/2006/relationships/hyperlink" Target="https://statiz.sporki.com/add/?m=draft_school01&amp;ps_school=" TargetMode="External"/><Relationship Id="rId12043" Type="http://schemas.openxmlformats.org/officeDocument/2006/relationships/hyperlink" Target="https://statiz.sporki.com/player/?m=playerinfo&amp;p_no=1022" TargetMode="External"/><Relationship Id="rId16664" Type="http://schemas.openxmlformats.org/officeDocument/2006/relationships/hyperlink" Target="https://statiz.sporki.com/add/?m=draft_school01&amp;ps_school=50110" TargetMode="External"/><Relationship Id="rId17715" Type="http://schemas.openxmlformats.org/officeDocument/2006/relationships/hyperlink" Target="https://statiz.sporki.com/add/?m=draft_school01&amp;ps_school=50703" TargetMode="External"/><Relationship Id="rId421" Type="http://schemas.openxmlformats.org/officeDocument/2006/relationships/hyperlink" Target="https://statiz.sporki.com/player/?m=playerinfo&amp;p_no=15616" TargetMode="External"/><Relationship Id="rId1051" Type="http://schemas.openxmlformats.org/officeDocument/2006/relationships/hyperlink" Target="https://statiz.sporki.com/player/?m=playerinfo&amp;p_no=14782" TargetMode="External"/><Relationship Id="rId2102" Type="http://schemas.openxmlformats.org/officeDocument/2006/relationships/hyperlink" Target="https://statiz.sporki.com/add/?m=draft_school01&amp;ps_school=50703" TargetMode="External"/><Relationship Id="rId5672" Type="http://schemas.openxmlformats.org/officeDocument/2006/relationships/hyperlink" Target="https://statiz.sporki.com/add/?m=draft_school01&amp;ps_school=" TargetMode="External"/><Relationship Id="rId6723" Type="http://schemas.openxmlformats.org/officeDocument/2006/relationships/hyperlink" Target="https://statiz.sporki.com/add/?m=draft_school02&amp;ps_school=60704" TargetMode="External"/><Relationship Id="rId15266" Type="http://schemas.openxmlformats.org/officeDocument/2006/relationships/hyperlink" Target="https://statiz.sporki.com/player/?m=playerinfo&amp;p_no=1854" TargetMode="External"/><Relationship Id="rId16317" Type="http://schemas.openxmlformats.org/officeDocument/2006/relationships/hyperlink" Target="https://statiz.sporki.com/add/?m=draft_school01&amp;ps_school=50301" TargetMode="External"/><Relationship Id="rId4274" Type="http://schemas.openxmlformats.org/officeDocument/2006/relationships/hyperlink" Target="https://statiz.sporki.com/add/?m=draft_school01&amp;ps_school=50601" TargetMode="External"/><Relationship Id="rId5325" Type="http://schemas.openxmlformats.org/officeDocument/2006/relationships/hyperlink" Target="https://statiz.sporki.com/add/?m=draft_school02&amp;ps_school=60802" TargetMode="External"/><Relationship Id="rId8895" Type="http://schemas.openxmlformats.org/officeDocument/2006/relationships/hyperlink" Target="https://statiz.sporki.com/add/?m=draft_school02&amp;ps_school=60111" TargetMode="External"/><Relationship Id="rId18489" Type="http://schemas.openxmlformats.org/officeDocument/2006/relationships/hyperlink" Target="https://statiz.sporki.com/add/?m=draft_school01&amp;ps_school=50602" TargetMode="External"/><Relationship Id="rId7497" Type="http://schemas.openxmlformats.org/officeDocument/2006/relationships/hyperlink" Target="https://statiz.sporki.com/add/?m=draft_school02&amp;ps_school=" TargetMode="External"/><Relationship Id="rId8548" Type="http://schemas.openxmlformats.org/officeDocument/2006/relationships/hyperlink" Target="https://statiz.sporki.com/player/?m=playerinfo&amp;p_no=2052" TargetMode="External"/><Relationship Id="rId9946" Type="http://schemas.openxmlformats.org/officeDocument/2006/relationships/hyperlink" Target="https://statiz.sporki.com/player/?m=playerinfo&amp;p_no=1816" TargetMode="External"/><Relationship Id="rId11876" Type="http://schemas.openxmlformats.org/officeDocument/2006/relationships/hyperlink" Target="https://statiz.sporki.com/add/?m=draft_school01&amp;ps_school=50110" TargetMode="External"/><Relationship Id="rId12927" Type="http://schemas.openxmlformats.org/officeDocument/2006/relationships/hyperlink" Target="https://statiz.sporki.com/player/?m=playerinfo&amp;p_no=13104" TargetMode="External"/><Relationship Id="rId1935" Type="http://schemas.openxmlformats.org/officeDocument/2006/relationships/hyperlink" Target="https://statiz.sporki.com/add/?m=draft_school02&amp;ps_school=" TargetMode="External"/><Relationship Id="rId6099" Type="http://schemas.openxmlformats.org/officeDocument/2006/relationships/hyperlink" Target="https://statiz.sporki.com/add/?m=draft_school02&amp;ps_school=60109" TargetMode="External"/><Relationship Id="rId10478" Type="http://schemas.openxmlformats.org/officeDocument/2006/relationships/hyperlink" Target="https://statiz.sporki.com/add/?m=draft_school01&amp;ps_school=50701" TargetMode="External"/><Relationship Id="rId11529" Type="http://schemas.openxmlformats.org/officeDocument/2006/relationships/hyperlink" Target="https://statiz.sporki.com/add/?m=draft_school02&amp;ps_school=" TargetMode="External"/><Relationship Id="rId15400" Type="http://schemas.openxmlformats.org/officeDocument/2006/relationships/hyperlink" Target="https://statiz.sporki.com/player/?m=playerinfo&amp;p_no=1693" TargetMode="External"/><Relationship Id="rId18970" Type="http://schemas.openxmlformats.org/officeDocument/2006/relationships/hyperlink" Target="https://statiz.sporki.com/add/?m=draft_school01&amp;ps_school=50202" TargetMode="External"/><Relationship Id="rId3010" Type="http://schemas.openxmlformats.org/officeDocument/2006/relationships/hyperlink" Target="https://statiz.sporki.com/player/?m=playerinfo&amp;p_no=12863" TargetMode="External"/><Relationship Id="rId14002" Type="http://schemas.openxmlformats.org/officeDocument/2006/relationships/hyperlink" Target="https://statiz.sporki.com/player/?m=playerinfo&amp;p_no=10185" TargetMode="External"/><Relationship Id="rId17572" Type="http://schemas.openxmlformats.org/officeDocument/2006/relationships/hyperlink" Target="https://statiz.sporki.com/add/?m=draft_school01&amp;ps_school=50802" TargetMode="External"/><Relationship Id="rId18623" Type="http://schemas.openxmlformats.org/officeDocument/2006/relationships/hyperlink" Target="https://statiz.sporki.com/add/?m=draft_school01&amp;ps_school=50706" TargetMode="External"/><Relationship Id="rId6580" Type="http://schemas.openxmlformats.org/officeDocument/2006/relationships/hyperlink" Target="https://statiz.sporki.com/player/?m=playerinfo&amp;p_no=10770" TargetMode="External"/><Relationship Id="rId7631" Type="http://schemas.openxmlformats.org/officeDocument/2006/relationships/hyperlink" Target="https://statiz.sporki.com/add/?m=draft_school01&amp;ps_school=50805" TargetMode="External"/><Relationship Id="rId10612" Type="http://schemas.openxmlformats.org/officeDocument/2006/relationships/hyperlink" Target="https://statiz.sporki.com/player/?m=playerinfo&amp;p_no=1476" TargetMode="External"/><Relationship Id="rId16174" Type="http://schemas.openxmlformats.org/officeDocument/2006/relationships/hyperlink" Target="https://statiz.sporki.com/player/?m=playerinfo&amp;p_no=1119" TargetMode="External"/><Relationship Id="rId17225" Type="http://schemas.openxmlformats.org/officeDocument/2006/relationships/hyperlink" Target="https://statiz.sporki.com/add/?m=draft_school01&amp;ps_school=50101" TargetMode="External"/><Relationship Id="rId5182" Type="http://schemas.openxmlformats.org/officeDocument/2006/relationships/hyperlink" Target="https://statiz.sporki.com/player/?m=playerinfo&amp;p_no=10677" TargetMode="External"/><Relationship Id="rId6233" Type="http://schemas.openxmlformats.org/officeDocument/2006/relationships/hyperlink" Target="https://statiz.sporki.com/add/?m=draft_school01&amp;ps_school=50805" TargetMode="External"/><Relationship Id="rId19397" Type="http://schemas.openxmlformats.org/officeDocument/2006/relationships/hyperlink" Target="https://statiz.sporki.com/add/?m=draft_school01&amp;ps_school=50701" TargetMode="External"/><Relationship Id="rId1792" Type="http://schemas.openxmlformats.org/officeDocument/2006/relationships/hyperlink" Target="https://statiz.sporki.com/player/?m=playerinfo&amp;p_no=14670" TargetMode="External"/><Relationship Id="rId2843" Type="http://schemas.openxmlformats.org/officeDocument/2006/relationships/hyperlink" Target="https://statiz.sporki.com/add/?m=draft_school01&amp;ps_school=50210" TargetMode="External"/><Relationship Id="rId9456" Type="http://schemas.openxmlformats.org/officeDocument/2006/relationships/hyperlink" Target="https://statiz.sporki.com/add/?m=draft_school02&amp;ps_school=60802" TargetMode="External"/><Relationship Id="rId11386" Type="http://schemas.openxmlformats.org/officeDocument/2006/relationships/hyperlink" Target="https://statiz.sporki.com/player/?m=playerinfo&amp;p_no=1245" TargetMode="External"/><Relationship Id="rId12437" Type="http://schemas.openxmlformats.org/officeDocument/2006/relationships/hyperlink" Target="https://statiz.sporki.com/player/?m=playerinfo&amp;p_no=15145" TargetMode="External"/><Relationship Id="rId12784" Type="http://schemas.openxmlformats.org/officeDocument/2006/relationships/hyperlink" Target="https://statiz.sporki.com/player/?m=playerinfo&amp;p_no=14161" TargetMode="External"/><Relationship Id="rId13835" Type="http://schemas.openxmlformats.org/officeDocument/2006/relationships/hyperlink" Target="https://statiz.sporki.com/player/?m=playerinfo&amp;p_no=10787" TargetMode="External"/><Relationship Id="rId815" Type="http://schemas.openxmlformats.org/officeDocument/2006/relationships/hyperlink" Target="https://statiz.sporki.com/add/?m=draft_school01&amp;ps_school=51122" TargetMode="External"/><Relationship Id="rId1445" Type="http://schemas.openxmlformats.org/officeDocument/2006/relationships/hyperlink" Target="https://statiz.sporki.com/add/?m=draft_school01&amp;ps_school=50604" TargetMode="External"/><Relationship Id="rId8058" Type="http://schemas.openxmlformats.org/officeDocument/2006/relationships/hyperlink" Target="https://statiz.sporki.com/add/?m=draft_school02&amp;ps_school=60203" TargetMode="External"/><Relationship Id="rId9109" Type="http://schemas.openxmlformats.org/officeDocument/2006/relationships/hyperlink" Target="https://statiz.sporki.com/player/?m=playerinfo&amp;p_no=2003" TargetMode="External"/><Relationship Id="rId11039" Type="http://schemas.openxmlformats.org/officeDocument/2006/relationships/hyperlink" Target="https://statiz.sporki.com/add/?m=draft_school01&amp;ps_school=50804" TargetMode="External"/><Relationship Id="rId18480" Type="http://schemas.openxmlformats.org/officeDocument/2006/relationships/hyperlink" Target="https://statiz.sporki.com/add/?m=draft_school01&amp;ps_school=50711" TargetMode="External"/><Relationship Id="rId19531" Type="http://schemas.openxmlformats.org/officeDocument/2006/relationships/hyperlink" Target="https://statiz.sporki.com/add/?m=draft_school01&amp;ps_school=50501" TargetMode="External"/><Relationship Id="rId4668" Type="http://schemas.openxmlformats.org/officeDocument/2006/relationships/hyperlink" Target="https://statiz.sporki.com/add/?m=draft_school02&amp;ps_school=" TargetMode="External"/><Relationship Id="rId5719" Type="http://schemas.openxmlformats.org/officeDocument/2006/relationships/hyperlink" Target="https://statiz.sporki.com/player/?m=playerinfo&amp;p_no=10890" TargetMode="External"/><Relationship Id="rId6090" Type="http://schemas.openxmlformats.org/officeDocument/2006/relationships/hyperlink" Target="https://statiz.sporki.com/add/?m=draft_school02&amp;ps_school=60203" TargetMode="External"/><Relationship Id="rId7141" Type="http://schemas.openxmlformats.org/officeDocument/2006/relationships/hyperlink" Target="https://statiz.sporki.com/player/?m=playerinfo&amp;p_no=10606" TargetMode="External"/><Relationship Id="rId11520" Type="http://schemas.openxmlformats.org/officeDocument/2006/relationships/hyperlink" Target="https://statiz.sporki.com/add/?m=draft_school02&amp;ps_school=" TargetMode="External"/><Relationship Id="rId17082" Type="http://schemas.openxmlformats.org/officeDocument/2006/relationships/hyperlink" Target="https://statiz.sporki.com/add/?m=draft_school01&amp;ps_school=50109" TargetMode="External"/><Relationship Id="rId18133" Type="http://schemas.openxmlformats.org/officeDocument/2006/relationships/hyperlink" Target="https://statiz.sporki.com/add/?m=draft_school01&amp;ps_school=50901" TargetMode="External"/><Relationship Id="rId10122" Type="http://schemas.openxmlformats.org/officeDocument/2006/relationships/hyperlink" Target="https://statiz.sporki.com/add/?m=draft_school02&amp;ps_school=60501" TargetMode="External"/><Relationship Id="rId13692" Type="http://schemas.openxmlformats.org/officeDocument/2006/relationships/hyperlink" Target="https://statiz.sporki.com/player/?m=playerinfo&amp;p_no=11154" TargetMode="External"/><Relationship Id="rId14743" Type="http://schemas.openxmlformats.org/officeDocument/2006/relationships/hyperlink" Target="https://statiz.sporki.com/player/?m=playerinfo&amp;p_no=10147" TargetMode="External"/><Relationship Id="rId3751" Type="http://schemas.openxmlformats.org/officeDocument/2006/relationships/hyperlink" Target="https://statiz.sporki.com/player/?m=playerinfo&amp;p_no=12651" TargetMode="External"/><Relationship Id="rId4802" Type="http://schemas.openxmlformats.org/officeDocument/2006/relationships/hyperlink" Target="https://statiz.sporki.com/add/?m=draft_school01&amp;ps_school=50802" TargetMode="External"/><Relationship Id="rId12294" Type="http://schemas.openxmlformats.org/officeDocument/2006/relationships/hyperlink" Target="https://statiz.sporki.com/player/?m=playerinfo&amp;p_no=16011" TargetMode="External"/><Relationship Id="rId13345" Type="http://schemas.openxmlformats.org/officeDocument/2006/relationships/hyperlink" Target="https://statiz.sporki.com/player/?m=playerinfo&amp;p_no=13003" TargetMode="External"/><Relationship Id="rId672" Type="http://schemas.openxmlformats.org/officeDocument/2006/relationships/hyperlink" Target="https://statiz.sporki.com/add/?m=draft_school02&amp;ps_school=" TargetMode="External"/><Relationship Id="rId2353" Type="http://schemas.openxmlformats.org/officeDocument/2006/relationships/hyperlink" Target="https://statiz.sporki.com/player/?m=playerinfo&amp;p_no=13169" TargetMode="External"/><Relationship Id="rId3404" Type="http://schemas.openxmlformats.org/officeDocument/2006/relationships/hyperlink" Target="https://statiz.sporki.com/add/?m=draft_school01&amp;ps_school=50111" TargetMode="External"/><Relationship Id="rId6974" Type="http://schemas.openxmlformats.org/officeDocument/2006/relationships/hyperlink" Target="https://statiz.sporki.com/add/?m=draft_school01&amp;ps_school=50111" TargetMode="External"/><Relationship Id="rId16568" Type="http://schemas.openxmlformats.org/officeDocument/2006/relationships/hyperlink" Target="https://statiz.sporki.com/add/?m=draft_school01&amp;ps_school=50209" TargetMode="External"/><Relationship Id="rId17966" Type="http://schemas.openxmlformats.org/officeDocument/2006/relationships/hyperlink" Target="https://statiz.sporki.com/add/?m=draft_school01&amp;ps_school=50108" TargetMode="External"/><Relationship Id="rId325" Type="http://schemas.openxmlformats.org/officeDocument/2006/relationships/hyperlink" Target="https://statiz.sporki.com/player/?m=playerinfo&amp;p_no=15648" TargetMode="External"/><Relationship Id="rId2006" Type="http://schemas.openxmlformats.org/officeDocument/2006/relationships/hyperlink" Target="https://statiz.sporki.com/add/?m=draft_school01&amp;ps_school=50703" TargetMode="External"/><Relationship Id="rId5576" Type="http://schemas.openxmlformats.org/officeDocument/2006/relationships/hyperlink" Target="https://statiz.sporki.com/add/?m=draft_school01&amp;ps_school=50109" TargetMode="External"/><Relationship Id="rId6627" Type="http://schemas.openxmlformats.org/officeDocument/2006/relationships/hyperlink" Target="https://statiz.sporki.com/add/?m=draft_school02&amp;ps_school=60101" TargetMode="External"/><Relationship Id="rId17619" Type="http://schemas.openxmlformats.org/officeDocument/2006/relationships/hyperlink" Target="https://statiz.sporki.com/add/?m=draft_school01&amp;ps_school=50208" TargetMode="External"/><Relationship Id="rId19041" Type="http://schemas.openxmlformats.org/officeDocument/2006/relationships/hyperlink" Target="https://statiz.sporki.com/add/?m=draft_school01&amp;ps_school=50302" TargetMode="External"/><Relationship Id="rId4178" Type="http://schemas.openxmlformats.org/officeDocument/2006/relationships/hyperlink" Target="https://statiz.sporki.com/add/?m=draft_school01&amp;ps_school=50802" TargetMode="External"/><Relationship Id="rId5229" Type="http://schemas.openxmlformats.org/officeDocument/2006/relationships/hyperlink" Target="https://statiz.sporki.com/add/?m=draft_school02&amp;ps_school=" TargetMode="External"/><Relationship Id="rId9100" Type="http://schemas.openxmlformats.org/officeDocument/2006/relationships/hyperlink" Target="https://statiz.sporki.com/player/?m=playerinfo&amp;p_no=1906" TargetMode="External"/><Relationship Id="rId8799" Type="http://schemas.openxmlformats.org/officeDocument/2006/relationships/hyperlink" Target="https://statiz.sporki.com/add/?m=draft_school02&amp;ps_school=60103" TargetMode="External"/><Relationship Id="rId11030" Type="http://schemas.openxmlformats.org/officeDocument/2006/relationships/hyperlink" Target="https://statiz.sporki.com/add/?m=draft_school01&amp;ps_school=50711" TargetMode="External"/><Relationship Id="rId15651" Type="http://schemas.openxmlformats.org/officeDocument/2006/relationships/hyperlink" Target="https://statiz.sporki.com/player/?m=playerinfo&amp;p_no=1541" TargetMode="External"/><Relationship Id="rId16702" Type="http://schemas.openxmlformats.org/officeDocument/2006/relationships/hyperlink" Target="https://statiz.sporki.com/add/?m=draft_school01&amp;ps_school=51109" TargetMode="External"/><Relationship Id="rId1839" Type="http://schemas.openxmlformats.org/officeDocument/2006/relationships/hyperlink" Target="https://statiz.sporki.com/add/?m=draft_school02&amp;ps_school=60703" TargetMode="External"/><Relationship Id="rId5710" Type="http://schemas.openxmlformats.org/officeDocument/2006/relationships/hyperlink" Target="https://statiz.sporki.com/player/?m=playerinfo&amp;p_no=10797" TargetMode="External"/><Relationship Id="rId14253" Type="http://schemas.openxmlformats.org/officeDocument/2006/relationships/hyperlink" Target="https://statiz.sporki.com/player/?m=playerinfo&amp;p_no=10723" TargetMode="External"/><Relationship Id="rId15304" Type="http://schemas.openxmlformats.org/officeDocument/2006/relationships/hyperlink" Target="https://statiz.sporki.com/player/?m=playerinfo&amp;p_no=1793" TargetMode="External"/><Relationship Id="rId18874" Type="http://schemas.openxmlformats.org/officeDocument/2006/relationships/hyperlink" Target="https://statiz.sporki.com/add/?m=draft_school01&amp;ps_school=50114" TargetMode="External"/><Relationship Id="rId182" Type="http://schemas.openxmlformats.org/officeDocument/2006/relationships/hyperlink" Target="https://statiz.sporki.com/add/?m=draft_school01&amp;ps_school=50402" TargetMode="External"/><Relationship Id="rId3261" Type="http://schemas.openxmlformats.org/officeDocument/2006/relationships/hyperlink" Target="https://statiz.sporki.com/add/?m=draft_school02&amp;ps_school=" TargetMode="External"/><Relationship Id="rId4312" Type="http://schemas.openxmlformats.org/officeDocument/2006/relationships/hyperlink" Target="https://statiz.sporki.com/player/?m=playerinfo&amp;p_no=11264" TargetMode="External"/><Relationship Id="rId7882" Type="http://schemas.openxmlformats.org/officeDocument/2006/relationships/hyperlink" Target="https://statiz.sporki.com/player/?m=playerinfo&amp;p_no=2392" TargetMode="External"/><Relationship Id="rId8933" Type="http://schemas.openxmlformats.org/officeDocument/2006/relationships/hyperlink" Target="https://statiz.sporki.com/add/?m=draft_school01&amp;ps_school=50604" TargetMode="External"/><Relationship Id="rId17476" Type="http://schemas.openxmlformats.org/officeDocument/2006/relationships/hyperlink" Target="https://statiz.sporki.com/add/?m=draft_school01&amp;ps_school=50901" TargetMode="External"/><Relationship Id="rId18527" Type="http://schemas.openxmlformats.org/officeDocument/2006/relationships/hyperlink" Target="https://statiz.sporki.com/add/?m=draft_school01&amp;ps_school=50401" TargetMode="External"/><Relationship Id="rId6484" Type="http://schemas.openxmlformats.org/officeDocument/2006/relationships/hyperlink" Target="https://statiz.sporki.com/player/?m=playerinfo&amp;p_no=10551" TargetMode="External"/><Relationship Id="rId7535" Type="http://schemas.openxmlformats.org/officeDocument/2006/relationships/hyperlink" Target="https://statiz.sporki.com/add/?m=draft_school01&amp;ps_school=" TargetMode="External"/><Relationship Id="rId10516" Type="http://schemas.openxmlformats.org/officeDocument/2006/relationships/hyperlink" Target="https://statiz.sporki.com/player/?m=playerinfo&amp;p_no=1513" TargetMode="External"/><Relationship Id="rId10863" Type="http://schemas.openxmlformats.org/officeDocument/2006/relationships/hyperlink" Target="https://statiz.sporki.com/add/?m=draft_school02&amp;ps_school=60102" TargetMode="External"/><Relationship Id="rId11914" Type="http://schemas.openxmlformats.org/officeDocument/2006/relationships/hyperlink" Target="https://statiz.sporki.com/player/?m=playerinfo&amp;p_no=1002" TargetMode="External"/><Relationship Id="rId16078" Type="http://schemas.openxmlformats.org/officeDocument/2006/relationships/hyperlink" Target="https://statiz.sporki.com/player/?m=playerinfo&amp;p_no=1011" TargetMode="External"/><Relationship Id="rId17129" Type="http://schemas.openxmlformats.org/officeDocument/2006/relationships/hyperlink" Target="https://statiz.sporki.com/add/?m=draft_school01&amp;ps_school=50116" TargetMode="External"/><Relationship Id="rId5086" Type="http://schemas.openxmlformats.org/officeDocument/2006/relationships/hyperlink" Target="https://statiz.sporki.com/player/?m=playerinfo&amp;p_no=11174" TargetMode="External"/><Relationship Id="rId6137" Type="http://schemas.openxmlformats.org/officeDocument/2006/relationships/hyperlink" Target="https://statiz.sporki.com/add/?m=draft_school01&amp;ps_school=50804" TargetMode="External"/><Relationship Id="rId1696" Type="http://schemas.openxmlformats.org/officeDocument/2006/relationships/hyperlink" Target="https://statiz.sporki.com/player/?m=playerinfo&amp;p_no=14571" TargetMode="External"/><Relationship Id="rId12688" Type="http://schemas.openxmlformats.org/officeDocument/2006/relationships/hyperlink" Target="https://statiz.sporki.com/player/?m=playerinfo&amp;p_no=14643" TargetMode="External"/><Relationship Id="rId13739" Type="http://schemas.openxmlformats.org/officeDocument/2006/relationships/hyperlink" Target="https://statiz.sporki.com/player/?m=playerinfo&amp;p_no=10707" TargetMode="External"/><Relationship Id="rId17610" Type="http://schemas.openxmlformats.org/officeDocument/2006/relationships/hyperlink" Target="https://statiz.sporki.com/add/?m=draft_school01&amp;ps_school=50806" TargetMode="External"/><Relationship Id="rId1349" Type="http://schemas.openxmlformats.org/officeDocument/2006/relationships/hyperlink" Target="https://statiz.sporki.com/add/?m=draft_school01&amp;ps_school=50302" TargetMode="External"/><Relationship Id="rId2747" Type="http://schemas.openxmlformats.org/officeDocument/2006/relationships/hyperlink" Target="https://statiz.sporki.com/add/?m=draft_school01&amp;ps_school=50114" TargetMode="External"/><Relationship Id="rId5220" Type="http://schemas.openxmlformats.org/officeDocument/2006/relationships/hyperlink" Target="https://statiz.sporki.com/add/?m=draft_school02&amp;ps_school=" TargetMode="External"/><Relationship Id="rId15161" Type="http://schemas.openxmlformats.org/officeDocument/2006/relationships/hyperlink" Target="https://statiz.sporki.com/player/?m=playerinfo&amp;p_no=11447" TargetMode="External"/><Relationship Id="rId16212" Type="http://schemas.openxmlformats.org/officeDocument/2006/relationships/hyperlink" Target="https://statiz.sporki.com/add/?m=draft_school01&amp;ps_school=50803" TargetMode="External"/><Relationship Id="rId719" Type="http://schemas.openxmlformats.org/officeDocument/2006/relationships/hyperlink" Target="https://statiz.sporki.com/add/?m=draft_school01&amp;ps_school=50701" TargetMode="External"/><Relationship Id="rId8790" Type="http://schemas.openxmlformats.org/officeDocument/2006/relationships/hyperlink" Target="https://statiz.sporki.com/add/?m=draft_school02&amp;ps_school=60103" TargetMode="External"/><Relationship Id="rId9841" Type="http://schemas.openxmlformats.org/officeDocument/2006/relationships/hyperlink" Target="https://statiz.sporki.com/player/?m=playerinfo&amp;p_no=1670" TargetMode="External"/><Relationship Id="rId11771" Type="http://schemas.openxmlformats.org/officeDocument/2006/relationships/hyperlink" Target="https://statiz.sporki.com/add/?m=draft_school01&amp;ps_school=" TargetMode="External"/><Relationship Id="rId12822" Type="http://schemas.openxmlformats.org/officeDocument/2006/relationships/hyperlink" Target="https://statiz.sporki.com/player/?m=playerinfo&amp;p_no=14211" TargetMode="External"/><Relationship Id="rId18384" Type="http://schemas.openxmlformats.org/officeDocument/2006/relationships/hyperlink" Target="https://statiz.sporki.com/add/?m=draft_school01&amp;ps_school=50114" TargetMode="External"/><Relationship Id="rId19435" Type="http://schemas.openxmlformats.org/officeDocument/2006/relationships/hyperlink" Target="https://statiz.sporki.com/add/?m=draft_school01&amp;ps_school=50711" TargetMode="External"/><Relationship Id="rId55" Type="http://schemas.openxmlformats.org/officeDocument/2006/relationships/hyperlink" Target="https://statiz.sporki.com/player/?m=playerinfo&amp;p_no=15509" TargetMode="External"/><Relationship Id="rId1830" Type="http://schemas.openxmlformats.org/officeDocument/2006/relationships/hyperlink" Target="https://statiz.sporki.com/add/?m=draft_school02&amp;ps_school=60114" TargetMode="External"/><Relationship Id="rId7392" Type="http://schemas.openxmlformats.org/officeDocument/2006/relationships/hyperlink" Target="https://statiz.sporki.com/add/?m=draft_school02&amp;ps_school=60803" TargetMode="External"/><Relationship Id="rId8443" Type="http://schemas.openxmlformats.org/officeDocument/2006/relationships/hyperlink" Target="https://statiz.sporki.com/player/?m=playerinfo&amp;p_no=2114" TargetMode="External"/><Relationship Id="rId10373" Type="http://schemas.openxmlformats.org/officeDocument/2006/relationships/hyperlink" Target="https://statiz.sporki.com/add/?m=draft_school01&amp;ps_school=" TargetMode="External"/><Relationship Id="rId11424" Type="http://schemas.openxmlformats.org/officeDocument/2006/relationships/hyperlink" Target="https://statiz.sporki.com/add/?m=draft_school02&amp;ps_school=60803" TargetMode="External"/><Relationship Id="rId14994" Type="http://schemas.openxmlformats.org/officeDocument/2006/relationships/hyperlink" Target="https://statiz.sporki.com/player/?m=playerinfo&amp;p_no=2002" TargetMode="External"/><Relationship Id="rId18037" Type="http://schemas.openxmlformats.org/officeDocument/2006/relationships/hyperlink" Target="https://statiz.sporki.com/add/?m=draft_school01&amp;ps_school=50805" TargetMode="External"/><Relationship Id="rId7045" Type="http://schemas.openxmlformats.org/officeDocument/2006/relationships/hyperlink" Target="https://statiz.sporki.com/player/?m=playerinfo&amp;p_no=10166" TargetMode="External"/><Relationship Id="rId10026" Type="http://schemas.openxmlformats.org/officeDocument/2006/relationships/hyperlink" Target="https://statiz.sporki.com/add/?m=draft_school02&amp;ps_school=60802" TargetMode="External"/><Relationship Id="rId13596" Type="http://schemas.openxmlformats.org/officeDocument/2006/relationships/hyperlink" Target="https://statiz.sporki.com/player/?m=playerinfo&amp;p_no=11228" TargetMode="External"/><Relationship Id="rId14647" Type="http://schemas.openxmlformats.org/officeDocument/2006/relationships/hyperlink" Target="https://statiz.sporki.com/player/?m=playerinfo&amp;p_no=2260" TargetMode="External"/><Relationship Id="rId3655" Type="http://schemas.openxmlformats.org/officeDocument/2006/relationships/hyperlink" Target="https://statiz.sporki.com/player/?m=playerinfo&amp;p_no=11347" TargetMode="External"/><Relationship Id="rId4706" Type="http://schemas.openxmlformats.org/officeDocument/2006/relationships/hyperlink" Target="https://statiz.sporki.com/add/?m=draft_school01&amp;ps_school=50202" TargetMode="External"/><Relationship Id="rId12198" Type="http://schemas.openxmlformats.org/officeDocument/2006/relationships/hyperlink" Target="https://statiz.sporki.com/player/?m=playerinfo&amp;p_no=15490" TargetMode="External"/><Relationship Id="rId13249" Type="http://schemas.openxmlformats.org/officeDocument/2006/relationships/hyperlink" Target="https://statiz.sporki.com/player/?m=playerinfo&amp;p_no=12638" TargetMode="External"/><Relationship Id="rId17120" Type="http://schemas.openxmlformats.org/officeDocument/2006/relationships/hyperlink" Target="https://statiz.sporki.com/add/?m=draft_school01&amp;ps_school=50805" TargetMode="External"/><Relationship Id="rId576" Type="http://schemas.openxmlformats.org/officeDocument/2006/relationships/hyperlink" Target="https://statiz.sporki.com/add/?m=draft_school02&amp;ps_school=" TargetMode="External"/><Relationship Id="rId2257" Type="http://schemas.openxmlformats.org/officeDocument/2006/relationships/hyperlink" Target="https://statiz.sporki.com/player/?m=playerinfo&amp;p_no=14200" TargetMode="External"/><Relationship Id="rId3308" Type="http://schemas.openxmlformats.org/officeDocument/2006/relationships/hyperlink" Target="https://statiz.sporki.com/add/?m=draft_school01&amp;ps_school=50604" TargetMode="External"/><Relationship Id="rId19292" Type="http://schemas.openxmlformats.org/officeDocument/2006/relationships/hyperlink" Target="https://statiz.sporki.com/add/?m=draft_school01&amp;ps_school=50608" TargetMode="External"/><Relationship Id="rId229" Type="http://schemas.openxmlformats.org/officeDocument/2006/relationships/hyperlink" Target="https://statiz.sporki.com/player/?m=playerinfo&amp;p_no=15492" TargetMode="External"/><Relationship Id="rId6878" Type="http://schemas.openxmlformats.org/officeDocument/2006/relationships/hyperlink" Target="https://statiz.sporki.com/add/?m=draft_school01&amp;ps_school=50201" TargetMode="External"/><Relationship Id="rId7929" Type="http://schemas.openxmlformats.org/officeDocument/2006/relationships/hyperlink" Target="https://statiz.sporki.com/add/?m=draft_school02&amp;ps_school=60109" TargetMode="External"/><Relationship Id="rId9351" Type="http://schemas.openxmlformats.org/officeDocument/2006/relationships/hyperlink" Target="https://statiz.sporki.com/add/?m=draft_school02&amp;ps_school=60102" TargetMode="External"/><Relationship Id="rId13730" Type="http://schemas.openxmlformats.org/officeDocument/2006/relationships/hyperlink" Target="https://statiz.sporki.com/player/?m=playerinfo&amp;p_no=10863" TargetMode="External"/><Relationship Id="rId9004" Type="http://schemas.openxmlformats.org/officeDocument/2006/relationships/hyperlink" Target="https://statiz.sporki.com/player/?m=playerinfo&amp;p_no=10531" TargetMode="External"/><Relationship Id="rId11281" Type="http://schemas.openxmlformats.org/officeDocument/2006/relationships/hyperlink" Target="https://statiz.sporki.com/player/?m=playerinfo&amp;p_no=1239" TargetMode="External"/><Relationship Id="rId12332" Type="http://schemas.openxmlformats.org/officeDocument/2006/relationships/hyperlink" Target="https://statiz.sporki.com/player/?m=playerinfo&amp;p_no=15113" TargetMode="External"/><Relationship Id="rId16953" Type="http://schemas.openxmlformats.org/officeDocument/2006/relationships/hyperlink" Target="https://statiz.sporki.com/add/?m=draft_school01&amp;ps_school=50203" TargetMode="External"/><Relationship Id="rId710" Type="http://schemas.openxmlformats.org/officeDocument/2006/relationships/hyperlink" Target="https://statiz.sporki.com/add/?m=draft_school01&amp;ps_school=50116" TargetMode="External"/><Relationship Id="rId1340" Type="http://schemas.openxmlformats.org/officeDocument/2006/relationships/hyperlink" Target="https://statiz.sporki.com/add/?m=draft_school01&amp;ps_school=" TargetMode="External"/><Relationship Id="rId5961" Type="http://schemas.openxmlformats.org/officeDocument/2006/relationships/hyperlink" Target="https://statiz.sporki.com/add/?m=draft_school02&amp;ps_school=" TargetMode="External"/><Relationship Id="rId15555" Type="http://schemas.openxmlformats.org/officeDocument/2006/relationships/hyperlink" Target="https://statiz.sporki.com/player/?m=playerinfo&amp;p_no=14890" TargetMode="External"/><Relationship Id="rId16606" Type="http://schemas.openxmlformats.org/officeDocument/2006/relationships/hyperlink" Target="https://statiz.sporki.com/add/?m=draft_school01&amp;ps_school=50103" TargetMode="External"/><Relationship Id="rId4563" Type="http://schemas.openxmlformats.org/officeDocument/2006/relationships/hyperlink" Target="https://statiz.sporki.com/add/?m=draft_school02&amp;ps_school=60114" TargetMode="External"/><Relationship Id="rId5614" Type="http://schemas.openxmlformats.org/officeDocument/2006/relationships/hyperlink" Target="https://statiz.sporki.com/player/?m=playerinfo&amp;p_no=10027" TargetMode="External"/><Relationship Id="rId14157" Type="http://schemas.openxmlformats.org/officeDocument/2006/relationships/hyperlink" Target="https://statiz.sporki.com/player/?m=playerinfo&amp;p_no=10643" TargetMode="External"/><Relationship Id="rId15208" Type="http://schemas.openxmlformats.org/officeDocument/2006/relationships/hyperlink" Target="https://statiz.sporki.com/player/?m=playerinfo&amp;p_no=14993" TargetMode="External"/><Relationship Id="rId18778" Type="http://schemas.openxmlformats.org/officeDocument/2006/relationships/hyperlink" Target="https://statiz.sporki.com/add/?m=draft_school01&amp;ps_school=50805" TargetMode="External"/><Relationship Id="rId3165" Type="http://schemas.openxmlformats.org/officeDocument/2006/relationships/hyperlink" Target="https://statiz.sporki.com/add/?m=draft_school02&amp;ps_school=" TargetMode="External"/><Relationship Id="rId4216" Type="http://schemas.openxmlformats.org/officeDocument/2006/relationships/hyperlink" Target="https://statiz.sporki.com/player/?m=playerinfo&amp;p_no=11207" TargetMode="External"/><Relationship Id="rId7786" Type="http://schemas.openxmlformats.org/officeDocument/2006/relationships/hyperlink" Target="https://statiz.sporki.com/player/?m=playerinfo&amp;p_no=2170" TargetMode="External"/><Relationship Id="rId8837" Type="http://schemas.openxmlformats.org/officeDocument/2006/relationships/hyperlink" Target="https://statiz.sporki.com/add/?m=draft_school01&amp;ps_school=50904" TargetMode="External"/><Relationship Id="rId6388" Type="http://schemas.openxmlformats.org/officeDocument/2006/relationships/hyperlink" Target="https://statiz.sporki.com/player/?m=playerinfo&amp;p_no=2405" TargetMode="External"/><Relationship Id="rId7439" Type="http://schemas.openxmlformats.org/officeDocument/2006/relationships/hyperlink" Target="https://statiz.sporki.com/add/?m=draft_school01&amp;ps_school=50604" TargetMode="External"/><Relationship Id="rId10767" Type="http://schemas.openxmlformats.org/officeDocument/2006/relationships/hyperlink" Target="https://statiz.sporki.com/add/?m=draft_school02&amp;ps_school=" TargetMode="External"/><Relationship Id="rId11818" Type="http://schemas.openxmlformats.org/officeDocument/2006/relationships/hyperlink" Target="https://statiz.sporki.com/player/?m=playerinfo&amp;p_no=1045" TargetMode="External"/><Relationship Id="rId13240" Type="http://schemas.openxmlformats.org/officeDocument/2006/relationships/hyperlink" Target="https://statiz.sporki.com/player/?m=playerinfo&amp;p_no=12583" TargetMode="External"/><Relationship Id="rId17861" Type="http://schemas.openxmlformats.org/officeDocument/2006/relationships/hyperlink" Target="https://statiz.sporki.com/add/?m=draft_school01&amp;ps_school=50403" TargetMode="External"/><Relationship Id="rId18912" Type="http://schemas.openxmlformats.org/officeDocument/2006/relationships/hyperlink" Target="https://statiz.sporki.com/add/?m=draft_school01&amp;ps_school=50202" TargetMode="External"/><Relationship Id="rId220" Type="http://schemas.openxmlformats.org/officeDocument/2006/relationships/hyperlink" Target="https://statiz.sporki.com/player/?m=playerinfo&amp;p_no=15457" TargetMode="External"/><Relationship Id="rId2998" Type="http://schemas.openxmlformats.org/officeDocument/2006/relationships/hyperlink" Target="https://statiz.sporki.com/player/?m=playerinfo&amp;p_no=12887" TargetMode="External"/><Relationship Id="rId7920" Type="http://schemas.openxmlformats.org/officeDocument/2006/relationships/hyperlink" Target="https://statiz.sporki.com/add/?m=draft_school02&amp;ps_school=" TargetMode="External"/><Relationship Id="rId10901" Type="http://schemas.openxmlformats.org/officeDocument/2006/relationships/hyperlink" Target="https://statiz.sporki.com/add/?m=draft_school01&amp;ps_school=" TargetMode="External"/><Relationship Id="rId16463" Type="http://schemas.openxmlformats.org/officeDocument/2006/relationships/hyperlink" Target="https://statiz.sporki.com/add/?m=draft_school01&amp;ps_school=50701" TargetMode="External"/><Relationship Id="rId17514" Type="http://schemas.openxmlformats.org/officeDocument/2006/relationships/hyperlink" Target="https://statiz.sporki.com/add/?m=draft_school01&amp;ps_school=50110" TargetMode="External"/><Relationship Id="rId4073" Type="http://schemas.openxmlformats.org/officeDocument/2006/relationships/hyperlink" Target="https://statiz.sporki.com/add/?m=draft_school01&amp;ps_school=50604" TargetMode="External"/><Relationship Id="rId5471" Type="http://schemas.openxmlformats.org/officeDocument/2006/relationships/hyperlink" Target="https://statiz.sporki.com/add/?m=draft_school01&amp;ps_school=50604" TargetMode="External"/><Relationship Id="rId6522" Type="http://schemas.openxmlformats.org/officeDocument/2006/relationships/hyperlink" Target="https://statiz.sporki.com/add/?m=draft_school02&amp;ps_school=" TargetMode="External"/><Relationship Id="rId15065" Type="http://schemas.openxmlformats.org/officeDocument/2006/relationships/hyperlink" Target="https://statiz.sporki.com/player/?m=playerinfo&amp;p_no=10154" TargetMode="External"/><Relationship Id="rId16116" Type="http://schemas.openxmlformats.org/officeDocument/2006/relationships/hyperlink" Target="https://statiz.sporki.com/player/?m=playerinfo&amp;p_no=1032" TargetMode="External"/><Relationship Id="rId5124" Type="http://schemas.openxmlformats.org/officeDocument/2006/relationships/hyperlink" Target="https://statiz.sporki.com/add/?m=draft_school02&amp;ps_school=" TargetMode="External"/><Relationship Id="rId8694" Type="http://schemas.openxmlformats.org/officeDocument/2006/relationships/hyperlink" Target="https://statiz.sporki.com/add/?m=draft_school02&amp;ps_school=60803" TargetMode="External"/><Relationship Id="rId9745" Type="http://schemas.openxmlformats.org/officeDocument/2006/relationships/hyperlink" Target="https://statiz.sporki.com/player/?m=playerinfo&amp;p_no=1770" TargetMode="External"/><Relationship Id="rId11675" Type="http://schemas.openxmlformats.org/officeDocument/2006/relationships/hyperlink" Target="https://statiz.sporki.com/add/?m=draft_school01&amp;ps_school=50107" TargetMode="External"/><Relationship Id="rId12726" Type="http://schemas.openxmlformats.org/officeDocument/2006/relationships/hyperlink" Target="https://statiz.sporki.com/player/?m=playerinfo&amp;p_no=14617" TargetMode="External"/><Relationship Id="rId18288" Type="http://schemas.openxmlformats.org/officeDocument/2006/relationships/hyperlink" Target="https://statiz.sporki.com/add/?m=draft_school01&amp;ps_school=50103" TargetMode="External"/><Relationship Id="rId19339" Type="http://schemas.openxmlformats.org/officeDocument/2006/relationships/hyperlink" Target="https://statiz.sporki.com/add/?m=draft_school01&amp;ps_school=50501" TargetMode="External"/><Relationship Id="rId1734" Type="http://schemas.openxmlformats.org/officeDocument/2006/relationships/hyperlink" Target="https://statiz.sporki.com/add/?m=draft_school02&amp;ps_school=" TargetMode="External"/><Relationship Id="rId7296" Type="http://schemas.openxmlformats.org/officeDocument/2006/relationships/hyperlink" Target="https://statiz.sporki.com/add/?m=draft_school02&amp;ps_school=60804" TargetMode="External"/><Relationship Id="rId8347" Type="http://schemas.openxmlformats.org/officeDocument/2006/relationships/hyperlink" Target="https://statiz.sporki.com/player/?m=playerinfo&amp;p_no=10515" TargetMode="External"/><Relationship Id="rId10277" Type="http://schemas.openxmlformats.org/officeDocument/2006/relationships/hyperlink" Target="https://statiz.sporki.com/add/?m=draft_school01&amp;ps_school=50107" TargetMode="External"/><Relationship Id="rId11328" Type="http://schemas.openxmlformats.org/officeDocument/2006/relationships/hyperlink" Target="https://statiz.sporki.com/add/?m=draft_school02&amp;ps_school=60204" TargetMode="External"/><Relationship Id="rId14898" Type="http://schemas.openxmlformats.org/officeDocument/2006/relationships/hyperlink" Target="https://statiz.sporki.com/player/?m=playerinfo&amp;p_no=2066" TargetMode="External"/><Relationship Id="rId15949" Type="http://schemas.openxmlformats.org/officeDocument/2006/relationships/hyperlink" Target="https://statiz.sporki.com/player/?m=playerinfo&amp;p_no=12962" TargetMode="External"/><Relationship Id="rId3559" Type="http://schemas.openxmlformats.org/officeDocument/2006/relationships/hyperlink" Target="https://statiz.sporki.com/player/?m=playerinfo&amp;p_no=12945" TargetMode="External"/><Relationship Id="rId4957" Type="http://schemas.openxmlformats.org/officeDocument/2006/relationships/hyperlink" Target="https://statiz.sporki.com/player/?m=playerinfo&amp;p_no=10870" TargetMode="External"/><Relationship Id="rId7430" Type="http://schemas.openxmlformats.org/officeDocument/2006/relationships/hyperlink" Target="https://statiz.sporki.com/add/?m=draft_school01&amp;ps_school=50502" TargetMode="External"/><Relationship Id="rId17024" Type="http://schemas.openxmlformats.org/officeDocument/2006/relationships/hyperlink" Target="https://statiz.sporki.com/add/?m=draft_school01&amp;ps_school=50107" TargetMode="External"/><Relationship Id="rId17371" Type="http://schemas.openxmlformats.org/officeDocument/2006/relationships/hyperlink" Target="https://statiz.sporki.com/add/?m=draft_school01&amp;ps_school=50113" TargetMode="External"/><Relationship Id="rId18422" Type="http://schemas.openxmlformats.org/officeDocument/2006/relationships/hyperlink" Target="https://statiz.sporki.com/add/?m=draft_school01&amp;ps_school=50202" TargetMode="External"/><Relationship Id="rId6032" Type="http://schemas.openxmlformats.org/officeDocument/2006/relationships/hyperlink" Target="https://statiz.sporki.com/add/?m=draft_school01&amp;ps_school=50705" TargetMode="External"/><Relationship Id="rId10411" Type="http://schemas.openxmlformats.org/officeDocument/2006/relationships/hyperlink" Target="https://statiz.sporki.com/player/?m=playerinfo&amp;p_no=1507" TargetMode="External"/><Relationship Id="rId13981" Type="http://schemas.openxmlformats.org/officeDocument/2006/relationships/hyperlink" Target="https://statiz.sporki.com/player/?m=playerinfo&amp;p_no=10706" TargetMode="External"/><Relationship Id="rId12583" Type="http://schemas.openxmlformats.org/officeDocument/2006/relationships/hyperlink" Target="https://statiz.sporki.com/player/?m=playerinfo&amp;p_no=14754" TargetMode="External"/><Relationship Id="rId13634" Type="http://schemas.openxmlformats.org/officeDocument/2006/relationships/hyperlink" Target="https://statiz.sporki.com/player/?m=playerinfo&amp;p_no=11425" TargetMode="External"/><Relationship Id="rId19196" Type="http://schemas.openxmlformats.org/officeDocument/2006/relationships/hyperlink" Target="https://statiz.sporki.com/add/?m=draft_school01&amp;ps_school=50502" TargetMode="External"/><Relationship Id="rId961" Type="http://schemas.openxmlformats.org/officeDocument/2006/relationships/hyperlink" Target="https://statiz.sporki.com/player/?m=playerinfo&amp;p_no=14774" TargetMode="External"/><Relationship Id="rId1591" Type="http://schemas.openxmlformats.org/officeDocument/2006/relationships/hyperlink" Target="https://statiz.sporki.com/player/?m=playerinfo&amp;p_no=14673" TargetMode="External"/><Relationship Id="rId2642" Type="http://schemas.openxmlformats.org/officeDocument/2006/relationships/hyperlink" Target="https://statiz.sporki.com/add/?m=draft_school01&amp;ps_school=" TargetMode="External"/><Relationship Id="rId9255" Type="http://schemas.openxmlformats.org/officeDocument/2006/relationships/hyperlink" Target="https://statiz.sporki.com/add/?m=draft_school02&amp;ps_school=" TargetMode="External"/><Relationship Id="rId11185" Type="http://schemas.openxmlformats.org/officeDocument/2006/relationships/hyperlink" Target="https://statiz.sporki.com/player/?m=playerinfo&amp;p_no=1539" TargetMode="External"/><Relationship Id="rId12236" Type="http://schemas.openxmlformats.org/officeDocument/2006/relationships/hyperlink" Target="https://statiz.sporki.com/player/?m=playerinfo&amp;p_no=15470" TargetMode="External"/><Relationship Id="rId16857" Type="http://schemas.openxmlformats.org/officeDocument/2006/relationships/hyperlink" Target="https://statiz.sporki.com/add/?m=draft_school01&amp;ps_school=50110" TargetMode="External"/><Relationship Id="rId614" Type="http://schemas.openxmlformats.org/officeDocument/2006/relationships/hyperlink" Target="https://statiz.sporki.com/add/?m=draft_school01&amp;ps_school=50217" TargetMode="External"/><Relationship Id="rId1244" Type="http://schemas.openxmlformats.org/officeDocument/2006/relationships/hyperlink" Target="https://statiz.sporki.com/add/?m=draft_school01&amp;ps_school=50210" TargetMode="External"/><Relationship Id="rId5865" Type="http://schemas.openxmlformats.org/officeDocument/2006/relationships/hyperlink" Target="https://statiz.sporki.com/add/?m=draft_school02&amp;ps_school=60502" TargetMode="External"/><Relationship Id="rId6916" Type="http://schemas.openxmlformats.org/officeDocument/2006/relationships/hyperlink" Target="https://statiz.sporki.com/player/?m=playerinfo&amp;p_no=10174" TargetMode="External"/><Relationship Id="rId15459" Type="http://schemas.openxmlformats.org/officeDocument/2006/relationships/hyperlink" Target="https://statiz.sporki.com/player/?m=playerinfo&amp;p_no=1841" TargetMode="External"/><Relationship Id="rId17908" Type="http://schemas.openxmlformats.org/officeDocument/2006/relationships/hyperlink" Target="https://statiz.sporki.com/add/?m=draft_school01&amp;ps_school=50602" TargetMode="External"/><Relationship Id="rId19330" Type="http://schemas.openxmlformats.org/officeDocument/2006/relationships/hyperlink" Target="https://statiz.sporki.com/add/?m=draft_school01&amp;ps_school=50803" TargetMode="External"/><Relationship Id="rId4467" Type="http://schemas.openxmlformats.org/officeDocument/2006/relationships/hyperlink" Target="https://statiz.sporki.com/add/?m=draft_school02&amp;ps_school=60104" TargetMode="External"/><Relationship Id="rId5518" Type="http://schemas.openxmlformats.org/officeDocument/2006/relationships/hyperlink" Target="https://statiz.sporki.com/player/?m=playerinfo&amp;p_no=10706" TargetMode="External"/><Relationship Id="rId3069" Type="http://schemas.openxmlformats.org/officeDocument/2006/relationships/hyperlink" Target="https://statiz.sporki.com/add/?m=draft_school02&amp;ps_school=" TargetMode="External"/><Relationship Id="rId15940" Type="http://schemas.openxmlformats.org/officeDocument/2006/relationships/hyperlink" Target="https://statiz.sporki.com/player/?m=playerinfo&amp;p_no=1365" TargetMode="External"/><Relationship Id="rId13491" Type="http://schemas.openxmlformats.org/officeDocument/2006/relationships/hyperlink" Target="https://statiz.sporki.com/player/?m=playerinfo&amp;p_no=11333" TargetMode="External"/><Relationship Id="rId14542" Type="http://schemas.openxmlformats.org/officeDocument/2006/relationships/hyperlink" Target="https://statiz.sporki.com/player/?m=playerinfo&amp;p_no=10684" TargetMode="External"/><Relationship Id="rId471" Type="http://schemas.openxmlformats.org/officeDocument/2006/relationships/hyperlink" Target="https://statiz.sporki.com/add/?m=draft_school02&amp;ps_school=60803" TargetMode="External"/><Relationship Id="rId2152" Type="http://schemas.openxmlformats.org/officeDocument/2006/relationships/hyperlink" Target="https://statiz.sporki.com/player/?m=playerinfo&amp;p_no=14649" TargetMode="External"/><Relationship Id="rId3550" Type="http://schemas.openxmlformats.org/officeDocument/2006/relationships/hyperlink" Target="https://statiz.sporki.com/player/?m=playerinfo&amp;p_no=13181" TargetMode="External"/><Relationship Id="rId4601" Type="http://schemas.openxmlformats.org/officeDocument/2006/relationships/hyperlink" Target="https://statiz.sporki.com/add/?m=draft_school01&amp;ps_school=50703" TargetMode="External"/><Relationship Id="rId12093" Type="http://schemas.openxmlformats.org/officeDocument/2006/relationships/hyperlink" Target="https://statiz.sporki.com/add/?m=draft_school02&amp;ps_school=" TargetMode="External"/><Relationship Id="rId13144" Type="http://schemas.openxmlformats.org/officeDocument/2006/relationships/hyperlink" Target="https://statiz.sporki.com/player/?m=playerinfo&amp;p_no=13230" TargetMode="External"/><Relationship Id="rId17765" Type="http://schemas.openxmlformats.org/officeDocument/2006/relationships/hyperlink" Target="https://statiz.sporki.com/add/?m=draft_school01&amp;ps_school=50706" TargetMode="External"/><Relationship Id="rId18816" Type="http://schemas.openxmlformats.org/officeDocument/2006/relationships/hyperlink" Target="https://statiz.sporki.com/add/?m=draft_school01&amp;ps_school=50108" TargetMode="External"/><Relationship Id="rId124" Type="http://schemas.openxmlformats.org/officeDocument/2006/relationships/hyperlink" Target="https://statiz.sporki.com/player/?m=playerinfo&amp;p_no=15435" TargetMode="External"/><Relationship Id="rId3203" Type="http://schemas.openxmlformats.org/officeDocument/2006/relationships/hyperlink" Target="https://statiz.sporki.com/add/?m=draft_school01&amp;ps_school=50901" TargetMode="External"/><Relationship Id="rId6773" Type="http://schemas.openxmlformats.org/officeDocument/2006/relationships/hyperlink" Target="https://statiz.sporki.com/add/?m=draft_school01&amp;ps_school=50812" TargetMode="External"/><Relationship Id="rId7824" Type="http://schemas.openxmlformats.org/officeDocument/2006/relationships/hyperlink" Target="https://statiz.sporki.com/add/?m=draft_school02&amp;ps_school=" TargetMode="External"/><Relationship Id="rId10805" Type="http://schemas.openxmlformats.org/officeDocument/2006/relationships/hyperlink" Target="https://statiz.sporki.com/add/?m=draft_school01&amp;ps_school=50202" TargetMode="External"/><Relationship Id="rId16367" Type="http://schemas.openxmlformats.org/officeDocument/2006/relationships/hyperlink" Target="https://statiz.sporki.com/add/?m=draft_school01&amp;ps_school=50208" TargetMode="External"/><Relationship Id="rId17418" Type="http://schemas.openxmlformats.org/officeDocument/2006/relationships/hyperlink" Target="https://statiz.sporki.com/add/?m=draft_school01&amp;ps_school=50808" TargetMode="External"/><Relationship Id="rId5375" Type="http://schemas.openxmlformats.org/officeDocument/2006/relationships/hyperlink" Target="https://statiz.sporki.com/add/?m=draft_school01&amp;ps_school=51100" TargetMode="External"/><Relationship Id="rId6426" Type="http://schemas.openxmlformats.org/officeDocument/2006/relationships/hyperlink" Target="https://statiz.sporki.com/add/?m=draft_school02&amp;ps_school=60203" TargetMode="External"/><Relationship Id="rId9996" Type="http://schemas.openxmlformats.org/officeDocument/2006/relationships/hyperlink" Target="https://statiz.sporki.com/add/?m=draft_school02&amp;ps_school=60101" TargetMode="External"/><Relationship Id="rId1985" Type="http://schemas.openxmlformats.org/officeDocument/2006/relationships/hyperlink" Target="https://statiz.sporki.com/add/?m=draft_school01&amp;ps_school=50111" TargetMode="External"/><Relationship Id="rId5028" Type="http://schemas.openxmlformats.org/officeDocument/2006/relationships/hyperlink" Target="https://statiz.sporki.com/add/?m=draft_school02&amp;ps_school=60104" TargetMode="External"/><Relationship Id="rId8598" Type="http://schemas.openxmlformats.org/officeDocument/2006/relationships/hyperlink" Target="https://statiz.sporki.com/add/?m=draft_school02&amp;ps_school=60113" TargetMode="External"/><Relationship Id="rId9649" Type="http://schemas.openxmlformats.org/officeDocument/2006/relationships/hyperlink" Target="https://statiz.sporki.com/player/?m=playerinfo&amp;p_no=1758" TargetMode="External"/><Relationship Id="rId11579" Type="http://schemas.openxmlformats.org/officeDocument/2006/relationships/hyperlink" Target="https://statiz.sporki.com/add/?m=draft_school01&amp;ps_school=50302" TargetMode="External"/><Relationship Id="rId12977" Type="http://schemas.openxmlformats.org/officeDocument/2006/relationships/hyperlink" Target="https://statiz.sporki.com/player/?m=playerinfo&amp;p_no=13109" TargetMode="External"/><Relationship Id="rId1638" Type="http://schemas.openxmlformats.org/officeDocument/2006/relationships/hyperlink" Target="https://statiz.sporki.com/add/?m=draft_school02&amp;ps_school=60203" TargetMode="External"/><Relationship Id="rId14052" Type="http://schemas.openxmlformats.org/officeDocument/2006/relationships/hyperlink" Target="https://statiz.sporki.com/player/?m=playerinfo&amp;p_no=11105" TargetMode="External"/><Relationship Id="rId15103" Type="http://schemas.openxmlformats.org/officeDocument/2006/relationships/hyperlink" Target="https://statiz.sporki.com/player/?m=playerinfo&amp;p_no=10377" TargetMode="External"/><Relationship Id="rId15450" Type="http://schemas.openxmlformats.org/officeDocument/2006/relationships/hyperlink" Target="https://statiz.sporki.com/player/?m=playerinfo&amp;p_no=1649" TargetMode="External"/><Relationship Id="rId16501" Type="http://schemas.openxmlformats.org/officeDocument/2006/relationships/hyperlink" Target="https://statiz.sporki.com/add/?m=draft_school01&amp;ps_school=50206" TargetMode="External"/><Relationship Id="rId3060" Type="http://schemas.openxmlformats.org/officeDocument/2006/relationships/hyperlink" Target="https://statiz.sporki.com/add/?m=draft_school02&amp;ps_school=" TargetMode="External"/><Relationship Id="rId4111" Type="http://schemas.openxmlformats.org/officeDocument/2006/relationships/hyperlink" Target="https://statiz.sporki.com/player/?m=playerinfo&amp;p_no=11198" TargetMode="External"/><Relationship Id="rId18673" Type="http://schemas.openxmlformats.org/officeDocument/2006/relationships/hyperlink" Target="https://statiz.sporki.com/add/?m=draft_school01&amp;ps_school=50904" TargetMode="External"/><Relationship Id="rId6283" Type="http://schemas.openxmlformats.org/officeDocument/2006/relationships/hyperlink" Target="https://statiz.sporki.com/player/?m=playerinfo&amp;p_no=10222" TargetMode="External"/><Relationship Id="rId7681" Type="http://schemas.openxmlformats.org/officeDocument/2006/relationships/hyperlink" Target="https://statiz.sporki.com/player/?m=playerinfo&amp;p_no=2292" TargetMode="External"/><Relationship Id="rId8732" Type="http://schemas.openxmlformats.org/officeDocument/2006/relationships/hyperlink" Target="https://statiz.sporki.com/add/?m=draft_school01&amp;ps_school=50805" TargetMode="External"/><Relationship Id="rId10662" Type="http://schemas.openxmlformats.org/officeDocument/2006/relationships/hyperlink" Target="https://statiz.sporki.com/add/?m=draft_school02&amp;ps_school=60802" TargetMode="External"/><Relationship Id="rId11713" Type="http://schemas.openxmlformats.org/officeDocument/2006/relationships/hyperlink" Target="https://statiz.sporki.com/player/?m=playerinfo&amp;p_no=1060" TargetMode="External"/><Relationship Id="rId17275" Type="http://schemas.openxmlformats.org/officeDocument/2006/relationships/hyperlink" Target="https://statiz.sporki.com/add/?m=draft_school01&amp;ps_school=50111" TargetMode="External"/><Relationship Id="rId18326" Type="http://schemas.openxmlformats.org/officeDocument/2006/relationships/hyperlink" Target="https://statiz.sporki.com/add/?m=draft_school01&amp;ps_school=50602" TargetMode="External"/><Relationship Id="rId7334" Type="http://schemas.openxmlformats.org/officeDocument/2006/relationships/hyperlink" Target="https://statiz.sporki.com/add/?m=draft_school01&amp;ps_school=50703" TargetMode="External"/><Relationship Id="rId10315" Type="http://schemas.openxmlformats.org/officeDocument/2006/relationships/hyperlink" Target="https://statiz.sporki.com/player/?m=playerinfo&amp;p_no=1835" TargetMode="External"/><Relationship Id="rId13885" Type="http://schemas.openxmlformats.org/officeDocument/2006/relationships/hyperlink" Target="https://statiz.sporki.com/player/?m=playerinfo&amp;p_no=10729" TargetMode="External"/><Relationship Id="rId14936" Type="http://schemas.openxmlformats.org/officeDocument/2006/relationships/hyperlink" Target="https://statiz.sporki.com/player/?m=playerinfo&amp;p_no=2018" TargetMode="External"/><Relationship Id="rId2893" Type="http://schemas.openxmlformats.org/officeDocument/2006/relationships/hyperlink" Target="https://statiz.sporki.com/player/?m=playerinfo&amp;p_no=12867" TargetMode="External"/><Relationship Id="rId3944" Type="http://schemas.openxmlformats.org/officeDocument/2006/relationships/hyperlink" Target="https://statiz.sporki.com/add/?m=draft_school01&amp;ps_school=" TargetMode="External"/><Relationship Id="rId12487" Type="http://schemas.openxmlformats.org/officeDocument/2006/relationships/hyperlink" Target="https://statiz.sporki.com/player/?m=playerinfo&amp;p_no=14800" TargetMode="External"/><Relationship Id="rId13538" Type="http://schemas.openxmlformats.org/officeDocument/2006/relationships/hyperlink" Target="https://statiz.sporki.com/player/?m=playerinfo&amp;p_no=12985" TargetMode="External"/><Relationship Id="rId865" Type="http://schemas.openxmlformats.org/officeDocument/2006/relationships/hyperlink" Target="https://statiz.sporki.com/player/?m=playerinfo&amp;p_no=15152" TargetMode="External"/><Relationship Id="rId1495" Type="http://schemas.openxmlformats.org/officeDocument/2006/relationships/hyperlink" Target="https://statiz.sporki.com/player/?m=playerinfo&amp;p_no=14674" TargetMode="External"/><Relationship Id="rId2546" Type="http://schemas.openxmlformats.org/officeDocument/2006/relationships/hyperlink" Target="https://statiz.sporki.com/add/?m=draft_school01&amp;ps_school=50105" TargetMode="External"/><Relationship Id="rId9159" Type="http://schemas.openxmlformats.org/officeDocument/2006/relationships/hyperlink" Target="https://statiz.sporki.com/add/?m=draft_school02&amp;ps_school=60204" TargetMode="External"/><Relationship Id="rId11089" Type="http://schemas.openxmlformats.org/officeDocument/2006/relationships/hyperlink" Target="https://statiz.sporki.com/player/?m=playerinfo&amp;p_no=1292" TargetMode="External"/><Relationship Id="rId16011" Type="http://schemas.openxmlformats.org/officeDocument/2006/relationships/hyperlink" Target="https://statiz.sporki.com/player/?m=playerinfo&amp;p_no=1152" TargetMode="External"/><Relationship Id="rId518" Type="http://schemas.openxmlformats.org/officeDocument/2006/relationships/hyperlink" Target="https://statiz.sporki.com/add/?m=draft_school01&amp;ps_school=50601" TargetMode="External"/><Relationship Id="rId1148" Type="http://schemas.openxmlformats.org/officeDocument/2006/relationships/hyperlink" Target="https://statiz.sporki.com/add/?m=draft_school01&amp;ps_school=50703" TargetMode="External"/><Relationship Id="rId5769" Type="http://schemas.openxmlformats.org/officeDocument/2006/relationships/hyperlink" Target="https://statiz.sporki.com/add/?m=draft_school02&amp;ps_school=" TargetMode="External"/><Relationship Id="rId9640" Type="http://schemas.openxmlformats.org/officeDocument/2006/relationships/hyperlink" Target="https://statiz.sporki.com/player/?m=playerinfo&amp;p_no=1764" TargetMode="External"/><Relationship Id="rId18183" Type="http://schemas.openxmlformats.org/officeDocument/2006/relationships/hyperlink" Target="https://statiz.sporki.com/add/?m=draft_school01&amp;ps_school=50706" TargetMode="External"/><Relationship Id="rId19234" Type="http://schemas.openxmlformats.org/officeDocument/2006/relationships/hyperlink" Target="https://statiz.sporki.com/add/?m=draft_school01&amp;ps_school=50706" TargetMode="External"/><Relationship Id="rId19581" Type="http://schemas.openxmlformats.org/officeDocument/2006/relationships/hyperlink" Target="https://statiz.sporki.com/add/?m=draft_school01&amp;ps_school=50401" TargetMode="External"/><Relationship Id="rId7191" Type="http://schemas.openxmlformats.org/officeDocument/2006/relationships/hyperlink" Target="https://statiz.sporki.com/add/?m=draft_school02&amp;ps_school=" TargetMode="External"/><Relationship Id="rId8242" Type="http://schemas.openxmlformats.org/officeDocument/2006/relationships/hyperlink" Target="https://statiz.sporki.com/player/?m=playerinfo&amp;p_no=10501" TargetMode="External"/><Relationship Id="rId11570" Type="http://schemas.openxmlformats.org/officeDocument/2006/relationships/hyperlink" Target="https://statiz.sporki.com/add/?m=draft_school01&amp;ps_school=50110" TargetMode="External"/><Relationship Id="rId12621" Type="http://schemas.openxmlformats.org/officeDocument/2006/relationships/hyperlink" Target="https://statiz.sporki.com/player/?m=playerinfo&amp;p_no=14619" TargetMode="External"/><Relationship Id="rId10172" Type="http://schemas.openxmlformats.org/officeDocument/2006/relationships/hyperlink" Target="https://statiz.sporki.com/add/?m=draft_school01&amp;ps_school=50901" TargetMode="External"/><Relationship Id="rId11223" Type="http://schemas.openxmlformats.org/officeDocument/2006/relationships/hyperlink" Target="https://statiz.sporki.com/add/?m=draft_school02&amp;ps_school=" TargetMode="External"/><Relationship Id="rId14793" Type="http://schemas.openxmlformats.org/officeDocument/2006/relationships/hyperlink" Target="https://statiz.sporki.com/player/?m=playerinfo&amp;p_no=2127" TargetMode="External"/><Relationship Id="rId15844" Type="http://schemas.openxmlformats.org/officeDocument/2006/relationships/hyperlink" Target="https://statiz.sporki.com/player/?m=playerinfo&amp;p_no=1330" TargetMode="External"/><Relationship Id="rId4852" Type="http://schemas.openxmlformats.org/officeDocument/2006/relationships/hyperlink" Target="https://statiz.sporki.com/player/?m=playerinfo&amp;p_no=10827" TargetMode="External"/><Relationship Id="rId5903" Type="http://schemas.openxmlformats.org/officeDocument/2006/relationships/hyperlink" Target="https://statiz.sporki.com/add/?m=draft_school01&amp;ps_school=50101" TargetMode="External"/><Relationship Id="rId13395" Type="http://schemas.openxmlformats.org/officeDocument/2006/relationships/hyperlink" Target="https://statiz.sporki.com/player/?m=playerinfo&amp;p_no=13242" TargetMode="External"/><Relationship Id="rId14446" Type="http://schemas.openxmlformats.org/officeDocument/2006/relationships/hyperlink" Target="https://statiz.sporki.com/player/?m=playerinfo&amp;p_no=2328" TargetMode="External"/><Relationship Id="rId3454" Type="http://schemas.openxmlformats.org/officeDocument/2006/relationships/hyperlink" Target="https://statiz.sporki.com/player/?m=playerinfo&amp;p_no=12557" TargetMode="External"/><Relationship Id="rId4505" Type="http://schemas.openxmlformats.org/officeDocument/2006/relationships/hyperlink" Target="https://statiz.sporki.com/add/?m=draft_school01&amp;ps_school=50114" TargetMode="External"/><Relationship Id="rId13048" Type="http://schemas.openxmlformats.org/officeDocument/2006/relationships/hyperlink" Target="https://statiz.sporki.com/player/?m=playerinfo&amp;p_no=13268" TargetMode="External"/><Relationship Id="rId17669" Type="http://schemas.openxmlformats.org/officeDocument/2006/relationships/hyperlink" Target="https://statiz.sporki.com/add/?m=draft_school01&amp;ps_school=50208" TargetMode="External"/><Relationship Id="rId375" Type="http://schemas.openxmlformats.org/officeDocument/2006/relationships/hyperlink" Target="https://statiz.sporki.com/add/?m=draft_school02&amp;ps_school=" TargetMode="External"/><Relationship Id="rId2056" Type="http://schemas.openxmlformats.org/officeDocument/2006/relationships/hyperlink" Target="https://statiz.sporki.com/player/?m=playerinfo&amp;p_no=14183" TargetMode="External"/><Relationship Id="rId3107" Type="http://schemas.openxmlformats.org/officeDocument/2006/relationships/hyperlink" Target="https://statiz.sporki.com/add/?m=draft_school01&amp;ps_school=" TargetMode="External"/><Relationship Id="rId6677" Type="http://schemas.openxmlformats.org/officeDocument/2006/relationships/hyperlink" Target="https://statiz.sporki.com/add/?m=draft_school01&amp;ps_school=50802" TargetMode="External"/><Relationship Id="rId7728" Type="http://schemas.openxmlformats.org/officeDocument/2006/relationships/hyperlink" Target="https://statiz.sporki.com/add/?m=draft_school02&amp;ps_school=" TargetMode="External"/><Relationship Id="rId19091" Type="http://schemas.openxmlformats.org/officeDocument/2006/relationships/hyperlink" Target="https://statiz.sporki.com/add/?m=draft_school01&amp;ps_school=50101" TargetMode="External"/><Relationship Id="rId5279" Type="http://schemas.openxmlformats.org/officeDocument/2006/relationships/hyperlink" Target="https://statiz.sporki.com/add/?m=draft_school01&amp;ps_school=50901" TargetMode="External"/><Relationship Id="rId9150" Type="http://schemas.openxmlformats.org/officeDocument/2006/relationships/hyperlink" Target="https://statiz.sporki.com/add/?m=draft_school02&amp;ps_school=60108" TargetMode="External"/><Relationship Id="rId10709" Type="http://schemas.openxmlformats.org/officeDocument/2006/relationships/hyperlink" Target="https://statiz.sporki.com/add/?m=draft_school01&amp;ps_school=50711" TargetMode="External"/><Relationship Id="rId11080" Type="http://schemas.openxmlformats.org/officeDocument/2006/relationships/hyperlink" Target="https://statiz.sporki.com/player/?m=playerinfo&amp;p_no=1293" TargetMode="External"/><Relationship Id="rId12131" Type="http://schemas.openxmlformats.org/officeDocument/2006/relationships/hyperlink" Target="https://statiz.sporki.com/add/?m=draft_school01&amp;ps_school=50608" TargetMode="External"/><Relationship Id="rId16752" Type="http://schemas.openxmlformats.org/officeDocument/2006/relationships/hyperlink" Target="https://statiz.sporki.com/add/?m=draft_school01&amp;ps_school=50114" TargetMode="External"/><Relationship Id="rId17803" Type="http://schemas.openxmlformats.org/officeDocument/2006/relationships/hyperlink" Target="https://statiz.sporki.com/add/?m=draft_school01&amp;ps_school=50109" TargetMode="External"/><Relationship Id="rId1889" Type="http://schemas.openxmlformats.org/officeDocument/2006/relationships/hyperlink" Target="https://statiz.sporki.com/add/?m=draft_school01&amp;ps_school=50602" TargetMode="External"/><Relationship Id="rId4362" Type="http://schemas.openxmlformats.org/officeDocument/2006/relationships/hyperlink" Target="https://statiz.sporki.com/add/?m=draft_school02&amp;ps_school=" TargetMode="External"/><Relationship Id="rId5760" Type="http://schemas.openxmlformats.org/officeDocument/2006/relationships/hyperlink" Target="https://statiz.sporki.com/add/?m=draft_school02&amp;ps_school=" TargetMode="External"/><Relationship Id="rId6811" Type="http://schemas.openxmlformats.org/officeDocument/2006/relationships/hyperlink" Target="https://statiz.sporki.com/player/?m=playerinfo&amp;p_no=10234" TargetMode="External"/><Relationship Id="rId15354" Type="http://schemas.openxmlformats.org/officeDocument/2006/relationships/hyperlink" Target="https://statiz.sporki.com/player/?m=playerinfo&amp;p_no=1958" TargetMode="External"/><Relationship Id="rId16405" Type="http://schemas.openxmlformats.org/officeDocument/2006/relationships/hyperlink" Target="https://statiz.sporki.com/add/?m=draft_school01&amp;ps_school=50107" TargetMode="External"/><Relationship Id="rId4015" Type="http://schemas.openxmlformats.org/officeDocument/2006/relationships/hyperlink" Target="https://statiz.sporki.com/player/?m=playerinfo&amp;p_no=11310" TargetMode="External"/><Relationship Id="rId5413" Type="http://schemas.openxmlformats.org/officeDocument/2006/relationships/hyperlink" Target="https://statiz.sporki.com/player/?m=playerinfo&amp;p_no=10838" TargetMode="External"/><Relationship Id="rId8983" Type="http://schemas.openxmlformats.org/officeDocument/2006/relationships/hyperlink" Target="https://statiz.sporki.com/player/?m=playerinfo&amp;p_no=2123" TargetMode="External"/><Relationship Id="rId11964" Type="http://schemas.openxmlformats.org/officeDocument/2006/relationships/hyperlink" Target="https://statiz.sporki.com/add/?m=draft_school02&amp;ps_school=60204" TargetMode="External"/><Relationship Id="rId15007" Type="http://schemas.openxmlformats.org/officeDocument/2006/relationships/hyperlink" Target="https://statiz.sporki.com/player/?m=playerinfo&amp;p_no=10334" TargetMode="External"/><Relationship Id="rId18577" Type="http://schemas.openxmlformats.org/officeDocument/2006/relationships/hyperlink" Target="https://statiz.sporki.com/add/?m=draft_school01&amp;ps_school=50602" TargetMode="External"/><Relationship Id="rId19628" Type="http://schemas.openxmlformats.org/officeDocument/2006/relationships/hyperlink" Target="https://statiz.sporki.com/add/?m=draft_school01&amp;ps_school=50202" TargetMode="External"/><Relationship Id="rId7585" Type="http://schemas.openxmlformats.org/officeDocument/2006/relationships/hyperlink" Target="https://statiz.sporki.com/player/?m=playerinfo&amp;p_no=2263" TargetMode="External"/><Relationship Id="rId8636" Type="http://schemas.openxmlformats.org/officeDocument/2006/relationships/hyperlink" Target="https://statiz.sporki.com/add/?m=draft_school01&amp;ps_school=50116" TargetMode="External"/><Relationship Id="rId10566" Type="http://schemas.openxmlformats.org/officeDocument/2006/relationships/hyperlink" Target="https://statiz.sporki.com/add/?m=draft_school02&amp;ps_school=60113" TargetMode="External"/><Relationship Id="rId11617" Type="http://schemas.openxmlformats.org/officeDocument/2006/relationships/hyperlink" Target="https://statiz.sporki.com/player/?m=playerinfo&amp;p_no=1154" TargetMode="External"/><Relationship Id="rId17179" Type="http://schemas.openxmlformats.org/officeDocument/2006/relationships/hyperlink" Target="https://statiz.sporki.com/add/?m=draft_school01&amp;ps_school=50401" TargetMode="External"/><Relationship Id="rId6187" Type="http://schemas.openxmlformats.org/officeDocument/2006/relationships/hyperlink" Target="https://statiz.sporki.com/player/?m=playerinfo&amp;p_no=2418" TargetMode="External"/><Relationship Id="rId7238" Type="http://schemas.openxmlformats.org/officeDocument/2006/relationships/hyperlink" Target="https://statiz.sporki.com/add/?m=draft_school01&amp;ps_school=" TargetMode="External"/><Relationship Id="rId10219" Type="http://schemas.openxmlformats.org/officeDocument/2006/relationships/hyperlink" Target="https://statiz.sporki.com/player/?m=playerinfo&amp;p_no=1610" TargetMode="External"/><Relationship Id="rId13789" Type="http://schemas.openxmlformats.org/officeDocument/2006/relationships/hyperlink" Target="https://statiz.sporki.com/player/?m=playerinfo&amp;p_no=11149" TargetMode="External"/><Relationship Id="rId2797" Type="http://schemas.openxmlformats.org/officeDocument/2006/relationships/hyperlink" Target="https://statiz.sporki.com/player/?m=playerinfo&amp;p_no=12926" TargetMode="External"/><Relationship Id="rId3848" Type="http://schemas.openxmlformats.org/officeDocument/2006/relationships/hyperlink" Target="https://statiz.sporki.com/add/?m=draft_school01&amp;ps_school=50110" TargetMode="External"/><Relationship Id="rId16262" Type="http://schemas.openxmlformats.org/officeDocument/2006/relationships/hyperlink" Target="https://statiz.sporki.com/add/?m=draft_school01&amp;ps_school=50701" TargetMode="External"/><Relationship Id="rId17313" Type="http://schemas.openxmlformats.org/officeDocument/2006/relationships/hyperlink" Target="https://statiz.sporki.com/add/?m=draft_school01&amp;ps_school=50302" TargetMode="External"/><Relationship Id="rId17660" Type="http://schemas.openxmlformats.org/officeDocument/2006/relationships/hyperlink" Target="https://statiz.sporki.com/add/?m=draft_school01&amp;ps_school=50116" TargetMode="External"/><Relationship Id="rId18711" Type="http://schemas.openxmlformats.org/officeDocument/2006/relationships/hyperlink" Target="https://statiz.sporki.com/add/?m=draft_school01&amp;ps_school=50803" TargetMode="External"/><Relationship Id="rId769" Type="http://schemas.openxmlformats.org/officeDocument/2006/relationships/hyperlink" Target="https://statiz.sporki.com/player/?m=playerinfo&amp;p_no=15076" TargetMode="External"/><Relationship Id="rId1399" Type="http://schemas.openxmlformats.org/officeDocument/2006/relationships/hyperlink" Target="https://statiz.sporki.com/player/?m=playerinfo&amp;p_no=14624" TargetMode="External"/><Relationship Id="rId5270" Type="http://schemas.openxmlformats.org/officeDocument/2006/relationships/hyperlink" Target="https://statiz.sporki.com/add/?m=draft_school01&amp;ps_school=50210" TargetMode="External"/><Relationship Id="rId6321" Type="http://schemas.openxmlformats.org/officeDocument/2006/relationships/hyperlink" Target="https://statiz.sporki.com/add/?m=draft_school02&amp;ps_school=60703" TargetMode="External"/><Relationship Id="rId10700" Type="http://schemas.openxmlformats.org/officeDocument/2006/relationships/hyperlink" Target="https://statiz.sporki.com/add/?m=draft_school01&amp;ps_school=" TargetMode="External"/><Relationship Id="rId8493" Type="http://schemas.openxmlformats.org/officeDocument/2006/relationships/hyperlink" Target="https://statiz.sporki.com/add/?m=draft_school02&amp;ps_school=60102" TargetMode="External"/><Relationship Id="rId9891" Type="http://schemas.openxmlformats.org/officeDocument/2006/relationships/hyperlink" Target="https://statiz.sporki.com/add/?m=draft_school02&amp;ps_school=60705" TargetMode="External"/><Relationship Id="rId12872" Type="http://schemas.openxmlformats.org/officeDocument/2006/relationships/hyperlink" Target="https://statiz.sporki.com/player/?m=playerinfo&amp;p_no=14228" TargetMode="External"/><Relationship Id="rId13923" Type="http://schemas.openxmlformats.org/officeDocument/2006/relationships/hyperlink" Target="https://statiz.sporki.com/player/?m=playerinfo&amp;p_no=10732" TargetMode="External"/><Relationship Id="rId18087" Type="http://schemas.openxmlformats.org/officeDocument/2006/relationships/hyperlink" Target="https://statiz.sporki.com/add/?m=draft_school01&amp;ps_school=50601" TargetMode="External"/><Relationship Id="rId19485" Type="http://schemas.openxmlformats.org/officeDocument/2006/relationships/hyperlink" Target="https://statiz.sporki.com/add/?m=draft_school01&amp;ps_school=50602" TargetMode="External"/><Relationship Id="rId1880" Type="http://schemas.openxmlformats.org/officeDocument/2006/relationships/hyperlink" Target="https://statiz.sporki.com/add/?m=draft_school01&amp;ps_school=50110" TargetMode="External"/><Relationship Id="rId2931" Type="http://schemas.openxmlformats.org/officeDocument/2006/relationships/hyperlink" Target="https://statiz.sporki.com/add/?m=draft_school02&amp;ps_school=" TargetMode="External"/><Relationship Id="rId7095" Type="http://schemas.openxmlformats.org/officeDocument/2006/relationships/hyperlink" Target="https://statiz.sporki.com/add/?m=draft_school02&amp;ps_school=60111" TargetMode="External"/><Relationship Id="rId8146" Type="http://schemas.openxmlformats.org/officeDocument/2006/relationships/hyperlink" Target="https://statiz.sporki.com/player/?m=playerinfo&amp;p_no=10605" TargetMode="External"/><Relationship Id="rId9544" Type="http://schemas.openxmlformats.org/officeDocument/2006/relationships/hyperlink" Target="https://statiz.sporki.com/player/?m=playerinfo&amp;p_no=1757" TargetMode="External"/><Relationship Id="rId11474" Type="http://schemas.openxmlformats.org/officeDocument/2006/relationships/hyperlink" Target="https://statiz.sporki.com/add/?m=draft_school01&amp;ps_school=50209" TargetMode="External"/><Relationship Id="rId12525" Type="http://schemas.openxmlformats.org/officeDocument/2006/relationships/hyperlink" Target="https://statiz.sporki.com/player/?m=playerinfo&amp;p_no=14836" TargetMode="External"/><Relationship Id="rId19138" Type="http://schemas.openxmlformats.org/officeDocument/2006/relationships/hyperlink" Target="https://statiz.sporki.com/add/?m=draft_school01&amp;ps_school=50210" TargetMode="External"/><Relationship Id="rId903" Type="http://schemas.openxmlformats.org/officeDocument/2006/relationships/hyperlink" Target="https://statiz.sporki.com/add/?m=draft_school02&amp;ps_school=60114" TargetMode="External"/><Relationship Id="rId1533" Type="http://schemas.openxmlformats.org/officeDocument/2006/relationships/hyperlink" Target="https://statiz.sporki.com/add/?m=draft_school02&amp;ps_school=" TargetMode="External"/><Relationship Id="rId10076" Type="http://schemas.openxmlformats.org/officeDocument/2006/relationships/hyperlink" Target="https://statiz.sporki.com/add/?m=draft_school01&amp;ps_school=50703" TargetMode="External"/><Relationship Id="rId11127" Type="http://schemas.openxmlformats.org/officeDocument/2006/relationships/hyperlink" Target="https://statiz.sporki.com/add/?m=draft_school02&amp;ps_school=60108" TargetMode="External"/><Relationship Id="rId14697" Type="http://schemas.openxmlformats.org/officeDocument/2006/relationships/hyperlink" Target="https://statiz.sporki.com/player/?m=playerinfo&amp;p_no=10389" TargetMode="External"/><Relationship Id="rId15748" Type="http://schemas.openxmlformats.org/officeDocument/2006/relationships/hyperlink" Target="https://statiz.sporki.com/player/?m=playerinfo&amp;p_no=10597" TargetMode="External"/><Relationship Id="rId4756" Type="http://schemas.openxmlformats.org/officeDocument/2006/relationships/hyperlink" Target="https://statiz.sporki.com/player/?m=playerinfo&amp;p_no=11420" TargetMode="External"/><Relationship Id="rId5807" Type="http://schemas.openxmlformats.org/officeDocument/2006/relationships/hyperlink" Target="https://statiz.sporki.com/add/?m=draft_school01&amp;ps_school=50103" TargetMode="External"/><Relationship Id="rId13299" Type="http://schemas.openxmlformats.org/officeDocument/2006/relationships/hyperlink" Target="https://statiz.sporki.com/player/?m=playerinfo&amp;p_no=12643" TargetMode="External"/><Relationship Id="rId17170" Type="http://schemas.openxmlformats.org/officeDocument/2006/relationships/hyperlink" Target="https://statiz.sporki.com/add/?m=draft_school01&amp;ps_school=50206" TargetMode="External"/><Relationship Id="rId18221" Type="http://schemas.openxmlformats.org/officeDocument/2006/relationships/hyperlink" Target="https://statiz.sporki.com/add/?m=draft_school01&amp;ps_school=50606" TargetMode="External"/><Relationship Id="rId3358" Type="http://schemas.openxmlformats.org/officeDocument/2006/relationships/hyperlink" Target="https://statiz.sporki.com/player/?m=playerinfo&amp;p_no=12540" TargetMode="External"/><Relationship Id="rId4409" Type="http://schemas.openxmlformats.org/officeDocument/2006/relationships/hyperlink" Target="https://statiz.sporki.com/add/?m=draft_school01&amp;ps_school=50102" TargetMode="External"/><Relationship Id="rId7979" Type="http://schemas.openxmlformats.org/officeDocument/2006/relationships/hyperlink" Target="https://statiz.sporki.com/add/?m=draft_school01&amp;ps_school=" TargetMode="External"/><Relationship Id="rId10210" Type="http://schemas.openxmlformats.org/officeDocument/2006/relationships/hyperlink" Target="https://statiz.sporki.com/player/?m=playerinfo&amp;p_no=1679" TargetMode="External"/><Relationship Id="rId279" Type="http://schemas.openxmlformats.org/officeDocument/2006/relationships/hyperlink" Target="https://statiz.sporki.com/add/?m=draft_school02&amp;ps_school=" TargetMode="External"/><Relationship Id="rId13780" Type="http://schemas.openxmlformats.org/officeDocument/2006/relationships/hyperlink" Target="https://statiz.sporki.com/player/?m=playerinfo&amp;p_no=10911" TargetMode="External"/><Relationship Id="rId14831" Type="http://schemas.openxmlformats.org/officeDocument/2006/relationships/hyperlink" Target="https://statiz.sporki.com/player/?m=playerinfo&amp;p_no=10350" TargetMode="External"/><Relationship Id="rId760" Type="http://schemas.openxmlformats.org/officeDocument/2006/relationships/hyperlink" Target="https://statiz.sporki.com/player/?m=playerinfo&amp;p_no=15108" TargetMode="External"/><Relationship Id="rId1390" Type="http://schemas.openxmlformats.org/officeDocument/2006/relationships/hyperlink" Target="https://statiz.sporki.com/player/?m=playerinfo&amp;p_no=14593" TargetMode="External"/><Relationship Id="rId2441" Type="http://schemas.openxmlformats.org/officeDocument/2006/relationships/hyperlink" Target="https://statiz.sporki.com/add/?m=draft_school01&amp;ps_school=50107" TargetMode="External"/><Relationship Id="rId9054" Type="http://schemas.openxmlformats.org/officeDocument/2006/relationships/hyperlink" Target="https://statiz.sporki.com/add/?m=draft_school02&amp;ps_school=" TargetMode="External"/><Relationship Id="rId12382" Type="http://schemas.openxmlformats.org/officeDocument/2006/relationships/hyperlink" Target="https://statiz.sporki.com/player/?m=playerinfo&amp;p_no=15086" TargetMode="External"/><Relationship Id="rId13433" Type="http://schemas.openxmlformats.org/officeDocument/2006/relationships/hyperlink" Target="https://statiz.sporki.com/player/?m=playerinfo&amp;p_no=11394" TargetMode="External"/><Relationship Id="rId413" Type="http://schemas.openxmlformats.org/officeDocument/2006/relationships/hyperlink" Target="https://statiz.sporki.com/add/?m=draft_school01&amp;ps_school=50802" TargetMode="External"/><Relationship Id="rId1043" Type="http://schemas.openxmlformats.org/officeDocument/2006/relationships/hyperlink" Target="https://statiz.sporki.com/add/?m=draft_school01&amp;ps_school=50107" TargetMode="External"/><Relationship Id="rId12035" Type="http://schemas.openxmlformats.org/officeDocument/2006/relationships/hyperlink" Target="https://statiz.sporki.com/add/?m=draft_school01&amp;ps_school=50701" TargetMode="External"/><Relationship Id="rId16656" Type="http://schemas.openxmlformats.org/officeDocument/2006/relationships/hyperlink" Target="https://statiz.sporki.com/add/?m=draft_school01&amp;ps_school=50402" TargetMode="External"/><Relationship Id="rId17707" Type="http://schemas.openxmlformats.org/officeDocument/2006/relationships/hyperlink" Target="https://statiz.sporki.com/add/?m=draft_school01&amp;ps_school=50403" TargetMode="External"/><Relationship Id="rId5664" Type="http://schemas.openxmlformats.org/officeDocument/2006/relationships/hyperlink" Target="https://statiz.sporki.com/add/?m=draft_school02&amp;ps_school=" TargetMode="External"/><Relationship Id="rId6715" Type="http://schemas.openxmlformats.org/officeDocument/2006/relationships/hyperlink" Target="https://statiz.sporki.com/player/?m=playerinfo&amp;p_no=10207" TargetMode="External"/><Relationship Id="rId15258" Type="http://schemas.openxmlformats.org/officeDocument/2006/relationships/hyperlink" Target="https://statiz.sporki.com/player/?m=playerinfo&amp;p_no=10402" TargetMode="External"/><Relationship Id="rId16309" Type="http://schemas.openxmlformats.org/officeDocument/2006/relationships/hyperlink" Target="https://statiz.sporki.com/add/?m=draft_school01&amp;ps_school=50216" TargetMode="External"/><Relationship Id="rId4266" Type="http://schemas.openxmlformats.org/officeDocument/2006/relationships/hyperlink" Target="https://statiz.sporki.com/add/?m=draft_school02&amp;ps_school=60108" TargetMode="External"/><Relationship Id="rId5317" Type="http://schemas.openxmlformats.org/officeDocument/2006/relationships/hyperlink" Target="https://statiz.sporki.com/player/?m=playerinfo&amp;p_no=10708" TargetMode="External"/><Relationship Id="rId8887" Type="http://schemas.openxmlformats.org/officeDocument/2006/relationships/hyperlink" Target="https://statiz.sporki.com/player/?m=playerinfo&amp;p_no=1929" TargetMode="External"/><Relationship Id="rId9938" Type="http://schemas.openxmlformats.org/officeDocument/2006/relationships/hyperlink" Target="https://statiz.sporki.com/add/?m=draft_school01&amp;ps_school=50805" TargetMode="External"/><Relationship Id="rId11868" Type="http://schemas.openxmlformats.org/officeDocument/2006/relationships/hyperlink" Target="https://statiz.sporki.com/add/?m=draft_school02&amp;ps_school=" TargetMode="External"/><Relationship Id="rId1927" Type="http://schemas.openxmlformats.org/officeDocument/2006/relationships/hyperlink" Target="https://statiz.sporki.com/player/?m=playerinfo&amp;p_no=14161" TargetMode="External"/><Relationship Id="rId7489" Type="http://schemas.openxmlformats.org/officeDocument/2006/relationships/hyperlink" Target="https://statiz.sporki.com/player/?m=playerinfo&amp;p_no=2255" TargetMode="External"/><Relationship Id="rId12919" Type="http://schemas.openxmlformats.org/officeDocument/2006/relationships/hyperlink" Target="https://statiz.sporki.com/player/?m=playerinfo&amp;p_no=13125" TargetMode="External"/><Relationship Id="rId13290" Type="http://schemas.openxmlformats.org/officeDocument/2006/relationships/hyperlink" Target="https://statiz.sporki.com/player/?m=playerinfo&amp;p_no=12588" TargetMode="External"/><Relationship Id="rId14341" Type="http://schemas.openxmlformats.org/officeDocument/2006/relationships/hyperlink" Target="https://statiz.sporki.com/player/?m=playerinfo&amp;p_no=10267" TargetMode="External"/><Relationship Id="rId4400" Type="http://schemas.openxmlformats.org/officeDocument/2006/relationships/hyperlink" Target="https://statiz.sporki.com/add/?m=draft_school01&amp;ps_school=50109" TargetMode="External"/><Relationship Id="rId18962" Type="http://schemas.openxmlformats.org/officeDocument/2006/relationships/hyperlink" Target="https://statiz.sporki.com/add/?m=draft_school01&amp;ps_school=50608" TargetMode="External"/><Relationship Id="rId270" Type="http://schemas.openxmlformats.org/officeDocument/2006/relationships/hyperlink" Target="https://statiz.sporki.com/add/?m=draft_school02&amp;ps_school=" TargetMode="External"/><Relationship Id="rId3002" Type="http://schemas.openxmlformats.org/officeDocument/2006/relationships/hyperlink" Target="https://statiz.sporki.com/add/?m=draft_school01&amp;ps_school=50809" TargetMode="External"/><Relationship Id="rId6572" Type="http://schemas.openxmlformats.org/officeDocument/2006/relationships/hyperlink" Target="https://statiz.sporki.com/add/?m=draft_school01&amp;ps_school=50202" TargetMode="External"/><Relationship Id="rId7970" Type="http://schemas.openxmlformats.org/officeDocument/2006/relationships/hyperlink" Target="https://statiz.sporki.com/add/?m=draft_school01&amp;ps_school=" TargetMode="External"/><Relationship Id="rId10951" Type="http://schemas.openxmlformats.org/officeDocument/2006/relationships/hyperlink" Target="https://statiz.sporki.com/player/?m=playerinfo&amp;p_no=1486" TargetMode="External"/><Relationship Id="rId16166" Type="http://schemas.openxmlformats.org/officeDocument/2006/relationships/hyperlink" Target="https://statiz.sporki.com/player/?m=playerinfo&amp;p_no=1115" TargetMode="External"/><Relationship Id="rId17564" Type="http://schemas.openxmlformats.org/officeDocument/2006/relationships/hyperlink" Target="https://statiz.sporki.com/add/?m=draft_school01&amp;ps_school=50601" TargetMode="External"/><Relationship Id="rId18615" Type="http://schemas.openxmlformats.org/officeDocument/2006/relationships/hyperlink" Target="https://statiz.sporki.com/add/?m=draft_school01&amp;ps_school=50702" TargetMode="External"/><Relationship Id="rId5174" Type="http://schemas.openxmlformats.org/officeDocument/2006/relationships/hyperlink" Target="https://statiz.sporki.com/add/?m=draft_school01&amp;ps_school=50103" TargetMode="External"/><Relationship Id="rId6225" Type="http://schemas.openxmlformats.org/officeDocument/2006/relationships/hyperlink" Target="https://statiz.sporki.com/add/?m=draft_school02&amp;ps_school=60501" TargetMode="External"/><Relationship Id="rId7623" Type="http://schemas.openxmlformats.org/officeDocument/2006/relationships/hyperlink" Target="https://statiz.sporki.com/add/?m=draft_school02&amp;ps_school=" TargetMode="External"/><Relationship Id="rId10604" Type="http://schemas.openxmlformats.org/officeDocument/2006/relationships/hyperlink" Target="https://statiz.sporki.com/add/?m=draft_school01&amp;ps_school=50403" TargetMode="External"/><Relationship Id="rId17217" Type="http://schemas.openxmlformats.org/officeDocument/2006/relationships/hyperlink" Target="https://statiz.sporki.com/add/?m=draft_school01&amp;ps_school=50902" TargetMode="External"/><Relationship Id="rId9795" Type="http://schemas.openxmlformats.org/officeDocument/2006/relationships/hyperlink" Target="https://statiz.sporki.com/add/?m=draft_school02&amp;ps_school=60104" TargetMode="External"/><Relationship Id="rId12776" Type="http://schemas.openxmlformats.org/officeDocument/2006/relationships/hyperlink" Target="https://statiz.sporki.com/player/?m=playerinfo&amp;p_no=14125" TargetMode="External"/><Relationship Id="rId13827" Type="http://schemas.openxmlformats.org/officeDocument/2006/relationships/hyperlink" Target="https://statiz.sporki.com/player/?m=playerinfo&amp;p_no=10919" TargetMode="External"/><Relationship Id="rId19389" Type="http://schemas.openxmlformats.org/officeDocument/2006/relationships/hyperlink" Target="https://statiz.sporki.com/add/?m=draft_school01&amp;ps_school=50608" TargetMode="External"/><Relationship Id="rId1784" Type="http://schemas.openxmlformats.org/officeDocument/2006/relationships/hyperlink" Target="https://statiz.sporki.com/add/?m=draft_school01&amp;ps_school=50109" TargetMode="External"/><Relationship Id="rId2835" Type="http://schemas.openxmlformats.org/officeDocument/2006/relationships/hyperlink" Target="https://statiz.sporki.com/add/?m=draft_school02&amp;ps_school=" TargetMode="External"/><Relationship Id="rId8397" Type="http://schemas.openxmlformats.org/officeDocument/2006/relationships/hyperlink" Target="https://statiz.sporki.com/add/?m=draft_school02&amp;ps_school=60109" TargetMode="External"/><Relationship Id="rId9448" Type="http://schemas.openxmlformats.org/officeDocument/2006/relationships/hyperlink" Target="https://statiz.sporki.com/player/?m=playerinfo&amp;p_no=1953" TargetMode="External"/><Relationship Id="rId11378" Type="http://schemas.openxmlformats.org/officeDocument/2006/relationships/hyperlink" Target="https://statiz.sporki.com/add/?m=draft_school01&amp;ps_school=50501" TargetMode="External"/><Relationship Id="rId12429" Type="http://schemas.openxmlformats.org/officeDocument/2006/relationships/hyperlink" Target="https://statiz.sporki.com/player/?m=playerinfo&amp;p_no=15011" TargetMode="External"/><Relationship Id="rId15999" Type="http://schemas.openxmlformats.org/officeDocument/2006/relationships/hyperlink" Target="https://statiz.sporki.com/player/?m=playerinfo&amp;p_no=1144" TargetMode="External"/><Relationship Id="rId16300" Type="http://schemas.openxmlformats.org/officeDocument/2006/relationships/hyperlink" Target="https://statiz.sporki.com/add/?m=draft_school01&amp;ps_school=50703" TargetMode="External"/><Relationship Id="rId807" Type="http://schemas.openxmlformats.org/officeDocument/2006/relationships/hyperlink" Target="https://statiz.sporki.com/add/?m=draft_school02&amp;ps_school=" TargetMode="External"/><Relationship Id="rId1437" Type="http://schemas.openxmlformats.org/officeDocument/2006/relationships/hyperlink" Target="https://statiz.sporki.com/add/?m=draft_school02&amp;ps_school=" TargetMode="External"/><Relationship Id="rId18472" Type="http://schemas.openxmlformats.org/officeDocument/2006/relationships/hyperlink" Target="https://statiz.sporki.com/add/?m=draft_school01&amp;ps_school=50803" TargetMode="External"/><Relationship Id="rId19523" Type="http://schemas.openxmlformats.org/officeDocument/2006/relationships/hyperlink" Target="https://statiz.sporki.com/add/?m=draft_school01&amp;ps_school=50711" TargetMode="External"/><Relationship Id="rId7480" Type="http://schemas.openxmlformats.org/officeDocument/2006/relationships/hyperlink" Target="https://statiz.sporki.com/player/?m=playerinfo&amp;p_no=2231" TargetMode="External"/><Relationship Id="rId8531" Type="http://schemas.openxmlformats.org/officeDocument/2006/relationships/hyperlink" Target="https://statiz.sporki.com/add/?m=draft_school01&amp;ps_school=" TargetMode="External"/><Relationship Id="rId12910" Type="http://schemas.openxmlformats.org/officeDocument/2006/relationships/hyperlink" Target="https://statiz.sporki.com/player/?m=playerinfo&amp;p_no=13091" TargetMode="External"/><Relationship Id="rId17074" Type="http://schemas.openxmlformats.org/officeDocument/2006/relationships/hyperlink" Target="https://statiz.sporki.com/add/?m=draft_school01&amp;ps_school=50301" TargetMode="External"/><Relationship Id="rId18125" Type="http://schemas.openxmlformats.org/officeDocument/2006/relationships/hyperlink" Target="https://statiz.sporki.com/add/?m=draft_school01&amp;ps_school=50115" TargetMode="External"/><Relationship Id="rId6082" Type="http://schemas.openxmlformats.org/officeDocument/2006/relationships/hyperlink" Target="https://statiz.sporki.com/player/?m=playerinfo&amp;p_no=10525" TargetMode="External"/><Relationship Id="rId7133" Type="http://schemas.openxmlformats.org/officeDocument/2006/relationships/hyperlink" Target="https://statiz.sporki.com/add/?m=draft_school01&amp;ps_school=50604" TargetMode="External"/><Relationship Id="rId10461" Type="http://schemas.openxmlformats.org/officeDocument/2006/relationships/hyperlink" Target="https://statiz.sporki.com/add/?m=draft_school02&amp;ps_school=" TargetMode="External"/><Relationship Id="rId11512" Type="http://schemas.openxmlformats.org/officeDocument/2006/relationships/hyperlink" Target="https://statiz.sporki.com/player/?m=playerinfo&amp;p_no=1213" TargetMode="External"/><Relationship Id="rId10114" Type="http://schemas.openxmlformats.org/officeDocument/2006/relationships/hyperlink" Target="https://statiz.sporki.com/player/?m=playerinfo&amp;p_no=1574" TargetMode="External"/><Relationship Id="rId13684" Type="http://schemas.openxmlformats.org/officeDocument/2006/relationships/hyperlink" Target="https://statiz.sporki.com/player/?m=playerinfo&amp;p_no=11075" TargetMode="External"/><Relationship Id="rId14735" Type="http://schemas.openxmlformats.org/officeDocument/2006/relationships/hyperlink" Target="https://statiz.sporki.com/player/?m=playerinfo&amp;p_no=2188" TargetMode="External"/><Relationship Id="rId1294" Type="http://schemas.openxmlformats.org/officeDocument/2006/relationships/hyperlink" Target="https://statiz.sporki.com/player/?m=playerinfo&amp;p_no=14753" TargetMode="External"/><Relationship Id="rId2692" Type="http://schemas.openxmlformats.org/officeDocument/2006/relationships/hyperlink" Target="https://statiz.sporki.com/player/?m=playerinfo&amp;p_no=13264" TargetMode="External"/><Relationship Id="rId3743" Type="http://schemas.openxmlformats.org/officeDocument/2006/relationships/hyperlink" Target="https://statiz.sporki.com/add/?m=draft_school01&amp;ps_school=50606" TargetMode="External"/><Relationship Id="rId12286" Type="http://schemas.openxmlformats.org/officeDocument/2006/relationships/hyperlink" Target="https://statiz.sporki.com/player/?m=playerinfo&amp;p_no=15615" TargetMode="External"/><Relationship Id="rId13337" Type="http://schemas.openxmlformats.org/officeDocument/2006/relationships/hyperlink" Target="https://statiz.sporki.com/player/?m=playerinfo&amp;p_no=12602" TargetMode="External"/><Relationship Id="rId17958" Type="http://schemas.openxmlformats.org/officeDocument/2006/relationships/hyperlink" Target="https://statiz.sporki.com/add/?m=draft_school01&amp;ps_school=50116" TargetMode="External"/><Relationship Id="rId664" Type="http://schemas.openxmlformats.org/officeDocument/2006/relationships/hyperlink" Target="https://statiz.sporki.com/player/?m=playerinfo&amp;p_no=15116" TargetMode="External"/><Relationship Id="rId2345" Type="http://schemas.openxmlformats.org/officeDocument/2006/relationships/hyperlink" Target="https://statiz.sporki.com/add/?m=draft_school01&amp;ps_school=50103" TargetMode="External"/><Relationship Id="rId6966" Type="http://schemas.openxmlformats.org/officeDocument/2006/relationships/hyperlink" Target="https://statiz.sporki.com/add/?m=draft_school02&amp;ps_school=" TargetMode="External"/><Relationship Id="rId19380" Type="http://schemas.openxmlformats.org/officeDocument/2006/relationships/hyperlink" Target="https://statiz.sporki.com/add/?m=draft_school01&amp;ps_school=50711" TargetMode="External"/><Relationship Id="rId317" Type="http://schemas.openxmlformats.org/officeDocument/2006/relationships/hyperlink" Target="https://statiz.sporki.com/add/?m=draft_school01&amp;ps_school=50302" TargetMode="External"/><Relationship Id="rId5568" Type="http://schemas.openxmlformats.org/officeDocument/2006/relationships/hyperlink" Target="https://statiz.sporki.com/add/?m=draft_school02&amp;ps_school=60802" TargetMode="External"/><Relationship Id="rId6619" Type="http://schemas.openxmlformats.org/officeDocument/2006/relationships/hyperlink" Target="https://statiz.sporki.com/player/?m=playerinfo&amp;p_no=10165" TargetMode="External"/><Relationship Id="rId12420" Type="http://schemas.openxmlformats.org/officeDocument/2006/relationships/hyperlink" Target="https://statiz.sporki.com/player/?m=playerinfo&amp;p_no=15154" TargetMode="External"/><Relationship Id="rId19033" Type="http://schemas.openxmlformats.org/officeDocument/2006/relationships/hyperlink" Target="https://statiz.sporki.com/add/?m=draft_school01&amp;ps_school=50813" TargetMode="External"/><Relationship Id="rId8041" Type="http://schemas.openxmlformats.org/officeDocument/2006/relationships/hyperlink" Target="https://statiz.sporki.com/player/?m=playerinfo&amp;p_no=10256" TargetMode="External"/><Relationship Id="rId11022" Type="http://schemas.openxmlformats.org/officeDocument/2006/relationships/hyperlink" Target="https://statiz.sporki.com/add/?m=draft_school02&amp;ps_school=60803" TargetMode="External"/><Relationship Id="rId15990" Type="http://schemas.openxmlformats.org/officeDocument/2006/relationships/hyperlink" Target="https://statiz.sporki.com/player/?m=playerinfo&amp;p_no=1174" TargetMode="External"/><Relationship Id="rId4651" Type="http://schemas.openxmlformats.org/officeDocument/2006/relationships/hyperlink" Target="https://statiz.sporki.com/player/?m=playerinfo&amp;p_no=11154" TargetMode="External"/><Relationship Id="rId13194" Type="http://schemas.openxmlformats.org/officeDocument/2006/relationships/hyperlink" Target="https://statiz.sporki.com/player/?m=playerinfo&amp;p_no=12522" TargetMode="External"/><Relationship Id="rId14592" Type="http://schemas.openxmlformats.org/officeDocument/2006/relationships/hyperlink" Target="https://statiz.sporki.com/player/?m=playerinfo&amp;p_no=10440" TargetMode="External"/><Relationship Id="rId15643" Type="http://schemas.openxmlformats.org/officeDocument/2006/relationships/hyperlink" Target="https://statiz.sporki.com/player/?m=playerinfo&amp;p_no=10743" TargetMode="External"/><Relationship Id="rId3253" Type="http://schemas.openxmlformats.org/officeDocument/2006/relationships/hyperlink" Target="https://statiz.sporki.com/player/?m=playerinfo&amp;p_no=12629" TargetMode="External"/><Relationship Id="rId4304" Type="http://schemas.openxmlformats.org/officeDocument/2006/relationships/hyperlink" Target="https://statiz.sporki.com/add/?m=draft_school01&amp;ps_school=" TargetMode="External"/><Relationship Id="rId5702" Type="http://schemas.openxmlformats.org/officeDocument/2006/relationships/hyperlink" Target="https://statiz.sporki.com/add/?m=draft_school01&amp;ps_school=50705" TargetMode="External"/><Relationship Id="rId14245" Type="http://schemas.openxmlformats.org/officeDocument/2006/relationships/hyperlink" Target="https://statiz.sporki.com/player/?m=playerinfo&amp;p_no=10292" TargetMode="External"/><Relationship Id="rId18866" Type="http://schemas.openxmlformats.org/officeDocument/2006/relationships/hyperlink" Target="https://statiz.sporki.com/add/?m=draft_school01&amp;ps_school=50804" TargetMode="External"/><Relationship Id="rId174" Type="http://schemas.openxmlformats.org/officeDocument/2006/relationships/hyperlink" Target="https://statiz.sporki.com/add/?m=draft_school02&amp;ps_school=" TargetMode="External"/><Relationship Id="rId7874" Type="http://schemas.openxmlformats.org/officeDocument/2006/relationships/hyperlink" Target="https://statiz.sporki.com/add/?m=draft_school01&amp;ps_school=50402" TargetMode="External"/><Relationship Id="rId8925" Type="http://schemas.openxmlformats.org/officeDocument/2006/relationships/hyperlink" Target="https://statiz.sporki.com/add/?m=draft_school02&amp;ps_school=60113" TargetMode="External"/><Relationship Id="rId10855" Type="http://schemas.openxmlformats.org/officeDocument/2006/relationships/hyperlink" Target="https://statiz.sporki.com/player/?m=playerinfo&amp;p_no=1404" TargetMode="External"/><Relationship Id="rId11906" Type="http://schemas.openxmlformats.org/officeDocument/2006/relationships/hyperlink" Target="https://statiz.sporki.com/add/?m=draft_school01&amp;ps_school=50805" TargetMode="External"/><Relationship Id="rId17468" Type="http://schemas.openxmlformats.org/officeDocument/2006/relationships/hyperlink" Target="https://statiz.sporki.com/add/?m=draft_school01&amp;ps_school=50805" TargetMode="External"/><Relationship Id="rId18519" Type="http://schemas.openxmlformats.org/officeDocument/2006/relationships/hyperlink" Target="https://statiz.sporki.com/add/?m=draft_school01&amp;ps_school=50801" TargetMode="External"/><Relationship Id="rId5078" Type="http://schemas.openxmlformats.org/officeDocument/2006/relationships/hyperlink" Target="https://statiz.sporki.com/add/?m=draft_school01&amp;ps_school=50602" TargetMode="External"/><Relationship Id="rId6476" Type="http://schemas.openxmlformats.org/officeDocument/2006/relationships/hyperlink" Target="https://statiz.sporki.com/add/?m=draft_school01&amp;ps_school=50110" TargetMode="External"/><Relationship Id="rId7527" Type="http://schemas.openxmlformats.org/officeDocument/2006/relationships/hyperlink" Target="https://statiz.sporki.com/add/?m=draft_school02&amp;ps_school=" TargetMode="External"/><Relationship Id="rId10508" Type="http://schemas.openxmlformats.org/officeDocument/2006/relationships/hyperlink" Target="https://statiz.sporki.com/add/?m=draft_school01&amp;ps_school=50602" TargetMode="External"/><Relationship Id="rId6129" Type="http://schemas.openxmlformats.org/officeDocument/2006/relationships/hyperlink" Target="https://statiz.sporki.com/add/?m=draft_school02&amp;ps_school=60103" TargetMode="External"/><Relationship Id="rId9699" Type="http://schemas.openxmlformats.org/officeDocument/2006/relationships/hyperlink" Target="https://statiz.sporki.com/add/?m=draft_school02&amp;ps_school=" TargetMode="External"/><Relationship Id="rId16551" Type="http://schemas.openxmlformats.org/officeDocument/2006/relationships/hyperlink" Target="https://statiz.sporki.com/add/?m=draft_school01&amp;ps_school=50220" TargetMode="External"/><Relationship Id="rId17602" Type="http://schemas.openxmlformats.org/officeDocument/2006/relationships/hyperlink" Target="https://statiz.sporki.com/add/?m=draft_school01&amp;ps_school=50302" TargetMode="External"/><Relationship Id="rId1688" Type="http://schemas.openxmlformats.org/officeDocument/2006/relationships/hyperlink" Target="https://statiz.sporki.com/add/?m=draft_school01&amp;ps_school=50709" TargetMode="External"/><Relationship Id="rId2739" Type="http://schemas.openxmlformats.org/officeDocument/2006/relationships/hyperlink" Target="https://statiz.sporki.com/add/?m=draft_school02&amp;ps_school=60113" TargetMode="External"/><Relationship Id="rId6610" Type="http://schemas.openxmlformats.org/officeDocument/2006/relationships/hyperlink" Target="https://statiz.sporki.com/player/?m=playerinfo&amp;p_no=10390" TargetMode="External"/><Relationship Id="rId15153" Type="http://schemas.openxmlformats.org/officeDocument/2006/relationships/hyperlink" Target="https://statiz.sporki.com/player/?m=playerinfo&amp;p_no=1931" TargetMode="External"/><Relationship Id="rId16204" Type="http://schemas.openxmlformats.org/officeDocument/2006/relationships/hyperlink" Target="https://statiz.sporki.com/add/?m=draft_school01&amp;ps_school=50109" TargetMode="External"/><Relationship Id="rId4161" Type="http://schemas.openxmlformats.org/officeDocument/2006/relationships/hyperlink" Target="https://statiz.sporki.com/add/?m=draft_school02&amp;ps_school=" TargetMode="External"/><Relationship Id="rId5212" Type="http://schemas.openxmlformats.org/officeDocument/2006/relationships/hyperlink" Target="https://statiz.sporki.com/player/?m=playerinfo&amp;p_no=10739" TargetMode="External"/><Relationship Id="rId8782" Type="http://schemas.openxmlformats.org/officeDocument/2006/relationships/hyperlink" Target="https://statiz.sporki.com/player/?m=playerinfo&amp;p_no=1967" TargetMode="External"/><Relationship Id="rId18376" Type="http://schemas.openxmlformats.org/officeDocument/2006/relationships/hyperlink" Target="https://statiz.sporki.com/add/?m=draft_school01&amp;ps_school=50108" TargetMode="External"/><Relationship Id="rId7384" Type="http://schemas.openxmlformats.org/officeDocument/2006/relationships/hyperlink" Target="https://statiz.sporki.com/player/?m=playerinfo&amp;p_no=10460" TargetMode="External"/><Relationship Id="rId8435" Type="http://schemas.openxmlformats.org/officeDocument/2006/relationships/hyperlink" Target="https://statiz.sporki.com/add/?m=draft_school01&amp;ps_school=50303" TargetMode="External"/><Relationship Id="rId9833" Type="http://schemas.openxmlformats.org/officeDocument/2006/relationships/hyperlink" Target="https://statiz.sporki.com/add/?m=draft_school01&amp;ps_school=50110" TargetMode="External"/><Relationship Id="rId11763" Type="http://schemas.openxmlformats.org/officeDocument/2006/relationships/hyperlink" Target="https://statiz.sporki.com/add/?m=draft_school02&amp;ps_school=" TargetMode="External"/><Relationship Id="rId12814" Type="http://schemas.openxmlformats.org/officeDocument/2006/relationships/hyperlink" Target="https://statiz.sporki.com/player/?m=playerinfo&amp;p_no=14164" TargetMode="External"/><Relationship Id="rId18029" Type="http://schemas.openxmlformats.org/officeDocument/2006/relationships/hyperlink" Target="https://statiz.sporki.com/add/?m=draft_school01&amp;ps_school=50904" TargetMode="External"/><Relationship Id="rId19427" Type="http://schemas.openxmlformats.org/officeDocument/2006/relationships/hyperlink" Target="https://statiz.sporki.com/add/?m=draft_school01&amp;ps_school=50403" TargetMode="External"/><Relationship Id="rId47" Type="http://schemas.openxmlformats.org/officeDocument/2006/relationships/hyperlink" Target="https://statiz.sporki.com/add/?m=draft_school01&amp;ps_school=50109" TargetMode="External"/><Relationship Id="rId1822" Type="http://schemas.openxmlformats.org/officeDocument/2006/relationships/hyperlink" Target="https://statiz.sporki.com/player/?m=playerinfo&amp;p_no=14734" TargetMode="External"/><Relationship Id="rId7037" Type="http://schemas.openxmlformats.org/officeDocument/2006/relationships/hyperlink" Target="https://statiz.sporki.com/add/?m=draft_school01&amp;ps_school=50601" TargetMode="External"/><Relationship Id="rId10365" Type="http://schemas.openxmlformats.org/officeDocument/2006/relationships/hyperlink" Target="https://statiz.sporki.com/add/?m=draft_school02&amp;ps_school=60703" TargetMode="External"/><Relationship Id="rId11416" Type="http://schemas.openxmlformats.org/officeDocument/2006/relationships/hyperlink" Target="https://statiz.sporki.com/player/?m=playerinfo&amp;p_no=1203" TargetMode="External"/><Relationship Id="rId14986" Type="http://schemas.openxmlformats.org/officeDocument/2006/relationships/hyperlink" Target="https://statiz.sporki.com/player/?m=playerinfo&amp;p_no=2058" TargetMode="External"/><Relationship Id="rId3994" Type="http://schemas.openxmlformats.org/officeDocument/2006/relationships/hyperlink" Target="https://statiz.sporki.com/player/?m=playerinfo&amp;p_no=12699" TargetMode="External"/><Relationship Id="rId10018" Type="http://schemas.openxmlformats.org/officeDocument/2006/relationships/hyperlink" Target="https://statiz.sporki.com/player/?m=playerinfo&amp;p_no=1639" TargetMode="External"/><Relationship Id="rId13588" Type="http://schemas.openxmlformats.org/officeDocument/2006/relationships/hyperlink" Target="https://statiz.sporki.com/player/?m=playerinfo&amp;p_no=11252" TargetMode="External"/><Relationship Id="rId14639" Type="http://schemas.openxmlformats.org/officeDocument/2006/relationships/hyperlink" Target="https://statiz.sporki.com/player/?m=playerinfo&amp;p_no=2265" TargetMode="External"/><Relationship Id="rId18510" Type="http://schemas.openxmlformats.org/officeDocument/2006/relationships/hyperlink" Target="https://statiz.sporki.com/add/?m=draft_school01&amp;ps_school=50209" TargetMode="External"/><Relationship Id="rId2596" Type="http://schemas.openxmlformats.org/officeDocument/2006/relationships/hyperlink" Target="https://statiz.sporki.com/player/?m=playerinfo&amp;p_no=13112" TargetMode="External"/><Relationship Id="rId3647" Type="http://schemas.openxmlformats.org/officeDocument/2006/relationships/hyperlink" Target="https://statiz.sporki.com/add/?m=draft_school01&amp;ps_school=50113" TargetMode="External"/><Relationship Id="rId16061" Type="http://schemas.openxmlformats.org/officeDocument/2006/relationships/hyperlink" Target="https://statiz.sporki.com/player/?m=playerinfo&amp;p_no=1133" TargetMode="External"/><Relationship Id="rId17112" Type="http://schemas.openxmlformats.org/officeDocument/2006/relationships/hyperlink" Target="https://statiz.sporki.com/add/?m=draft_school01&amp;ps_school=50107" TargetMode="External"/><Relationship Id="rId568" Type="http://schemas.openxmlformats.org/officeDocument/2006/relationships/hyperlink" Target="https://statiz.sporki.com/player/?m=playerinfo&amp;p_no=15081" TargetMode="External"/><Relationship Id="rId1198" Type="http://schemas.openxmlformats.org/officeDocument/2006/relationships/hyperlink" Target="https://statiz.sporki.com/player/?m=playerinfo&amp;p_no=14779" TargetMode="External"/><Relationship Id="rId2249" Type="http://schemas.openxmlformats.org/officeDocument/2006/relationships/hyperlink" Target="https://statiz.sporki.com/add/?m=draft_school01&amp;ps_school=50210" TargetMode="External"/><Relationship Id="rId6120" Type="http://schemas.openxmlformats.org/officeDocument/2006/relationships/hyperlink" Target="https://statiz.sporki.com/add/?m=draft_school02&amp;ps_school=60103" TargetMode="External"/><Relationship Id="rId9690" Type="http://schemas.openxmlformats.org/officeDocument/2006/relationships/hyperlink" Target="https://statiz.sporki.com/add/?m=draft_school02&amp;ps_school=61100" TargetMode="External"/><Relationship Id="rId19284" Type="http://schemas.openxmlformats.org/officeDocument/2006/relationships/hyperlink" Target="https://statiz.sporki.com/add/?m=draft_school01&amp;ps_school=50403" TargetMode="External"/><Relationship Id="rId2730" Type="http://schemas.openxmlformats.org/officeDocument/2006/relationships/hyperlink" Target="https://statiz.sporki.com/add/?m=draft_school02&amp;ps_school=60114" TargetMode="External"/><Relationship Id="rId8292" Type="http://schemas.openxmlformats.org/officeDocument/2006/relationships/hyperlink" Target="https://statiz.sporki.com/add/?m=draft_school02&amp;ps_school=60501" TargetMode="External"/><Relationship Id="rId9343" Type="http://schemas.openxmlformats.org/officeDocument/2006/relationships/hyperlink" Target="https://statiz.sporki.com/player/?m=playerinfo&amp;p_no=12964" TargetMode="External"/><Relationship Id="rId11273" Type="http://schemas.openxmlformats.org/officeDocument/2006/relationships/hyperlink" Target="https://statiz.sporki.com/add/?m=draft_school01&amp;ps_school=50125" TargetMode="External"/><Relationship Id="rId12671" Type="http://schemas.openxmlformats.org/officeDocument/2006/relationships/hyperlink" Target="https://statiz.sporki.com/player/?m=playerinfo&amp;p_no=14707" TargetMode="External"/><Relationship Id="rId13722" Type="http://schemas.openxmlformats.org/officeDocument/2006/relationships/hyperlink" Target="https://statiz.sporki.com/player/?m=playerinfo&amp;p_no=12999" TargetMode="External"/><Relationship Id="rId702" Type="http://schemas.openxmlformats.org/officeDocument/2006/relationships/hyperlink" Target="https://statiz.sporki.com/add/?m=draft_school02&amp;ps_school=60802" TargetMode="External"/><Relationship Id="rId1332" Type="http://schemas.openxmlformats.org/officeDocument/2006/relationships/hyperlink" Target="https://statiz.sporki.com/add/?m=draft_school02&amp;ps_school=" TargetMode="External"/><Relationship Id="rId12324" Type="http://schemas.openxmlformats.org/officeDocument/2006/relationships/hyperlink" Target="https://statiz.sporki.com/player/?m=playerinfo&amp;p_no=15025" TargetMode="External"/><Relationship Id="rId15894" Type="http://schemas.openxmlformats.org/officeDocument/2006/relationships/hyperlink" Target="https://statiz.sporki.com/player/?m=playerinfo&amp;p_no=1531" TargetMode="External"/><Relationship Id="rId16945" Type="http://schemas.openxmlformats.org/officeDocument/2006/relationships/hyperlink" Target="https://statiz.sporki.com/add/?m=draft_school01&amp;ps_school=50805" TargetMode="External"/><Relationship Id="rId5953" Type="http://schemas.openxmlformats.org/officeDocument/2006/relationships/hyperlink" Target="https://statiz.sporki.com/player/?m=playerinfo&amp;p_no=10287" TargetMode="External"/><Relationship Id="rId14496" Type="http://schemas.openxmlformats.org/officeDocument/2006/relationships/hyperlink" Target="https://statiz.sporki.com/player/?m=playerinfo&amp;p_no=2334" TargetMode="External"/><Relationship Id="rId15547" Type="http://schemas.openxmlformats.org/officeDocument/2006/relationships/hyperlink" Target="https://statiz.sporki.com/player/?m=playerinfo&amp;p_no=1656" TargetMode="External"/><Relationship Id="rId3157" Type="http://schemas.openxmlformats.org/officeDocument/2006/relationships/hyperlink" Target="https://statiz.sporki.com/player/?m=playerinfo&amp;p_no=12522" TargetMode="External"/><Relationship Id="rId4555" Type="http://schemas.openxmlformats.org/officeDocument/2006/relationships/hyperlink" Target="https://statiz.sporki.com/player/?m=playerinfo&amp;p_no=11073" TargetMode="External"/><Relationship Id="rId5606" Type="http://schemas.openxmlformats.org/officeDocument/2006/relationships/hyperlink" Target="https://statiz.sporki.com/add/?m=draft_school01&amp;ps_school=50805" TargetMode="External"/><Relationship Id="rId13098" Type="http://schemas.openxmlformats.org/officeDocument/2006/relationships/hyperlink" Target="https://statiz.sporki.com/player/?m=playerinfo&amp;p_no=12853" TargetMode="External"/><Relationship Id="rId14149" Type="http://schemas.openxmlformats.org/officeDocument/2006/relationships/hyperlink" Target="https://statiz.sporki.com/player/?m=playerinfo&amp;p_no=10873" TargetMode="External"/><Relationship Id="rId18020" Type="http://schemas.openxmlformats.org/officeDocument/2006/relationships/hyperlink" Target="https://statiz.sporki.com/add/?m=draft_school01&amp;ps_school=50601" TargetMode="External"/><Relationship Id="rId4208" Type="http://schemas.openxmlformats.org/officeDocument/2006/relationships/hyperlink" Target="https://statiz.sporki.com/add/?m=draft_school01&amp;ps_school=50109" TargetMode="External"/><Relationship Id="rId7778" Type="http://schemas.openxmlformats.org/officeDocument/2006/relationships/hyperlink" Target="https://statiz.sporki.com/add/?m=draft_school01&amp;ps_school=" TargetMode="External"/><Relationship Id="rId8829" Type="http://schemas.openxmlformats.org/officeDocument/2006/relationships/hyperlink" Target="https://statiz.sporki.com/add/?m=draft_school02&amp;ps_school=60103" TargetMode="External"/><Relationship Id="rId10759" Type="http://schemas.openxmlformats.org/officeDocument/2006/relationships/hyperlink" Target="https://statiz.sporki.com/player/?m=playerinfo&amp;p_no=1467" TargetMode="External"/><Relationship Id="rId14630" Type="http://schemas.openxmlformats.org/officeDocument/2006/relationships/hyperlink" Target="https://statiz.sporki.com/player/?m=playerinfo&amp;p_no=10375" TargetMode="External"/><Relationship Id="rId12181" Type="http://schemas.openxmlformats.org/officeDocument/2006/relationships/hyperlink" Target="https://statiz.sporki.com/player/?m=playerinfo&amp;p_no=15521" TargetMode="External"/><Relationship Id="rId13232" Type="http://schemas.openxmlformats.org/officeDocument/2006/relationships/hyperlink" Target="https://statiz.sporki.com/player/?m=playerinfo&amp;p_no=12576" TargetMode="External"/><Relationship Id="rId2240" Type="http://schemas.openxmlformats.org/officeDocument/2006/relationships/hyperlink" Target="https://statiz.sporki.com/add/?m=draft_school01&amp;ps_school=" TargetMode="External"/><Relationship Id="rId6861" Type="http://schemas.openxmlformats.org/officeDocument/2006/relationships/hyperlink" Target="https://statiz.sporki.com/add/?m=draft_school02&amp;ps_school=" TargetMode="External"/><Relationship Id="rId16455" Type="http://schemas.openxmlformats.org/officeDocument/2006/relationships/hyperlink" Target="https://statiz.sporki.com/add/?m=draft_school01&amp;ps_school=50602" TargetMode="External"/><Relationship Id="rId17853" Type="http://schemas.openxmlformats.org/officeDocument/2006/relationships/hyperlink" Target="https://statiz.sporki.com/add/?m=draft_school01&amp;ps_school=50501" TargetMode="External"/><Relationship Id="rId18904" Type="http://schemas.openxmlformats.org/officeDocument/2006/relationships/hyperlink" Target="https://statiz.sporki.com/add/?m=draft_school01&amp;ps_school=50805" TargetMode="External"/><Relationship Id="rId212" Type="http://schemas.openxmlformats.org/officeDocument/2006/relationships/hyperlink" Target="https://statiz.sporki.com/add/?m=draft_school01&amp;ps_school=50219" TargetMode="External"/><Relationship Id="rId5463" Type="http://schemas.openxmlformats.org/officeDocument/2006/relationships/hyperlink" Target="https://statiz.sporki.com/add/?m=draft_school02&amp;ps_school=60404" TargetMode="External"/><Relationship Id="rId6514" Type="http://schemas.openxmlformats.org/officeDocument/2006/relationships/hyperlink" Target="https://statiz.sporki.com/player/?m=playerinfo&amp;p_no=10590" TargetMode="External"/><Relationship Id="rId7912" Type="http://schemas.openxmlformats.org/officeDocument/2006/relationships/hyperlink" Target="https://statiz.sporki.com/player/?m=playerinfo&amp;p_no=2158" TargetMode="External"/><Relationship Id="rId15057" Type="http://schemas.openxmlformats.org/officeDocument/2006/relationships/hyperlink" Target="https://statiz.sporki.com/player/?m=playerinfo&amp;p_no=2222" TargetMode="External"/><Relationship Id="rId16108" Type="http://schemas.openxmlformats.org/officeDocument/2006/relationships/hyperlink" Target="https://statiz.sporki.com/player/?m=playerinfo&amp;p_no=1097" TargetMode="External"/><Relationship Id="rId17506" Type="http://schemas.openxmlformats.org/officeDocument/2006/relationships/hyperlink" Target="https://statiz.sporki.com/add/?m=draft_school01&amp;ps_school=50216" TargetMode="External"/><Relationship Id="rId4065" Type="http://schemas.openxmlformats.org/officeDocument/2006/relationships/hyperlink" Target="https://statiz.sporki.com/add/?m=draft_school02&amp;ps_school=60105" TargetMode="External"/><Relationship Id="rId5116" Type="http://schemas.openxmlformats.org/officeDocument/2006/relationships/hyperlink" Target="https://statiz.sporki.com/player/?m=playerinfo&amp;p_no=10862" TargetMode="External"/><Relationship Id="rId7288" Type="http://schemas.openxmlformats.org/officeDocument/2006/relationships/hyperlink" Target="https://statiz.sporki.com/player/?m=playerinfo&amp;p_no=10215" TargetMode="External"/><Relationship Id="rId8686" Type="http://schemas.openxmlformats.org/officeDocument/2006/relationships/hyperlink" Target="https://statiz.sporki.com/player/?m=playerinfo&amp;p_no=1978" TargetMode="External"/><Relationship Id="rId9737" Type="http://schemas.openxmlformats.org/officeDocument/2006/relationships/hyperlink" Target="https://statiz.sporki.com/add/?m=draft_school01&amp;ps_school=50401" TargetMode="External"/><Relationship Id="rId11667" Type="http://schemas.openxmlformats.org/officeDocument/2006/relationships/hyperlink" Target="https://statiz.sporki.com/add/?m=draft_school02&amp;ps_school=60101" TargetMode="External"/><Relationship Id="rId12718" Type="http://schemas.openxmlformats.org/officeDocument/2006/relationships/hyperlink" Target="https://statiz.sporki.com/player/?m=playerinfo&amp;p_no=14582" TargetMode="External"/><Relationship Id="rId1726" Type="http://schemas.openxmlformats.org/officeDocument/2006/relationships/hyperlink" Target="https://statiz.sporki.com/player/?m=playerinfo&amp;p_no=14599" TargetMode="External"/><Relationship Id="rId8339" Type="http://schemas.openxmlformats.org/officeDocument/2006/relationships/hyperlink" Target="https://statiz.sporki.com/add/?m=draft_school01&amp;ps_school=50109" TargetMode="External"/><Relationship Id="rId10269" Type="http://schemas.openxmlformats.org/officeDocument/2006/relationships/hyperlink" Target="https://statiz.sporki.com/add/?m=draft_school02&amp;ps_school=" TargetMode="External"/><Relationship Id="rId14140" Type="http://schemas.openxmlformats.org/officeDocument/2006/relationships/hyperlink" Target="https://statiz.sporki.com/player/?m=playerinfo&amp;p_no=10118" TargetMode="External"/><Relationship Id="rId18761" Type="http://schemas.openxmlformats.org/officeDocument/2006/relationships/hyperlink" Target="https://statiz.sporki.com/add/?m=draft_school01&amp;ps_school=50501" TargetMode="External"/><Relationship Id="rId3898" Type="http://schemas.openxmlformats.org/officeDocument/2006/relationships/hyperlink" Target="https://statiz.sporki.com/player/?m=playerinfo&amp;p_no=11301" TargetMode="External"/><Relationship Id="rId4949" Type="http://schemas.openxmlformats.org/officeDocument/2006/relationships/hyperlink" Target="https://statiz.sporki.com/add/?m=draft_school01&amp;ps_school=50402" TargetMode="External"/><Relationship Id="rId8820" Type="http://schemas.openxmlformats.org/officeDocument/2006/relationships/hyperlink" Target="https://statiz.sporki.com/add/?m=draft_school02&amp;ps_school=" TargetMode="External"/><Relationship Id="rId17363" Type="http://schemas.openxmlformats.org/officeDocument/2006/relationships/hyperlink" Target="https://statiz.sporki.com/add/?m=draft_school01&amp;ps_school=50108" TargetMode="External"/><Relationship Id="rId18414" Type="http://schemas.openxmlformats.org/officeDocument/2006/relationships/hyperlink" Target="https://statiz.sporki.com/add/?m=draft_school01&amp;ps_school=50115" TargetMode="External"/><Relationship Id="rId6371" Type="http://schemas.openxmlformats.org/officeDocument/2006/relationships/hyperlink" Target="https://statiz.sporki.com/add/?m=draft_school01&amp;ps_school=50601" TargetMode="External"/><Relationship Id="rId7422" Type="http://schemas.openxmlformats.org/officeDocument/2006/relationships/hyperlink" Target="https://statiz.sporki.com/add/?m=draft_school02&amp;ps_school=60104" TargetMode="External"/><Relationship Id="rId10750" Type="http://schemas.openxmlformats.org/officeDocument/2006/relationships/hyperlink" Target="https://statiz.sporki.com/player/?m=playerinfo&amp;p_no=1472" TargetMode="External"/><Relationship Id="rId11801" Type="http://schemas.openxmlformats.org/officeDocument/2006/relationships/hyperlink" Target="https://statiz.sporki.com/add/?m=draft_school01&amp;ps_school=50116" TargetMode="External"/><Relationship Id="rId17016" Type="http://schemas.openxmlformats.org/officeDocument/2006/relationships/hyperlink" Target="https://statiz.sporki.com/add/?m=draft_school01&amp;ps_school=50606" TargetMode="External"/><Relationship Id="rId6024" Type="http://schemas.openxmlformats.org/officeDocument/2006/relationships/hyperlink" Target="https://statiz.sporki.com/add/?m=draft_school02&amp;ps_school=" TargetMode="External"/><Relationship Id="rId9594" Type="http://schemas.openxmlformats.org/officeDocument/2006/relationships/hyperlink" Target="https://statiz.sporki.com/add/?m=draft_school02&amp;ps_school=60204" TargetMode="External"/><Relationship Id="rId10403" Type="http://schemas.openxmlformats.org/officeDocument/2006/relationships/hyperlink" Target="https://statiz.sporki.com/add/?m=draft_school01&amp;ps_school=50602" TargetMode="External"/><Relationship Id="rId13973" Type="http://schemas.openxmlformats.org/officeDocument/2006/relationships/hyperlink" Target="https://statiz.sporki.com/player/?m=playerinfo&amp;p_no=10220" TargetMode="External"/><Relationship Id="rId19188" Type="http://schemas.openxmlformats.org/officeDocument/2006/relationships/hyperlink" Target="https://statiz.sporki.com/add/?m=draft_school01&amp;ps_school=50602" TargetMode="External"/><Relationship Id="rId1583" Type="http://schemas.openxmlformats.org/officeDocument/2006/relationships/hyperlink" Target="https://statiz.sporki.com/add/?m=draft_school01&amp;ps_school=50218" TargetMode="External"/><Relationship Id="rId2981" Type="http://schemas.openxmlformats.org/officeDocument/2006/relationships/hyperlink" Target="https://statiz.sporki.com/add/?m=draft_school01&amp;ps_school=50207" TargetMode="External"/><Relationship Id="rId8196" Type="http://schemas.openxmlformats.org/officeDocument/2006/relationships/hyperlink" Target="https://statiz.sporki.com/add/?m=draft_school02&amp;ps_school=60203" TargetMode="External"/><Relationship Id="rId9247" Type="http://schemas.openxmlformats.org/officeDocument/2006/relationships/hyperlink" Target="https://statiz.sporki.com/player/?m=playerinfo&amp;p_no=2017" TargetMode="External"/><Relationship Id="rId12575" Type="http://schemas.openxmlformats.org/officeDocument/2006/relationships/hyperlink" Target="https://statiz.sporki.com/player/?m=playerinfo&amp;p_no=14759" TargetMode="External"/><Relationship Id="rId13626" Type="http://schemas.openxmlformats.org/officeDocument/2006/relationships/hyperlink" Target="https://statiz.sporki.com/player/?m=playerinfo&amp;p_no=11082" TargetMode="External"/><Relationship Id="rId953" Type="http://schemas.openxmlformats.org/officeDocument/2006/relationships/hyperlink" Target="https://statiz.sporki.com/add/?m=draft_school01&amp;ps_school=50701" TargetMode="External"/><Relationship Id="rId1236" Type="http://schemas.openxmlformats.org/officeDocument/2006/relationships/hyperlink" Target="https://statiz.sporki.com/add/?m=draft_school02&amp;ps_school=" TargetMode="External"/><Relationship Id="rId2634" Type="http://schemas.openxmlformats.org/officeDocument/2006/relationships/hyperlink" Target="https://statiz.sporki.com/add/?m=draft_school02&amp;ps_school=" TargetMode="External"/><Relationship Id="rId11177" Type="http://schemas.openxmlformats.org/officeDocument/2006/relationships/hyperlink" Target="https://statiz.sporki.com/add/?m=draft_school01&amp;ps_school=50604" TargetMode="External"/><Relationship Id="rId12228" Type="http://schemas.openxmlformats.org/officeDocument/2006/relationships/hyperlink" Target="https://statiz.sporki.com/player/?m=playerinfo&amp;p_no=15493" TargetMode="External"/><Relationship Id="rId15798" Type="http://schemas.openxmlformats.org/officeDocument/2006/relationships/hyperlink" Target="https://statiz.sporki.com/player/?m=playerinfo&amp;p_no=1362" TargetMode="External"/><Relationship Id="rId16849" Type="http://schemas.openxmlformats.org/officeDocument/2006/relationships/hyperlink" Target="https://statiz.sporki.com/add/?m=draft_school01&amp;ps_school=50114" TargetMode="External"/><Relationship Id="rId606" Type="http://schemas.openxmlformats.org/officeDocument/2006/relationships/hyperlink" Target="https://statiz.sporki.com/add/?m=draft_school02&amp;ps_school=60501" TargetMode="External"/><Relationship Id="rId5857" Type="http://schemas.openxmlformats.org/officeDocument/2006/relationships/hyperlink" Target="https://statiz.sporki.com/player/?m=playerinfo&amp;p_no=10399" TargetMode="External"/><Relationship Id="rId6908" Type="http://schemas.openxmlformats.org/officeDocument/2006/relationships/hyperlink" Target="https://statiz.sporki.com/add/?m=draft_school01&amp;ps_school=50601" TargetMode="External"/><Relationship Id="rId18271" Type="http://schemas.openxmlformats.org/officeDocument/2006/relationships/hyperlink" Target="https://statiz.sporki.com/add/?m=draft_school01&amp;ps_school=50601" TargetMode="External"/><Relationship Id="rId19322" Type="http://schemas.openxmlformats.org/officeDocument/2006/relationships/hyperlink" Target="https://statiz.sporki.com/add/?m=draft_school01&amp;ps_school=50121" TargetMode="External"/><Relationship Id="rId4459" Type="http://schemas.openxmlformats.org/officeDocument/2006/relationships/hyperlink" Target="https://statiz.sporki.com/player/?m=playerinfo&amp;p_no=11142" TargetMode="External"/><Relationship Id="rId8330" Type="http://schemas.openxmlformats.org/officeDocument/2006/relationships/hyperlink" Target="https://statiz.sporki.com/add/?m=draft_school01&amp;ps_school=50812" TargetMode="External"/><Relationship Id="rId10260" Type="http://schemas.openxmlformats.org/officeDocument/2006/relationships/hyperlink" Target="https://statiz.sporki.com/add/?m=draft_school02&amp;ps_school=" TargetMode="External"/><Relationship Id="rId11311" Type="http://schemas.openxmlformats.org/officeDocument/2006/relationships/hyperlink" Target="https://statiz.sporki.com/player/?m=playerinfo&amp;p_no=12994" TargetMode="External"/><Relationship Id="rId4940" Type="http://schemas.openxmlformats.org/officeDocument/2006/relationships/hyperlink" Target="https://statiz.sporki.com/add/?m=draft_school01&amp;ps_school=50807" TargetMode="External"/><Relationship Id="rId13483" Type="http://schemas.openxmlformats.org/officeDocument/2006/relationships/hyperlink" Target="https://statiz.sporki.com/player/?m=playerinfo&amp;p_no=11242" TargetMode="External"/><Relationship Id="rId14881" Type="http://schemas.openxmlformats.org/officeDocument/2006/relationships/hyperlink" Target="https://statiz.sporki.com/player/?m=playerinfo&amp;p_no=2098" TargetMode="External"/><Relationship Id="rId15932" Type="http://schemas.openxmlformats.org/officeDocument/2006/relationships/hyperlink" Target="https://statiz.sporki.com/player/?m=playerinfo&amp;p_no=11470" TargetMode="External"/><Relationship Id="rId2491" Type="http://schemas.openxmlformats.org/officeDocument/2006/relationships/hyperlink" Target="https://statiz.sporki.com/player/?m=playerinfo&amp;p_no=13151" TargetMode="External"/><Relationship Id="rId3542" Type="http://schemas.openxmlformats.org/officeDocument/2006/relationships/hyperlink" Target="https://statiz.sporki.com/add/?m=draft_school01&amp;ps_school=" TargetMode="External"/><Relationship Id="rId12085" Type="http://schemas.openxmlformats.org/officeDocument/2006/relationships/hyperlink" Target="https://statiz.sporki.com/player/?m=playerinfo&amp;p_no=1081" TargetMode="External"/><Relationship Id="rId13136" Type="http://schemas.openxmlformats.org/officeDocument/2006/relationships/hyperlink" Target="https://statiz.sporki.com/player/?m=playerinfo&amp;p_no=13229" TargetMode="External"/><Relationship Id="rId14534" Type="http://schemas.openxmlformats.org/officeDocument/2006/relationships/hyperlink" Target="https://statiz.sporki.com/player/?m=playerinfo&amp;p_no=2305" TargetMode="External"/><Relationship Id="rId463" Type="http://schemas.openxmlformats.org/officeDocument/2006/relationships/hyperlink" Target="https://statiz.sporki.com/player/?m=playerinfo&amp;p_no=15629" TargetMode="External"/><Relationship Id="rId1093" Type="http://schemas.openxmlformats.org/officeDocument/2006/relationships/hyperlink" Target="https://statiz.sporki.com/player/?m=playerinfo&amp;p_no=14794" TargetMode="External"/><Relationship Id="rId2144" Type="http://schemas.openxmlformats.org/officeDocument/2006/relationships/hyperlink" Target="https://statiz.sporki.com/add/?m=draft_school01&amp;ps_school=50403" TargetMode="External"/><Relationship Id="rId17757" Type="http://schemas.openxmlformats.org/officeDocument/2006/relationships/hyperlink" Target="https://statiz.sporki.com/add/?m=draft_school01&amp;ps_school=50601" TargetMode="External"/><Relationship Id="rId18808" Type="http://schemas.openxmlformats.org/officeDocument/2006/relationships/hyperlink" Target="https://statiz.sporki.com/add/?m=draft_school01&amp;ps_school=50701" TargetMode="External"/><Relationship Id="rId116" Type="http://schemas.openxmlformats.org/officeDocument/2006/relationships/hyperlink" Target="https://statiz.sporki.com/add/?m=draft_school01&amp;ps_school=50102" TargetMode="External"/><Relationship Id="rId5367" Type="http://schemas.openxmlformats.org/officeDocument/2006/relationships/hyperlink" Target="https://statiz.sporki.com/add/?m=draft_school02&amp;ps_school=" TargetMode="External"/><Relationship Id="rId6765" Type="http://schemas.openxmlformats.org/officeDocument/2006/relationships/hyperlink" Target="https://statiz.sporki.com/add/?m=draft_school02&amp;ps_school=60203" TargetMode="External"/><Relationship Id="rId7816" Type="http://schemas.openxmlformats.org/officeDocument/2006/relationships/hyperlink" Target="https://statiz.sporki.com/player/?m=playerinfo&amp;p_no=10362" TargetMode="External"/><Relationship Id="rId16359" Type="http://schemas.openxmlformats.org/officeDocument/2006/relationships/hyperlink" Target="https://statiz.sporki.com/add/?m=draft_school01&amp;ps_school=50901" TargetMode="External"/><Relationship Id="rId6418" Type="http://schemas.openxmlformats.org/officeDocument/2006/relationships/hyperlink" Target="https://statiz.sporki.com/player/?m=playerinfo&amp;p_no=11090" TargetMode="External"/><Relationship Id="rId9988" Type="http://schemas.openxmlformats.org/officeDocument/2006/relationships/hyperlink" Target="https://statiz.sporki.com/player/?m=playerinfo&amp;p_no=1838" TargetMode="External"/><Relationship Id="rId12969" Type="http://schemas.openxmlformats.org/officeDocument/2006/relationships/hyperlink" Target="https://statiz.sporki.com/player/?m=playerinfo&amp;p_no=13130" TargetMode="External"/><Relationship Id="rId16840" Type="http://schemas.openxmlformats.org/officeDocument/2006/relationships/hyperlink" Target="https://statiz.sporki.com/add/?m=draft_school01&amp;ps_school=50111" TargetMode="External"/><Relationship Id="rId1977" Type="http://schemas.openxmlformats.org/officeDocument/2006/relationships/hyperlink" Target="https://statiz.sporki.com/add/?m=draft_school02&amp;ps_school=" TargetMode="External"/><Relationship Id="rId14391" Type="http://schemas.openxmlformats.org/officeDocument/2006/relationships/hyperlink" Target="https://statiz.sporki.com/player/?m=playerinfo&amp;p_no=10067" TargetMode="External"/><Relationship Id="rId15442" Type="http://schemas.openxmlformats.org/officeDocument/2006/relationships/hyperlink" Target="https://statiz.sporki.com/player/?m=playerinfo&amp;p_no=1753" TargetMode="External"/><Relationship Id="rId4450" Type="http://schemas.openxmlformats.org/officeDocument/2006/relationships/hyperlink" Target="https://statiz.sporki.com/player/?m=playerinfo&amp;p_no=11069" TargetMode="External"/><Relationship Id="rId5501" Type="http://schemas.openxmlformats.org/officeDocument/2006/relationships/hyperlink" Target="https://statiz.sporki.com/add/?m=draft_school01&amp;ps_school=50901" TargetMode="External"/><Relationship Id="rId14044" Type="http://schemas.openxmlformats.org/officeDocument/2006/relationships/hyperlink" Target="https://statiz.sporki.com/player/?m=playerinfo&amp;p_no=10703" TargetMode="External"/><Relationship Id="rId18665" Type="http://schemas.openxmlformats.org/officeDocument/2006/relationships/hyperlink" Target="https://statiz.sporki.com/add/?m=draft_school01&amp;ps_school=50703" TargetMode="External"/><Relationship Id="rId3052" Type="http://schemas.openxmlformats.org/officeDocument/2006/relationships/hyperlink" Target="https://statiz.sporki.com/player/?m=playerinfo&amp;p_no=12950" TargetMode="External"/><Relationship Id="rId4103" Type="http://schemas.openxmlformats.org/officeDocument/2006/relationships/hyperlink" Target="https://statiz.sporki.com/add/?m=draft_school01&amp;ps_school=50103" TargetMode="External"/><Relationship Id="rId7673" Type="http://schemas.openxmlformats.org/officeDocument/2006/relationships/hyperlink" Target="https://statiz.sporki.com/add/?m=draft_school01&amp;ps_school=50110" TargetMode="External"/><Relationship Id="rId8724" Type="http://schemas.openxmlformats.org/officeDocument/2006/relationships/hyperlink" Target="https://statiz.sporki.com/add/?m=draft_school02&amp;ps_school=60204" TargetMode="External"/><Relationship Id="rId17267" Type="http://schemas.openxmlformats.org/officeDocument/2006/relationships/hyperlink" Target="https://statiz.sporki.com/add/?m=draft_school01&amp;ps_school=50301" TargetMode="External"/><Relationship Id="rId18318" Type="http://schemas.openxmlformats.org/officeDocument/2006/relationships/hyperlink" Target="https://statiz.sporki.com/add/?m=draft_school01&amp;ps_school=50403" TargetMode="External"/><Relationship Id="rId6275" Type="http://schemas.openxmlformats.org/officeDocument/2006/relationships/hyperlink" Target="https://statiz.sporki.com/add/?m=draft_school01&amp;ps_school=50208" TargetMode="External"/><Relationship Id="rId7326" Type="http://schemas.openxmlformats.org/officeDocument/2006/relationships/hyperlink" Target="https://statiz.sporki.com/add/?m=draft_school02&amp;ps_school=" TargetMode="External"/><Relationship Id="rId10654" Type="http://schemas.openxmlformats.org/officeDocument/2006/relationships/hyperlink" Target="https://statiz.sporki.com/player/?m=playerinfo&amp;p_no=11428" TargetMode="External"/><Relationship Id="rId11705" Type="http://schemas.openxmlformats.org/officeDocument/2006/relationships/hyperlink" Target="https://statiz.sporki.com/add/?m=draft_school01&amp;ps_school=50101" TargetMode="External"/><Relationship Id="rId9498" Type="http://schemas.openxmlformats.org/officeDocument/2006/relationships/hyperlink" Target="https://statiz.sporki.com/add/?m=draft_school02&amp;ps_school=" TargetMode="External"/><Relationship Id="rId10307" Type="http://schemas.openxmlformats.org/officeDocument/2006/relationships/hyperlink" Target="https://statiz.sporki.com/add/?m=draft_school01&amp;ps_school=50209" TargetMode="External"/><Relationship Id="rId13877" Type="http://schemas.openxmlformats.org/officeDocument/2006/relationships/hyperlink" Target="https://statiz.sporki.com/player/?m=playerinfo&amp;p_no=10659" TargetMode="External"/><Relationship Id="rId14928" Type="http://schemas.openxmlformats.org/officeDocument/2006/relationships/hyperlink" Target="https://statiz.sporki.com/player/?m=playerinfo&amp;p_no=2056" TargetMode="External"/><Relationship Id="rId2885" Type="http://schemas.openxmlformats.org/officeDocument/2006/relationships/hyperlink" Target="https://statiz.sporki.com/add/?m=draft_school01&amp;ps_school=50706" TargetMode="External"/><Relationship Id="rId3936" Type="http://schemas.openxmlformats.org/officeDocument/2006/relationships/hyperlink" Target="https://statiz.sporki.com/add/?m=draft_school02&amp;ps_school=" TargetMode="External"/><Relationship Id="rId12479" Type="http://schemas.openxmlformats.org/officeDocument/2006/relationships/hyperlink" Target="https://statiz.sporki.com/player/?m=playerinfo&amp;p_no=14808" TargetMode="External"/><Relationship Id="rId16350" Type="http://schemas.openxmlformats.org/officeDocument/2006/relationships/hyperlink" Target="https://statiz.sporki.com/add/?m=draft_school01&amp;ps_school=51001" TargetMode="External"/><Relationship Id="rId17401" Type="http://schemas.openxmlformats.org/officeDocument/2006/relationships/hyperlink" Target="https://statiz.sporki.com/add/?m=draft_school01&amp;ps_school=50802" TargetMode="External"/><Relationship Id="rId857" Type="http://schemas.openxmlformats.org/officeDocument/2006/relationships/hyperlink" Target="https://statiz.sporki.com/add/?m=draft_school01&amp;ps_school=" TargetMode="External"/><Relationship Id="rId1487" Type="http://schemas.openxmlformats.org/officeDocument/2006/relationships/hyperlink" Target="https://statiz.sporki.com/add/?m=draft_school01&amp;ps_school=50801" TargetMode="External"/><Relationship Id="rId2538" Type="http://schemas.openxmlformats.org/officeDocument/2006/relationships/hyperlink" Target="https://statiz.sporki.com/add/?m=draft_school02&amp;ps_school=" TargetMode="External"/><Relationship Id="rId16003" Type="http://schemas.openxmlformats.org/officeDocument/2006/relationships/hyperlink" Target="https://statiz.sporki.com/player/?m=playerinfo&amp;p_no=1143" TargetMode="External"/><Relationship Id="rId19573" Type="http://schemas.openxmlformats.org/officeDocument/2006/relationships/hyperlink" Target="https://statiz.sporki.com/add/?m=draft_school01&amp;ps_school=50109" TargetMode="External"/><Relationship Id="rId5011" Type="http://schemas.openxmlformats.org/officeDocument/2006/relationships/hyperlink" Target="https://statiz.sporki.com/player/?m=playerinfo&amp;p_no=10907" TargetMode="External"/><Relationship Id="rId8581" Type="http://schemas.openxmlformats.org/officeDocument/2006/relationships/hyperlink" Target="https://statiz.sporki.com/player/?m=playerinfo&amp;p_no=10046" TargetMode="External"/><Relationship Id="rId9632" Type="http://schemas.openxmlformats.org/officeDocument/2006/relationships/hyperlink" Target="https://statiz.sporki.com/add/?m=draft_school01&amp;ps_school=50701" TargetMode="External"/><Relationship Id="rId11562" Type="http://schemas.openxmlformats.org/officeDocument/2006/relationships/hyperlink" Target="https://statiz.sporki.com/add/?m=draft_school02&amp;ps_school=60111" TargetMode="External"/><Relationship Id="rId12960" Type="http://schemas.openxmlformats.org/officeDocument/2006/relationships/hyperlink" Target="https://statiz.sporki.com/player/?m=playerinfo&amp;p_no=13096" TargetMode="External"/><Relationship Id="rId18175" Type="http://schemas.openxmlformats.org/officeDocument/2006/relationships/hyperlink" Target="https://statiz.sporki.com/add/?m=draft_school01&amp;ps_school=50805" TargetMode="External"/><Relationship Id="rId19226" Type="http://schemas.openxmlformats.org/officeDocument/2006/relationships/hyperlink" Target="https://statiz.sporki.com/add/?m=draft_school01&amp;ps_school=50116" TargetMode="External"/><Relationship Id="rId1621" Type="http://schemas.openxmlformats.org/officeDocument/2006/relationships/hyperlink" Target="https://statiz.sporki.com/player/?m=playerinfo&amp;p_no=14644" TargetMode="External"/><Relationship Id="rId7183" Type="http://schemas.openxmlformats.org/officeDocument/2006/relationships/hyperlink" Target="https://statiz.sporki.com/player/?m=playerinfo&amp;p_no=10576" TargetMode="External"/><Relationship Id="rId8234" Type="http://schemas.openxmlformats.org/officeDocument/2006/relationships/hyperlink" Target="https://statiz.sporki.com/add/?m=draft_school01&amp;ps_school=50301" TargetMode="External"/><Relationship Id="rId10164" Type="http://schemas.openxmlformats.org/officeDocument/2006/relationships/hyperlink" Target="https://statiz.sporki.com/add/?m=draft_school02&amp;ps_school=" TargetMode="External"/><Relationship Id="rId11215" Type="http://schemas.openxmlformats.org/officeDocument/2006/relationships/hyperlink" Target="https://statiz.sporki.com/player/?m=playerinfo&amp;p_no=1296" TargetMode="External"/><Relationship Id="rId12613" Type="http://schemas.openxmlformats.org/officeDocument/2006/relationships/hyperlink" Target="https://statiz.sporki.com/player/?m=playerinfo&amp;p_no=14603" TargetMode="External"/><Relationship Id="rId3793" Type="http://schemas.openxmlformats.org/officeDocument/2006/relationships/hyperlink" Target="https://statiz.sporki.com/player/?m=playerinfo&amp;p_no=11297" TargetMode="External"/><Relationship Id="rId14785" Type="http://schemas.openxmlformats.org/officeDocument/2006/relationships/hyperlink" Target="https://statiz.sporki.com/player/?m=playerinfo&amp;p_no=2360" TargetMode="External"/><Relationship Id="rId15836" Type="http://schemas.openxmlformats.org/officeDocument/2006/relationships/hyperlink" Target="https://statiz.sporki.com/player/?m=playerinfo&amp;p_no=1291" TargetMode="External"/><Relationship Id="rId2395" Type="http://schemas.openxmlformats.org/officeDocument/2006/relationships/hyperlink" Target="https://statiz.sporki.com/player/?m=playerinfo&amp;p_no=13094" TargetMode="External"/><Relationship Id="rId3446" Type="http://schemas.openxmlformats.org/officeDocument/2006/relationships/hyperlink" Target="https://statiz.sporki.com/add/?m=draft_school01&amp;ps_school=50105" TargetMode="External"/><Relationship Id="rId4844" Type="http://schemas.openxmlformats.org/officeDocument/2006/relationships/hyperlink" Target="https://statiz.sporki.com/add/?m=draft_school01&amp;ps_school=50706" TargetMode="External"/><Relationship Id="rId13387" Type="http://schemas.openxmlformats.org/officeDocument/2006/relationships/hyperlink" Target="https://statiz.sporki.com/player/?m=playerinfo&amp;p_no=11414" TargetMode="External"/><Relationship Id="rId14438" Type="http://schemas.openxmlformats.org/officeDocument/2006/relationships/hyperlink" Target="https://statiz.sporki.com/player/?m=playerinfo&amp;p_no=2365" TargetMode="External"/><Relationship Id="rId367" Type="http://schemas.openxmlformats.org/officeDocument/2006/relationships/hyperlink" Target="https://statiz.sporki.com/player/?m=playerinfo&amp;p_no=15538" TargetMode="External"/><Relationship Id="rId2048" Type="http://schemas.openxmlformats.org/officeDocument/2006/relationships/hyperlink" Target="https://statiz.sporki.com/add/?m=draft_school01&amp;ps_school=50710" TargetMode="External"/><Relationship Id="rId6669" Type="http://schemas.openxmlformats.org/officeDocument/2006/relationships/hyperlink" Target="https://statiz.sporki.com/add/?m=draft_school02&amp;ps_school=60114" TargetMode="External"/><Relationship Id="rId8091" Type="http://schemas.openxmlformats.org/officeDocument/2006/relationships/hyperlink" Target="https://statiz.sporki.com/add/?m=draft_school02&amp;ps_school=60111" TargetMode="External"/><Relationship Id="rId12470" Type="http://schemas.openxmlformats.org/officeDocument/2006/relationships/hyperlink" Target="https://statiz.sporki.com/player/?m=playerinfo&amp;p_no=14786" TargetMode="External"/><Relationship Id="rId13521" Type="http://schemas.openxmlformats.org/officeDocument/2006/relationships/hyperlink" Target="https://statiz.sporki.com/player/?m=playerinfo&amp;p_no=11231" TargetMode="External"/><Relationship Id="rId19083" Type="http://schemas.openxmlformats.org/officeDocument/2006/relationships/hyperlink" Target="https://statiz.sporki.com/add/?m=draft_school01&amp;ps_school=50901" TargetMode="External"/><Relationship Id="rId9142" Type="http://schemas.openxmlformats.org/officeDocument/2006/relationships/hyperlink" Target="https://statiz.sporki.com/player/?m=playerinfo&amp;p_no=2038" TargetMode="External"/><Relationship Id="rId11072" Type="http://schemas.openxmlformats.org/officeDocument/2006/relationships/hyperlink" Target="https://statiz.sporki.com/add/?m=draft_school01&amp;ps_school=50110" TargetMode="External"/><Relationship Id="rId12123" Type="http://schemas.openxmlformats.org/officeDocument/2006/relationships/hyperlink" Target="https://statiz.sporki.com/add/?m=draft_school02&amp;ps_school=60109" TargetMode="External"/><Relationship Id="rId15693" Type="http://schemas.openxmlformats.org/officeDocument/2006/relationships/hyperlink" Target="https://statiz.sporki.com/player/?m=playerinfo&amp;p_no=11428" TargetMode="External"/><Relationship Id="rId16744" Type="http://schemas.openxmlformats.org/officeDocument/2006/relationships/hyperlink" Target="https://statiz.sporki.com/add/?m=draft_school01&amp;ps_school=50103" TargetMode="External"/><Relationship Id="rId501" Type="http://schemas.openxmlformats.org/officeDocument/2006/relationships/hyperlink" Target="https://statiz.sporki.com/add/?m=draft_school02&amp;ps_school=60108" TargetMode="External"/><Relationship Id="rId1131" Type="http://schemas.openxmlformats.org/officeDocument/2006/relationships/hyperlink" Target="https://statiz.sporki.com/add/?m=draft_school02&amp;ps_school=" TargetMode="External"/><Relationship Id="rId5752" Type="http://schemas.openxmlformats.org/officeDocument/2006/relationships/hyperlink" Target="https://statiz.sporki.com/player/?m=playerinfo&amp;p_no=10554" TargetMode="External"/><Relationship Id="rId6803" Type="http://schemas.openxmlformats.org/officeDocument/2006/relationships/hyperlink" Target="https://statiz.sporki.com/add/?m=draft_school01&amp;ps_school=50108" TargetMode="External"/><Relationship Id="rId14295" Type="http://schemas.openxmlformats.org/officeDocument/2006/relationships/hyperlink" Target="https://statiz.sporki.com/player/?m=playerinfo&amp;p_no=2408" TargetMode="External"/><Relationship Id="rId15346" Type="http://schemas.openxmlformats.org/officeDocument/2006/relationships/hyperlink" Target="https://statiz.sporki.com/player/?m=playerinfo&amp;p_no=1722" TargetMode="External"/><Relationship Id="rId4354" Type="http://schemas.openxmlformats.org/officeDocument/2006/relationships/hyperlink" Target="https://statiz.sporki.com/player/?m=playerinfo&amp;p_no=11201" TargetMode="External"/><Relationship Id="rId5405" Type="http://schemas.openxmlformats.org/officeDocument/2006/relationships/hyperlink" Target="https://statiz.sporki.com/add/?m=draft_school01&amp;ps_school=" TargetMode="External"/><Relationship Id="rId4007" Type="http://schemas.openxmlformats.org/officeDocument/2006/relationships/hyperlink" Target="https://statiz.sporki.com/add/?m=draft_school01&amp;ps_school=50109" TargetMode="External"/><Relationship Id="rId7577" Type="http://schemas.openxmlformats.org/officeDocument/2006/relationships/hyperlink" Target="https://statiz.sporki.com/add/?m=draft_school01&amp;ps_school=50108" TargetMode="External"/><Relationship Id="rId8975" Type="http://schemas.openxmlformats.org/officeDocument/2006/relationships/hyperlink" Target="https://statiz.sporki.com/add/?m=draft_school01&amp;ps_school=50105" TargetMode="External"/><Relationship Id="rId11956" Type="http://schemas.openxmlformats.org/officeDocument/2006/relationships/hyperlink" Target="https://statiz.sporki.com/player/?m=playerinfo&amp;p_no=1018" TargetMode="External"/><Relationship Id="rId18569" Type="http://schemas.openxmlformats.org/officeDocument/2006/relationships/hyperlink" Target="https://statiz.sporki.com/add/?m=draft_school01&amp;ps_school=50703" TargetMode="External"/><Relationship Id="rId6179" Type="http://schemas.openxmlformats.org/officeDocument/2006/relationships/hyperlink" Target="https://statiz.sporki.com/add/?m=draft_school01&amp;ps_school=" TargetMode="External"/><Relationship Id="rId8628" Type="http://schemas.openxmlformats.org/officeDocument/2006/relationships/hyperlink" Target="https://statiz.sporki.com/add/?m=draft_school02&amp;ps_school=60113" TargetMode="External"/><Relationship Id="rId10558" Type="http://schemas.openxmlformats.org/officeDocument/2006/relationships/hyperlink" Target="https://statiz.sporki.com/player/?m=playerinfo&amp;p_no=1491" TargetMode="External"/><Relationship Id="rId11609" Type="http://schemas.openxmlformats.org/officeDocument/2006/relationships/hyperlink" Target="https://statiz.sporki.com/add/?m=draft_school01&amp;ps_school=50802" TargetMode="External"/><Relationship Id="rId13031" Type="http://schemas.openxmlformats.org/officeDocument/2006/relationships/hyperlink" Target="https://statiz.sporki.com/player/?m=playerinfo&amp;p_no=14194" TargetMode="External"/><Relationship Id="rId17652" Type="http://schemas.openxmlformats.org/officeDocument/2006/relationships/hyperlink" Target="https://statiz.sporki.com/add/?m=draft_school01&amp;ps_school=50602" TargetMode="External"/><Relationship Id="rId18703" Type="http://schemas.openxmlformats.org/officeDocument/2006/relationships/hyperlink" Target="https://statiz.sporki.com/add/?m=draft_school01&amp;ps_school=50209" TargetMode="External"/><Relationship Id="rId2789" Type="http://schemas.openxmlformats.org/officeDocument/2006/relationships/hyperlink" Target="https://statiz.sporki.com/add/?m=draft_school01&amp;ps_school=50210" TargetMode="External"/><Relationship Id="rId6660" Type="http://schemas.openxmlformats.org/officeDocument/2006/relationships/hyperlink" Target="https://statiz.sporki.com/add/?m=draft_school02&amp;ps_school=" TargetMode="External"/><Relationship Id="rId7711" Type="http://schemas.openxmlformats.org/officeDocument/2006/relationships/hyperlink" Target="https://statiz.sporki.com/player/?m=playerinfo&amp;p_no=2198" TargetMode="External"/><Relationship Id="rId16254" Type="http://schemas.openxmlformats.org/officeDocument/2006/relationships/hyperlink" Target="https://statiz.sporki.com/add/?m=draft_school01&amp;ps_school=50402" TargetMode="External"/><Relationship Id="rId17305" Type="http://schemas.openxmlformats.org/officeDocument/2006/relationships/hyperlink" Target="https://statiz.sporki.com/add/?m=draft_school01&amp;ps_school=50103" TargetMode="External"/><Relationship Id="rId5262" Type="http://schemas.openxmlformats.org/officeDocument/2006/relationships/hyperlink" Target="https://statiz.sporki.com/add/?m=draft_school02&amp;ps_school=" TargetMode="External"/><Relationship Id="rId6313" Type="http://schemas.openxmlformats.org/officeDocument/2006/relationships/hyperlink" Target="https://statiz.sporki.com/player/?m=playerinfo&amp;p_no=10058" TargetMode="External"/><Relationship Id="rId9883" Type="http://schemas.openxmlformats.org/officeDocument/2006/relationships/hyperlink" Target="https://statiz.sporki.com/player/?m=playerinfo&amp;p_no=1694" TargetMode="External"/><Relationship Id="rId19477" Type="http://schemas.openxmlformats.org/officeDocument/2006/relationships/hyperlink" Target="https://statiz.sporki.com/add/?m=draft_school01&amp;ps_school=50701" TargetMode="External"/><Relationship Id="rId97" Type="http://schemas.openxmlformats.org/officeDocument/2006/relationships/hyperlink" Target="https://statiz.sporki.com/player/?m=playerinfo&amp;p_no=15442" TargetMode="External"/><Relationship Id="rId1872" Type="http://schemas.openxmlformats.org/officeDocument/2006/relationships/hyperlink" Target="https://statiz.sporki.com/add/?m=draft_school02&amp;ps_school=" TargetMode="External"/><Relationship Id="rId8485" Type="http://schemas.openxmlformats.org/officeDocument/2006/relationships/hyperlink" Target="https://statiz.sporki.com/player/?m=playerinfo&amp;p_no=2239" TargetMode="External"/><Relationship Id="rId9536" Type="http://schemas.openxmlformats.org/officeDocument/2006/relationships/hyperlink" Target="https://statiz.sporki.com/add/?m=draft_school01&amp;ps_school=50701" TargetMode="External"/><Relationship Id="rId12864" Type="http://schemas.openxmlformats.org/officeDocument/2006/relationships/hyperlink" Target="https://statiz.sporki.com/player/?m=playerinfo&amp;p_no=14129" TargetMode="External"/><Relationship Id="rId13915" Type="http://schemas.openxmlformats.org/officeDocument/2006/relationships/hyperlink" Target="https://statiz.sporki.com/player/?m=playerinfo&amp;p_no=10734" TargetMode="External"/><Relationship Id="rId18079" Type="http://schemas.openxmlformats.org/officeDocument/2006/relationships/hyperlink" Target="https://statiz.sporki.com/add/?m=draft_school01&amp;ps_school=50605" TargetMode="External"/><Relationship Id="rId1525" Type="http://schemas.openxmlformats.org/officeDocument/2006/relationships/hyperlink" Target="https://statiz.sporki.com/player/?m=playerinfo&amp;p_no=14577" TargetMode="External"/><Relationship Id="rId2923" Type="http://schemas.openxmlformats.org/officeDocument/2006/relationships/hyperlink" Target="https://statiz.sporki.com/player/?m=playerinfo&amp;p_no=13006" TargetMode="External"/><Relationship Id="rId7087" Type="http://schemas.openxmlformats.org/officeDocument/2006/relationships/hyperlink" Target="https://statiz.sporki.com/player/?m=playerinfo&amp;p_no=2367" TargetMode="External"/><Relationship Id="rId8138" Type="http://schemas.openxmlformats.org/officeDocument/2006/relationships/hyperlink" Target="https://statiz.sporki.com/add/?m=draft_school01&amp;ps_school=50209" TargetMode="External"/><Relationship Id="rId10068" Type="http://schemas.openxmlformats.org/officeDocument/2006/relationships/hyperlink" Target="https://statiz.sporki.com/add/?m=draft_school02&amp;ps_school=60104" TargetMode="External"/><Relationship Id="rId11466" Type="http://schemas.openxmlformats.org/officeDocument/2006/relationships/hyperlink" Target="https://statiz.sporki.com/add/?m=draft_school02&amp;ps_school=60803" TargetMode="External"/><Relationship Id="rId12517" Type="http://schemas.openxmlformats.org/officeDocument/2006/relationships/hyperlink" Target="https://statiz.sporki.com/player/?m=playerinfo&amp;p_no=14863" TargetMode="External"/><Relationship Id="rId11119" Type="http://schemas.openxmlformats.org/officeDocument/2006/relationships/hyperlink" Target="https://statiz.sporki.com/player/?m=playerinfo&amp;p_no=1298" TargetMode="External"/><Relationship Id="rId14689" Type="http://schemas.openxmlformats.org/officeDocument/2006/relationships/hyperlink" Target="https://statiz.sporki.com/player/?m=playerinfo&amp;p_no=10243" TargetMode="External"/><Relationship Id="rId18560" Type="http://schemas.openxmlformats.org/officeDocument/2006/relationships/hyperlink" Target="https://statiz.sporki.com/add/?m=draft_school01&amp;ps_school=50105" TargetMode="External"/><Relationship Id="rId19611" Type="http://schemas.openxmlformats.org/officeDocument/2006/relationships/hyperlink" Target="https://statiz.sporki.com/add/?m=draft_school01&amp;ps_school=50209" TargetMode="External"/><Relationship Id="rId2299" Type="http://schemas.openxmlformats.org/officeDocument/2006/relationships/hyperlink" Target="https://statiz.sporki.com/player/?m=playerinfo&amp;p_no=13080" TargetMode="External"/><Relationship Id="rId3697" Type="http://schemas.openxmlformats.org/officeDocument/2006/relationships/hyperlink" Target="https://statiz.sporki.com/player/?m=playerinfo&amp;p_no=12970" TargetMode="External"/><Relationship Id="rId4748" Type="http://schemas.openxmlformats.org/officeDocument/2006/relationships/hyperlink" Target="https://statiz.sporki.com/add/?m=draft_school01&amp;ps_school=50901" TargetMode="External"/><Relationship Id="rId11600" Type="http://schemas.openxmlformats.org/officeDocument/2006/relationships/hyperlink" Target="https://statiz.sporki.com/add/?m=draft_school01&amp;ps_school=50807" TargetMode="External"/><Relationship Id="rId17162" Type="http://schemas.openxmlformats.org/officeDocument/2006/relationships/hyperlink" Target="https://statiz.sporki.com/add/?m=draft_school01&amp;ps_school=50901" TargetMode="External"/><Relationship Id="rId18213" Type="http://schemas.openxmlformats.org/officeDocument/2006/relationships/hyperlink" Target="https://statiz.sporki.com/add/?m=draft_school01&amp;ps_school=50108" TargetMode="External"/><Relationship Id="rId6170" Type="http://schemas.openxmlformats.org/officeDocument/2006/relationships/hyperlink" Target="https://statiz.sporki.com/add/?m=draft_school01&amp;ps_school=" TargetMode="External"/><Relationship Id="rId7221" Type="http://schemas.openxmlformats.org/officeDocument/2006/relationships/hyperlink" Target="https://statiz.sporki.com/add/?m=draft_school02&amp;ps_school=60109" TargetMode="External"/><Relationship Id="rId10202" Type="http://schemas.openxmlformats.org/officeDocument/2006/relationships/hyperlink" Target="https://statiz.sporki.com/add/?m=draft_school01&amp;ps_school=50108" TargetMode="External"/><Relationship Id="rId13772" Type="http://schemas.openxmlformats.org/officeDocument/2006/relationships/hyperlink" Target="https://statiz.sporki.com/player/?m=playerinfo&amp;p_no=11357" TargetMode="External"/><Relationship Id="rId2780" Type="http://schemas.openxmlformats.org/officeDocument/2006/relationships/hyperlink" Target="https://statiz.sporki.com/add/?m=draft_school01&amp;ps_school=50605" TargetMode="External"/><Relationship Id="rId3831" Type="http://schemas.openxmlformats.org/officeDocument/2006/relationships/hyperlink" Target="https://statiz.sporki.com/add/?m=draft_school02&amp;ps_school=" TargetMode="External"/><Relationship Id="rId9393" Type="http://schemas.openxmlformats.org/officeDocument/2006/relationships/hyperlink" Target="https://statiz.sporki.com/add/?m=draft_school02&amp;ps_school=60109" TargetMode="External"/><Relationship Id="rId12374" Type="http://schemas.openxmlformats.org/officeDocument/2006/relationships/hyperlink" Target="https://statiz.sporki.com/player/?m=playerinfo&amp;p_no=15030" TargetMode="External"/><Relationship Id="rId13425" Type="http://schemas.openxmlformats.org/officeDocument/2006/relationships/hyperlink" Target="https://statiz.sporki.com/player/?m=playerinfo&amp;p_no=13190" TargetMode="External"/><Relationship Id="rId14823" Type="http://schemas.openxmlformats.org/officeDocument/2006/relationships/hyperlink" Target="https://statiz.sporki.com/player/?m=playerinfo&amp;p_no=10492" TargetMode="External"/><Relationship Id="rId752" Type="http://schemas.openxmlformats.org/officeDocument/2006/relationships/hyperlink" Target="https://statiz.sporki.com/add/?m=draft_school01&amp;ps_school=50108" TargetMode="External"/><Relationship Id="rId1382" Type="http://schemas.openxmlformats.org/officeDocument/2006/relationships/hyperlink" Target="https://statiz.sporki.com/add/?m=draft_school01&amp;ps_school=50602" TargetMode="External"/><Relationship Id="rId2433" Type="http://schemas.openxmlformats.org/officeDocument/2006/relationships/hyperlink" Target="https://statiz.sporki.com/add/?m=draft_school02&amp;ps_school=60109" TargetMode="External"/><Relationship Id="rId9046" Type="http://schemas.openxmlformats.org/officeDocument/2006/relationships/hyperlink" Target="https://statiz.sporki.com/player/?m=playerinfo&amp;p_no=2057" TargetMode="External"/><Relationship Id="rId12027" Type="http://schemas.openxmlformats.org/officeDocument/2006/relationships/hyperlink" Target="https://statiz.sporki.com/add/?m=draft_school02&amp;ps_school=60113" TargetMode="External"/><Relationship Id="rId16995" Type="http://schemas.openxmlformats.org/officeDocument/2006/relationships/hyperlink" Target="https://statiz.sporki.com/add/?m=draft_school01&amp;ps_school=50809" TargetMode="External"/><Relationship Id="rId405" Type="http://schemas.openxmlformats.org/officeDocument/2006/relationships/hyperlink" Target="https://statiz.sporki.com/add/?m=draft_school02&amp;ps_school=60101" TargetMode="External"/><Relationship Id="rId1035" Type="http://schemas.openxmlformats.org/officeDocument/2006/relationships/hyperlink" Target="https://statiz.sporki.com/add/?m=draft_school02&amp;ps_school=" TargetMode="External"/><Relationship Id="rId5656" Type="http://schemas.openxmlformats.org/officeDocument/2006/relationships/hyperlink" Target="https://statiz.sporki.com/player/?m=playerinfo&amp;p_no=2436" TargetMode="External"/><Relationship Id="rId14199" Type="http://schemas.openxmlformats.org/officeDocument/2006/relationships/hyperlink" Target="https://statiz.sporki.com/player/?m=playerinfo&amp;p_no=2428" TargetMode="External"/><Relationship Id="rId15597" Type="http://schemas.openxmlformats.org/officeDocument/2006/relationships/hyperlink" Target="https://statiz.sporki.com/player/?m=playerinfo&amp;p_no=1514" TargetMode="External"/><Relationship Id="rId16648" Type="http://schemas.openxmlformats.org/officeDocument/2006/relationships/hyperlink" Target="https://statiz.sporki.com/add/?m=draft_school01&amp;ps_school=50803" TargetMode="External"/><Relationship Id="rId18070" Type="http://schemas.openxmlformats.org/officeDocument/2006/relationships/hyperlink" Target="https://statiz.sporki.com/add/?m=draft_school01&amp;ps_school=50104" TargetMode="External"/><Relationship Id="rId4258" Type="http://schemas.openxmlformats.org/officeDocument/2006/relationships/hyperlink" Target="https://statiz.sporki.com/player/?m=playerinfo&amp;p_no=14697" TargetMode="External"/><Relationship Id="rId5309" Type="http://schemas.openxmlformats.org/officeDocument/2006/relationships/hyperlink" Target="https://statiz.sporki.com/add/?m=draft_school01&amp;ps_school=50702" TargetMode="External"/><Relationship Id="rId6707" Type="http://schemas.openxmlformats.org/officeDocument/2006/relationships/hyperlink" Target="https://statiz.sporki.com/add/?m=draft_school01&amp;ps_school=50701" TargetMode="External"/><Relationship Id="rId19121" Type="http://schemas.openxmlformats.org/officeDocument/2006/relationships/hyperlink" Target="https://statiz.sporki.com/add/?m=draft_school01&amp;ps_school=50807" TargetMode="External"/><Relationship Id="rId8879" Type="http://schemas.openxmlformats.org/officeDocument/2006/relationships/hyperlink" Target="https://statiz.sporki.com/add/?m=draft_school01&amp;ps_school=50112" TargetMode="External"/><Relationship Id="rId11110" Type="http://schemas.openxmlformats.org/officeDocument/2006/relationships/hyperlink" Target="https://statiz.sporki.com/player/?m=playerinfo&amp;p_no=1556" TargetMode="External"/><Relationship Id="rId14680" Type="http://schemas.openxmlformats.org/officeDocument/2006/relationships/hyperlink" Target="https://statiz.sporki.com/player/?m=playerinfo&amp;p_no=10330" TargetMode="External"/><Relationship Id="rId15731" Type="http://schemas.openxmlformats.org/officeDocument/2006/relationships/hyperlink" Target="https://statiz.sporki.com/player/?m=playerinfo&amp;p_no=1440" TargetMode="External"/><Relationship Id="rId1919" Type="http://schemas.openxmlformats.org/officeDocument/2006/relationships/hyperlink" Target="https://statiz.sporki.com/add/?m=draft_school01&amp;ps_school=50807" TargetMode="External"/><Relationship Id="rId13282" Type="http://schemas.openxmlformats.org/officeDocument/2006/relationships/hyperlink" Target="https://statiz.sporki.com/player/?m=playerinfo&amp;p_no=12580" TargetMode="External"/><Relationship Id="rId14333" Type="http://schemas.openxmlformats.org/officeDocument/2006/relationships/hyperlink" Target="https://statiz.sporki.com/player/?m=playerinfo&amp;p_no=10407" TargetMode="External"/><Relationship Id="rId18954" Type="http://schemas.openxmlformats.org/officeDocument/2006/relationships/hyperlink" Target="https://statiz.sporki.com/add/?m=draft_school01&amp;ps_school=50813" TargetMode="External"/><Relationship Id="rId2290" Type="http://schemas.openxmlformats.org/officeDocument/2006/relationships/hyperlink" Target="https://statiz.sporki.com/player/?m=playerinfo&amp;p_no=13113" TargetMode="External"/><Relationship Id="rId3341" Type="http://schemas.openxmlformats.org/officeDocument/2006/relationships/hyperlink" Target="https://statiz.sporki.com/add/?m=draft_school01&amp;ps_school=50206" TargetMode="External"/><Relationship Id="rId7962" Type="http://schemas.openxmlformats.org/officeDocument/2006/relationships/hyperlink" Target="https://statiz.sporki.com/add/?m=draft_school02&amp;ps_school=" TargetMode="External"/><Relationship Id="rId17556" Type="http://schemas.openxmlformats.org/officeDocument/2006/relationships/hyperlink" Target="https://statiz.sporki.com/add/?m=draft_school01&amp;ps_school=51102" TargetMode="External"/><Relationship Id="rId18607" Type="http://schemas.openxmlformats.org/officeDocument/2006/relationships/hyperlink" Target="https://statiz.sporki.com/add/?m=draft_school01&amp;ps_school=50116" TargetMode="External"/><Relationship Id="rId262" Type="http://schemas.openxmlformats.org/officeDocument/2006/relationships/hyperlink" Target="https://statiz.sporki.com/player/?m=playerinfo&amp;p_no=15505" TargetMode="External"/><Relationship Id="rId6564" Type="http://schemas.openxmlformats.org/officeDocument/2006/relationships/hyperlink" Target="https://statiz.sporki.com/add/?m=draft_school02&amp;ps_school=" TargetMode="External"/><Relationship Id="rId7615" Type="http://schemas.openxmlformats.org/officeDocument/2006/relationships/hyperlink" Target="https://statiz.sporki.com/player/?m=playerinfo&amp;p_no=10330" TargetMode="External"/><Relationship Id="rId10943" Type="http://schemas.openxmlformats.org/officeDocument/2006/relationships/hyperlink" Target="https://statiz.sporki.com/add/?m=draft_school01&amp;ps_school=50114" TargetMode="External"/><Relationship Id="rId16158" Type="http://schemas.openxmlformats.org/officeDocument/2006/relationships/hyperlink" Target="https://statiz.sporki.com/player/?m=playerinfo&amp;p_no=1079" TargetMode="External"/><Relationship Id="rId17209" Type="http://schemas.openxmlformats.org/officeDocument/2006/relationships/hyperlink" Target="https://statiz.sporki.com/add/?m=draft_school01&amp;ps_school=50705" TargetMode="External"/><Relationship Id="rId5166" Type="http://schemas.openxmlformats.org/officeDocument/2006/relationships/hyperlink" Target="https://statiz.sporki.com/add/?m=draft_school02&amp;ps_school=60111" TargetMode="External"/><Relationship Id="rId6217" Type="http://schemas.openxmlformats.org/officeDocument/2006/relationships/hyperlink" Target="https://statiz.sporki.com/player/?m=playerinfo&amp;p_no=2417" TargetMode="External"/><Relationship Id="rId9787" Type="http://schemas.openxmlformats.org/officeDocument/2006/relationships/hyperlink" Target="https://statiz.sporki.com/player/?m=playerinfo&amp;p_no=1686" TargetMode="External"/><Relationship Id="rId8389" Type="http://schemas.openxmlformats.org/officeDocument/2006/relationships/hyperlink" Target="https://statiz.sporki.com/player/?m=playerinfo&amp;p_no=2029" TargetMode="External"/><Relationship Id="rId12768" Type="http://schemas.openxmlformats.org/officeDocument/2006/relationships/hyperlink" Target="https://statiz.sporki.com/player/?m=playerinfo&amp;p_no=11907" TargetMode="External"/><Relationship Id="rId13819" Type="http://schemas.openxmlformats.org/officeDocument/2006/relationships/hyperlink" Target="https://statiz.sporki.com/player/?m=playerinfo&amp;p_no=10933" TargetMode="External"/><Relationship Id="rId1776" Type="http://schemas.openxmlformats.org/officeDocument/2006/relationships/hyperlink" Target="https://statiz.sporki.com/add/?m=draft_school02&amp;ps_school=60108" TargetMode="External"/><Relationship Id="rId2827" Type="http://schemas.openxmlformats.org/officeDocument/2006/relationships/hyperlink" Target="https://statiz.sporki.com/player/?m=playerinfo&amp;p_no=12924" TargetMode="External"/><Relationship Id="rId14190" Type="http://schemas.openxmlformats.org/officeDocument/2006/relationships/hyperlink" Target="https://statiz.sporki.com/player/?m=playerinfo&amp;p_no=10414" TargetMode="External"/><Relationship Id="rId15241" Type="http://schemas.openxmlformats.org/officeDocument/2006/relationships/hyperlink" Target="https://statiz.sporki.com/player/?m=playerinfo&amp;p_no=1909" TargetMode="External"/><Relationship Id="rId1429" Type="http://schemas.openxmlformats.org/officeDocument/2006/relationships/hyperlink" Target="https://statiz.sporki.com/player/?m=playerinfo&amp;p_no=14625" TargetMode="External"/><Relationship Id="rId4999" Type="http://schemas.openxmlformats.org/officeDocument/2006/relationships/hyperlink" Target="https://statiz.sporki.com/player/?m=playerinfo&amp;p_no=10872" TargetMode="External"/><Relationship Id="rId5300" Type="http://schemas.openxmlformats.org/officeDocument/2006/relationships/hyperlink" Target="https://statiz.sporki.com/add/?m=draft_school01&amp;ps_school=50604" TargetMode="External"/><Relationship Id="rId8870" Type="http://schemas.openxmlformats.org/officeDocument/2006/relationships/hyperlink" Target="https://statiz.sporki.com/add/?m=draft_school01&amp;ps_school=50116" TargetMode="External"/><Relationship Id="rId9921" Type="http://schemas.openxmlformats.org/officeDocument/2006/relationships/hyperlink" Target="https://statiz.sporki.com/add/?m=draft_school02&amp;ps_school=60113" TargetMode="External"/><Relationship Id="rId11851" Type="http://schemas.openxmlformats.org/officeDocument/2006/relationships/hyperlink" Target="https://statiz.sporki.com/player/?m=playerinfo&amp;p_no=1049" TargetMode="External"/><Relationship Id="rId18464" Type="http://schemas.openxmlformats.org/officeDocument/2006/relationships/hyperlink" Target="https://statiz.sporki.com/add/?m=draft_school01&amp;ps_school=50608" TargetMode="External"/><Relationship Id="rId19515" Type="http://schemas.openxmlformats.org/officeDocument/2006/relationships/hyperlink" Target="https://statiz.sporki.com/add/?m=draft_school01&amp;ps_school=50805" TargetMode="External"/><Relationship Id="rId1910" Type="http://schemas.openxmlformats.org/officeDocument/2006/relationships/hyperlink" Target="https://statiz.sporki.com/add/?m=draft_school01&amp;ps_school=50802" TargetMode="External"/><Relationship Id="rId7472" Type="http://schemas.openxmlformats.org/officeDocument/2006/relationships/hyperlink" Target="https://statiz.sporki.com/add/?m=draft_school01&amp;ps_school=50805" TargetMode="External"/><Relationship Id="rId8523" Type="http://schemas.openxmlformats.org/officeDocument/2006/relationships/hyperlink" Target="https://statiz.sporki.com/add/?m=draft_school02&amp;ps_school=" TargetMode="External"/><Relationship Id="rId10453" Type="http://schemas.openxmlformats.org/officeDocument/2006/relationships/hyperlink" Target="https://statiz.sporki.com/player/?m=playerinfo&amp;p_no=1543" TargetMode="External"/><Relationship Id="rId11504" Type="http://schemas.openxmlformats.org/officeDocument/2006/relationships/hyperlink" Target="https://statiz.sporki.com/add/?m=draft_school01&amp;ps_school=50602" TargetMode="External"/><Relationship Id="rId12902" Type="http://schemas.openxmlformats.org/officeDocument/2006/relationships/hyperlink" Target="https://statiz.sporki.com/player/?m=playerinfo&amp;p_no=14215" TargetMode="External"/><Relationship Id="rId17066" Type="http://schemas.openxmlformats.org/officeDocument/2006/relationships/hyperlink" Target="https://statiz.sporki.com/add/?m=draft_school01&amp;ps_school=50111" TargetMode="External"/><Relationship Id="rId18117" Type="http://schemas.openxmlformats.org/officeDocument/2006/relationships/hyperlink" Target="https://statiz.sporki.com/add/?m=draft_school01&amp;ps_school=50207" TargetMode="External"/><Relationship Id="rId6074" Type="http://schemas.openxmlformats.org/officeDocument/2006/relationships/hyperlink" Target="https://statiz.sporki.com/add/?m=draft_school01&amp;ps_school=50109" TargetMode="External"/><Relationship Id="rId7125" Type="http://schemas.openxmlformats.org/officeDocument/2006/relationships/hyperlink" Target="https://statiz.sporki.com/add/?m=draft_school02&amp;ps_school=" TargetMode="External"/><Relationship Id="rId10106" Type="http://schemas.openxmlformats.org/officeDocument/2006/relationships/hyperlink" Target="https://statiz.sporki.com/add/?m=draft_school01&amp;ps_school=50601" TargetMode="External"/><Relationship Id="rId2684" Type="http://schemas.openxmlformats.org/officeDocument/2006/relationships/hyperlink" Target="https://statiz.sporki.com/add/?m=draft_school01&amp;ps_school=50201" TargetMode="External"/><Relationship Id="rId3735" Type="http://schemas.openxmlformats.org/officeDocument/2006/relationships/hyperlink" Target="https://statiz.sporki.com/add/?m=draft_school02&amp;ps_school=" TargetMode="External"/><Relationship Id="rId9297" Type="http://schemas.openxmlformats.org/officeDocument/2006/relationships/hyperlink" Target="https://statiz.sporki.com/add/?m=draft_school02&amp;ps_school=" TargetMode="External"/><Relationship Id="rId12278" Type="http://schemas.openxmlformats.org/officeDocument/2006/relationships/hyperlink" Target="https://statiz.sporki.com/player/?m=playerinfo&amp;p_no=15619" TargetMode="External"/><Relationship Id="rId13329" Type="http://schemas.openxmlformats.org/officeDocument/2006/relationships/hyperlink" Target="https://statiz.sporki.com/player/?m=playerinfo&amp;p_no=12560" TargetMode="External"/><Relationship Id="rId13676" Type="http://schemas.openxmlformats.org/officeDocument/2006/relationships/hyperlink" Target="https://statiz.sporki.com/player/?m=playerinfo&amp;p_no=11110" TargetMode="External"/><Relationship Id="rId14727" Type="http://schemas.openxmlformats.org/officeDocument/2006/relationships/hyperlink" Target="https://statiz.sporki.com/player/?m=playerinfo&amp;p_no=2221" TargetMode="External"/><Relationship Id="rId656" Type="http://schemas.openxmlformats.org/officeDocument/2006/relationships/hyperlink" Target="https://statiz.sporki.com/add/?m=draft_school01&amp;ps_school=50106" TargetMode="External"/><Relationship Id="rId1286" Type="http://schemas.openxmlformats.org/officeDocument/2006/relationships/hyperlink" Target="https://statiz.sporki.com/add/?m=draft_school01&amp;ps_school=" TargetMode="External"/><Relationship Id="rId2337" Type="http://schemas.openxmlformats.org/officeDocument/2006/relationships/hyperlink" Target="https://statiz.sporki.com/add/?m=draft_school02&amp;ps_school=" TargetMode="External"/><Relationship Id="rId16899" Type="http://schemas.openxmlformats.org/officeDocument/2006/relationships/hyperlink" Target="https://statiz.sporki.com/add/?m=draft_school01&amp;ps_school=50501" TargetMode="External"/><Relationship Id="rId17200" Type="http://schemas.openxmlformats.org/officeDocument/2006/relationships/hyperlink" Target="https://statiz.sporki.com/add/?m=draft_school01&amp;ps_school=50403" TargetMode="External"/><Relationship Id="rId309" Type="http://schemas.openxmlformats.org/officeDocument/2006/relationships/hyperlink" Target="https://statiz.sporki.com/add/?m=draft_school02&amp;ps_school=" TargetMode="External"/><Relationship Id="rId6958" Type="http://schemas.openxmlformats.org/officeDocument/2006/relationships/hyperlink" Target="https://statiz.sporki.com/player/?m=playerinfo&amp;p_no=10156" TargetMode="External"/><Relationship Id="rId8380" Type="http://schemas.openxmlformats.org/officeDocument/2006/relationships/hyperlink" Target="https://statiz.sporki.com/player/?m=playerinfo&amp;p_no=10397" TargetMode="External"/><Relationship Id="rId13810" Type="http://schemas.openxmlformats.org/officeDocument/2006/relationships/hyperlink" Target="https://statiz.sporki.com/player/?m=playerinfo&amp;p_no=11165" TargetMode="External"/><Relationship Id="rId19372" Type="http://schemas.openxmlformats.org/officeDocument/2006/relationships/hyperlink" Target="https://statiz.sporki.com/add/?m=draft_school01&amp;ps_school=50812" TargetMode="External"/><Relationship Id="rId8033" Type="http://schemas.openxmlformats.org/officeDocument/2006/relationships/hyperlink" Target="https://statiz.sporki.com/add/?m=draft_school01&amp;ps_school=50812" TargetMode="External"/><Relationship Id="rId9431" Type="http://schemas.openxmlformats.org/officeDocument/2006/relationships/hyperlink" Target="https://statiz.sporki.com/add/?m=draft_school01&amp;ps_school=50805" TargetMode="External"/><Relationship Id="rId11361" Type="http://schemas.openxmlformats.org/officeDocument/2006/relationships/hyperlink" Target="https://statiz.sporki.com/add/?m=draft_school02&amp;ps_school=60203" TargetMode="External"/><Relationship Id="rId12412" Type="http://schemas.openxmlformats.org/officeDocument/2006/relationships/hyperlink" Target="https://statiz.sporki.com/player/?m=playerinfo&amp;p_no=14998" TargetMode="External"/><Relationship Id="rId15982" Type="http://schemas.openxmlformats.org/officeDocument/2006/relationships/hyperlink" Target="https://statiz.sporki.com/player/?m=playerinfo&amp;p_no=1199" TargetMode="External"/><Relationship Id="rId19025" Type="http://schemas.openxmlformats.org/officeDocument/2006/relationships/hyperlink" Target="https://statiz.sporki.com/add/?m=draft_school01&amp;ps_school=50604" TargetMode="External"/><Relationship Id="rId1420" Type="http://schemas.openxmlformats.org/officeDocument/2006/relationships/hyperlink" Target="https://statiz.sporki.com/player/?m=playerinfo&amp;p_no=14595" TargetMode="External"/><Relationship Id="rId4990" Type="http://schemas.openxmlformats.org/officeDocument/2006/relationships/hyperlink" Target="https://statiz.sporki.com/player/?m=playerinfo&amp;p_no=10901" TargetMode="External"/><Relationship Id="rId11014" Type="http://schemas.openxmlformats.org/officeDocument/2006/relationships/hyperlink" Target="https://statiz.sporki.com/player/?m=playerinfo&amp;p_no=1346" TargetMode="External"/><Relationship Id="rId14584" Type="http://schemas.openxmlformats.org/officeDocument/2006/relationships/hyperlink" Target="https://statiz.sporki.com/player/?m=playerinfo&amp;p_no=10055" TargetMode="External"/><Relationship Id="rId15635" Type="http://schemas.openxmlformats.org/officeDocument/2006/relationships/hyperlink" Target="https://statiz.sporki.com/player/?m=playerinfo&amp;p_no=1527" TargetMode="External"/><Relationship Id="rId3592" Type="http://schemas.openxmlformats.org/officeDocument/2006/relationships/hyperlink" Target="https://statiz.sporki.com/player/?m=playerinfo&amp;p_no=12988" TargetMode="External"/><Relationship Id="rId4643" Type="http://schemas.openxmlformats.org/officeDocument/2006/relationships/hyperlink" Target="https://statiz.sporki.com/add/?m=draft_school01&amp;ps_school=50102" TargetMode="External"/><Relationship Id="rId13186" Type="http://schemas.openxmlformats.org/officeDocument/2006/relationships/hyperlink" Target="https://statiz.sporki.com/player/?m=playerinfo&amp;p_no=13269" TargetMode="External"/><Relationship Id="rId14237" Type="http://schemas.openxmlformats.org/officeDocument/2006/relationships/hyperlink" Target="https://statiz.sporki.com/player/?m=playerinfo&amp;p_no=10514" TargetMode="External"/><Relationship Id="rId2194" Type="http://schemas.openxmlformats.org/officeDocument/2006/relationships/hyperlink" Target="https://statiz.sporki.com/player/?m=playerinfo&amp;p_no=13935" TargetMode="External"/><Relationship Id="rId3245" Type="http://schemas.openxmlformats.org/officeDocument/2006/relationships/hyperlink" Target="https://statiz.sporki.com/add/?m=draft_school01&amp;ps_school=50206" TargetMode="External"/><Relationship Id="rId7866" Type="http://schemas.openxmlformats.org/officeDocument/2006/relationships/hyperlink" Target="https://statiz.sporki.com/add/?m=draft_school02&amp;ps_school=60101" TargetMode="External"/><Relationship Id="rId18858" Type="http://schemas.openxmlformats.org/officeDocument/2006/relationships/hyperlink" Target="https://statiz.sporki.com/add/?m=draft_school01&amp;ps_school=50114" TargetMode="External"/><Relationship Id="rId166" Type="http://schemas.openxmlformats.org/officeDocument/2006/relationships/hyperlink" Target="https://statiz.sporki.com/player/?m=playerinfo&amp;p_no=15478" TargetMode="External"/><Relationship Id="rId6468" Type="http://schemas.openxmlformats.org/officeDocument/2006/relationships/hyperlink" Target="https://statiz.sporki.com/add/?m=draft_school02&amp;ps_school=" TargetMode="External"/><Relationship Id="rId7519" Type="http://schemas.openxmlformats.org/officeDocument/2006/relationships/hyperlink" Target="https://statiz.sporki.com/player/?m=playerinfo&amp;p_no=2225" TargetMode="External"/><Relationship Id="rId8917" Type="http://schemas.openxmlformats.org/officeDocument/2006/relationships/hyperlink" Target="https://statiz.sporki.com/player/?m=playerinfo&amp;p_no=1925" TargetMode="External"/><Relationship Id="rId10847" Type="http://schemas.openxmlformats.org/officeDocument/2006/relationships/hyperlink" Target="https://statiz.sporki.com/add/?m=draft_school01&amp;ps_school=50602" TargetMode="External"/><Relationship Id="rId13320" Type="http://schemas.openxmlformats.org/officeDocument/2006/relationships/hyperlink" Target="https://statiz.sporki.com/player/?m=playerinfo&amp;p_no=12505" TargetMode="External"/><Relationship Id="rId16890" Type="http://schemas.openxmlformats.org/officeDocument/2006/relationships/hyperlink" Target="https://statiz.sporki.com/add/?m=draft_school01&amp;ps_school=50107" TargetMode="External"/><Relationship Id="rId17941" Type="http://schemas.openxmlformats.org/officeDocument/2006/relationships/hyperlink" Target="https://statiz.sporki.com/add/?m=draft_school01&amp;ps_school=50702" TargetMode="External"/><Relationship Id="rId300" Type="http://schemas.openxmlformats.org/officeDocument/2006/relationships/hyperlink" Target="https://statiz.sporki.com/add/?m=draft_school02&amp;ps_school=" TargetMode="External"/><Relationship Id="rId15492" Type="http://schemas.openxmlformats.org/officeDocument/2006/relationships/hyperlink" Target="https://statiz.sporki.com/player/?m=playerinfo&amp;p_no=1566" TargetMode="External"/><Relationship Id="rId16543" Type="http://schemas.openxmlformats.org/officeDocument/2006/relationships/hyperlink" Target="https://statiz.sporki.com/add/?m=draft_school01&amp;ps_school=50119" TargetMode="External"/><Relationship Id="rId5551" Type="http://schemas.openxmlformats.org/officeDocument/2006/relationships/hyperlink" Target="https://statiz.sporki.com/player/?m=playerinfo&amp;p_no=10572" TargetMode="External"/><Relationship Id="rId6602" Type="http://schemas.openxmlformats.org/officeDocument/2006/relationships/hyperlink" Target="https://statiz.sporki.com/add/?m=draft_school01&amp;ps_school=50807" TargetMode="External"/><Relationship Id="rId14094" Type="http://schemas.openxmlformats.org/officeDocument/2006/relationships/hyperlink" Target="https://statiz.sporki.com/player/?m=playerinfo&amp;p_no=10399" TargetMode="External"/><Relationship Id="rId15145" Type="http://schemas.openxmlformats.org/officeDocument/2006/relationships/hyperlink" Target="https://statiz.sporki.com/player/?m=playerinfo&amp;p_no=10026" TargetMode="External"/><Relationship Id="rId4153" Type="http://schemas.openxmlformats.org/officeDocument/2006/relationships/hyperlink" Target="https://statiz.sporki.com/player/?m=playerinfo&amp;p_no=13247" TargetMode="External"/><Relationship Id="rId5204" Type="http://schemas.openxmlformats.org/officeDocument/2006/relationships/hyperlink" Target="https://statiz.sporki.com/add/?m=draft_school01&amp;ps_school=50111" TargetMode="External"/><Relationship Id="rId8774" Type="http://schemas.openxmlformats.org/officeDocument/2006/relationships/hyperlink" Target="https://statiz.sporki.com/add/?m=draft_school01&amp;ps_school=50602" TargetMode="External"/><Relationship Id="rId9825" Type="http://schemas.openxmlformats.org/officeDocument/2006/relationships/hyperlink" Target="https://statiz.sporki.com/add/?m=draft_school02&amp;ps_school=60803" TargetMode="External"/><Relationship Id="rId18368" Type="http://schemas.openxmlformats.org/officeDocument/2006/relationships/hyperlink" Target="https://statiz.sporki.com/add/?m=draft_school01&amp;ps_school=50107" TargetMode="External"/><Relationship Id="rId19419" Type="http://schemas.openxmlformats.org/officeDocument/2006/relationships/hyperlink" Target="https://statiz.sporki.com/add/?m=draft_school01&amp;ps_school=50110" TargetMode="External"/><Relationship Id="rId39" Type="http://schemas.openxmlformats.org/officeDocument/2006/relationships/hyperlink" Target="https://statiz.sporki.com/add/?m=draft_school02&amp;ps_school=" TargetMode="External"/><Relationship Id="rId1814" Type="http://schemas.openxmlformats.org/officeDocument/2006/relationships/hyperlink" Target="https://statiz.sporki.com/add/?m=draft_school01&amp;ps_school=50705" TargetMode="External"/><Relationship Id="rId7376" Type="http://schemas.openxmlformats.org/officeDocument/2006/relationships/hyperlink" Target="https://statiz.sporki.com/add/?m=draft_school01&amp;ps_school=50103" TargetMode="External"/><Relationship Id="rId8427" Type="http://schemas.openxmlformats.org/officeDocument/2006/relationships/hyperlink" Target="https://statiz.sporki.com/add/?m=draft_school02&amp;ps_school=60802" TargetMode="External"/><Relationship Id="rId10357" Type="http://schemas.openxmlformats.org/officeDocument/2006/relationships/hyperlink" Target="https://statiz.sporki.com/player/?m=playerinfo&amp;p_no=1526" TargetMode="External"/><Relationship Id="rId11755" Type="http://schemas.openxmlformats.org/officeDocument/2006/relationships/hyperlink" Target="https://statiz.sporki.com/player/?m=playerinfo&amp;p_no=1073" TargetMode="External"/><Relationship Id="rId12806" Type="http://schemas.openxmlformats.org/officeDocument/2006/relationships/hyperlink" Target="https://statiz.sporki.com/player/?m=playerinfo&amp;p_no=14128" TargetMode="External"/><Relationship Id="rId7029" Type="http://schemas.openxmlformats.org/officeDocument/2006/relationships/hyperlink" Target="https://statiz.sporki.com/add/?m=draft_school02&amp;ps_school=" TargetMode="External"/><Relationship Id="rId11408" Type="http://schemas.openxmlformats.org/officeDocument/2006/relationships/hyperlink" Target="https://statiz.sporki.com/add/?m=draft_school01&amp;ps_school=50121" TargetMode="External"/><Relationship Id="rId14978" Type="http://schemas.openxmlformats.org/officeDocument/2006/relationships/hyperlink" Target="https://statiz.sporki.com/player/?m=playerinfo&amp;p_no=10191" TargetMode="External"/><Relationship Id="rId2588" Type="http://schemas.openxmlformats.org/officeDocument/2006/relationships/hyperlink" Target="https://statiz.sporki.com/add/?m=draft_school01&amp;ps_school=50107" TargetMode="External"/><Relationship Id="rId3986" Type="http://schemas.openxmlformats.org/officeDocument/2006/relationships/hyperlink" Target="https://statiz.sporki.com/add/?m=draft_school01&amp;ps_school=50403" TargetMode="External"/><Relationship Id="rId17451" Type="http://schemas.openxmlformats.org/officeDocument/2006/relationships/hyperlink" Target="https://statiz.sporki.com/add/?m=draft_school01&amp;ps_school=50801" TargetMode="External"/><Relationship Id="rId18502" Type="http://schemas.openxmlformats.org/officeDocument/2006/relationships/hyperlink" Target="https://statiz.sporki.com/add/?m=draft_school01&amp;ps_school=51100" TargetMode="External"/><Relationship Id="rId3639" Type="http://schemas.openxmlformats.org/officeDocument/2006/relationships/hyperlink" Target="https://statiz.sporki.com/add/?m=draft_school02&amp;ps_school=" TargetMode="External"/><Relationship Id="rId5061" Type="http://schemas.openxmlformats.org/officeDocument/2006/relationships/hyperlink" Target="https://statiz.sporki.com/add/?m=draft_school02&amp;ps_school=" TargetMode="External"/><Relationship Id="rId6112" Type="http://schemas.openxmlformats.org/officeDocument/2006/relationships/hyperlink" Target="https://statiz.sporki.com/player/?m=playerinfo&amp;p_no=10557" TargetMode="External"/><Relationship Id="rId7510" Type="http://schemas.openxmlformats.org/officeDocument/2006/relationships/hyperlink" Target="https://statiz.sporki.com/player/?m=playerinfo&amp;p_no=2234" TargetMode="External"/><Relationship Id="rId16053" Type="http://schemas.openxmlformats.org/officeDocument/2006/relationships/hyperlink" Target="https://statiz.sporki.com/player/?m=playerinfo&amp;p_no=1100" TargetMode="External"/><Relationship Id="rId17104" Type="http://schemas.openxmlformats.org/officeDocument/2006/relationships/hyperlink" Target="https://statiz.sporki.com/add/?m=draft_school01&amp;ps_school=50110" TargetMode="External"/><Relationship Id="rId9682" Type="http://schemas.openxmlformats.org/officeDocument/2006/relationships/hyperlink" Target="https://statiz.sporki.com/player/?m=playerinfo&amp;p_no=1776" TargetMode="External"/><Relationship Id="rId12663" Type="http://schemas.openxmlformats.org/officeDocument/2006/relationships/hyperlink" Target="https://statiz.sporki.com/player/?m=playerinfo&amp;p_no=14717" TargetMode="External"/><Relationship Id="rId13714" Type="http://schemas.openxmlformats.org/officeDocument/2006/relationships/hyperlink" Target="https://statiz.sporki.com/player/?m=playerinfo&amp;p_no=11290" TargetMode="External"/><Relationship Id="rId19276" Type="http://schemas.openxmlformats.org/officeDocument/2006/relationships/hyperlink" Target="https://statiz.sporki.com/add/?m=draft_school01&amp;ps_school=50302" TargetMode="External"/><Relationship Id="rId1671" Type="http://schemas.openxmlformats.org/officeDocument/2006/relationships/hyperlink" Target="https://statiz.sporki.com/add/?m=draft_school02&amp;ps_school=" TargetMode="External"/><Relationship Id="rId2722" Type="http://schemas.openxmlformats.org/officeDocument/2006/relationships/hyperlink" Target="https://statiz.sporki.com/player/?m=playerinfo&amp;p_no=13260" TargetMode="External"/><Relationship Id="rId8284" Type="http://schemas.openxmlformats.org/officeDocument/2006/relationships/hyperlink" Target="https://statiz.sporki.com/player/?m=playerinfo&amp;p_no=10173" TargetMode="External"/><Relationship Id="rId9335" Type="http://schemas.openxmlformats.org/officeDocument/2006/relationships/hyperlink" Target="https://statiz.sporki.com/add/?m=draft_school01&amp;ps_school=50109" TargetMode="External"/><Relationship Id="rId11265" Type="http://schemas.openxmlformats.org/officeDocument/2006/relationships/hyperlink" Target="https://statiz.sporki.com/add/?m=draft_school02&amp;ps_school=60113" TargetMode="External"/><Relationship Id="rId12316" Type="http://schemas.openxmlformats.org/officeDocument/2006/relationships/hyperlink" Target="https://statiz.sporki.com/player/?m=playerinfo&amp;p_no=15046" TargetMode="External"/><Relationship Id="rId1324" Type="http://schemas.openxmlformats.org/officeDocument/2006/relationships/hyperlink" Target="https://statiz.sporki.com/player/?m=playerinfo&amp;p_no=14754" TargetMode="External"/><Relationship Id="rId4894" Type="http://schemas.openxmlformats.org/officeDocument/2006/relationships/hyperlink" Target="https://statiz.sporki.com/player/?m=playerinfo&amp;p_no=10813" TargetMode="External"/><Relationship Id="rId5945" Type="http://schemas.openxmlformats.org/officeDocument/2006/relationships/hyperlink" Target="https://statiz.sporki.com/add/?m=draft_school01&amp;ps_school=" TargetMode="External"/><Relationship Id="rId14488" Type="http://schemas.openxmlformats.org/officeDocument/2006/relationships/hyperlink" Target="https://statiz.sporki.com/player/?m=playerinfo&amp;p_no=10776" TargetMode="External"/><Relationship Id="rId15539" Type="http://schemas.openxmlformats.org/officeDocument/2006/relationships/hyperlink" Target="https://statiz.sporki.com/player/?m=playerinfo&amp;p_no=1625" TargetMode="External"/><Relationship Id="rId15886" Type="http://schemas.openxmlformats.org/officeDocument/2006/relationships/hyperlink" Target="https://statiz.sporki.com/player/?m=playerinfo&amp;p_no=1274" TargetMode="External"/><Relationship Id="rId16937" Type="http://schemas.openxmlformats.org/officeDocument/2006/relationships/hyperlink" Target="https://statiz.sporki.com/add/?m=draft_school01&amp;ps_school=50103" TargetMode="External"/><Relationship Id="rId30" Type="http://schemas.openxmlformats.org/officeDocument/2006/relationships/hyperlink" Target="https://statiz.sporki.com/add/?m=draft_school02&amp;ps_school=" TargetMode="External"/><Relationship Id="rId3496" Type="http://schemas.openxmlformats.org/officeDocument/2006/relationships/hyperlink" Target="https://statiz.sporki.com/player/?m=playerinfo&amp;p_no=12658" TargetMode="External"/><Relationship Id="rId4547" Type="http://schemas.openxmlformats.org/officeDocument/2006/relationships/hyperlink" Target="https://statiz.sporki.com/add/?m=draft_school01&amp;ps_school=50808" TargetMode="External"/><Relationship Id="rId18012" Type="http://schemas.openxmlformats.org/officeDocument/2006/relationships/hyperlink" Target="https://statiz.sporki.com/add/?m=draft_school01&amp;ps_school=50104" TargetMode="External"/><Relationship Id="rId19410" Type="http://schemas.openxmlformats.org/officeDocument/2006/relationships/hyperlink" Target="https://statiz.sporki.com/add/?m=draft_school01&amp;ps_school=50202" TargetMode="External"/><Relationship Id="rId2098" Type="http://schemas.openxmlformats.org/officeDocument/2006/relationships/hyperlink" Target="https://statiz.sporki.com/player/?m=playerinfo&amp;p_no=14218" TargetMode="External"/><Relationship Id="rId3149" Type="http://schemas.openxmlformats.org/officeDocument/2006/relationships/hyperlink" Target="https://statiz.sporki.com/add/?m=draft_school01&amp;ps_school=50602" TargetMode="External"/><Relationship Id="rId7020" Type="http://schemas.openxmlformats.org/officeDocument/2006/relationships/hyperlink" Target="https://statiz.sporki.com/add/?m=draft_school02&amp;ps_school=" TargetMode="External"/><Relationship Id="rId9192" Type="http://schemas.openxmlformats.org/officeDocument/2006/relationships/hyperlink" Target="https://statiz.sporki.com/add/?m=draft_school02&amp;ps_school=60703" TargetMode="External"/><Relationship Id="rId10001" Type="http://schemas.openxmlformats.org/officeDocument/2006/relationships/hyperlink" Target="https://statiz.sporki.com/add/?m=draft_school01&amp;ps_school=50813" TargetMode="External"/><Relationship Id="rId13571" Type="http://schemas.openxmlformats.org/officeDocument/2006/relationships/hyperlink" Target="https://statiz.sporki.com/player/?m=playerinfo&amp;p_no=12703" TargetMode="External"/><Relationship Id="rId14622" Type="http://schemas.openxmlformats.org/officeDocument/2006/relationships/hyperlink" Target="https://statiz.sporki.com/player/?m=playerinfo&amp;p_no=2240" TargetMode="External"/><Relationship Id="rId3630" Type="http://schemas.openxmlformats.org/officeDocument/2006/relationships/hyperlink" Target="https://statiz.sporki.com/add/?m=draft_school02&amp;ps_school=" TargetMode="External"/><Relationship Id="rId12173" Type="http://schemas.openxmlformats.org/officeDocument/2006/relationships/hyperlink" Target="https://statiz.sporki.com/player/?m=playerinfo&amp;p_no=15434" TargetMode="External"/><Relationship Id="rId13224" Type="http://schemas.openxmlformats.org/officeDocument/2006/relationships/hyperlink" Target="https://statiz.sporki.com/player/?m=playerinfo&amp;p_no=12620" TargetMode="External"/><Relationship Id="rId16794" Type="http://schemas.openxmlformats.org/officeDocument/2006/relationships/hyperlink" Target="https://statiz.sporki.com/add/?m=draft_school01&amp;ps_school=50709" TargetMode="External"/><Relationship Id="rId17845" Type="http://schemas.openxmlformats.org/officeDocument/2006/relationships/hyperlink" Target="https://statiz.sporki.com/add/?m=draft_school01&amp;ps_school=50103" TargetMode="External"/><Relationship Id="rId551" Type="http://schemas.openxmlformats.org/officeDocument/2006/relationships/hyperlink" Target="https://statiz.sporki.com/add/?m=draft_school01&amp;ps_school=50802" TargetMode="External"/><Relationship Id="rId1181" Type="http://schemas.openxmlformats.org/officeDocument/2006/relationships/hyperlink" Target="https://statiz.sporki.com/add/?m=draft_school01&amp;ps_school=50213" TargetMode="External"/><Relationship Id="rId2232" Type="http://schemas.openxmlformats.org/officeDocument/2006/relationships/hyperlink" Target="https://statiz.sporki.com/add/?m=draft_school02&amp;ps_school=" TargetMode="External"/><Relationship Id="rId6853" Type="http://schemas.openxmlformats.org/officeDocument/2006/relationships/hyperlink" Target="https://statiz.sporki.com/player/?m=playerinfo&amp;p_no=2350" TargetMode="External"/><Relationship Id="rId7904" Type="http://schemas.openxmlformats.org/officeDocument/2006/relationships/hyperlink" Target="https://statiz.sporki.com/add/?m=draft_school01&amp;ps_school=50111" TargetMode="External"/><Relationship Id="rId15396" Type="http://schemas.openxmlformats.org/officeDocument/2006/relationships/hyperlink" Target="https://statiz.sporki.com/player/?m=playerinfo&amp;p_no=10113" TargetMode="External"/><Relationship Id="rId16447" Type="http://schemas.openxmlformats.org/officeDocument/2006/relationships/hyperlink" Target="https://statiz.sporki.com/add/?m=draft_school01&amp;ps_school=50802" TargetMode="External"/><Relationship Id="rId204" Type="http://schemas.openxmlformats.org/officeDocument/2006/relationships/hyperlink" Target="https://statiz.sporki.com/add/?m=draft_school02&amp;ps_school=" TargetMode="External"/><Relationship Id="rId5455" Type="http://schemas.openxmlformats.org/officeDocument/2006/relationships/hyperlink" Target="https://statiz.sporki.com/player/?m=playerinfo&amp;p_no=10834" TargetMode="External"/><Relationship Id="rId6506" Type="http://schemas.openxmlformats.org/officeDocument/2006/relationships/hyperlink" Target="https://statiz.sporki.com/add/?m=draft_school01&amp;ps_school=50403" TargetMode="External"/><Relationship Id="rId15049" Type="http://schemas.openxmlformats.org/officeDocument/2006/relationships/hyperlink" Target="https://statiz.sporki.com/player/?m=playerinfo&amp;p_no=2218" TargetMode="External"/><Relationship Id="rId4057" Type="http://schemas.openxmlformats.org/officeDocument/2006/relationships/hyperlink" Target="https://statiz.sporki.com/player/?m=playerinfo&amp;p_no=11334" TargetMode="External"/><Relationship Id="rId5108" Type="http://schemas.openxmlformats.org/officeDocument/2006/relationships/hyperlink" Target="https://statiz.sporki.com/add/?m=draft_school01&amp;ps_school=50112" TargetMode="External"/><Relationship Id="rId8678" Type="http://schemas.openxmlformats.org/officeDocument/2006/relationships/hyperlink" Target="https://statiz.sporki.com/add/?m=draft_school01&amp;ps_school=50303" TargetMode="External"/><Relationship Id="rId9729" Type="http://schemas.openxmlformats.org/officeDocument/2006/relationships/hyperlink" Target="https://statiz.sporki.com/add/?m=draft_school02&amp;ps_school=" TargetMode="External"/><Relationship Id="rId11659" Type="http://schemas.openxmlformats.org/officeDocument/2006/relationships/hyperlink" Target="https://statiz.sporki.com/player/?m=playerinfo&amp;p_no=1150" TargetMode="External"/><Relationship Id="rId13081" Type="http://schemas.openxmlformats.org/officeDocument/2006/relationships/hyperlink" Target="https://statiz.sporki.com/player/?m=playerinfo&amp;p_no=12847" TargetMode="External"/><Relationship Id="rId15530" Type="http://schemas.openxmlformats.org/officeDocument/2006/relationships/hyperlink" Target="https://statiz.sporki.com/player/?m=playerinfo&amp;p_no=1690" TargetMode="External"/><Relationship Id="rId1718" Type="http://schemas.openxmlformats.org/officeDocument/2006/relationships/hyperlink" Target="https://statiz.sporki.com/add/?m=draft_school01&amp;ps_school=51109" TargetMode="External"/><Relationship Id="rId3140" Type="http://schemas.openxmlformats.org/officeDocument/2006/relationships/hyperlink" Target="https://statiz.sporki.com/add/?m=draft_school01&amp;ps_school=50110" TargetMode="External"/><Relationship Id="rId14132" Type="http://schemas.openxmlformats.org/officeDocument/2006/relationships/hyperlink" Target="https://statiz.sporki.com/player/?m=playerinfo&amp;p_no=11480" TargetMode="External"/><Relationship Id="rId18753" Type="http://schemas.openxmlformats.org/officeDocument/2006/relationships/hyperlink" Target="https://statiz.sporki.com/add/?m=draft_school01&amp;ps_school=50501" TargetMode="External"/><Relationship Id="rId7761" Type="http://schemas.openxmlformats.org/officeDocument/2006/relationships/hyperlink" Target="https://statiz.sporki.com/add/?m=draft_school02&amp;ps_school=" TargetMode="External"/><Relationship Id="rId8812" Type="http://schemas.openxmlformats.org/officeDocument/2006/relationships/hyperlink" Target="https://statiz.sporki.com/player/?m=playerinfo&amp;p_no=2163" TargetMode="External"/><Relationship Id="rId10742" Type="http://schemas.openxmlformats.org/officeDocument/2006/relationships/hyperlink" Target="https://statiz.sporki.com/add/?m=draft_school01&amp;ps_school=50302" TargetMode="External"/><Relationship Id="rId17355" Type="http://schemas.openxmlformats.org/officeDocument/2006/relationships/hyperlink" Target="https://statiz.sporki.com/add/?m=draft_school01&amp;ps_school=50302" TargetMode="External"/><Relationship Id="rId18406" Type="http://schemas.openxmlformats.org/officeDocument/2006/relationships/hyperlink" Target="https://statiz.sporki.com/add/?m=draft_school01&amp;ps_school=50112" TargetMode="External"/><Relationship Id="rId6363" Type="http://schemas.openxmlformats.org/officeDocument/2006/relationships/hyperlink" Target="https://statiz.sporki.com/add/?m=draft_school02&amp;ps_school=" TargetMode="External"/><Relationship Id="rId7414" Type="http://schemas.openxmlformats.org/officeDocument/2006/relationships/hyperlink" Target="https://statiz.sporki.com/player/?m=playerinfo&amp;p_no=2235" TargetMode="External"/><Relationship Id="rId17008" Type="http://schemas.openxmlformats.org/officeDocument/2006/relationships/hyperlink" Target="https://statiz.sporki.com/add/?m=draft_school01&amp;ps_school=50210" TargetMode="External"/><Relationship Id="rId2973" Type="http://schemas.openxmlformats.org/officeDocument/2006/relationships/hyperlink" Target="https://statiz.sporki.com/add/?m=draft_school02&amp;ps_school=" TargetMode="External"/><Relationship Id="rId6016" Type="http://schemas.openxmlformats.org/officeDocument/2006/relationships/hyperlink" Target="https://statiz.sporki.com/player/?m=playerinfo&amp;p_no=10070" TargetMode="External"/><Relationship Id="rId9586" Type="http://schemas.openxmlformats.org/officeDocument/2006/relationships/hyperlink" Target="https://statiz.sporki.com/player/?m=playerinfo&amp;p_no=1775" TargetMode="External"/><Relationship Id="rId12567" Type="http://schemas.openxmlformats.org/officeDocument/2006/relationships/hyperlink" Target="https://statiz.sporki.com/player/?m=playerinfo&amp;p_no=14868" TargetMode="External"/><Relationship Id="rId13618" Type="http://schemas.openxmlformats.org/officeDocument/2006/relationships/hyperlink" Target="https://statiz.sporki.com/player/?m=playerinfo&amp;p_no=11413" TargetMode="External"/><Relationship Id="rId13965" Type="http://schemas.openxmlformats.org/officeDocument/2006/relationships/hyperlink" Target="https://statiz.sporki.com/player/?m=playerinfo&amp;p_no=10432" TargetMode="External"/><Relationship Id="rId945" Type="http://schemas.openxmlformats.org/officeDocument/2006/relationships/hyperlink" Target="https://statiz.sporki.com/add/?m=draft_school02&amp;ps_school=60607" TargetMode="External"/><Relationship Id="rId1575" Type="http://schemas.openxmlformats.org/officeDocument/2006/relationships/hyperlink" Target="https://statiz.sporki.com/add/?m=draft_school02&amp;ps_school=60108" TargetMode="External"/><Relationship Id="rId2626" Type="http://schemas.openxmlformats.org/officeDocument/2006/relationships/hyperlink" Target="https://statiz.sporki.com/player/?m=playerinfo&amp;p_no=12783" TargetMode="External"/><Relationship Id="rId8188" Type="http://schemas.openxmlformats.org/officeDocument/2006/relationships/hyperlink" Target="https://statiz.sporki.com/player/?m=playerinfo&amp;p_no=2318" TargetMode="External"/><Relationship Id="rId9239" Type="http://schemas.openxmlformats.org/officeDocument/2006/relationships/hyperlink" Target="https://statiz.sporki.com/add/?m=draft_school01&amp;ps_school=50105" TargetMode="External"/><Relationship Id="rId11169" Type="http://schemas.openxmlformats.org/officeDocument/2006/relationships/hyperlink" Target="https://statiz.sporki.com/add/?m=draft_school02&amp;ps_school=60104" TargetMode="External"/><Relationship Id="rId15040" Type="http://schemas.openxmlformats.org/officeDocument/2006/relationships/hyperlink" Target="https://statiz.sporki.com/player/?m=playerinfo&amp;p_no=2164" TargetMode="External"/><Relationship Id="rId1228" Type="http://schemas.openxmlformats.org/officeDocument/2006/relationships/hyperlink" Target="https://statiz.sporki.com/player/?m=playerinfo&amp;p_no=14882" TargetMode="External"/><Relationship Id="rId4798" Type="http://schemas.openxmlformats.org/officeDocument/2006/relationships/hyperlink" Target="https://statiz.sporki.com/player/?m=playerinfo&amp;p_no=10882" TargetMode="External"/><Relationship Id="rId19661" Type="http://schemas.openxmlformats.org/officeDocument/2006/relationships/hyperlink" Target="https://statiz.sporki.com/add/?m=draft_school01&amp;ps_school=50110" TargetMode="External"/><Relationship Id="rId5849" Type="http://schemas.openxmlformats.org/officeDocument/2006/relationships/hyperlink" Target="https://statiz.sporki.com/add/?m=draft_school01&amp;ps_school=50803" TargetMode="External"/><Relationship Id="rId7271" Type="http://schemas.openxmlformats.org/officeDocument/2006/relationships/hyperlink" Target="https://statiz.sporki.com/add/?m=draft_school01&amp;ps_school=" TargetMode="External"/><Relationship Id="rId8322" Type="http://schemas.openxmlformats.org/officeDocument/2006/relationships/hyperlink" Target="https://statiz.sporki.com/add/?m=draft_school02&amp;ps_school=60801" TargetMode="External"/><Relationship Id="rId9720" Type="http://schemas.openxmlformats.org/officeDocument/2006/relationships/hyperlink" Target="https://statiz.sporki.com/add/?m=draft_school02&amp;ps_school=" TargetMode="External"/><Relationship Id="rId11650" Type="http://schemas.openxmlformats.org/officeDocument/2006/relationships/hyperlink" Target="https://statiz.sporki.com/player/?m=playerinfo&amp;p_no=1142" TargetMode="External"/><Relationship Id="rId12701" Type="http://schemas.openxmlformats.org/officeDocument/2006/relationships/hyperlink" Target="https://statiz.sporki.com/player/?m=playerinfo&amp;p_no=14710" TargetMode="External"/><Relationship Id="rId18263" Type="http://schemas.openxmlformats.org/officeDocument/2006/relationships/hyperlink" Target="https://statiz.sporki.com/add/?m=draft_school01&amp;ps_school=50108" TargetMode="External"/><Relationship Id="rId19314" Type="http://schemas.openxmlformats.org/officeDocument/2006/relationships/hyperlink" Target="https://statiz.sporki.com/add/?m=draft_school01&amp;ps_school=50604" TargetMode="External"/><Relationship Id="rId10252" Type="http://schemas.openxmlformats.org/officeDocument/2006/relationships/hyperlink" Target="https://statiz.sporki.com/player/?m=playerinfo&amp;p_no=1714" TargetMode="External"/><Relationship Id="rId11303" Type="http://schemas.openxmlformats.org/officeDocument/2006/relationships/hyperlink" Target="https://statiz.sporki.com/add/?m=draft_school01&amp;ps_school=50807" TargetMode="External"/><Relationship Id="rId14873" Type="http://schemas.openxmlformats.org/officeDocument/2006/relationships/hyperlink" Target="https://statiz.sporki.com/player/?m=playerinfo&amp;p_no=2108" TargetMode="External"/><Relationship Id="rId15924" Type="http://schemas.openxmlformats.org/officeDocument/2006/relationships/hyperlink" Target="https://statiz.sporki.com/player/?m=playerinfo&amp;p_no=1233" TargetMode="External"/><Relationship Id="rId3881" Type="http://schemas.openxmlformats.org/officeDocument/2006/relationships/hyperlink" Target="https://statiz.sporki.com/add/?m=draft_school01&amp;ps_school=50803" TargetMode="External"/><Relationship Id="rId4932" Type="http://schemas.openxmlformats.org/officeDocument/2006/relationships/hyperlink" Target="https://statiz.sporki.com/add/?m=draft_school02&amp;ps_school=60109" TargetMode="External"/><Relationship Id="rId9096" Type="http://schemas.openxmlformats.org/officeDocument/2006/relationships/hyperlink" Target="https://statiz.sporki.com/add/?m=draft_school02&amp;ps_school=60101" TargetMode="External"/><Relationship Id="rId13475" Type="http://schemas.openxmlformats.org/officeDocument/2006/relationships/hyperlink" Target="https://statiz.sporki.com/player/?m=playerinfo&amp;p_no=12644" TargetMode="External"/><Relationship Id="rId14526" Type="http://schemas.openxmlformats.org/officeDocument/2006/relationships/hyperlink" Target="https://statiz.sporki.com/player/?m=playerinfo&amp;p_no=10464" TargetMode="External"/><Relationship Id="rId2483" Type="http://schemas.openxmlformats.org/officeDocument/2006/relationships/hyperlink" Target="https://statiz.sporki.com/add/?m=draft_school01&amp;ps_school=50807" TargetMode="External"/><Relationship Id="rId3534" Type="http://schemas.openxmlformats.org/officeDocument/2006/relationships/hyperlink" Target="https://statiz.sporki.com/add/?m=draft_school02&amp;ps_school=" TargetMode="External"/><Relationship Id="rId12077" Type="http://schemas.openxmlformats.org/officeDocument/2006/relationships/hyperlink" Target="https://statiz.sporki.com/add/?m=draft_school01&amp;ps_school=50701" TargetMode="External"/><Relationship Id="rId13128" Type="http://schemas.openxmlformats.org/officeDocument/2006/relationships/hyperlink" Target="https://statiz.sporki.com/player/?m=playerinfo&amp;p_no=12903" TargetMode="External"/><Relationship Id="rId16698" Type="http://schemas.openxmlformats.org/officeDocument/2006/relationships/hyperlink" Target="https://statiz.sporki.com/add/?m=draft_school01&amp;ps_school=50710" TargetMode="External"/><Relationship Id="rId17749" Type="http://schemas.openxmlformats.org/officeDocument/2006/relationships/hyperlink" Target="https://statiz.sporki.com/add/?m=draft_school01&amp;ps_school=50703" TargetMode="External"/><Relationship Id="rId455" Type="http://schemas.openxmlformats.org/officeDocument/2006/relationships/hyperlink" Target="https://statiz.sporki.com/add/?m=draft_school01&amp;ps_school=50601" TargetMode="External"/><Relationship Id="rId1085" Type="http://schemas.openxmlformats.org/officeDocument/2006/relationships/hyperlink" Target="https://statiz.sporki.com/add/?m=draft_school01&amp;ps_school=50209" TargetMode="External"/><Relationship Id="rId2136" Type="http://schemas.openxmlformats.org/officeDocument/2006/relationships/hyperlink" Target="https://statiz.sporki.com/add/?m=draft_school02&amp;ps_school=" TargetMode="External"/><Relationship Id="rId6757" Type="http://schemas.openxmlformats.org/officeDocument/2006/relationships/hyperlink" Target="https://statiz.sporki.com/player/?m=playerinfo&amp;p_no=14894" TargetMode="External"/><Relationship Id="rId7808" Type="http://schemas.openxmlformats.org/officeDocument/2006/relationships/hyperlink" Target="https://statiz.sporki.com/add/?m=draft_school01&amp;ps_school=50403" TargetMode="External"/><Relationship Id="rId19171" Type="http://schemas.openxmlformats.org/officeDocument/2006/relationships/hyperlink" Target="https://statiz.sporki.com/add/?m=draft_school01&amp;ps_school=50119" TargetMode="External"/><Relationship Id="rId108" Type="http://schemas.openxmlformats.org/officeDocument/2006/relationships/hyperlink" Target="https://statiz.sporki.com/add/?m=draft_school02&amp;ps_school=" TargetMode="External"/><Relationship Id="rId5359" Type="http://schemas.openxmlformats.org/officeDocument/2006/relationships/hyperlink" Target="https://statiz.sporki.com/player/?m=playerinfo&amp;p_no=10724" TargetMode="External"/><Relationship Id="rId9230" Type="http://schemas.openxmlformats.org/officeDocument/2006/relationships/hyperlink" Target="https://statiz.sporki.com/add/?m=draft_school01&amp;ps_school=50114" TargetMode="External"/><Relationship Id="rId11160" Type="http://schemas.openxmlformats.org/officeDocument/2006/relationships/hyperlink" Target="https://statiz.sporki.com/add/?m=draft_school02&amp;ps_school=60103" TargetMode="External"/><Relationship Id="rId12211" Type="http://schemas.openxmlformats.org/officeDocument/2006/relationships/hyperlink" Target="https://statiz.sporki.com/player/?m=playerinfo&amp;p_no=15523" TargetMode="External"/><Relationship Id="rId15781" Type="http://schemas.openxmlformats.org/officeDocument/2006/relationships/hyperlink" Target="https://statiz.sporki.com/player/?m=playerinfo&amp;p_no=1409" TargetMode="External"/><Relationship Id="rId16832" Type="http://schemas.openxmlformats.org/officeDocument/2006/relationships/hyperlink" Target="https://statiz.sporki.com/add/?m=draft_school01&amp;ps_school=50101" TargetMode="External"/><Relationship Id="rId1969" Type="http://schemas.openxmlformats.org/officeDocument/2006/relationships/hyperlink" Target="https://statiz.sporki.com/player/?m=playerinfo&amp;p_no=14109" TargetMode="External"/><Relationship Id="rId5840" Type="http://schemas.openxmlformats.org/officeDocument/2006/relationships/hyperlink" Target="https://statiz.sporki.com/add/?m=draft_school01&amp;ps_school=50107" TargetMode="External"/><Relationship Id="rId14383" Type="http://schemas.openxmlformats.org/officeDocument/2006/relationships/hyperlink" Target="https://statiz.sporki.com/player/?m=playerinfo&amp;p_no=10367" TargetMode="External"/><Relationship Id="rId15434" Type="http://schemas.openxmlformats.org/officeDocument/2006/relationships/hyperlink" Target="https://statiz.sporki.com/player/?m=playerinfo&amp;p_no=1713" TargetMode="External"/><Relationship Id="rId3391" Type="http://schemas.openxmlformats.org/officeDocument/2006/relationships/hyperlink" Target="https://statiz.sporki.com/player/?m=playerinfo&amp;p_no=12559" TargetMode="External"/><Relationship Id="rId4442" Type="http://schemas.openxmlformats.org/officeDocument/2006/relationships/hyperlink" Target="https://statiz.sporki.com/add/?m=draft_school01&amp;ps_school=50403" TargetMode="External"/><Relationship Id="rId10993" Type="http://schemas.openxmlformats.org/officeDocument/2006/relationships/hyperlink" Target="https://statiz.sporki.com/player/?m=playerinfo&amp;p_no=1368" TargetMode="External"/><Relationship Id="rId14036" Type="http://schemas.openxmlformats.org/officeDocument/2006/relationships/hyperlink" Target="https://statiz.sporki.com/player/?m=playerinfo&amp;p_no=10589" TargetMode="External"/><Relationship Id="rId18657" Type="http://schemas.openxmlformats.org/officeDocument/2006/relationships/hyperlink" Target="https://statiz.sporki.com/add/?m=draft_school01&amp;ps_school=50711" TargetMode="External"/><Relationship Id="rId3044" Type="http://schemas.openxmlformats.org/officeDocument/2006/relationships/hyperlink" Target="https://statiz.sporki.com/add/?m=draft_school01&amp;ps_school=50202" TargetMode="External"/><Relationship Id="rId7665" Type="http://schemas.openxmlformats.org/officeDocument/2006/relationships/hyperlink" Target="https://statiz.sporki.com/add/?m=draft_school02&amp;ps_school=" TargetMode="External"/><Relationship Id="rId8716" Type="http://schemas.openxmlformats.org/officeDocument/2006/relationships/hyperlink" Target="https://statiz.sporki.com/player/?m=playerinfo&amp;p_no=1994" TargetMode="External"/><Relationship Id="rId10646" Type="http://schemas.openxmlformats.org/officeDocument/2006/relationships/hyperlink" Target="https://statiz.sporki.com/add/?m=draft_school01&amp;ps_school=50121" TargetMode="External"/><Relationship Id="rId17259" Type="http://schemas.openxmlformats.org/officeDocument/2006/relationships/hyperlink" Target="https://statiz.sporki.com/add/?m=draft_school01&amp;ps_school=50209" TargetMode="External"/><Relationship Id="rId6267" Type="http://schemas.openxmlformats.org/officeDocument/2006/relationships/hyperlink" Target="https://statiz.sporki.com/add/?m=draft_school02&amp;ps_school=60802" TargetMode="External"/><Relationship Id="rId7318" Type="http://schemas.openxmlformats.org/officeDocument/2006/relationships/hyperlink" Target="https://statiz.sporki.com/player/?m=playerinfo&amp;p_no=10351" TargetMode="External"/><Relationship Id="rId2877" Type="http://schemas.openxmlformats.org/officeDocument/2006/relationships/hyperlink" Target="https://statiz.sporki.com/add/?m=draft_school02&amp;ps_school=" TargetMode="External"/><Relationship Id="rId13869" Type="http://schemas.openxmlformats.org/officeDocument/2006/relationships/hyperlink" Target="https://statiz.sporki.com/player/?m=playerinfo&amp;p_no=10677" TargetMode="External"/><Relationship Id="rId15291" Type="http://schemas.openxmlformats.org/officeDocument/2006/relationships/hyperlink" Target="https://statiz.sporki.com/player/?m=playerinfo&amp;p_no=1953" TargetMode="External"/><Relationship Id="rId17740" Type="http://schemas.openxmlformats.org/officeDocument/2006/relationships/hyperlink" Target="https://statiz.sporki.com/add/?m=draft_school01&amp;ps_school=50402" TargetMode="External"/><Relationship Id="rId849" Type="http://schemas.openxmlformats.org/officeDocument/2006/relationships/hyperlink" Target="https://statiz.sporki.com/add/?m=draft_school02&amp;ps_school=" TargetMode="External"/><Relationship Id="rId1479" Type="http://schemas.openxmlformats.org/officeDocument/2006/relationships/hyperlink" Target="https://statiz.sporki.com/add/?m=draft_school02&amp;ps_school=60114" TargetMode="External"/><Relationship Id="rId3928" Type="http://schemas.openxmlformats.org/officeDocument/2006/relationships/hyperlink" Target="https://statiz.sporki.com/player/?m=playerinfo&amp;p_no=11380" TargetMode="External"/><Relationship Id="rId5350" Type="http://schemas.openxmlformats.org/officeDocument/2006/relationships/hyperlink" Target="https://statiz.sporki.com/player/?m=playerinfo&amp;p_no=10932" TargetMode="External"/><Relationship Id="rId6401" Type="http://schemas.openxmlformats.org/officeDocument/2006/relationships/hyperlink" Target="https://statiz.sporki.com/add/?m=draft_school01&amp;ps_school=50103" TargetMode="External"/><Relationship Id="rId16342" Type="http://schemas.openxmlformats.org/officeDocument/2006/relationships/hyperlink" Target="https://statiz.sporki.com/add/?m=draft_school01&amp;ps_school=50301" TargetMode="External"/><Relationship Id="rId5003" Type="http://schemas.openxmlformats.org/officeDocument/2006/relationships/hyperlink" Target="https://statiz.sporki.com/add/?m=draft_school01&amp;ps_school=50403" TargetMode="External"/><Relationship Id="rId9971" Type="http://schemas.openxmlformats.org/officeDocument/2006/relationships/hyperlink" Target="https://statiz.sporki.com/add/?m=draft_school01&amp;ps_school=50210" TargetMode="External"/><Relationship Id="rId12952" Type="http://schemas.openxmlformats.org/officeDocument/2006/relationships/hyperlink" Target="https://statiz.sporki.com/player/?m=playerinfo&amp;p_no=13149" TargetMode="External"/><Relationship Id="rId19565" Type="http://schemas.openxmlformats.org/officeDocument/2006/relationships/hyperlink" Target="https://statiz.sporki.com/add/?m=draft_school01&amp;ps_school=50116" TargetMode="External"/><Relationship Id="rId1960" Type="http://schemas.openxmlformats.org/officeDocument/2006/relationships/hyperlink" Target="https://statiz.sporki.com/player/?m=playerinfo&amp;p_no=14116" TargetMode="External"/><Relationship Id="rId7175" Type="http://schemas.openxmlformats.org/officeDocument/2006/relationships/hyperlink" Target="https://statiz.sporki.com/add/?m=draft_school01&amp;ps_school=50702" TargetMode="External"/><Relationship Id="rId8573" Type="http://schemas.openxmlformats.org/officeDocument/2006/relationships/hyperlink" Target="https://statiz.sporki.com/add/?m=draft_school01&amp;ps_school=50208" TargetMode="External"/><Relationship Id="rId9624" Type="http://schemas.openxmlformats.org/officeDocument/2006/relationships/hyperlink" Target="https://statiz.sporki.com/add/?m=draft_school02&amp;ps_school=60111" TargetMode="External"/><Relationship Id="rId11554" Type="http://schemas.openxmlformats.org/officeDocument/2006/relationships/hyperlink" Target="https://statiz.sporki.com/player/?m=playerinfo&amp;p_no=1158" TargetMode="External"/><Relationship Id="rId12605" Type="http://schemas.openxmlformats.org/officeDocument/2006/relationships/hyperlink" Target="https://statiz.sporki.com/player/?m=playerinfo&amp;p_no=14593" TargetMode="External"/><Relationship Id="rId18167" Type="http://schemas.openxmlformats.org/officeDocument/2006/relationships/hyperlink" Target="https://statiz.sporki.com/add/?m=draft_school01&amp;ps_school=50801" TargetMode="External"/><Relationship Id="rId19218" Type="http://schemas.openxmlformats.org/officeDocument/2006/relationships/hyperlink" Target="https://statiz.sporki.com/add/?m=draft_school01&amp;ps_school=50403" TargetMode="External"/><Relationship Id="rId1613" Type="http://schemas.openxmlformats.org/officeDocument/2006/relationships/hyperlink" Target="https://statiz.sporki.com/add/?m=draft_school01&amp;ps_school=50116" TargetMode="External"/><Relationship Id="rId8226" Type="http://schemas.openxmlformats.org/officeDocument/2006/relationships/hyperlink" Target="https://statiz.sporki.com/add/?m=draft_school02&amp;ps_school=60114" TargetMode="External"/><Relationship Id="rId10156" Type="http://schemas.openxmlformats.org/officeDocument/2006/relationships/hyperlink" Target="https://statiz.sporki.com/player/?m=playerinfo&amp;p_no=1614" TargetMode="External"/><Relationship Id="rId11207" Type="http://schemas.openxmlformats.org/officeDocument/2006/relationships/hyperlink" Target="https://statiz.sporki.com/add/?m=draft_school01&amp;ps_school=50608" TargetMode="External"/><Relationship Id="rId14777" Type="http://schemas.openxmlformats.org/officeDocument/2006/relationships/hyperlink" Target="https://statiz.sporki.com/player/?m=playerinfo&amp;p_no=15792" TargetMode="External"/><Relationship Id="rId15828" Type="http://schemas.openxmlformats.org/officeDocument/2006/relationships/hyperlink" Target="https://statiz.sporki.com/player/?m=playerinfo&amp;p_no=1339" TargetMode="External"/><Relationship Id="rId3785" Type="http://schemas.openxmlformats.org/officeDocument/2006/relationships/hyperlink" Target="https://statiz.sporki.com/add/?m=draft_school01&amp;ps_school=50706" TargetMode="External"/><Relationship Id="rId4836" Type="http://schemas.openxmlformats.org/officeDocument/2006/relationships/hyperlink" Target="https://statiz.sporki.com/add/?m=draft_school02&amp;ps_school=" TargetMode="External"/><Relationship Id="rId13379" Type="http://schemas.openxmlformats.org/officeDocument/2006/relationships/hyperlink" Target="https://statiz.sporki.com/player/?m=playerinfo&amp;p_no=11337" TargetMode="External"/><Relationship Id="rId17250" Type="http://schemas.openxmlformats.org/officeDocument/2006/relationships/hyperlink" Target="https://statiz.sporki.com/add/?m=draft_school01&amp;ps_school=50116" TargetMode="External"/><Relationship Id="rId18301" Type="http://schemas.openxmlformats.org/officeDocument/2006/relationships/hyperlink" Target="https://statiz.sporki.com/add/?m=draft_school01&amp;ps_school=50115" TargetMode="External"/><Relationship Id="rId2387" Type="http://schemas.openxmlformats.org/officeDocument/2006/relationships/hyperlink" Target="https://statiz.sporki.com/add/?m=draft_school01&amp;ps_school=50107" TargetMode="External"/><Relationship Id="rId3438" Type="http://schemas.openxmlformats.org/officeDocument/2006/relationships/hyperlink" Target="https://statiz.sporki.com/add/?m=draft_school02&amp;ps_school=60204" TargetMode="External"/><Relationship Id="rId359" Type="http://schemas.openxmlformats.org/officeDocument/2006/relationships/hyperlink" Target="https://statiz.sporki.com/add/?m=draft_school01&amp;ps_school=" TargetMode="External"/><Relationship Id="rId9481" Type="http://schemas.openxmlformats.org/officeDocument/2006/relationships/hyperlink" Target="https://statiz.sporki.com/player/?m=playerinfo&amp;p_no=1790" TargetMode="External"/><Relationship Id="rId13860" Type="http://schemas.openxmlformats.org/officeDocument/2006/relationships/hyperlink" Target="https://statiz.sporki.com/player/?m=playerinfo&amp;p_no=10652" TargetMode="External"/><Relationship Id="rId14911" Type="http://schemas.openxmlformats.org/officeDocument/2006/relationships/hyperlink" Target="https://statiz.sporki.com/player/?m=playerinfo&amp;p_no=10500" TargetMode="External"/><Relationship Id="rId19075" Type="http://schemas.openxmlformats.org/officeDocument/2006/relationships/hyperlink" Target="https://statiz.sporki.com/add/?m=draft_school01&amp;ps_school=50602" TargetMode="External"/><Relationship Id="rId8083" Type="http://schemas.openxmlformats.org/officeDocument/2006/relationships/hyperlink" Target="https://statiz.sporki.com/player/?m=playerinfo&amp;p_no=2106" TargetMode="External"/><Relationship Id="rId9134" Type="http://schemas.openxmlformats.org/officeDocument/2006/relationships/hyperlink" Target="https://statiz.sporki.com/add/?m=draft_school01&amp;ps_school=50803" TargetMode="External"/><Relationship Id="rId12462" Type="http://schemas.openxmlformats.org/officeDocument/2006/relationships/hyperlink" Target="https://statiz.sporki.com/player/?m=playerinfo&amp;p_no=14774" TargetMode="External"/><Relationship Id="rId13513" Type="http://schemas.openxmlformats.org/officeDocument/2006/relationships/hyperlink" Target="https://statiz.sporki.com/player/?m=playerinfo&amp;p_no=11266" TargetMode="External"/><Relationship Id="rId840" Type="http://schemas.openxmlformats.org/officeDocument/2006/relationships/hyperlink" Target="https://statiz.sporki.com/add/?m=draft_school02&amp;ps_school=61128" TargetMode="External"/><Relationship Id="rId1470" Type="http://schemas.openxmlformats.org/officeDocument/2006/relationships/hyperlink" Target="https://statiz.sporki.com/add/?m=draft_school02&amp;ps_school=" TargetMode="External"/><Relationship Id="rId2521" Type="http://schemas.openxmlformats.org/officeDocument/2006/relationships/hyperlink" Target="https://statiz.sporki.com/player/?m=playerinfo&amp;p_no=13152" TargetMode="External"/><Relationship Id="rId11064" Type="http://schemas.openxmlformats.org/officeDocument/2006/relationships/hyperlink" Target="https://statiz.sporki.com/add/?m=draft_school02&amp;ps_school=60803" TargetMode="External"/><Relationship Id="rId12115" Type="http://schemas.openxmlformats.org/officeDocument/2006/relationships/hyperlink" Target="https://statiz.sporki.com/player/?m=playerinfo&amp;p_no=1013" TargetMode="External"/><Relationship Id="rId15685" Type="http://schemas.openxmlformats.org/officeDocument/2006/relationships/hyperlink" Target="https://statiz.sporki.com/player/?m=playerinfo&amp;p_no=11473" TargetMode="External"/><Relationship Id="rId16736" Type="http://schemas.openxmlformats.org/officeDocument/2006/relationships/hyperlink" Target="https://statiz.sporki.com/add/?m=draft_school01&amp;ps_school=50108" TargetMode="External"/><Relationship Id="rId1123" Type="http://schemas.openxmlformats.org/officeDocument/2006/relationships/hyperlink" Target="https://statiz.sporki.com/player/?m=playerinfo&amp;p_no=14816" TargetMode="External"/><Relationship Id="rId4693" Type="http://schemas.openxmlformats.org/officeDocument/2006/relationships/hyperlink" Target="https://statiz.sporki.com/player/?m=playerinfo&amp;p_no=11183" TargetMode="External"/><Relationship Id="rId5744" Type="http://schemas.openxmlformats.org/officeDocument/2006/relationships/hyperlink" Target="https://statiz.sporki.com/add/?m=draft_school01&amp;ps_school=50103" TargetMode="External"/><Relationship Id="rId14287" Type="http://schemas.openxmlformats.org/officeDocument/2006/relationships/hyperlink" Target="https://statiz.sporki.com/player/?m=playerinfo&amp;p_no=2414" TargetMode="External"/><Relationship Id="rId15338" Type="http://schemas.openxmlformats.org/officeDocument/2006/relationships/hyperlink" Target="https://statiz.sporki.com/player/?m=playerinfo&amp;p_no=13285" TargetMode="External"/><Relationship Id="rId3295" Type="http://schemas.openxmlformats.org/officeDocument/2006/relationships/hyperlink" Target="https://statiz.sporki.com/player/?m=playerinfo&amp;p_no=12583" TargetMode="External"/><Relationship Id="rId4346" Type="http://schemas.openxmlformats.org/officeDocument/2006/relationships/hyperlink" Target="https://statiz.sporki.com/add/?m=draft_school01&amp;ps_school=" TargetMode="External"/><Relationship Id="rId8967" Type="http://schemas.openxmlformats.org/officeDocument/2006/relationships/hyperlink" Target="https://statiz.sporki.com/add/?m=draft_school02&amp;ps_school=60114" TargetMode="External"/><Relationship Id="rId7569" Type="http://schemas.openxmlformats.org/officeDocument/2006/relationships/hyperlink" Target="https://statiz.sporki.com/add/?m=draft_school02&amp;ps_school=60401" TargetMode="External"/><Relationship Id="rId10897" Type="http://schemas.openxmlformats.org/officeDocument/2006/relationships/hyperlink" Target="https://statiz.sporki.com/player/?m=playerinfo&amp;p_no=1413" TargetMode="External"/><Relationship Id="rId11948" Type="http://schemas.openxmlformats.org/officeDocument/2006/relationships/hyperlink" Target="https://statiz.sporki.com/add/?m=draft_school01&amp;ps_school=50209" TargetMode="External"/><Relationship Id="rId13370" Type="http://schemas.openxmlformats.org/officeDocument/2006/relationships/hyperlink" Target="https://statiz.sporki.com/player/?m=playerinfo&amp;p_no=11351" TargetMode="External"/><Relationship Id="rId13023" Type="http://schemas.openxmlformats.org/officeDocument/2006/relationships/hyperlink" Target="https://statiz.sporki.com/player/?m=playerinfo&amp;p_no=13067" TargetMode="External"/><Relationship Id="rId14421" Type="http://schemas.openxmlformats.org/officeDocument/2006/relationships/hyperlink" Target="https://statiz.sporki.com/player/?m=playerinfo&amp;p_no=2366" TargetMode="External"/><Relationship Id="rId17991" Type="http://schemas.openxmlformats.org/officeDocument/2006/relationships/hyperlink" Target="https://statiz.sporki.com/add/?m=draft_school01&amp;ps_school=50107" TargetMode="External"/><Relationship Id="rId350" Type="http://schemas.openxmlformats.org/officeDocument/2006/relationships/hyperlink" Target="https://statiz.sporki.com/add/?m=draft_school01&amp;ps_school=" TargetMode="External"/><Relationship Id="rId2031" Type="http://schemas.openxmlformats.org/officeDocument/2006/relationships/hyperlink" Target="https://statiz.sporki.com/add/?m=draft_school02&amp;ps_school=" TargetMode="External"/><Relationship Id="rId16593" Type="http://schemas.openxmlformats.org/officeDocument/2006/relationships/hyperlink" Target="https://statiz.sporki.com/add/?m=draft_school01&amp;ps_school=50602" TargetMode="External"/><Relationship Id="rId17644" Type="http://schemas.openxmlformats.org/officeDocument/2006/relationships/hyperlink" Target="https://statiz.sporki.com/add/?m=draft_school01&amp;ps_school=50207" TargetMode="External"/><Relationship Id="rId5254" Type="http://schemas.openxmlformats.org/officeDocument/2006/relationships/hyperlink" Target="https://statiz.sporki.com/player/?m=playerinfo&amp;p_no=11220" TargetMode="External"/><Relationship Id="rId6652" Type="http://schemas.openxmlformats.org/officeDocument/2006/relationships/hyperlink" Target="https://statiz.sporki.com/player/?m=playerinfo&amp;p_no=2388" TargetMode="External"/><Relationship Id="rId7703" Type="http://schemas.openxmlformats.org/officeDocument/2006/relationships/hyperlink" Target="https://statiz.sporki.com/add/?m=draft_school01&amp;ps_school=" TargetMode="External"/><Relationship Id="rId15195" Type="http://schemas.openxmlformats.org/officeDocument/2006/relationships/hyperlink" Target="https://statiz.sporki.com/player/?m=playerinfo&amp;p_no=1899" TargetMode="External"/><Relationship Id="rId16246" Type="http://schemas.openxmlformats.org/officeDocument/2006/relationships/hyperlink" Target="https://statiz.sporki.com/add/?m=draft_school01&amp;ps_school=50212" TargetMode="External"/><Relationship Id="rId6305" Type="http://schemas.openxmlformats.org/officeDocument/2006/relationships/hyperlink" Target="https://statiz.sporki.com/add/?m=draft_school01&amp;ps_school=50802" TargetMode="External"/><Relationship Id="rId9875" Type="http://schemas.openxmlformats.org/officeDocument/2006/relationships/hyperlink" Target="https://statiz.sporki.com/add/?m=draft_school01&amp;ps_school=" TargetMode="External"/><Relationship Id="rId12856" Type="http://schemas.openxmlformats.org/officeDocument/2006/relationships/hyperlink" Target="https://statiz.sporki.com/player/?m=playerinfo&amp;p_no=14186" TargetMode="External"/><Relationship Id="rId13907" Type="http://schemas.openxmlformats.org/officeDocument/2006/relationships/hyperlink" Target="https://statiz.sporki.com/player/?m=playerinfo&amp;p_no=10753" TargetMode="External"/><Relationship Id="rId19469" Type="http://schemas.openxmlformats.org/officeDocument/2006/relationships/hyperlink" Target="https://statiz.sporki.com/add/?m=draft_school01&amp;ps_school=50805" TargetMode="External"/><Relationship Id="rId89" Type="http://schemas.openxmlformats.org/officeDocument/2006/relationships/hyperlink" Target="https://statiz.sporki.com/add/?m=draft_school01&amp;ps_school=50802" TargetMode="External"/><Relationship Id="rId1864" Type="http://schemas.openxmlformats.org/officeDocument/2006/relationships/hyperlink" Target="https://statiz.sporki.com/player/?m=playerinfo&amp;p_no=14170" TargetMode="External"/><Relationship Id="rId2915" Type="http://schemas.openxmlformats.org/officeDocument/2006/relationships/hyperlink" Target="https://statiz.sporki.com/add/?m=draft_school01&amp;ps_school=50402" TargetMode="External"/><Relationship Id="rId8477" Type="http://schemas.openxmlformats.org/officeDocument/2006/relationships/hyperlink" Target="https://statiz.sporki.com/add/?m=draft_school01&amp;ps_school=50803" TargetMode="External"/><Relationship Id="rId9528" Type="http://schemas.openxmlformats.org/officeDocument/2006/relationships/hyperlink" Target="https://statiz.sporki.com/add/?m=draft_school02&amp;ps_school=" TargetMode="External"/><Relationship Id="rId11458" Type="http://schemas.openxmlformats.org/officeDocument/2006/relationships/hyperlink" Target="https://statiz.sporki.com/player/?m=playerinfo&amp;p_no=1198" TargetMode="External"/><Relationship Id="rId12509" Type="http://schemas.openxmlformats.org/officeDocument/2006/relationships/hyperlink" Target="https://statiz.sporki.com/player/?m=playerinfo&amp;p_no=14811" TargetMode="External"/><Relationship Id="rId1517" Type="http://schemas.openxmlformats.org/officeDocument/2006/relationships/hyperlink" Target="https://statiz.sporki.com/add/?m=draft_school01&amp;ps_school=50807" TargetMode="External"/><Relationship Id="rId7079" Type="http://schemas.openxmlformats.org/officeDocument/2006/relationships/hyperlink" Target="https://statiz.sporki.com/add/?m=draft_school01&amp;ps_school=" TargetMode="External"/><Relationship Id="rId3689" Type="http://schemas.openxmlformats.org/officeDocument/2006/relationships/hyperlink" Target="https://statiz.sporki.com/add/?m=draft_school01&amp;ps_school=50805" TargetMode="External"/><Relationship Id="rId7560" Type="http://schemas.openxmlformats.org/officeDocument/2006/relationships/hyperlink" Target="https://statiz.sporki.com/add/?m=draft_school02&amp;ps_school=" TargetMode="External"/><Relationship Id="rId8611" Type="http://schemas.openxmlformats.org/officeDocument/2006/relationships/hyperlink" Target="https://statiz.sporki.com/player/?m=playerinfo&amp;p_no=1993" TargetMode="External"/><Relationship Id="rId17154" Type="http://schemas.openxmlformats.org/officeDocument/2006/relationships/hyperlink" Target="https://statiz.sporki.com/add/?m=draft_school01&amp;ps_school=50601" TargetMode="External"/><Relationship Id="rId18552" Type="http://schemas.openxmlformats.org/officeDocument/2006/relationships/hyperlink" Target="https://statiz.sporki.com/add/?m=draft_school01&amp;ps_school=50110" TargetMode="External"/><Relationship Id="rId19603" Type="http://schemas.openxmlformats.org/officeDocument/2006/relationships/hyperlink" Target="https://statiz.sporki.com/add/?m=draft_school01&amp;ps_school=50802" TargetMode="External"/><Relationship Id="rId6162" Type="http://schemas.openxmlformats.org/officeDocument/2006/relationships/hyperlink" Target="https://statiz.sporki.com/add/?m=draft_school02&amp;ps_school=" TargetMode="External"/><Relationship Id="rId7213" Type="http://schemas.openxmlformats.org/officeDocument/2006/relationships/hyperlink" Target="https://statiz.sporki.com/player/?m=playerinfo&amp;p_no=10263" TargetMode="External"/><Relationship Id="rId10541" Type="http://schemas.openxmlformats.org/officeDocument/2006/relationships/hyperlink" Target="https://statiz.sporki.com/add/?m=draft_school01&amp;ps_school=50112" TargetMode="External"/><Relationship Id="rId18205" Type="http://schemas.openxmlformats.org/officeDocument/2006/relationships/hyperlink" Target="https://statiz.sporki.com/add/?m=draft_school01&amp;ps_school=50109" TargetMode="External"/><Relationship Id="rId9385" Type="http://schemas.openxmlformats.org/officeDocument/2006/relationships/hyperlink" Target="https://statiz.sporki.com/player/?m=playerinfo&amp;p_no=1796" TargetMode="External"/><Relationship Id="rId13764" Type="http://schemas.openxmlformats.org/officeDocument/2006/relationships/hyperlink" Target="https://statiz.sporki.com/player/?m=playerinfo&amp;p_no=10918" TargetMode="External"/><Relationship Id="rId14815" Type="http://schemas.openxmlformats.org/officeDocument/2006/relationships/hyperlink" Target="https://statiz.sporki.com/player/?m=playerinfo&amp;p_no=2184" TargetMode="External"/><Relationship Id="rId2772" Type="http://schemas.openxmlformats.org/officeDocument/2006/relationships/hyperlink" Target="https://statiz.sporki.com/add/?m=draft_school02&amp;ps_school=" TargetMode="External"/><Relationship Id="rId3823" Type="http://schemas.openxmlformats.org/officeDocument/2006/relationships/hyperlink" Target="https://statiz.sporki.com/player/?m=playerinfo&amp;p_no=13245" TargetMode="External"/><Relationship Id="rId9038" Type="http://schemas.openxmlformats.org/officeDocument/2006/relationships/hyperlink" Target="https://statiz.sporki.com/add/?m=draft_school01&amp;ps_school=50502" TargetMode="External"/><Relationship Id="rId12366" Type="http://schemas.openxmlformats.org/officeDocument/2006/relationships/hyperlink" Target="https://statiz.sporki.com/player/?m=playerinfo&amp;p_no=15051" TargetMode="External"/><Relationship Id="rId13417" Type="http://schemas.openxmlformats.org/officeDocument/2006/relationships/hyperlink" Target="https://statiz.sporki.com/player/?m=playerinfo&amp;p_no=11356" TargetMode="External"/><Relationship Id="rId16987" Type="http://schemas.openxmlformats.org/officeDocument/2006/relationships/hyperlink" Target="https://statiz.sporki.com/add/?m=draft_school01&amp;ps_school=50703" TargetMode="External"/><Relationship Id="rId744" Type="http://schemas.openxmlformats.org/officeDocument/2006/relationships/hyperlink" Target="https://statiz.sporki.com/add/?m=draft_school02&amp;ps_school=60503" TargetMode="External"/><Relationship Id="rId1374" Type="http://schemas.openxmlformats.org/officeDocument/2006/relationships/hyperlink" Target="https://statiz.sporki.com/add/?m=draft_school02&amp;ps_school=60108" TargetMode="External"/><Relationship Id="rId2425" Type="http://schemas.openxmlformats.org/officeDocument/2006/relationships/hyperlink" Target="https://statiz.sporki.com/player/?m=playerinfo&amp;p_no=13095" TargetMode="External"/><Relationship Id="rId5995" Type="http://schemas.openxmlformats.org/officeDocument/2006/relationships/hyperlink" Target="https://statiz.sporki.com/player/?m=playerinfo&amp;p_no=10118" TargetMode="External"/><Relationship Id="rId12019" Type="http://schemas.openxmlformats.org/officeDocument/2006/relationships/hyperlink" Target="https://statiz.sporki.com/player/?m=playerinfo&amp;p_no=1052" TargetMode="External"/><Relationship Id="rId15589" Type="http://schemas.openxmlformats.org/officeDocument/2006/relationships/hyperlink" Target="https://statiz.sporki.com/player/?m=playerinfo&amp;p_no=1558" TargetMode="External"/><Relationship Id="rId19460" Type="http://schemas.openxmlformats.org/officeDocument/2006/relationships/hyperlink" Target="https://statiz.sporki.com/add/?m=draft_school01&amp;ps_school=50401" TargetMode="External"/><Relationship Id="rId80" Type="http://schemas.openxmlformats.org/officeDocument/2006/relationships/hyperlink" Target="https://statiz.sporki.com/add/?m=draft_school01&amp;ps_school=50215" TargetMode="External"/><Relationship Id="rId1027" Type="http://schemas.openxmlformats.org/officeDocument/2006/relationships/hyperlink" Target="https://statiz.sporki.com/player/?m=playerinfo&amp;p_no=14807" TargetMode="External"/><Relationship Id="rId4597" Type="http://schemas.openxmlformats.org/officeDocument/2006/relationships/hyperlink" Target="https://statiz.sporki.com/player/?m=playerinfo&amp;p_no=11070" TargetMode="External"/><Relationship Id="rId5648" Type="http://schemas.openxmlformats.org/officeDocument/2006/relationships/hyperlink" Target="https://statiz.sporki.com/add/?m=draft_school01&amp;ps_school=50105" TargetMode="External"/><Relationship Id="rId18062" Type="http://schemas.openxmlformats.org/officeDocument/2006/relationships/hyperlink" Target="https://statiz.sporki.com/add/?m=draft_school01&amp;ps_school=50602" TargetMode="External"/><Relationship Id="rId19113" Type="http://schemas.openxmlformats.org/officeDocument/2006/relationships/hyperlink" Target="https://statiz.sporki.com/add/?m=draft_school01&amp;ps_school=50604" TargetMode="External"/><Relationship Id="rId3199" Type="http://schemas.openxmlformats.org/officeDocument/2006/relationships/hyperlink" Target="https://statiz.sporki.com/player/?m=playerinfo&amp;p_no=12590" TargetMode="External"/><Relationship Id="rId7070" Type="http://schemas.openxmlformats.org/officeDocument/2006/relationships/hyperlink" Target="https://statiz.sporki.com/add/?m=draft_school01&amp;ps_school=" TargetMode="External"/><Relationship Id="rId8121" Type="http://schemas.openxmlformats.org/officeDocument/2006/relationships/hyperlink" Target="https://statiz.sporki.com/add/?m=draft_school02&amp;ps_school=60108" TargetMode="External"/><Relationship Id="rId10051" Type="http://schemas.openxmlformats.org/officeDocument/2006/relationships/hyperlink" Target="https://statiz.sporki.com/player/?m=playerinfo&amp;p_no=1566" TargetMode="External"/><Relationship Id="rId11102" Type="http://schemas.openxmlformats.org/officeDocument/2006/relationships/hyperlink" Target="https://statiz.sporki.com/add/?m=draft_school01&amp;ps_school=50803" TargetMode="External"/><Relationship Id="rId12500" Type="http://schemas.openxmlformats.org/officeDocument/2006/relationships/hyperlink" Target="https://statiz.sporki.com/player/?m=playerinfo&amp;p_no=14790" TargetMode="External"/><Relationship Id="rId14672" Type="http://schemas.openxmlformats.org/officeDocument/2006/relationships/hyperlink" Target="https://statiz.sporki.com/player/?m=playerinfo&amp;p_no=10251" TargetMode="External"/><Relationship Id="rId15723" Type="http://schemas.openxmlformats.org/officeDocument/2006/relationships/hyperlink" Target="https://statiz.sporki.com/player/?m=playerinfo&amp;p_no=1484" TargetMode="External"/><Relationship Id="rId2282" Type="http://schemas.openxmlformats.org/officeDocument/2006/relationships/hyperlink" Target="https://statiz.sporki.com/add/?m=draft_school01&amp;ps_school=50209" TargetMode="External"/><Relationship Id="rId3680" Type="http://schemas.openxmlformats.org/officeDocument/2006/relationships/hyperlink" Target="https://statiz.sporki.com/add/?m=draft_school01&amp;ps_school=50209" TargetMode="External"/><Relationship Id="rId4731" Type="http://schemas.openxmlformats.org/officeDocument/2006/relationships/hyperlink" Target="https://statiz.sporki.com/add/?m=draft_school02&amp;ps_school=" TargetMode="External"/><Relationship Id="rId13274" Type="http://schemas.openxmlformats.org/officeDocument/2006/relationships/hyperlink" Target="https://statiz.sporki.com/player/?m=playerinfo&amp;p_no=12624" TargetMode="External"/><Relationship Id="rId14325" Type="http://schemas.openxmlformats.org/officeDocument/2006/relationships/hyperlink" Target="https://statiz.sporki.com/player/?m=playerinfo&amp;p_no=10427" TargetMode="External"/><Relationship Id="rId17895" Type="http://schemas.openxmlformats.org/officeDocument/2006/relationships/hyperlink" Target="https://statiz.sporki.com/add/?m=draft_school01&amp;ps_school=50805" TargetMode="External"/><Relationship Id="rId18946" Type="http://schemas.openxmlformats.org/officeDocument/2006/relationships/hyperlink" Target="https://statiz.sporki.com/add/?m=draft_school01&amp;ps_school=50609" TargetMode="External"/><Relationship Id="rId254" Type="http://schemas.openxmlformats.org/officeDocument/2006/relationships/hyperlink" Target="https://statiz.sporki.com/add/?m=draft_school01&amp;ps_school=50106" TargetMode="External"/><Relationship Id="rId3333" Type="http://schemas.openxmlformats.org/officeDocument/2006/relationships/hyperlink" Target="https://statiz.sporki.com/add/?m=draft_school02&amp;ps_school=60114" TargetMode="External"/><Relationship Id="rId7954" Type="http://schemas.openxmlformats.org/officeDocument/2006/relationships/hyperlink" Target="https://statiz.sporki.com/player/?m=playerinfo&amp;p_no=2127" TargetMode="External"/><Relationship Id="rId10935" Type="http://schemas.openxmlformats.org/officeDocument/2006/relationships/hyperlink" Target="https://statiz.sporki.com/add/?m=draft_school02&amp;ps_school=" TargetMode="External"/><Relationship Id="rId16497" Type="http://schemas.openxmlformats.org/officeDocument/2006/relationships/hyperlink" Target="https://statiz.sporki.com/add/?m=draft_school01&amp;ps_school=50211" TargetMode="External"/><Relationship Id="rId17548" Type="http://schemas.openxmlformats.org/officeDocument/2006/relationships/hyperlink" Target="https://statiz.sporki.com/add/?m=draft_school01&amp;ps_school=50301" TargetMode="External"/><Relationship Id="rId6556" Type="http://schemas.openxmlformats.org/officeDocument/2006/relationships/hyperlink" Target="https://statiz.sporki.com/player/?m=playerinfo&amp;p_no=10648" TargetMode="External"/><Relationship Id="rId7607" Type="http://schemas.openxmlformats.org/officeDocument/2006/relationships/hyperlink" Target="https://statiz.sporki.com/add/?m=draft_school01&amp;ps_school=50701" TargetMode="External"/><Relationship Id="rId15099" Type="http://schemas.openxmlformats.org/officeDocument/2006/relationships/hyperlink" Target="https://statiz.sporki.com/player/?m=playerinfo&amp;p_no=1935" TargetMode="External"/><Relationship Id="rId5158" Type="http://schemas.openxmlformats.org/officeDocument/2006/relationships/hyperlink" Target="https://statiz.sporki.com/player/?m=playerinfo&amp;p_no=10657" TargetMode="External"/><Relationship Id="rId6209" Type="http://schemas.openxmlformats.org/officeDocument/2006/relationships/hyperlink" Target="https://statiz.sporki.com/add/?m=draft_school01&amp;ps_school=51100" TargetMode="External"/><Relationship Id="rId9779" Type="http://schemas.openxmlformats.org/officeDocument/2006/relationships/hyperlink" Target="https://statiz.sporki.com/add/?m=draft_school01&amp;ps_school=50502" TargetMode="External"/><Relationship Id="rId12010" Type="http://schemas.openxmlformats.org/officeDocument/2006/relationships/hyperlink" Target="https://statiz.sporki.com/player/?m=playerinfo&amp;p_no=1084" TargetMode="External"/><Relationship Id="rId15580" Type="http://schemas.openxmlformats.org/officeDocument/2006/relationships/hyperlink" Target="https://statiz.sporki.com/player/?m=playerinfo&amp;p_no=1835" TargetMode="External"/><Relationship Id="rId1768" Type="http://schemas.openxmlformats.org/officeDocument/2006/relationships/hyperlink" Target="https://statiz.sporki.com/player/?m=playerinfo&amp;p_no=14825" TargetMode="External"/><Relationship Id="rId2819" Type="http://schemas.openxmlformats.org/officeDocument/2006/relationships/hyperlink" Target="https://statiz.sporki.com/add/?m=draft_school01&amp;ps_school=50701" TargetMode="External"/><Relationship Id="rId14182" Type="http://schemas.openxmlformats.org/officeDocument/2006/relationships/hyperlink" Target="https://statiz.sporki.com/player/?m=playerinfo&amp;p_no=10737" TargetMode="External"/><Relationship Id="rId15233" Type="http://schemas.openxmlformats.org/officeDocument/2006/relationships/hyperlink" Target="https://statiz.sporki.com/player/?m=playerinfo&amp;p_no=1896" TargetMode="External"/><Relationship Id="rId16631" Type="http://schemas.openxmlformats.org/officeDocument/2006/relationships/hyperlink" Target="https://statiz.sporki.com/add/?m=draft_school01&amp;ps_school=50103" TargetMode="External"/><Relationship Id="rId3190" Type="http://schemas.openxmlformats.org/officeDocument/2006/relationships/hyperlink" Target="https://statiz.sporki.com/player/?m=playerinfo&amp;p_no=12612" TargetMode="External"/><Relationship Id="rId4241" Type="http://schemas.openxmlformats.org/officeDocument/2006/relationships/hyperlink" Target="https://statiz.sporki.com/add/?m=draft_school01&amp;ps_school=50805" TargetMode="External"/><Relationship Id="rId7464" Type="http://schemas.openxmlformats.org/officeDocument/2006/relationships/hyperlink" Target="https://statiz.sporki.com/add/?m=draft_school02&amp;ps_school=60104" TargetMode="External"/><Relationship Id="rId8862" Type="http://schemas.openxmlformats.org/officeDocument/2006/relationships/hyperlink" Target="https://statiz.sporki.com/add/?m=draft_school02&amp;ps_school=60705" TargetMode="External"/><Relationship Id="rId9913" Type="http://schemas.openxmlformats.org/officeDocument/2006/relationships/hyperlink" Target="https://statiz.sporki.com/player/?m=playerinfo&amp;p_no=1666" TargetMode="External"/><Relationship Id="rId10792" Type="http://schemas.openxmlformats.org/officeDocument/2006/relationships/hyperlink" Target="https://statiz.sporki.com/player/?m=playerinfo&amp;p_no=1415" TargetMode="External"/><Relationship Id="rId11843" Type="http://schemas.openxmlformats.org/officeDocument/2006/relationships/hyperlink" Target="https://statiz.sporki.com/add/?m=draft_school01&amp;ps_school=50402" TargetMode="External"/><Relationship Id="rId18456" Type="http://schemas.openxmlformats.org/officeDocument/2006/relationships/hyperlink" Target="https://statiz.sporki.com/add/?m=draft_school01&amp;ps_school=50101" TargetMode="External"/><Relationship Id="rId19507" Type="http://schemas.openxmlformats.org/officeDocument/2006/relationships/hyperlink" Target="https://statiz.sporki.com/add/?m=draft_school01&amp;ps_school=50802" TargetMode="External"/><Relationship Id="rId1902" Type="http://schemas.openxmlformats.org/officeDocument/2006/relationships/hyperlink" Target="https://statiz.sporki.com/add/?m=draft_school02&amp;ps_school=" TargetMode="External"/><Relationship Id="rId6066" Type="http://schemas.openxmlformats.org/officeDocument/2006/relationships/hyperlink" Target="https://statiz.sporki.com/add/?m=draft_school02&amp;ps_school=60108" TargetMode="External"/><Relationship Id="rId7117" Type="http://schemas.openxmlformats.org/officeDocument/2006/relationships/hyperlink" Target="https://statiz.sporki.com/player/?m=playerinfo&amp;p_no=10600" TargetMode="External"/><Relationship Id="rId8515" Type="http://schemas.openxmlformats.org/officeDocument/2006/relationships/hyperlink" Target="https://statiz.sporki.com/player/?m=playerinfo&amp;p_no=10485" TargetMode="External"/><Relationship Id="rId10445" Type="http://schemas.openxmlformats.org/officeDocument/2006/relationships/hyperlink" Target="https://statiz.sporki.com/add/?m=draft_school01&amp;ps_school=50102" TargetMode="External"/><Relationship Id="rId17058" Type="http://schemas.openxmlformats.org/officeDocument/2006/relationships/hyperlink" Target="https://statiz.sporki.com/add/?m=draft_school01&amp;ps_school=50202" TargetMode="External"/><Relationship Id="rId18109" Type="http://schemas.openxmlformats.org/officeDocument/2006/relationships/hyperlink" Target="https://statiz.sporki.com/add/?m=draft_school01&amp;ps_school=50805" TargetMode="External"/><Relationship Id="rId13668" Type="http://schemas.openxmlformats.org/officeDocument/2006/relationships/hyperlink" Target="https://statiz.sporki.com/player/?m=playerinfo&amp;p_no=11291" TargetMode="External"/><Relationship Id="rId14719" Type="http://schemas.openxmlformats.org/officeDocument/2006/relationships/hyperlink" Target="https://statiz.sporki.com/player/?m=playerinfo&amp;p_no=2169" TargetMode="External"/><Relationship Id="rId995" Type="http://schemas.openxmlformats.org/officeDocument/2006/relationships/hyperlink" Target="https://statiz.sporki.com/add/?m=draft_school01&amp;ps_school=50208" TargetMode="External"/><Relationship Id="rId2676" Type="http://schemas.openxmlformats.org/officeDocument/2006/relationships/hyperlink" Target="https://statiz.sporki.com/add/?m=draft_school02&amp;ps_school=" TargetMode="External"/><Relationship Id="rId3727" Type="http://schemas.openxmlformats.org/officeDocument/2006/relationships/hyperlink" Target="https://statiz.sporki.com/player/?m=playerinfo&amp;p_no=11385" TargetMode="External"/><Relationship Id="rId9289" Type="http://schemas.openxmlformats.org/officeDocument/2006/relationships/hyperlink" Target="https://statiz.sporki.com/player/?m=playerinfo&amp;p_no=1962" TargetMode="External"/><Relationship Id="rId15090" Type="http://schemas.openxmlformats.org/officeDocument/2006/relationships/hyperlink" Target="https://statiz.sporki.com/player/?m=playerinfo&amp;p_no=1936" TargetMode="External"/><Relationship Id="rId16141" Type="http://schemas.openxmlformats.org/officeDocument/2006/relationships/hyperlink" Target="https://statiz.sporki.com/player/?m=playerinfo&amp;p_no=1003" TargetMode="External"/><Relationship Id="rId648" Type="http://schemas.openxmlformats.org/officeDocument/2006/relationships/hyperlink" Target="https://statiz.sporki.com/add/?m=draft_school02&amp;ps_school=" TargetMode="External"/><Relationship Id="rId1278" Type="http://schemas.openxmlformats.org/officeDocument/2006/relationships/hyperlink" Target="https://statiz.sporki.com/add/?m=draft_school02&amp;ps_school=" TargetMode="External"/><Relationship Id="rId2329" Type="http://schemas.openxmlformats.org/officeDocument/2006/relationships/hyperlink" Target="https://statiz.sporki.com/player/?m=playerinfo&amp;p_no=13081" TargetMode="External"/><Relationship Id="rId5899" Type="http://schemas.openxmlformats.org/officeDocument/2006/relationships/hyperlink" Target="https://statiz.sporki.com/player/?m=playerinfo&amp;p_no=10015" TargetMode="External"/><Relationship Id="rId6200" Type="http://schemas.openxmlformats.org/officeDocument/2006/relationships/hyperlink" Target="https://statiz.sporki.com/add/?m=draft_school01&amp;ps_school=" TargetMode="External"/><Relationship Id="rId9770" Type="http://schemas.openxmlformats.org/officeDocument/2006/relationships/hyperlink" Target="https://statiz.sporki.com/add/?m=draft_school01&amp;ps_school=" TargetMode="External"/><Relationship Id="rId19364" Type="http://schemas.openxmlformats.org/officeDocument/2006/relationships/hyperlink" Target="https://statiz.sporki.com/add/?m=draft_school01&amp;ps_school=50110" TargetMode="External"/><Relationship Id="rId8372" Type="http://schemas.openxmlformats.org/officeDocument/2006/relationships/hyperlink" Target="https://statiz.sporki.com/add/?m=draft_school01&amp;ps_school=50110" TargetMode="External"/><Relationship Id="rId9423" Type="http://schemas.openxmlformats.org/officeDocument/2006/relationships/hyperlink" Target="https://statiz.sporki.com/add/?m=draft_school02&amp;ps_school=60501" TargetMode="External"/><Relationship Id="rId12751" Type="http://schemas.openxmlformats.org/officeDocument/2006/relationships/hyperlink" Target="https://statiz.sporki.com/player/?m=playerinfo&amp;p_no=14636" TargetMode="External"/><Relationship Id="rId13802" Type="http://schemas.openxmlformats.org/officeDocument/2006/relationships/hyperlink" Target="https://statiz.sporki.com/player/?m=playerinfo&amp;p_no=10889" TargetMode="External"/><Relationship Id="rId19017" Type="http://schemas.openxmlformats.org/officeDocument/2006/relationships/hyperlink" Target="https://statiz.sporki.com/add/?m=draft_school01&amp;ps_school=50702" TargetMode="External"/><Relationship Id="rId2810" Type="http://schemas.openxmlformats.org/officeDocument/2006/relationships/hyperlink" Target="https://statiz.sporki.com/add/?m=draft_school01&amp;ps_school=50601" TargetMode="External"/><Relationship Id="rId8025" Type="http://schemas.openxmlformats.org/officeDocument/2006/relationships/hyperlink" Target="https://statiz.sporki.com/add/?m=draft_school02&amp;ps_school=60114" TargetMode="External"/><Relationship Id="rId11353" Type="http://schemas.openxmlformats.org/officeDocument/2006/relationships/hyperlink" Target="https://statiz.sporki.com/player/?m=playerinfo&amp;p_no=1263" TargetMode="External"/><Relationship Id="rId12404" Type="http://schemas.openxmlformats.org/officeDocument/2006/relationships/hyperlink" Target="https://statiz.sporki.com/player/?m=playerinfo&amp;p_no=15033" TargetMode="External"/><Relationship Id="rId15974" Type="http://schemas.openxmlformats.org/officeDocument/2006/relationships/hyperlink" Target="https://statiz.sporki.com/player/?m=playerinfo&amp;p_no=1201" TargetMode="External"/><Relationship Id="rId1412" Type="http://schemas.openxmlformats.org/officeDocument/2006/relationships/hyperlink" Target="https://statiz.sporki.com/add/?m=draft_school01&amp;ps_school=50207" TargetMode="External"/><Relationship Id="rId4982" Type="http://schemas.openxmlformats.org/officeDocument/2006/relationships/hyperlink" Target="https://statiz.sporki.com/add/?m=draft_school01&amp;ps_school=50502" TargetMode="External"/><Relationship Id="rId11006" Type="http://schemas.openxmlformats.org/officeDocument/2006/relationships/hyperlink" Target="https://statiz.sporki.com/add/?m=draft_school01&amp;ps_school=50502" TargetMode="External"/><Relationship Id="rId14576" Type="http://schemas.openxmlformats.org/officeDocument/2006/relationships/hyperlink" Target="https://statiz.sporki.com/player/?m=playerinfo&amp;p_no=10529" TargetMode="External"/><Relationship Id="rId15627" Type="http://schemas.openxmlformats.org/officeDocument/2006/relationships/hyperlink" Target="https://statiz.sporki.com/player/?m=playerinfo&amp;p_no=1705" TargetMode="External"/><Relationship Id="rId3584" Type="http://schemas.openxmlformats.org/officeDocument/2006/relationships/hyperlink" Target="https://statiz.sporki.com/add/?m=draft_school01&amp;ps_school=50602" TargetMode="External"/><Relationship Id="rId4635" Type="http://schemas.openxmlformats.org/officeDocument/2006/relationships/hyperlink" Target="https://statiz.sporki.com/add/?m=draft_school02&amp;ps_school=" TargetMode="External"/><Relationship Id="rId13178" Type="http://schemas.openxmlformats.org/officeDocument/2006/relationships/hyperlink" Target="https://statiz.sporki.com/player/?m=playerinfo&amp;p_no=12958" TargetMode="External"/><Relationship Id="rId14229" Type="http://schemas.openxmlformats.org/officeDocument/2006/relationships/hyperlink" Target="https://statiz.sporki.com/player/?m=playerinfo&amp;p_no=10250" TargetMode="External"/><Relationship Id="rId17799" Type="http://schemas.openxmlformats.org/officeDocument/2006/relationships/hyperlink" Target="https://statiz.sporki.com/add/?m=draft_school01&amp;ps_school=50807" TargetMode="External"/><Relationship Id="rId18100" Type="http://schemas.openxmlformats.org/officeDocument/2006/relationships/hyperlink" Target="https://statiz.sporki.com/add/?m=draft_school01&amp;ps_school=50802" TargetMode="External"/><Relationship Id="rId158" Type="http://schemas.openxmlformats.org/officeDocument/2006/relationships/hyperlink" Target="https://statiz.sporki.com/add/?m=draft_school01&amp;ps_school=50114" TargetMode="External"/><Relationship Id="rId2186" Type="http://schemas.openxmlformats.org/officeDocument/2006/relationships/hyperlink" Target="https://statiz.sporki.com/add/?m=draft_school01&amp;ps_school=" TargetMode="External"/><Relationship Id="rId3237" Type="http://schemas.openxmlformats.org/officeDocument/2006/relationships/hyperlink" Target="https://statiz.sporki.com/add/?m=draft_school02&amp;ps_school=" TargetMode="External"/><Relationship Id="rId7858" Type="http://schemas.openxmlformats.org/officeDocument/2006/relationships/hyperlink" Target="https://statiz.sporki.com/player/?m=playerinfo&amp;p_no=10260" TargetMode="External"/><Relationship Id="rId8909" Type="http://schemas.openxmlformats.org/officeDocument/2006/relationships/hyperlink" Target="https://statiz.sporki.com/add/?m=draft_school01&amp;ps_school=50106" TargetMode="External"/><Relationship Id="rId9280" Type="http://schemas.openxmlformats.org/officeDocument/2006/relationships/hyperlink" Target="https://statiz.sporki.com/player/?m=playerinfo&amp;p_no=1879" TargetMode="External"/><Relationship Id="rId10839" Type="http://schemas.openxmlformats.org/officeDocument/2006/relationships/hyperlink" Target="https://statiz.sporki.com/add/?m=draft_school02&amp;ps_school=60501" TargetMode="External"/><Relationship Id="rId12261" Type="http://schemas.openxmlformats.org/officeDocument/2006/relationships/hyperlink" Target="https://statiz.sporki.com/player/?m=playerinfo&amp;p_no=15530" TargetMode="External"/><Relationship Id="rId13312" Type="http://schemas.openxmlformats.org/officeDocument/2006/relationships/hyperlink" Target="https://statiz.sporki.com/player/?m=playerinfo&amp;p_no=12519" TargetMode="External"/><Relationship Id="rId14710" Type="http://schemas.openxmlformats.org/officeDocument/2006/relationships/hyperlink" Target="https://statiz.sporki.com/player/?m=playerinfo&amp;p_no=2174" TargetMode="External"/><Relationship Id="rId2320" Type="http://schemas.openxmlformats.org/officeDocument/2006/relationships/hyperlink" Target="https://statiz.sporki.com/player/?m=playerinfo&amp;p_no=13114" TargetMode="External"/><Relationship Id="rId16882" Type="http://schemas.openxmlformats.org/officeDocument/2006/relationships/hyperlink" Target="https://statiz.sporki.com/add/?m=draft_school01&amp;ps_school=50802" TargetMode="External"/><Relationship Id="rId17933" Type="http://schemas.openxmlformats.org/officeDocument/2006/relationships/hyperlink" Target="https://statiz.sporki.com/add/?m=draft_school01&amp;ps_school=50403" TargetMode="External"/><Relationship Id="rId4492" Type="http://schemas.openxmlformats.org/officeDocument/2006/relationships/hyperlink" Target="https://statiz.sporki.com/player/?m=playerinfo&amp;p_no=11131" TargetMode="External"/><Relationship Id="rId5543" Type="http://schemas.openxmlformats.org/officeDocument/2006/relationships/hyperlink" Target="https://statiz.sporki.com/add/?m=draft_school01&amp;ps_school=50701" TargetMode="External"/><Relationship Id="rId5890" Type="http://schemas.openxmlformats.org/officeDocument/2006/relationships/hyperlink" Target="https://statiz.sporki.com/player/?m=playerinfo&amp;p_no=10513" TargetMode="External"/><Relationship Id="rId6941" Type="http://schemas.openxmlformats.org/officeDocument/2006/relationships/hyperlink" Target="https://statiz.sporki.com/add/?m=draft_school01&amp;ps_school=50805" TargetMode="External"/><Relationship Id="rId14086" Type="http://schemas.openxmlformats.org/officeDocument/2006/relationships/hyperlink" Target="https://statiz.sporki.com/player/?m=playerinfo&amp;p_no=10595" TargetMode="External"/><Relationship Id="rId15484" Type="http://schemas.openxmlformats.org/officeDocument/2006/relationships/hyperlink" Target="https://statiz.sporki.com/player/?m=playerinfo&amp;p_no=1609" TargetMode="External"/><Relationship Id="rId16535" Type="http://schemas.openxmlformats.org/officeDocument/2006/relationships/hyperlink" Target="https://statiz.sporki.com/add/?m=draft_school01&amp;ps_school=50207" TargetMode="External"/><Relationship Id="rId3094" Type="http://schemas.openxmlformats.org/officeDocument/2006/relationships/hyperlink" Target="https://statiz.sporki.com/player/?m=playerinfo&amp;p_no=12990" TargetMode="External"/><Relationship Id="rId4145" Type="http://schemas.openxmlformats.org/officeDocument/2006/relationships/hyperlink" Target="https://statiz.sporki.com/add/?m=draft_school01&amp;ps_school=50111" TargetMode="External"/><Relationship Id="rId15137" Type="http://schemas.openxmlformats.org/officeDocument/2006/relationships/hyperlink" Target="https://statiz.sporki.com/player/?m=playerinfo&amp;p_no=10439" TargetMode="External"/><Relationship Id="rId8766" Type="http://schemas.openxmlformats.org/officeDocument/2006/relationships/hyperlink" Target="https://statiz.sporki.com/add/?m=draft_school02&amp;ps_school=" TargetMode="External"/><Relationship Id="rId9817" Type="http://schemas.openxmlformats.org/officeDocument/2006/relationships/hyperlink" Target="https://statiz.sporki.com/player/?m=playerinfo&amp;p_no=1646" TargetMode="External"/><Relationship Id="rId10696" Type="http://schemas.openxmlformats.org/officeDocument/2006/relationships/hyperlink" Target="https://statiz.sporki.com/player/?m=playerinfo&amp;p_no=1447" TargetMode="External"/><Relationship Id="rId11747" Type="http://schemas.openxmlformats.org/officeDocument/2006/relationships/hyperlink" Target="https://statiz.sporki.com/add/?m=draft_school01&amp;ps_school=50106" TargetMode="External"/><Relationship Id="rId1806" Type="http://schemas.openxmlformats.org/officeDocument/2006/relationships/hyperlink" Target="https://statiz.sporki.com/add/?m=draft_school02&amp;ps_school=60104" TargetMode="External"/><Relationship Id="rId7368" Type="http://schemas.openxmlformats.org/officeDocument/2006/relationships/hyperlink" Target="https://statiz.sporki.com/add/?m=draft_school02&amp;ps_school=" TargetMode="External"/><Relationship Id="rId8419" Type="http://schemas.openxmlformats.org/officeDocument/2006/relationships/hyperlink" Target="https://statiz.sporki.com/player/?m=playerinfo&amp;p_no=2030" TargetMode="External"/><Relationship Id="rId10349" Type="http://schemas.openxmlformats.org/officeDocument/2006/relationships/hyperlink" Target="https://statiz.sporki.com/add/?m=draft_school01&amp;ps_school=50210" TargetMode="External"/><Relationship Id="rId14220" Type="http://schemas.openxmlformats.org/officeDocument/2006/relationships/hyperlink" Target="https://statiz.sporki.com/player/?m=playerinfo&amp;p_no=10107" TargetMode="External"/><Relationship Id="rId17790" Type="http://schemas.openxmlformats.org/officeDocument/2006/relationships/hyperlink" Target="https://statiz.sporki.com/add/?m=draft_school01&amp;ps_school=50109" TargetMode="External"/><Relationship Id="rId3978" Type="http://schemas.openxmlformats.org/officeDocument/2006/relationships/hyperlink" Target="https://statiz.sporki.com/add/?m=draft_school02&amp;ps_school=" TargetMode="External"/><Relationship Id="rId8900" Type="http://schemas.openxmlformats.org/officeDocument/2006/relationships/hyperlink" Target="https://statiz.sporki.com/add/?m=draft_school01&amp;ps_school=50805" TargetMode="External"/><Relationship Id="rId16392" Type="http://schemas.openxmlformats.org/officeDocument/2006/relationships/hyperlink" Target="https://statiz.sporki.com/add/?m=draft_school01&amp;ps_school=50810" TargetMode="External"/><Relationship Id="rId17443" Type="http://schemas.openxmlformats.org/officeDocument/2006/relationships/hyperlink" Target="https://statiz.sporki.com/add/?m=draft_school01&amp;ps_school=50602" TargetMode="External"/><Relationship Id="rId18841" Type="http://schemas.openxmlformats.org/officeDocument/2006/relationships/hyperlink" Target="https://statiz.sporki.com/add/?m=draft_school01&amp;ps_school=50403" TargetMode="External"/><Relationship Id="rId899" Type="http://schemas.openxmlformats.org/officeDocument/2006/relationships/hyperlink" Target="https://statiz.sporki.com/add/?m=draft_school01&amp;ps_school=50902" TargetMode="External"/><Relationship Id="rId6451" Type="http://schemas.openxmlformats.org/officeDocument/2006/relationships/hyperlink" Target="https://statiz.sporki.com/player/?m=playerinfo&amp;p_no=2398" TargetMode="External"/><Relationship Id="rId7502" Type="http://schemas.openxmlformats.org/officeDocument/2006/relationships/hyperlink" Target="https://statiz.sporki.com/add/?m=draft_school01&amp;ps_school=" TargetMode="External"/><Relationship Id="rId10830" Type="http://schemas.openxmlformats.org/officeDocument/2006/relationships/hyperlink" Target="https://statiz.sporki.com/add/?m=draft_school02&amp;ps_school=60111" TargetMode="External"/><Relationship Id="rId16045" Type="http://schemas.openxmlformats.org/officeDocument/2006/relationships/hyperlink" Target="https://statiz.sporki.com/player/?m=playerinfo&amp;p_no=1096" TargetMode="External"/><Relationship Id="rId5053" Type="http://schemas.openxmlformats.org/officeDocument/2006/relationships/hyperlink" Target="https://statiz.sporki.com/player/?m=playerinfo&amp;p_no=10844" TargetMode="External"/><Relationship Id="rId6104" Type="http://schemas.openxmlformats.org/officeDocument/2006/relationships/hyperlink" Target="https://statiz.sporki.com/add/?m=draft_school01&amp;ps_school=50207" TargetMode="External"/><Relationship Id="rId9674" Type="http://schemas.openxmlformats.org/officeDocument/2006/relationships/hyperlink" Target="https://statiz.sporki.com/add/?m=draft_school01&amp;ps_school=50116" TargetMode="External"/><Relationship Id="rId8276" Type="http://schemas.openxmlformats.org/officeDocument/2006/relationships/hyperlink" Target="https://statiz.sporki.com/add/?m=draft_school01&amp;ps_school=" TargetMode="External"/><Relationship Id="rId9327" Type="http://schemas.openxmlformats.org/officeDocument/2006/relationships/hyperlink" Target="https://statiz.sporki.com/add/?m=draft_school02&amp;ps_school=60802" TargetMode="External"/><Relationship Id="rId12655" Type="http://schemas.openxmlformats.org/officeDocument/2006/relationships/hyperlink" Target="https://statiz.sporki.com/player/?m=playerinfo&amp;p_no=14647" TargetMode="External"/><Relationship Id="rId13706" Type="http://schemas.openxmlformats.org/officeDocument/2006/relationships/hyperlink" Target="https://statiz.sporki.com/player/?m=playerinfo&amp;p_no=11183" TargetMode="External"/><Relationship Id="rId19268" Type="http://schemas.openxmlformats.org/officeDocument/2006/relationships/hyperlink" Target="https://statiz.sporki.com/add/?m=draft_school01&amp;ps_school=50604" TargetMode="External"/><Relationship Id="rId1663" Type="http://schemas.openxmlformats.org/officeDocument/2006/relationships/hyperlink" Target="https://statiz.sporki.com/player/?m=playerinfo&amp;p_no=14692" TargetMode="External"/><Relationship Id="rId2714" Type="http://schemas.openxmlformats.org/officeDocument/2006/relationships/hyperlink" Target="https://statiz.sporki.com/add/?m=draft_school01&amp;ps_school=50903" TargetMode="External"/><Relationship Id="rId11257" Type="http://schemas.openxmlformats.org/officeDocument/2006/relationships/hyperlink" Target="https://statiz.sporki.com/player/?m=playerinfo&amp;p_no=1531" TargetMode="External"/><Relationship Id="rId12308" Type="http://schemas.openxmlformats.org/officeDocument/2006/relationships/hyperlink" Target="https://statiz.sporki.com/player/?m=playerinfo&amp;p_no=15067" TargetMode="External"/><Relationship Id="rId15878" Type="http://schemas.openxmlformats.org/officeDocument/2006/relationships/hyperlink" Target="https://statiz.sporki.com/player/?m=playerinfo&amp;p_no=1322" TargetMode="External"/><Relationship Id="rId16929" Type="http://schemas.openxmlformats.org/officeDocument/2006/relationships/hyperlink" Target="https://statiz.sporki.com/add/?m=draft_school01&amp;ps_school=50705" TargetMode="External"/><Relationship Id="rId1316" Type="http://schemas.openxmlformats.org/officeDocument/2006/relationships/hyperlink" Target="https://statiz.sporki.com/add/?m=draft_school01&amp;ps_school=" TargetMode="External"/><Relationship Id="rId4886" Type="http://schemas.openxmlformats.org/officeDocument/2006/relationships/hyperlink" Target="https://statiz.sporki.com/add/?m=draft_school01&amp;ps_school=50403" TargetMode="External"/><Relationship Id="rId5937" Type="http://schemas.openxmlformats.org/officeDocument/2006/relationships/hyperlink" Target="https://statiz.sporki.com/add/?m=draft_school02&amp;ps_school=" TargetMode="External"/><Relationship Id="rId18351" Type="http://schemas.openxmlformats.org/officeDocument/2006/relationships/hyperlink" Target="https://statiz.sporki.com/add/?m=draft_school01&amp;ps_school=50703" TargetMode="External"/><Relationship Id="rId19402" Type="http://schemas.openxmlformats.org/officeDocument/2006/relationships/hyperlink" Target="https://statiz.sporki.com/add/?m=draft_school01&amp;ps_school=50602" TargetMode="External"/><Relationship Id="rId22" Type="http://schemas.openxmlformats.org/officeDocument/2006/relationships/hyperlink" Target="https://statiz.sporki.com/player/?m=playerinfo&amp;p_no=15496" TargetMode="External"/><Relationship Id="rId3488" Type="http://schemas.openxmlformats.org/officeDocument/2006/relationships/hyperlink" Target="https://statiz.sporki.com/add/?m=draft_school01&amp;ps_school=" TargetMode="External"/><Relationship Id="rId4539" Type="http://schemas.openxmlformats.org/officeDocument/2006/relationships/hyperlink" Target="https://statiz.sporki.com/add/?m=draft_school02&amp;ps_school=" TargetMode="External"/><Relationship Id="rId8410" Type="http://schemas.openxmlformats.org/officeDocument/2006/relationships/hyperlink" Target="https://statiz.sporki.com/player/?m=playerinfo&amp;p_no=10420" TargetMode="External"/><Relationship Id="rId10340" Type="http://schemas.openxmlformats.org/officeDocument/2006/relationships/hyperlink" Target="https://statiz.sporki.com/add/?m=draft_school01&amp;ps_school=50114" TargetMode="External"/><Relationship Id="rId18004" Type="http://schemas.openxmlformats.org/officeDocument/2006/relationships/hyperlink" Target="https://statiz.sporki.com/add/?m=draft_school01&amp;ps_school=50204" TargetMode="External"/><Relationship Id="rId7012" Type="http://schemas.openxmlformats.org/officeDocument/2006/relationships/hyperlink" Target="https://statiz.sporki.com/player/?m=playerinfo&amp;p_no=10294" TargetMode="External"/><Relationship Id="rId14961" Type="http://schemas.openxmlformats.org/officeDocument/2006/relationships/hyperlink" Target="https://statiz.sporki.com/player/?m=playerinfo&amp;p_no=2022" TargetMode="External"/><Relationship Id="rId890" Type="http://schemas.openxmlformats.org/officeDocument/2006/relationships/hyperlink" Target="https://statiz.sporki.com/add/?m=draft_school01&amp;ps_school=50301" TargetMode="External"/><Relationship Id="rId2571" Type="http://schemas.openxmlformats.org/officeDocument/2006/relationships/hyperlink" Target="https://statiz.sporki.com/add/?m=draft_school02&amp;ps_school=60103" TargetMode="External"/><Relationship Id="rId9184" Type="http://schemas.openxmlformats.org/officeDocument/2006/relationships/hyperlink" Target="https://statiz.sporki.com/player/?m=playerinfo&amp;p_no=10041" TargetMode="External"/><Relationship Id="rId12165" Type="http://schemas.openxmlformats.org/officeDocument/2006/relationships/hyperlink" Target="https://statiz.sporki.com/player/?m=playerinfo&amp;p_no=15452" TargetMode="External"/><Relationship Id="rId13563" Type="http://schemas.openxmlformats.org/officeDocument/2006/relationships/hyperlink" Target="https://statiz.sporki.com/player/?m=playerinfo&amp;p_no=11199" TargetMode="External"/><Relationship Id="rId14614" Type="http://schemas.openxmlformats.org/officeDocument/2006/relationships/hyperlink" Target="https://statiz.sporki.com/player/?m=playerinfo&amp;p_no=10762" TargetMode="External"/><Relationship Id="rId543" Type="http://schemas.openxmlformats.org/officeDocument/2006/relationships/hyperlink" Target="https://statiz.sporki.com/add/?m=draft_school02&amp;ps_school=" TargetMode="External"/><Relationship Id="rId1173" Type="http://schemas.openxmlformats.org/officeDocument/2006/relationships/hyperlink" Target="https://statiz.sporki.com/add/?m=draft_school02&amp;ps_school=" TargetMode="External"/><Relationship Id="rId2224" Type="http://schemas.openxmlformats.org/officeDocument/2006/relationships/hyperlink" Target="https://statiz.sporki.com/player/?m=playerinfo&amp;p_no=13928" TargetMode="External"/><Relationship Id="rId3622" Type="http://schemas.openxmlformats.org/officeDocument/2006/relationships/hyperlink" Target="https://statiz.sporki.com/player/?m=playerinfo&amp;p_no=11369" TargetMode="External"/><Relationship Id="rId13216" Type="http://schemas.openxmlformats.org/officeDocument/2006/relationships/hyperlink" Target="https://statiz.sporki.com/player/?m=playerinfo&amp;p_no=12628" TargetMode="External"/><Relationship Id="rId16786" Type="http://schemas.openxmlformats.org/officeDocument/2006/relationships/hyperlink" Target="https://statiz.sporki.com/add/?m=draft_school01&amp;ps_school=50208" TargetMode="External"/><Relationship Id="rId17837" Type="http://schemas.openxmlformats.org/officeDocument/2006/relationships/hyperlink" Target="https://statiz.sporki.com/add/?m=draft_school01&amp;ps_school=50112" TargetMode="External"/><Relationship Id="rId5794" Type="http://schemas.openxmlformats.org/officeDocument/2006/relationships/hyperlink" Target="https://statiz.sporki.com/player/?m=playerinfo&amp;p_no=10343" TargetMode="External"/><Relationship Id="rId6845" Type="http://schemas.openxmlformats.org/officeDocument/2006/relationships/hyperlink" Target="https://statiz.sporki.com/add/?m=draft_school01&amp;ps_school=" TargetMode="External"/><Relationship Id="rId15388" Type="http://schemas.openxmlformats.org/officeDocument/2006/relationships/hyperlink" Target="https://statiz.sporki.com/player/?m=playerinfo&amp;p_no=1781" TargetMode="External"/><Relationship Id="rId16439" Type="http://schemas.openxmlformats.org/officeDocument/2006/relationships/hyperlink" Target="https://statiz.sporki.com/add/?m=draft_school01&amp;ps_school=51128" TargetMode="External"/><Relationship Id="rId4049" Type="http://schemas.openxmlformats.org/officeDocument/2006/relationships/hyperlink" Target="https://statiz.sporki.com/add/?m=draft_school01&amp;ps_school=50105" TargetMode="External"/><Relationship Id="rId4396" Type="http://schemas.openxmlformats.org/officeDocument/2006/relationships/hyperlink" Target="https://statiz.sporki.com/player/?m=playerinfo&amp;p_no=11348" TargetMode="External"/><Relationship Id="rId5447" Type="http://schemas.openxmlformats.org/officeDocument/2006/relationships/hyperlink" Target="https://statiz.sporki.com/add/?m=draft_school01&amp;ps_school=50108" TargetMode="External"/><Relationship Id="rId11998" Type="http://schemas.openxmlformats.org/officeDocument/2006/relationships/hyperlink" Target="https://statiz.sporki.com/player/?m=playerinfo&amp;p_no=1003" TargetMode="External"/><Relationship Id="rId14471" Type="http://schemas.openxmlformats.org/officeDocument/2006/relationships/hyperlink" Target="https://statiz.sporki.com/player/?m=playerinfo&amp;p_no=10765" TargetMode="External"/><Relationship Id="rId15522" Type="http://schemas.openxmlformats.org/officeDocument/2006/relationships/hyperlink" Target="https://statiz.sporki.com/player/?m=playerinfo&amp;p_no=1598" TargetMode="External"/><Relationship Id="rId16920" Type="http://schemas.openxmlformats.org/officeDocument/2006/relationships/hyperlink" Target="https://statiz.sporki.com/add/?m=draft_school01&amp;ps_school=50601" TargetMode="External"/><Relationship Id="rId4530" Type="http://schemas.openxmlformats.org/officeDocument/2006/relationships/hyperlink" Target="https://statiz.sporki.com/add/?m=draft_school02&amp;ps_school=60702" TargetMode="External"/><Relationship Id="rId13073" Type="http://schemas.openxmlformats.org/officeDocument/2006/relationships/hyperlink" Target="https://statiz.sporki.com/player/?m=playerinfo&amp;p_no=12934" TargetMode="External"/><Relationship Id="rId14124" Type="http://schemas.openxmlformats.org/officeDocument/2006/relationships/hyperlink" Target="https://statiz.sporki.com/player/?m=playerinfo&amp;p_no=10209" TargetMode="External"/><Relationship Id="rId2081" Type="http://schemas.openxmlformats.org/officeDocument/2006/relationships/hyperlink" Target="https://statiz.sporki.com/add/?m=draft_school01&amp;ps_school=50215" TargetMode="External"/><Relationship Id="rId3132" Type="http://schemas.openxmlformats.org/officeDocument/2006/relationships/hyperlink" Target="https://statiz.sporki.com/add/?m=draft_school02&amp;ps_school=60103" TargetMode="External"/><Relationship Id="rId7753" Type="http://schemas.openxmlformats.org/officeDocument/2006/relationships/hyperlink" Target="https://statiz.sporki.com/player/?m=playerinfo&amp;p_no=2171" TargetMode="External"/><Relationship Id="rId16296" Type="http://schemas.openxmlformats.org/officeDocument/2006/relationships/hyperlink" Target="https://statiz.sporki.com/add/?m=draft_school01&amp;ps_school=50211" TargetMode="External"/><Relationship Id="rId17694" Type="http://schemas.openxmlformats.org/officeDocument/2006/relationships/hyperlink" Target="https://statiz.sporki.com/add/?m=draft_school01&amp;ps_school=50111" TargetMode="External"/><Relationship Id="rId18745" Type="http://schemas.openxmlformats.org/officeDocument/2006/relationships/hyperlink" Target="https://statiz.sporki.com/add/?m=draft_school01&amp;ps_school=50702" TargetMode="External"/><Relationship Id="rId6355" Type="http://schemas.openxmlformats.org/officeDocument/2006/relationships/hyperlink" Target="https://statiz.sporki.com/player/?m=playerinfo&amp;p_no=10038" TargetMode="External"/><Relationship Id="rId7406" Type="http://schemas.openxmlformats.org/officeDocument/2006/relationships/hyperlink" Target="https://statiz.sporki.com/add/?m=draft_school01&amp;ps_school=50105" TargetMode="External"/><Relationship Id="rId8804" Type="http://schemas.openxmlformats.org/officeDocument/2006/relationships/hyperlink" Target="https://statiz.sporki.com/add/?m=draft_school01&amp;ps_school=50608" TargetMode="External"/><Relationship Id="rId10734" Type="http://schemas.openxmlformats.org/officeDocument/2006/relationships/hyperlink" Target="https://statiz.sporki.com/add/?m=draft_school02&amp;ps_school=" TargetMode="External"/><Relationship Id="rId17347" Type="http://schemas.openxmlformats.org/officeDocument/2006/relationships/hyperlink" Target="https://statiz.sporki.com/add/?m=draft_school01&amp;ps_school=50701" TargetMode="External"/><Relationship Id="rId6008" Type="http://schemas.openxmlformats.org/officeDocument/2006/relationships/hyperlink" Target="https://statiz.sporki.com/add/?m=draft_school01&amp;ps_school=50401" TargetMode="External"/><Relationship Id="rId13957" Type="http://schemas.openxmlformats.org/officeDocument/2006/relationships/hyperlink" Target="https://statiz.sporki.com/player/?m=playerinfo&amp;p_no=10691" TargetMode="External"/><Relationship Id="rId2965" Type="http://schemas.openxmlformats.org/officeDocument/2006/relationships/hyperlink" Target="https://statiz.sporki.com/player/?m=playerinfo&amp;p_no=12859" TargetMode="External"/><Relationship Id="rId9578" Type="http://schemas.openxmlformats.org/officeDocument/2006/relationships/hyperlink" Target="https://statiz.sporki.com/add/?m=draft_school01&amp;ps_school=50805" TargetMode="External"/><Relationship Id="rId12559" Type="http://schemas.openxmlformats.org/officeDocument/2006/relationships/hyperlink" Target="https://statiz.sporki.com/player/?m=playerinfo&amp;p_no=14876" TargetMode="External"/><Relationship Id="rId16430" Type="http://schemas.openxmlformats.org/officeDocument/2006/relationships/hyperlink" Target="https://statiz.sporki.com/add/?m=draft_school01&amp;ps_school=50501" TargetMode="External"/><Relationship Id="rId937" Type="http://schemas.openxmlformats.org/officeDocument/2006/relationships/hyperlink" Target="https://statiz.sporki.com/player/?m=playerinfo&amp;p_no=15633" TargetMode="External"/><Relationship Id="rId1567" Type="http://schemas.openxmlformats.org/officeDocument/2006/relationships/hyperlink" Target="https://statiz.sporki.com/player/?m=playerinfo&amp;p_no=14671" TargetMode="External"/><Relationship Id="rId2618" Type="http://schemas.openxmlformats.org/officeDocument/2006/relationships/hyperlink" Target="https://statiz.sporki.com/add/?m=draft_school01&amp;ps_school=" TargetMode="External"/><Relationship Id="rId15032" Type="http://schemas.openxmlformats.org/officeDocument/2006/relationships/hyperlink" Target="https://statiz.sporki.com/player/?m=playerinfo&amp;p_no=2226" TargetMode="External"/><Relationship Id="rId19653" Type="http://schemas.openxmlformats.org/officeDocument/2006/relationships/hyperlink" Target="https://statiz.sporki.com/add/?m=draft_school01&amp;ps_school=50602" TargetMode="External"/><Relationship Id="rId4040" Type="http://schemas.openxmlformats.org/officeDocument/2006/relationships/hyperlink" Target="https://statiz.sporki.com/add/?m=draft_school01&amp;ps_school=50302" TargetMode="External"/><Relationship Id="rId8661" Type="http://schemas.openxmlformats.org/officeDocument/2006/relationships/hyperlink" Target="https://statiz.sporki.com/add/?m=draft_school02&amp;ps_school=60703" TargetMode="External"/><Relationship Id="rId9712" Type="http://schemas.openxmlformats.org/officeDocument/2006/relationships/hyperlink" Target="https://statiz.sporki.com/player/?m=playerinfo&amp;p_no=1780" TargetMode="External"/><Relationship Id="rId10591" Type="http://schemas.openxmlformats.org/officeDocument/2006/relationships/hyperlink" Target="https://statiz.sporki.com/player/?m=playerinfo&amp;p_no=1433" TargetMode="External"/><Relationship Id="rId18255" Type="http://schemas.openxmlformats.org/officeDocument/2006/relationships/hyperlink" Target="https://statiz.sporki.com/add/?m=draft_school01&amp;ps_school=50606" TargetMode="External"/><Relationship Id="rId19306" Type="http://schemas.openxmlformats.org/officeDocument/2006/relationships/hyperlink" Target="https://statiz.sporki.com/add/?m=draft_school01&amp;ps_school=50301" TargetMode="External"/><Relationship Id="rId7263" Type="http://schemas.openxmlformats.org/officeDocument/2006/relationships/hyperlink" Target="https://statiz.sporki.com/add/?m=draft_school02&amp;ps_school=" TargetMode="External"/><Relationship Id="rId8314" Type="http://schemas.openxmlformats.org/officeDocument/2006/relationships/hyperlink" Target="https://statiz.sporki.com/player/?m=playerinfo&amp;p_no=10487" TargetMode="External"/><Relationship Id="rId10244" Type="http://schemas.openxmlformats.org/officeDocument/2006/relationships/hyperlink" Target="https://statiz.sporki.com/add/?m=draft_school01&amp;ps_school=50209" TargetMode="External"/><Relationship Id="rId11642" Type="http://schemas.openxmlformats.org/officeDocument/2006/relationships/hyperlink" Target="https://statiz.sporki.com/add/?m=draft_school01&amp;ps_school=" TargetMode="External"/><Relationship Id="rId1701" Type="http://schemas.openxmlformats.org/officeDocument/2006/relationships/hyperlink" Target="https://statiz.sporki.com/add/?m=draft_school02&amp;ps_school=" TargetMode="External"/><Relationship Id="rId14865" Type="http://schemas.openxmlformats.org/officeDocument/2006/relationships/hyperlink" Target="https://statiz.sporki.com/player/?m=playerinfo&amp;p_no=2216" TargetMode="External"/><Relationship Id="rId15916" Type="http://schemas.openxmlformats.org/officeDocument/2006/relationships/hyperlink" Target="https://statiz.sporki.com/player/?m=playerinfo&amp;p_no=1249" TargetMode="External"/><Relationship Id="rId3873" Type="http://schemas.openxmlformats.org/officeDocument/2006/relationships/hyperlink" Target="https://statiz.sporki.com/add/?m=draft_school02&amp;ps_school=60109" TargetMode="External"/><Relationship Id="rId4924" Type="http://schemas.openxmlformats.org/officeDocument/2006/relationships/hyperlink" Target="https://statiz.sporki.com/player/?m=playerinfo&amp;p_no=10820" TargetMode="External"/><Relationship Id="rId9088" Type="http://schemas.openxmlformats.org/officeDocument/2006/relationships/hyperlink" Target="https://statiz.sporki.com/player/?m=playerinfo&amp;p_no=10323" TargetMode="External"/><Relationship Id="rId13467" Type="http://schemas.openxmlformats.org/officeDocument/2006/relationships/hyperlink" Target="https://statiz.sporki.com/player/?m=playerinfo&amp;p_no=14217" TargetMode="External"/><Relationship Id="rId14518" Type="http://schemas.openxmlformats.org/officeDocument/2006/relationships/hyperlink" Target="https://statiz.sporki.com/player/?m=playerinfo&amp;p_no=10683" TargetMode="External"/><Relationship Id="rId447" Type="http://schemas.openxmlformats.org/officeDocument/2006/relationships/hyperlink" Target="https://statiz.sporki.com/add/?m=draft_school02&amp;ps_school=60109" TargetMode="External"/><Relationship Id="rId794" Type="http://schemas.openxmlformats.org/officeDocument/2006/relationships/hyperlink" Target="https://statiz.sporki.com/add/?m=draft_school01&amp;ps_school=50206" TargetMode="External"/><Relationship Id="rId1077" Type="http://schemas.openxmlformats.org/officeDocument/2006/relationships/hyperlink" Target="https://statiz.sporki.com/add/?m=draft_school02&amp;ps_school=" TargetMode="External"/><Relationship Id="rId2128" Type="http://schemas.openxmlformats.org/officeDocument/2006/relationships/hyperlink" Target="https://statiz.sporki.com/player/?m=playerinfo&amp;p_no=14216" TargetMode="External"/><Relationship Id="rId2475" Type="http://schemas.openxmlformats.org/officeDocument/2006/relationships/hyperlink" Target="https://statiz.sporki.com/add/?m=draft_school02&amp;ps_school=60203" TargetMode="External"/><Relationship Id="rId3526" Type="http://schemas.openxmlformats.org/officeDocument/2006/relationships/hyperlink" Target="https://statiz.sporki.com/player/?m=playerinfo&amp;p_no=12504" TargetMode="External"/><Relationship Id="rId12069" Type="http://schemas.openxmlformats.org/officeDocument/2006/relationships/hyperlink" Target="https://statiz.sporki.com/add/?m=draft_school02&amp;ps_school=60113" TargetMode="External"/><Relationship Id="rId5698" Type="http://schemas.openxmlformats.org/officeDocument/2006/relationships/hyperlink" Target="https://statiz.sporki.com/player/?m=playerinfo&amp;p_no=13278" TargetMode="External"/><Relationship Id="rId6749" Type="http://schemas.openxmlformats.org/officeDocument/2006/relationships/hyperlink" Target="https://statiz.sporki.com/add/?m=draft_school01&amp;ps_school=50303" TargetMode="External"/><Relationship Id="rId12550" Type="http://schemas.openxmlformats.org/officeDocument/2006/relationships/hyperlink" Target="https://statiz.sporki.com/player/?m=playerinfo&amp;p_no=14822" TargetMode="External"/><Relationship Id="rId13601" Type="http://schemas.openxmlformats.org/officeDocument/2006/relationships/hyperlink" Target="https://statiz.sporki.com/player/?m=playerinfo&amp;p_no=11277" TargetMode="External"/><Relationship Id="rId19163" Type="http://schemas.openxmlformats.org/officeDocument/2006/relationships/hyperlink" Target="https://statiz.sporki.com/add/?m=draft_school01&amp;ps_school=50209" TargetMode="External"/><Relationship Id="rId8171" Type="http://schemas.openxmlformats.org/officeDocument/2006/relationships/hyperlink" Target="https://statiz.sporki.com/add/?m=draft_school01&amp;ps_school=50202" TargetMode="External"/><Relationship Id="rId9222" Type="http://schemas.openxmlformats.org/officeDocument/2006/relationships/hyperlink" Target="https://statiz.sporki.com/add/?m=draft_school02&amp;ps_school=" TargetMode="External"/><Relationship Id="rId11152" Type="http://schemas.openxmlformats.org/officeDocument/2006/relationships/hyperlink" Target="https://statiz.sporki.com/player/?m=playerinfo&amp;p_no=1281" TargetMode="External"/><Relationship Id="rId12203" Type="http://schemas.openxmlformats.org/officeDocument/2006/relationships/hyperlink" Target="https://statiz.sporki.com/player/?m=playerinfo&amp;p_no=15437" TargetMode="External"/><Relationship Id="rId1211" Type="http://schemas.openxmlformats.org/officeDocument/2006/relationships/hyperlink" Target="https://statiz.sporki.com/add/?m=draft_school01&amp;ps_school=50805" TargetMode="External"/><Relationship Id="rId4781" Type="http://schemas.openxmlformats.org/officeDocument/2006/relationships/hyperlink" Target="https://statiz.sporki.com/add/?m=draft_school01&amp;ps_school=50602" TargetMode="External"/><Relationship Id="rId5832" Type="http://schemas.openxmlformats.org/officeDocument/2006/relationships/hyperlink" Target="https://statiz.sporki.com/add/?m=draft_school02&amp;ps_school=60108" TargetMode="External"/><Relationship Id="rId14375" Type="http://schemas.openxmlformats.org/officeDocument/2006/relationships/hyperlink" Target="https://statiz.sporki.com/player/?m=playerinfo&amp;p_no=10197" TargetMode="External"/><Relationship Id="rId15773" Type="http://schemas.openxmlformats.org/officeDocument/2006/relationships/hyperlink" Target="https://statiz.sporki.com/player/?m=playerinfo&amp;p_no=1599" TargetMode="External"/><Relationship Id="rId16824" Type="http://schemas.openxmlformats.org/officeDocument/2006/relationships/hyperlink" Target="https://statiz.sporki.com/add/?m=draft_school01&amp;ps_school=51001" TargetMode="External"/><Relationship Id="rId3383" Type="http://schemas.openxmlformats.org/officeDocument/2006/relationships/hyperlink" Target="https://statiz.sporki.com/add/?m=draft_school01&amp;ps_school=50601" TargetMode="External"/><Relationship Id="rId4434" Type="http://schemas.openxmlformats.org/officeDocument/2006/relationships/hyperlink" Target="https://statiz.sporki.com/add/?m=draft_school02&amp;ps_school=" TargetMode="External"/><Relationship Id="rId14028" Type="http://schemas.openxmlformats.org/officeDocument/2006/relationships/hyperlink" Target="https://statiz.sporki.com/player/?m=playerinfo&amp;p_no=2433" TargetMode="External"/><Relationship Id="rId15426" Type="http://schemas.openxmlformats.org/officeDocument/2006/relationships/hyperlink" Target="https://statiz.sporki.com/player/?m=playerinfo&amp;p_no=1682" TargetMode="External"/><Relationship Id="rId18996" Type="http://schemas.openxmlformats.org/officeDocument/2006/relationships/hyperlink" Target="https://statiz.sporki.com/add/?m=draft_school01&amp;ps_school=50711" TargetMode="External"/><Relationship Id="rId3036" Type="http://schemas.openxmlformats.org/officeDocument/2006/relationships/hyperlink" Target="https://statiz.sporki.com/add/?m=draft_school02&amp;ps_school=60101" TargetMode="External"/><Relationship Id="rId10985" Type="http://schemas.openxmlformats.org/officeDocument/2006/relationships/hyperlink" Target="https://statiz.sporki.com/add/?m=draft_school01&amp;ps_school=50302" TargetMode="External"/><Relationship Id="rId17598" Type="http://schemas.openxmlformats.org/officeDocument/2006/relationships/hyperlink" Target="https://statiz.sporki.com/add/?m=draft_school01&amp;ps_school=50109" TargetMode="External"/><Relationship Id="rId18649" Type="http://schemas.openxmlformats.org/officeDocument/2006/relationships/hyperlink" Target="https://statiz.sporki.com/add/?m=draft_school01&amp;ps_school=50209" TargetMode="External"/><Relationship Id="rId6259" Type="http://schemas.openxmlformats.org/officeDocument/2006/relationships/hyperlink" Target="https://statiz.sporki.com/player/?m=playerinfo&amp;p_no=10647" TargetMode="External"/><Relationship Id="rId7657" Type="http://schemas.openxmlformats.org/officeDocument/2006/relationships/hyperlink" Target="https://statiz.sporki.com/player/?m=playerinfo&amp;p_no=10796" TargetMode="External"/><Relationship Id="rId8708" Type="http://schemas.openxmlformats.org/officeDocument/2006/relationships/hyperlink" Target="https://statiz.sporki.com/add/?m=draft_school01&amp;ps_school=50115" TargetMode="External"/><Relationship Id="rId10638" Type="http://schemas.openxmlformats.org/officeDocument/2006/relationships/hyperlink" Target="https://statiz.sporki.com/add/?m=draft_school02&amp;ps_school=60101" TargetMode="External"/><Relationship Id="rId12060" Type="http://schemas.openxmlformats.org/officeDocument/2006/relationships/hyperlink" Target="https://statiz.sporki.com/add/?m=draft_school02&amp;ps_school=" TargetMode="External"/><Relationship Id="rId13111" Type="http://schemas.openxmlformats.org/officeDocument/2006/relationships/hyperlink" Target="https://statiz.sporki.com/player/?m=playerinfo&amp;p_no=12894" TargetMode="External"/><Relationship Id="rId16681" Type="http://schemas.openxmlformats.org/officeDocument/2006/relationships/hyperlink" Target="https://statiz.sporki.com/add/?m=draft_school01&amp;ps_school=50601" TargetMode="External"/><Relationship Id="rId17732" Type="http://schemas.openxmlformats.org/officeDocument/2006/relationships/hyperlink" Target="https://statiz.sporki.com/add/?m=draft_school01&amp;ps_school=50111" TargetMode="External"/><Relationship Id="rId2869" Type="http://schemas.openxmlformats.org/officeDocument/2006/relationships/hyperlink" Target="https://statiz.sporki.com/player/?m=playerinfo&amp;p_no=12853" TargetMode="External"/><Relationship Id="rId6740" Type="http://schemas.openxmlformats.org/officeDocument/2006/relationships/hyperlink" Target="https://statiz.sporki.com/add/?m=draft_school01&amp;ps_school=50705" TargetMode="External"/><Relationship Id="rId15283" Type="http://schemas.openxmlformats.org/officeDocument/2006/relationships/hyperlink" Target="https://statiz.sporki.com/player/?m=playerinfo&amp;p_no=1812" TargetMode="External"/><Relationship Id="rId16334" Type="http://schemas.openxmlformats.org/officeDocument/2006/relationships/hyperlink" Target="https://statiz.sporki.com/add/?m=draft_school01&amp;ps_school=50208" TargetMode="External"/><Relationship Id="rId4291" Type="http://schemas.openxmlformats.org/officeDocument/2006/relationships/hyperlink" Target="https://statiz.sporki.com/player/?m=playerinfo&amp;p_no=13241" TargetMode="External"/><Relationship Id="rId5342" Type="http://schemas.openxmlformats.org/officeDocument/2006/relationships/hyperlink" Target="https://statiz.sporki.com/add/?m=draft_school01&amp;ps_school=50201" TargetMode="External"/><Relationship Id="rId9963" Type="http://schemas.openxmlformats.org/officeDocument/2006/relationships/hyperlink" Target="https://statiz.sporki.com/add/?m=draft_school02&amp;ps_school=" TargetMode="External"/><Relationship Id="rId8565" Type="http://schemas.openxmlformats.org/officeDocument/2006/relationships/hyperlink" Target="https://statiz.sporki.com/add/?m=draft_school02&amp;ps_school=60703" TargetMode="External"/><Relationship Id="rId9616" Type="http://schemas.openxmlformats.org/officeDocument/2006/relationships/hyperlink" Target="https://statiz.sporki.com/player/?m=playerinfo&amp;p_no=1728" TargetMode="External"/><Relationship Id="rId11893" Type="http://schemas.openxmlformats.org/officeDocument/2006/relationships/hyperlink" Target="https://statiz.sporki.com/player/?m=playerinfo&amp;p_no=1110" TargetMode="External"/><Relationship Id="rId12944" Type="http://schemas.openxmlformats.org/officeDocument/2006/relationships/hyperlink" Target="https://statiz.sporki.com/player/?m=playerinfo&amp;p_no=13137" TargetMode="External"/><Relationship Id="rId18159" Type="http://schemas.openxmlformats.org/officeDocument/2006/relationships/hyperlink" Target="https://statiz.sporki.com/add/?m=draft_school01&amp;ps_school=50112" TargetMode="External"/><Relationship Id="rId19557" Type="http://schemas.openxmlformats.org/officeDocument/2006/relationships/hyperlink" Target="https://statiz.sporki.com/add/?m=draft_school01&amp;ps_school=50105" TargetMode="External"/><Relationship Id="rId1952" Type="http://schemas.openxmlformats.org/officeDocument/2006/relationships/hyperlink" Target="https://statiz.sporki.com/add/?m=draft_school01&amp;ps_school=50801" TargetMode="External"/><Relationship Id="rId7167" Type="http://schemas.openxmlformats.org/officeDocument/2006/relationships/hyperlink" Target="https://statiz.sporki.com/add/?m=draft_school02&amp;ps_school=" TargetMode="External"/><Relationship Id="rId8218" Type="http://schemas.openxmlformats.org/officeDocument/2006/relationships/hyperlink" Target="https://statiz.sporki.com/player/?m=playerinfo&amp;p_no=2098" TargetMode="External"/><Relationship Id="rId10495" Type="http://schemas.openxmlformats.org/officeDocument/2006/relationships/hyperlink" Target="https://statiz.sporki.com/player/?m=playerinfo&amp;p_no=1523" TargetMode="External"/><Relationship Id="rId11546" Type="http://schemas.openxmlformats.org/officeDocument/2006/relationships/hyperlink" Target="https://statiz.sporki.com/add/?m=draft_school01&amp;ps_school=50105" TargetMode="External"/><Relationship Id="rId1605" Type="http://schemas.openxmlformats.org/officeDocument/2006/relationships/hyperlink" Target="https://statiz.sporki.com/add/?m=draft_school02&amp;ps_school=" TargetMode="External"/><Relationship Id="rId10148" Type="http://schemas.openxmlformats.org/officeDocument/2006/relationships/hyperlink" Target="https://statiz.sporki.com/add/?m=draft_school01&amp;ps_school=50107" TargetMode="External"/><Relationship Id="rId14769" Type="http://schemas.openxmlformats.org/officeDocument/2006/relationships/hyperlink" Target="https://statiz.sporki.com/player/?m=playerinfo&amp;p_no=2392" TargetMode="External"/><Relationship Id="rId18640" Type="http://schemas.openxmlformats.org/officeDocument/2006/relationships/hyperlink" Target="https://statiz.sporki.com/add/?m=draft_school01&amp;ps_school=50103" TargetMode="External"/><Relationship Id="rId3777" Type="http://schemas.openxmlformats.org/officeDocument/2006/relationships/hyperlink" Target="https://statiz.sporki.com/add/?m=draft_school02&amp;ps_school=" TargetMode="External"/><Relationship Id="rId4828" Type="http://schemas.openxmlformats.org/officeDocument/2006/relationships/hyperlink" Target="https://statiz.sporki.com/player/?m=playerinfo&amp;p_no=10824" TargetMode="External"/><Relationship Id="rId16191" Type="http://schemas.openxmlformats.org/officeDocument/2006/relationships/hyperlink" Target="https://statiz.sporki.com/add/?m=draft_school01&amp;ps_school=50116" TargetMode="External"/><Relationship Id="rId17242" Type="http://schemas.openxmlformats.org/officeDocument/2006/relationships/hyperlink" Target="https://statiz.sporki.com/add/?m=draft_school01&amp;ps_school=50107" TargetMode="External"/><Relationship Id="rId698" Type="http://schemas.openxmlformats.org/officeDocument/2006/relationships/hyperlink" Target="https://statiz.sporki.com/add/?m=draft_school01&amp;ps_school=50105" TargetMode="External"/><Relationship Id="rId2379" Type="http://schemas.openxmlformats.org/officeDocument/2006/relationships/hyperlink" Target="https://statiz.sporki.com/add/?m=draft_school02&amp;ps_school=" TargetMode="External"/><Relationship Id="rId6250" Type="http://schemas.openxmlformats.org/officeDocument/2006/relationships/hyperlink" Target="https://statiz.sporki.com/player/?m=playerinfo&amp;p_no=10210" TargetMode="External"/><Relationship Id="rId7301" Type="http://schemas.openxmlformats.org/officeDocument/2006/relationships/hyperlink" Target="https://statiz.sporki.com/add/?m=draft_school01&amp;ps_school=50108" TargetMode="External"/><Relationship Id="rId2860" Type="http://schemas.openxmlformats.org/officeDocument/2006/relationships/hyperlink" Target="https://statiz.sporki.com/player/?m=playerinfo&amp;p_no=12866" TargetMode="External"/><Relationship Id="rId9473" Type="http://schemas.openxmlformats.org/officeDocument/2006/relationships/hyperlink" Target="https://statiz.sporki.com/add/?m=draft_school01&amp;ps_school=50110" TargetMode="External"/><Relationship Id="rId12454" Type="http://schemas.openxmlformats.org/officeDocument/2006/relationships/hyperlink" Target="https://statiz.sporki.com/player/?m=playerinfo&amp;p_no=15633" TargetMode="External"/><Relationship Id="rId13852" Type="http://schemas.openxmlformats.org/officeDocument/2006/relationships/hyperlink" Target="https://statiz.sporki.com/player/?m=playerinfo&amp;p_no=10930" TargetMode="External"/><Relationship Id="rId14903" Type="http://schemas.openxmlformats.org/officeDocument/2006/relationships/hyperlink" Target="https://statiz.sporki.com/player/?m=playerinfo&amp;p_no=10173" TargetMode="External"/><Relationship Id="rId19067" Type="http://schemas.openxmlformats.org/officeDocument/2006/relationships/hyperlink" Target="https://statiz.sporki.com/add/?m=draft_school01&amp;ps_school=50609" TargetMode="External"/><Relationship Id="rId832" Type="http://schemas.openxmlformats.org/officeDocument/2006/relationships/hyperlink" Target="https://statiz.sporki.com/player/?m=playerinfo&amp;p_no=15002" TargetMode="External"/><Relationship Id="rId1462" Type="http://schemas.openxmlformats.org/officeDocument/2006/relationships/hyperlink" Target="https://statiz.sporki.com/player/?m=playerinfo&amp;p_no=14618" TargetMode="External"/><Relationship Id="rId2513" Type="http://schemas.openxmlformats.org/officeDocument/2006/relationships/hyperlink" Target="https://statiz.sporki.com/add/?m=draft_school01&amp;ps_school=50706" TargetMode="External"/><Relationship Id="rId3911" Type="http://schemas.openxmlformats.org/officeDocument/2006/relationships/hyperlink" Target="https://statiz.sporki.com/add/?m=draft_school01&amp;ps_school=" TargetMode="External"/><Relationship Id="rId8075" Type="http://schemas.openxmlformats.org/officeDocument/2006/relationships/hyperlink" Target="https://statiz.sporki.com/add/?m=draft_school01&amp;ps_school=50202" TargetMode="External"/><Relationship Id="rId9126" Type="http://schemas.openxmlformats.org/officeDocument/2006/relationships/hyperlink" Target="https://statiz.sporki.com/add/?m=draft_school02&amp;ps_school=60104" TargetMode="External"/><Relationship Id="rId11056" Type="http://schemas.openxmlformats.org/officeDocument/2006/relationships/hyperlink" Target="https://statiz.sporki.com/player/?m=playerinfo&amp;p_no=1348" TargetMode="External"/><Relationship Id="rId12107" Type="http://schemas.openxmlformats.org/officeDocument/2006/relationships/hyperlink" Target="https://statiz.sporki.com/add/?m=draft_school01&amp;ps_school=50402" TargetMode="External"/><Relationship Id="rId13505" Type="http://schemas.openxmlformats.org/officeDocument/2006/relationships/hyperlink" Target="https://statiz.sporki.com/player/?m=playerinfo&amp;p_no=11316" TargetMode="External"/><Relationship Id="rId1115" Type="http://schemas.openxmlformats.org/officeDocument/2006/relationships/hyperlink" Target="https://statiz.sporki.com/add/?m=draft_school01&amp;ps_school=50113" TargetMode="External"/><Relationship Id="rId15677" Type="http://schemas.openxmlformats.org/officeDocument/2006/relationships/hyperlink" Target="https://statiz.sporki.com/player/?m=playerinfo&amp;p_no=1435" TargetMode="External"/><Relationship Id="rId16728" Type="http://schemas.openxmlformats.org/officeDocument/2006/relationships/hyperlink" Target="https://statiz.sporki.com/add/?m=draft_school01&amp;ps_school=50105" TargetMode="External"/><Relationship Id="rId3287" Type="http://schemas.openxmlformats.org/officeDocument/2006/relationships/hyperlink" Target="https://statiz.sporki.com/add/?m=draft_school01&amp;ps_school=50109" TargetMode="External"/><Relationship Id="rId4338" Type="http://schemas.openxmlformats.org/officeDocument/2006/relationships/hyperlink" Target="https://statiz.sporki.com/add/?m=draft_school02&amp;ps_school=" TargetMode="External"/><Relationship Id="rId4685" Type="http://schemas.openxmlformats.org/officeDocument/2006/relationships/hyperlink" Target="https://statiz.sporki.com/add/?m=draft_school01&amp;ps_school=" TargetMode="External"/><Relationship Id="rId5736" Type="http://schemas.openxmlformats.org/officeDocument/2006/relationships/hyperlink" Target="https://statiz.sporki.com/add/?m=draft_school02&amp;ps_school=" TargetMode="External"/><Relationship Id="rId14279" Type="http://schemas.openxmlformats.org/officeDocument/2006/relationships/hyperlink" Target="https://statiz.sporki.com/player/?m=playerinfo&amp;p_no=10778" TargetMode="External"/><Relationship Id="rId18150" Type="http://schemas.openxmlformats.org/officeDocument/2006/relationships/hyperlink" Target="https://statiz.sporki.com/add/?m=draft_school01&amp;ps_school=50201" TargetMode="External"/><Relationship Id="rId19201" Type="http://schemas.openxmlformats.org/officeDocument/2006/relationships/hyperlink" Target="https://statiz.sporki.com/add/?m=draft_school01&amp;ps_school=50105" TargetMode="External"/><Relationship Id="rId8959" Type="http://schemas.openxmlformats.org/officeDocument/2006/relationships/hyperlink" Target="https://statiz.sporki.com/player/?m=playerinfo&amp;p_no=1975" TargetMode="External"/><Relationship Id="rId10889" Type="http://schemas.openxmlformats.org/officeDocument/2006/relationships/hyperlink" Target="https://statiz.sporki.com/add/?m=draft_school01&amp;ps_school=50110" TargetMode="External"/><Relationship Id="rId14760" Type="http://schemas.openxmlformats.org/officeDocument/2006/relationships/hyperlink" Target="https://statiz.sporki.com/player/?m=playerinfo&amp;p_no=10467" TargetMode="External"/><Relationship Id="rId15811" Type="http://schemas.openxmlformats.org/officeDocument/2006/relationships/hyperlink" Target="https://statiz.sporki.com/player/?m=playerinfo&amp;p_no=1337" TargetMode="External"/><Relationship Id="rId13362" Type="http://schemas.openxmlformats.org/officeDocument/2006/relationships/hyperlink" Target="https://statiz.sporki.com/player/?m=playerinfo&amp;p_no=11366" TargetMode="External"/><Relationship Id="rId14413" Type="http://schemas.openxmlformats.org/officeDocument/2006/relationships/hyperlink" Target="https://statiz.sporki.com/player/?m=playerinfo&amp;p_no=10075" TargetMode="External"/><Relationship Id="rId2370" Type="http://schemas.openxmlformats.org/officeDocument/2006/relationships/hyperlink" Target="https://statiz.sporki.com/add/?m=draft_school02&amp;ps_school=" TargetMode="External"/><Relationship Id="rId3421" Type="http://schemas.openxmlformats.org/officeDocument/2006/relationships/hyperlink" Target="https://statiz.sporki.com/player/?m=playerinfo&amp;p_no=12580" TargetMode="External"/><Relationship Id="rId6991" Type="http://schemas.openxmlformats.org/officeDocument/2006/relationships/hyperlink" Target="https://statiz.sporki.com/player/?m=playerinfo&amp;p_no=10805" TargetMode="External"/><Relationship Id="rId13015" Type="http://schemas.openxmlformats.org/officeDocument/2006/relationships/hyperlink" Target="https://statiz.sporki.com/player/?m=playerinfo&amp;p_no=13062" TargetMode="External"/><Relationship Id="rId16585" Type="http://schemas.openxmlformats.org/officeDocument/2006/relationships/hyperlink" Target="https://statiz.sporki.com/add/?m=draft_school01&amp;ps_school=50302" TargetMode="External"/><Relationship Id="rId17983" Type="http://schemas.openxmlformats.org/officeDocument/2006/relationships/hyperlink" Target="https://statiz.sporki.com/add/?m=draft_school01&amp;ps_school=51001" TargetMode="External"/><Relationship Id="rId342" Type="http://schemas.openxmlformats.org/officeDocument/2006/relationships/hyperlink" Target="https://statiz.sporki.com/add/?m=draft_school02&amp;ps_school=" TargetMode="External"/><Relationship Id="rId2023" Type="http://schemas.openxmlformats.org/officeDocument/2006/relationships/hyperlink" Target="https://statiz.sporki.com/player/?m=playerinfo&amp;p_no=14209" TargetMode="External"/><Relationship Id="rId5593" Type="http://schemas.openxmlformats.org/officeDocument/2006/relationships/hyperlink" Target="https://statiz.sporki.com/player/?m=playerinfo&amp;p_no=10338" TargetMode="External"/><Relationship Id="rId6644" Type="http://schemas.openxmlformats.org/officeDocument/2006/relationships/hyperlink" Target="https://statiz.sporki.com/add/?m=draft_school01&amp;ps_school=" TargetMode="External"/><Relationship Id="rId15187" Type="http://schemas.openxmlformats.org/officeDocument/2006/relationships/hyperlink" Target="https://statiz.sporki.com/player/?m=playerinfo&amp;p_no=1884" TargetMode="External"/><Relationship Id="rId16238" Type="http://schemas.openxmlformats.org/officeDocument/2006/relationships/hyperlink" Target="https://statiz.sporki.com/add/?m=draft_school01&amp;ps_school=50805" TargetMode="External"/><Relationship Id="rId17636" Type="http://schemas.openxmlformats.org/officeDocument/2006/relationships/hyperlink" Target="https://statiz.sporki.com/add/?m=draft_school01&amp;ps_school=50207" TargetMode="External"/><Relationship Id="rId4195" Type="http://schemas.openxmlformats.org/officeDocument/2006/relationships/hyperlink" Target="https://statiz.sporki.com/player/?m=playerinfo&amp;p_no=11289" TargetMode="External"/><Relationship Id="rId5246" Type="http://schemas.openxmlformats.org/officeDocument/2006/relationships/hyperlink" Target="https://statiz.sporki.com/add/?m=draft_school01&amp;ps_school=50601" TargetMode="External"/><Relationship Id="rId8469" Type="http://schemas.openxmlformats.org/officeDocument/2006/relationships/hyperlink" Target="https://statiz.sporki.com/add/?m=draft_school02&amp;ps_school=" TargetMode="External"/><Relationship Id="rId9867" Type="http://schemas.openxmlformats.org/officeDocument/2006/relationships/hyperlink" Target="https://statiz.sporki.com/add/?m=draft_school02&amp;ps_school=60802" TargetMode="External"/><Relationship Id="rId11797" Type="http://schemas.openxmlformats.org/officeDocument/2006/relationships/hyperlink" Target="https://statiz.sporki.com/player/?m=playerinfo&amp;p_no=1108" TargetMode="External"/><Relationship Id="rId12848" Type="http://schemas.openxmlformats.org/officeDocument/2006/relationships/hyperlink" Target="https://statiz.sporki.com/player/?m=playerinfo&amp;p_no=14143" TargetMode="External"/><Relationship Id="rId1856" Type="http://schemas.openxmlformats.org/officeDocument/2006/relationships/hyperlink" Target="https://statiz.sporki.com/add/?m=draft_school01&amp;ps_school=50807" TargetMode="External"/><Relationship Id="rId2907" Type="http://schemas.openxmlformats.org/officeDocument/2006/relationships/hyperlink" Target="https://statiz.sporki.com/add/?m=draft_school02&amp;ps_school=" TargetMode="External"/><Relationship Id="rId10399" Type="http://schemas.openxmlformats.org/officeDocument/2006/relationships/hyperlink" Target="https://statiz.sporki.com/player/?m=playerinfo&amp;p_no=1621" TargetMode="External"/><Relationship Id="rId14270" Type="http://schemas.openxmlformats.org/officeDocument/2006/relationships/hyperlink" Target="https://statiz.sporki.com/player/?m=playerinfo&amp;p_no=10538" TargetMode="External"/><Relationship Id="rId15321" Type="http://schemas.openxmlformats.org/officeDocument/2006/relationships/hyperlink" Target="https://statiz.sporki.com/player/?m=playerinfo&amp;p_no=1937" TargetMode="External"/><Relationship Id="rId18891" Type="http://schemas.openxmlformats.org/officeDocument/2006/relationships/hyperlink" Target="https://statiz.sporki.com/add/?m=draft_school01&amp;ps_school=50114" TargetMode="External"/><Relationship Id="rId1509" Type="http://schemas.openxmlformats.org/officeDocument/2006/relationships/hyperlink" Target="https://statiz.sporki.com/add/?m=draft_school02&amp;ps_school=" TargetMode="External"/><Relationship Id="rId8950" Type="http://schemas.openxmlformats.org/officeDocument/2006/relationships/hyperlink" Target="https://statiz.sporki.com/player/?m=playerinfo&amp;p_no=1916" TargetMode="External"/><Relationship Id="rId10880" Type="http://schemas.openxmlformats.org/officeDocument/2006/relationships/hyperlink" Target="https://statiz.sporki.com/add/?m=draft_school01&amp;ps_school=50805" TargetMode="External"/><Relationship Id="rId17493" Type="http://schemas.openxmlformats.org/officeDocument/2006/relationships/hyperlink" Target="https://statiz.sporki.com/add/?m=draft_school01&amp;ps_school=50111" TargetMode="External"/><Relationship Id="rId18544" Type="http://schemas.openxmlformats.org/officeDocument/2006/relationships/hyperlink" Target="https://statiz.sporki.com/add/?m=draft_school01&amp;ps_school=50812" TargetMode="External"/><Relationship Id="rId7552" Type="http://schemas.openxmlformats.org/officeDocument/2006/relationships/hyperlink" Target="https://statiz.sporki.com/player/?m=playerinfo&amp;p_no=2228" TargetMode="External"/><Relationship Id="rId8603" Type="http://schemas.openxmlformats.org/officeDocument/2006/relationships/hyperlink" Target="https://statiz.sporki.com/add/?m=draft_school01&amp;ps_school=50103" TargetMode="External"/><Relationship Id="rId10533" Type="http://schemas.openxmlformats.org/officeDocument/2006/relationships/hyperlink" Target="https://statiz.sporki.com/add/?m=draft_school02&amp;ps_school=" TargetMode="External"/><Relationship Id="rId11931" Type="http://schemas.openxmlformats.org/officeDocument/2006/relationships/hyperlink" Target="https://statiz.sporki.com/add/?m=draft_school02&amp;ps_school=60103" TargetMode="External"/><Relationship Id="rId16095" Type="http://schemas.openxmlformats.org/officeDocument/2006/relationships/hyperlink" Target="https://statiz.sporki.com/player/?m=playerinfo&amp;p_no=1040" TargetMode="External"/><Relationship Id="rId17146" Type="http://schemas.openxmlformats.org/officeDocument/2006/relationships/hyperlink" Target="https://statiz.sporki.com/add/?m=draft_school01&amp;ps_school=50705" TargetMode="External"/><Relationship Id="rId6154" Type="http://schemas.openxmlformats.org/officeDocument/2006/relationships/hyperlink" Target="https://statiz.sporki.com/player/?m=playerinfo&amp;p_no=10116" TargetMode="External"/><Relationship Id="rId7205" Type="http://schemas.openxmlformats.org/officeDocument/2006/relationships/hyperlink" Target="https://statiz.sporki.com/add/?m=draft_school01&amp;ps_school=50606" TargetMode="External"/><Relationship Id="rId9377" Type="http://schemas.openxmlformats.org/officeDocument/2006/relationships/hyperlink" Target="https://statiz.sporki.com/add/?m=draft_school01&amp;ps_school=50803" TargetMode="External"/><Relationship Id="rId13756" Type="http://schemas.openxmlformats.org/officeDocument/2006/relationships/hyperlink" Target="https://statiz.sporki.com/player/?m=playerinfo&amp;p_no=10792" TargetMode="External"/><Relationship Id="rId14807" Type="http://schemas.openxmlformats.org/officeDocument/2006/relationships/hyperlink" Target="https://statiz.sporki.com/player/?m=playerinfo&amp;p_no=2116" TargetMode="External"/><Relationship Id="rId736" Type="http://schemas.openxmlformats.org/officeDocument/2006/relationships/hyperlink" Target="https://statiz.sporki.com/player/?m=playerinfo&amp;p_no=15042" TargetMode="External"/><Relationship Id="rId1366" Type="http://schemas.openxmlformats.org/officeDocument/2006/relationships/hyperlink" Target="https://statiz.sporki.com/player/?m=playerinfo&amp;p_no=14819" TargetMode="External"/><Relationship Id="rId2417" Type="http://schemas.openxmlformats.org/officeDocument/2006/relationships/hyperlink" Target="https://statiz.sporki.com/add/?m=draft_school01&amp;ps_school=50118" TargetMode="External"/><Relationship Id="rId2764" Type="http://schemas.openxmlformats.org/officeDocument/2006/relationships/hyperlink" Target="https://statiz.sporki.com/player/?m=playerinfo&amp;p_no=12933" TargetMode="External"/><Relationship Id="rId3815" Type="http://schemas.openxmlformats.org/officeDocument/2006/relationships/hyperlink" Target="https://statiz.sporki.com/add/?m=draft_school01&amp;ps_school=50401" TargetMode="External"/><Relationship Id="rId12358" Type="http://schemas.openxmlformats.org/officeDocument/2006/relationships/hyperlink" Target="https://statiz.sporki.com/player/?m=playerinfo&amp;p_no=15072" TargetMode="External"/><Relationship Id="rId13409" Type="http://schemas.openxmlformats.org/officeDocument/2006/relationships/hyperlink" Target="https://statiz.sporki.com/player/?m=playerinfo&amp;p_no=11360" TargetMode="External"/><Relationship Id="rId16979" Type="http://schemas.openxmlformats.org/officeDocument/2006/relationships/hyperlink" Target="https://statiz.sporki.com/add/?m=draft_school01&amp;ps_school=50210" TargetMode="External"/><Relationship Id="rId1019" Type="http://schemas.openxmlformats.org/officeDocument/2006/relationships/hyperlink" Target="https://statiz.sporki.com/add/?m=draft_school01&amp;ps_school=50706" TargetMode="External"/><Relationship Id="rId5987" Type="http://schemas.openxmlformats.org/officeDocument/2006/relationships/hyperlink" Target="https://statiz.sporki.com/add/?m=draft_school01&amp;ps_school=50606" TargetMode="External"/><Relationship Id="rId19452" Type="http://schemas.openxmlformats.org/officeDocument/2006/relationships/hyperlink" Target="https://statiz.sporki.com/add/?m=draft_school01&amp;ps_school=50602" TargetMode="External"/><Relationship Id="rId72" Type="http://schemas.openxmlformats.org/officeDocument/2006/relationships/hyperlink" Target="https://statiz.sporki.com/add/?m=draft_school02&amp;ps_school=" TargetMode="External"/><Relationship Id="rId4589" Type="http://schemas.openxmlformats.org/officeDocument/2006/relationships/hyperlink" Target="https://statiz.sporki.com/add/?m=draft_school01&amp;ps_school=50701" TargetMode="External"/><Relationship Id="rId8460" Type="http://schemas.openxmlformats.org/officeDocument/2006/relationships/hyperlink" Target="https://statiz.sporki.com/add/?m=draft_school02&amp;ps_school=" TargetMode="External"/><Relationship Id="rId9511" Type="http://schemas.openxmlformats.org/officeDocument/2006/relationships/hyperlink" Target="https://statiz.sporki.com/player/?m=playerinfo&amp;p_no=1807" TargetMode="External"/><Relationship Id="rId10390" Type="http://schemas.openxmlformats.org/officeDocument/2006/relationships/hyperlink" Target="https://statiz.sporki.com/player/?m=playerinfo&amp;p_no=1508" TargetMode="External"/><Relationship Id="rId11441" Type="http://schemas.openxmlformats.org/officeDocument/2006/relationships/hyperlink" Target="https://statiz.sporki.com/add/?m=draft_school01&amp;ps_school=50109" TargetMode="External"/><Relationship Id="rId18054" Type="http://schemas.openxmlformats.org/officeDocument/2006/relationships/hyperlink" Target="https://statiz.sporki.com/add/?m=draft_school01&amp;ps_school=50403" TargetMode="External"/><Relationship Id="rId19105" Type="http://schemas.openxmlformats.org/officeDocument/2006/relationships/hyperlink" Target="https://statiz.sporki.com/add/?m=draft_school01&amp;ps_school=50706" TargetMode="External"/><Relationship Id="rId1500" Type="http://schemas.openxmlformats.org/officeDocument/2006/relationships/hyperlink" Target="https://statiz.sporki.com/add/?m=draft_school02&amp;ps_school=" TargetMode="External"/><Relationship Id="rId7062" Type="http://schemas.openxmlformats.org/officeDocument/2006/relationships/hyperlink" Target="https://statiz.sporki.com/add/?m=draft_school02&amp;ps_school=" TargetMode="External"/><Relationship Id="rId8113" Type="http://schemas.openxmlformats.org/officeDocument/2006/relationships/hyperlink" Target="https://statiz.sporki.com/player/?m=playerinfo&amp;p_no=10493" TargetMode="External"/><Relationship Id="rId10043" Type="http://schemas.openxmlformats.org/officeDocument/2006/relationships/hyperlink" Target="https://statiz.sporki.com/add/?m=draft_school01&amp;ps_school=50803" TargetMode="External"/><Relationship Id="rId14664" Type="http://schemas.openxmlformats.org/officeDocument/2006/relationships/hyperlink" Target="https://statiz.sporki.com/player/?m=playerinfo&amp;p_no=10552" TargetMode="External"/><Relationship Id="rId3672" Type="http://schemas.openxmlformats.org/officeDocument/2006/relationships/hyperlink" Target="https://statiz.sporki.com/add/?m=draft_school02&amp;ps_school=" TargetMode="External"/><Relationship Id="rId4723" Type="http://schemas.openxmlformats.org/officeDocument/2006/relationships/hyperlink" Target="https://statiz.sporki.com/player/?m=playerinfo&amp;p_no=11182" TargetMode="External"/><Relationship Id="rId13266" Type="http://schemas.openxmlformats.org/officeDocument/2006/relationships/hyperlink" Target="https://statiz.sporki.com/player/?m=playerinfo&amp;p_no=12633" TargetMode="External"/><Relationship Id="rId14317" Type="http://schemas.openxmlformats.org/officeDocument/2006/relationships/hyperlink" Target="https://statiz.sporki.com/player/?m=playerinfo&amp;p_no=10381" TargetMode="External"/><Relationship Id="rId15715" Type="http://schemas.openxmlformats.org/officeDocument/2006/relationships/hyperlink" Target="https://statiz.sporki.com/player/?m=playerinfo&amp;p_no=1631" TargetMode="External"/><Relationship Id="rId593" Type="http://schemas.openxmlformats.org/officeDocument/2006/relationships/hyperlink" Target="https://statiz.sporki.com/add/?m=draft_school01&amp;ps_school=50105" TargetMode="External"/><Relationship Id="rId2274" Type="http://schemas.openxmlformats.org/officeDocument/2006/relationships/hyperlink" Target="https://statiz.sporki.com/add/?m=draft_school02&amp;ps_school=60205" TargetMode="External"/><Relationship Id="rId3325" Type="http://schemas.openxmlformats.org/officeDocument/2006/relationships/hyperlink" Target="https://statiz.sporki.com/player/?m=playerinfo&amp;p_no=12584" TargetMode="External"/><Relationship Id="rId17887" Type="http://schemas.openxmlformats.org/officeDocument/2006/relationships/hyperlink" Target="https://statiz.sporki.com/add/?m=draft_school01&amp;ps_school=50208" TargetMode="External"/><Relationship Id="rId18938" Type="http://schemas.openxmlformats.org/officeDocument/2006/relationships/hyperlink" Target="https://statiz.sporki.com/add/?m=draft_school01&amp;ps_school=50202" TargetMode="External"/><Relationship Id="rId246" Type="http://schemas.openxmlformats.org/officeDocument/2006/relationships/hyperlink" Target="https://statiz.sporki.com/add/?m=draft_school02&amp;ps_school=" TargetMode="External"/><Relationship Id="rId5497" Type="http://schemas.openxmlformats.org/officeDocument/2006/relationships/hyperlink" Target="https://statiz.sporki.com/player/?m=playerinfo&amp;p_no=10297" TargetMode="External"/><Relationship Id="rId6548" Type="http://schemas.openxmlformats.org/officeDocument/2006/relationships/hyperlink" Target="https://statiz.sporki.com/add/?m=draft_school01&amp;ps_school=50104" TargetMode="External"/><Relationship Id="rId6895" Type="http://schemas.openxmlformats.org/officeDocument/2006/relationships/hyperlink" Target="https://statiz.sporki.com/player/?m=playerinfo&amp;p_no=2363" TargetMode="External"/><Relationship Id="rId7946" Type="http://schemas.openxmlformats.org/officeDocument/2006/relationships/hyperlink" Target="https://statiz.sporki.com/add/?m=draft_school01&amp;ps_school=50105" TargetMode="External"/><Relationship Id="rId10927" Type="http://schemas.openxmlformats.org/officeDocument/2006/relationships/hyperlink" Target="https://statiz.sporki.com/player/?m=playerinfo&amp;p_no=1474" TargetMode="External"/><Relationship Id="rId16489" Type="http://schemas.openxmlformats.org/officeDocument/2006/relationships/hyperlink" Target="https://statiz.sporki.com/add/?m=draft_school01&amp;ps_school=50205" TargetMode="External"/><Relationship Id="rId4099" Type="http://schemas.openxmlformats.org/officeDocument/2006/relationships/hyperlink" Target="https://statiz.sporki.com/player/?m=playerinfo&amp;p_no=11240" TargetMode="External"/><Relationship Id="rId9021" Type="http://schemas.openxmlformats.org/officeDocument/2006/relationships/hyperlink" Target="https://statiz.sporki.com/add/?m=draft_school02&amp;ps_school=60114" TargetMode="External"/><Relationship Id="rId13400" Type="http://schemas.openxmlformats.org/officeDocument/2006/relationships/hyperlink" Target="https://statiz.sporki.com/player/?m=playerinfo&amp;p_no=11365" TargetMode="External"/><Relationship Id="rId16970" Type="http://schemas.openxmlformats.org/officeDocument/2006/relationships/hyperlink" Target="https://statiz.sporki.com/add/?m=draft_school01&amp;ps_school=50602" TargetMode="External"/><Relationship Id="rId12002" Type="http://schemas.openxmlformats.org/officeDocument/2006/relationships/hyperlink" Target="https://statiz.sporki.com/add/?m=draft_school01&amp;ps_school=50202" TargetMode="External"/><Relationship Id="rId15572" Type="http://schemas.openxmlformats.org/officeDocument/2006/relationships/hyperlink" Target="https://statiz.sporki.com/player/?m=playerinfo&amp;p_no=1533" TargetMode="External"/><Relationship Id="rId16623" Type="http://schemas.openxmlformats.org/officeDocument/2006/relationships/hyperlink" Target="https://statiz.sporki.com/add/?m=draft_school01&amp;ps_school=50116" TargetMode="External"/><Relationship Id="rId1010" Type="http://schemas.openxmlformats.org/officeDocument/2006/relationships/hyperlink" Target="https://statiz.sporki.com/add/?m=draft_school01&amp;ps_school=50110" TargetMode="External"/><Relationship Id="rId4580" Type="http://schemas.openxmlformats.org/officeDocument/2006/relationships/hyperlink" Target="https://statiz.sporki.com/add/?m=draft_school01&amp;ps_school=50113" TargetMode="External"/><Relationship Id="rId5631" Type="http://schemas.openxmlformats.org/officeDocument/2006/relationships/hyperlink" Target="https://statiz.sporki.com/add/?m=draft_school02&amp;ps_school=" TargetMode="External"/><Relationship Id="rId14174" Type="http://schemas.openxmlformats.org/officeDocument/2006/relationships/hyperlink" Target="https://statiz.sporki.com/player/?m=playerinfo&amp;p_no=10012" TargetMode="External"/><Relationship Id="rId15225" Type="http://schemas.openxmlformats.org/officeDocument/2006/relationships/hyperlink" Target="https://statiz.sporki.com/player/?m=playerinfo&amp;p_no=1977" TargetMode="External"/><Relationship Id="rId18795" Type="http://schemas.openxmlformats.org/officeDocument/2006/relationships/hyperlink" Target="https://statiz.sporki.com/add/?m=draft_school01&amp;ps_school=50114" TargetMode="External"/><Relationship Id="rId4233" Type="http://schemas.openxmlformats.org/officeDocument/2006/relationships/hyperlink" Target="https://statiz.sporki.com/add/?m=draft_school02&amp;ps_school=60203" TargetMode="External"/><Relationship Id="rId9905" Type="http://schemas.openxmlformats.org/officeDocument/2006/relationships/hyperlink" Target="https://statiz.sporki.com/add/?m=draft_school01&amp;ps_school=" TargetMode="External"/><Relationship Id="rId17397" Type="http://schemas.openxmlformats.org/officeDocument/2006/relationships/hyperlink" Target="https://statiz.sporki.com/add/?m=draft_school01&amp;ps_school=50808" TargetMode="External"/><Relationship Id="rId7456" Type="http://schemas.openxmlformats.org/officeDocument/2006/relationships/hyperlink" Target="https://statiz.sporki.com/player/?m=playerinfo&amp;p_no=10150" TargetMode="External"/><Relationship Id="rId10784" Type="http://schemas.openxmlformats.org/officeDocument/2006/relationships/hyperlink" Target="https://statiz.sporki.com/add/?m=draft_school01&amp;ps_school=50114" TargetMode="External"/><Relationship Id="rId7109" Type="http://schemas.openxmlformats.org/officeDocument/2006/relationships/hyperlink" Target="https://statiz.sporki.com/add/?m=draft_school01&amp;ps_school=50108" TargetMode="External"/><Relationship Id="rId10437" Type="http://schemas.openxmlformats.org/officeDocument/2006/relationships/hyperlink" Target="https://statiz.sporki.com/add/?m=draft_school02&amp;ps_school=" TargetMode="External"/><Relationship Id="rId16480" Type="http://schemas.openxmlformats.org/officeDocument/2006/relationships/hyperlink" Target="https://statiz.sporki.com/add/?m=draft_school01&amp;ps_school=50901" TargetMode="External"/><Relationship Id="rId3719" Type="http://schemas.openxmlformats.org/officeDocument/2006/relationships/hyperlink" Target="https://statiz.sporki.com/add/?m=draft_school01&amp;ps_school=50602" TargetMode="External"/><Relationship Id="rId4090" Type="http://schemas.openxmlformats.org/officeDocument/2006/relationships/hyperlink" Target="https://statiz.sporki.com/player/?m=playerinfo&amp;p_no=11316" TargetMode="External"/><Relationship Id="rId16133" Type="http://schemas.openxmlformats.org/officeDocument/2006/relationships/hyperlink" Target="https://statiz.sporki.com/player/?m=playerinfo&amp;p_no=1004" TargetMode="External"/><Relationship Id="rId9762" Type="http://schemas.openxmlformats.org/officeDocument/2006/relationships/hyperlink" Target="https://statiz.sporki.com/add/?m=draft_school02&amp;ps_school=" TargetMode="External"/><Relationship Id="rId12743" Type="http://schemas.openxmlformats.org/officeDocument/2006/relationships/hyperlink" Target="https://statiz.sporki.com/player/?m=playerinfo&amp;p_no=14691" TargetMode="External"/><Relationship Id="rId19356" Type="http://schemas.openxmlformats.org/officeDocument/2006/relationships/hyperlink" Target="https://statiz.sporki.com/add/?m=draft_school01&amp;ps_school=50904" TargetMode="External"/><Relationship Id="rId2802" Type="http://schemas.openxmlformats.org/officeDocument/2006/relationships/hyperlink" Target="https://statiz.sporki.com/add/?m=draft_school02&amp;ps_school=60101" TargetMode="External"/><Relationship Id="rId9415" Type="http://schemas.openxmlformats.org/officeDocument/2006/relationships/hyperlink" Target="https://statiz.sporki.com/player/?m=playerinfo&amp;p_no=1829" TargetMode="External"/><Relationship Id="rId10294" Type="http://schemas.openxmlformats.org/officeDocument/2006/relationships/hyperlink" Target="https://statiz.sporki.com/player/?m=playerinfo&amp;p_no=1560" TargetMode="External"/><Relationship Id="rId19009" Type="http://schemas.openxmlformats.org/officeDocument/2006/relationships/hyperlink" Target="https://statiz.sporki.com/add/?m=draft_school01&amp;ps_school=50604" TargetMode="External"/><Relationship Id="rId15966" Type="http://schemas.openxmlformats.org/officeDocument/2006/relationships/hyperlink" Target="https://statiz.sporki.com/player/?m=playerinfo&amp;p_no=1219" TargetMode="External"/><Relationship Id="rId3576" Type="http://schemas.openxmlformats.org/officeDocument/2006/relationships/hyperlink" Target="https://statiz.sporki.com/add/?m=draft_school02&amp;ps_school=60109" TargetMode="External"/><Relationship Id="rId15619" Type="http://schemas.openxmlformats.org/officeDocument/2006/relationships/hyperlink" Target="https://statiz.sporki.com/player/?m=playerinfo&amp;p_no=1577" TargetMode="External"/><Relationship Id="rId3229" Type="http://schemas.openxmlformats.org/officeDocument/2006/relationships/hyperlink" Target="https://statiz.sporki.com/player/?m=playerinfo&amp;p_no=12591" TargetMode="External"/><Relationship Id="rId6799" Type="http://schemas.openxmlformats.org/officeDocument/2006/relationships/hyperlink" Target="https://statiz.sporki.com/player/?m=playerinfo&amp;p_no=10206" TargetMode="External"/><Relationship Id="rId14702" Type="http://schemas.openxmlformats.org/officeDocument/2006/relationships/hyperlink" Target="https://statiz.sporki.com/player/?m=playerinfo&amp;p_no=2292" TargetMode="External"/><Relationship Id="rId9272" Type="http://schemas.openxmlformats.org/officeDocument/2006/relationships/hyperlink" Target="https://statiz.sporki.com/add/?m=draft_school01&amp;ps_school=50706" TargetMode="External"/><Relationship Id="rId12253" Type="http://schemas.openxmlformats.org/officeDocument/2006/relationships/hyperlink" Target="https://statiz.sporki.com/player/?m=playerinfo&amp;p_no=15542" TargetMode="External"/><Relationship Id="rId631" Type="http://schemas.openxmlformats.org/officeDocument/2006/relationships/hyperlink" Target="https://statiz.sporki.com/player/?m=playerinfo&amp;p_no=15083" TargetMode="External"/><Relationship Id="rId2312" Type="http://schemas.openxmlformats.org/officeDocument/2006/relationships/hyperlink" Target="https://statiz.sporki.com/add/?m=draft_school01&amp;ps_school=50802" TargetMode="External"/><Relationship Id="rId5882" Type="http://schemas.openxmlformats.org/officeDocument/2006/relationships/hyperlink" Target="https://statiz.sporki.com/add/?m=draft_school01&amp;ps_school=50210" TargetMode="External"/><Relationship Id="rId15476" Type="http://schemas.openxmlformats.org/officeDocument/2006/relationships/hyperlink" Target="https://statiz.sporki.com/player/?m=playerinfo&amp;p_no=1563" TargetMode="External"/><Relationship Id="rId17925" Type="http://schemas.openxmlformats.org/officeDocument/2006/relationships/hyperlink" Target="https://statiz.sporki.com/add/?m=draft_school01&amp;ps_school=50705" TargetMode="External"/><Relationship Id="rId5535" Type="http://schemas.openxmlformats.org/officeDocument/2006/relationships/hyperlink" Target="https://statiz.sporki.com/add/?m=draft_school02&amp;ps_school=" TargetMode="External"/><Relationship Id="rId15129" Type="http://schemas.openxmlformats.org/officeDocument/2006/relationships/hyperlink" Target="https://statiz.sporki.com/player/?m=playerinfo&amp;p_no=2128" TargetMode="External"/><Relationship Id="rId3086" Type="http://schemas.openxmlformats.org/officeDocument/2006/relationships/hyperlink" Target="https://statiz.sporki.com/add/?m=draft_school01&amp;ps_school=" TargetMode="External"/><Relationship Id="rId8758" Type="http://schemas.openxmlformats.org/officeDocument/2006/relationships/hyperlink" Target="https://statiz.sporki.com/player/?m=playerinfo&amp;p_no=10228" TargetMode="External"/><Relationship Id="rId18699" Type="http://schemas.openxmlformats.org/officeDocument/2006/relationships/hyperlink" Target="https://statiz.sporki.com/add/?m=draft_school01&amp;ps_school=50806" TargetMode="External"/><Relationship Id="rId11739" Type="http://schemas.openxmlformats.org/officeDocument/2006/relationships/hyperlink" Target="https://statiz.sporki.com/add/?m=draft_school02&amp;ps_school=" TargetMode="External"/><Relationship Id="rId14212" Type="http://schemas.openxmlformats.org/officeDocument/2006/relationships/hyperlink" Target="https://statiz.sporki.com/player/?m=playerinfo&amp;p_no=10422" TargetMode="External"/><Relationship Id="rId17782" Type="http://schemas.openxmlformats.org/officeDocument/2006/relationships/hyperlink" Target="https://statiz.sporki.com/add/?m=draft_school01&amp;ps_school=50601" TargetMode="External"/><Relationship Id="rId141" Type="http://schemas.openxmlformats.org/officeDocument/2006/relationships/hyperlink" Target="https://statiz.sporki.com/add/?m=draft_school02&amp;ps_school=" TargetMode="External"/><Relationship Id="rId7841" Type="http://schemas.openxmlformats.org/officeDocument/2006/relationships/hyperlink" Target="https://statiz.sporki.com/add/?m=draft_school01&amp;ps_school=50705" TargetMode="External"/><Relationship Id="rId10822" Type="http://schemas.openxmlformats.org/officeDocument/2006/relationships/hyperlink" Target="https://statiz.sporki.com/player/?m=playerinfo&amp;p_no=1386" TargetMode="External"/><Relationship Id="rId17435" Type="http://schemas.openxmlformats.org/officeDocument/2006/relationships/hyperlink" Target="https://statiz.sporki.com/add/?m=draft_school01&amp;ps_school=50108" TargetMode="External"/><Relationship Id="rId5392" Type="http://schemas.openxmlformats.org/officeDocument/2006/relationships/hyperlink" Target="https://statiz.sporki.com/player/?m=playerinfo&amp;p_no=10714" TargetMode="External"/><Relationship Id="rId5045" Type="http://schemas.openxmlformats.org/officeDocument/2006/relationships/hyperlink" Target="https://statiz.sporki.com/add/?m=draft_school01&amp;ps_school=50606" TargetMode="External"/><Relationship Id="rId11596" Type="http://schemas.openxmlformats.org/officeDocument/2006/relationships/hyperlink" Target="https://statiz.sporki.com/player/?m=playerinfo&amp;p_no=1183" TargetMode="External"/><Relationship Id="rId1655" Type="http://schemas.openxmlformats.org/officeDocument/2006/relationships/hyperlink" Target="https://statiz.sporki.com/add/?m=draft_school01&amp;ps_school=50703" TargetMode="External"/><Relationship Id="rId8268" Type="http://schemas.openxmlformats.org/officeDocument/2006/relationships/hyperlink" Target="https://statiz.sporki.com/add/?m=draft_school02&amp;ps_school=" TargetMode="External"/><Relationship Id="rId11249" Type="http://schemas.openxmlformats.org/officeDocument/2006/relationships/hyperlink" Target="https://statiz.sporki.com/add/?m=draft_school01&amp;ps_school=50608" TargetMode="External"/><Relationship Id="rId1308" Type="http://schemas.openxmlformats.org/officeDocument/2006/relationships/hyperlink" Target="https://statiz.sporki.com/add/?m=draft_school02&amp;ps_school=" TargetMode="External"/><Relationship Id="rId4878" Type="http://schemas.openxmlformats.org/officeDocument/2006/relationships/hyperlink" Target="https://statiz.sporki.com/add/?m=draft_school02&amp;ps_school=" TargetMode="External"/><Relationship Id="rId9800" Type="http://schemas.openxmlformats.org/officeDocument/2006/relationships/hyperlink" Target="https://statiz.sporki.com/add/?m=draft_school01&amp;ps_school=50110" TargetMode="External"/><Relationship Id="rId17292" Type="http://schemas.openxmlformats.org/officeDocument/2006/relationships/hyperlink" Target="https://statiz.sporki.com/add/?m=draft_school01&amp;ps_school=50111" TargetMode="External"/><Relationship Id="rId14" Type="http://schemas.openxmlformats.org/officeDocument/2006/relationships/hyperlink" Target="https://statiz.sporki.com/add/?m=draft_school01&amp;ps_school=50703" TargetMode="External"/><Relationship Id="rId7004" Type="http://schemas.openxmlformats.org/officeDocument/2006/relationships/hyperlink" Target="https://statiz.sporki.com/add/?m=draft_school01&amp;ps_school=50602" TargetMode="External"/><Relationship Id="rId7351" Type="http://schemas.openxmlformats.org/officeDocument/2006/relationships/hyperlink" Target="https://statiz.sporki.com/player/?m=playerinfo&amp;p_no=10440" TargetMode="External"/><Relationship Id="rId10332" Type="http://schemas.openxmlformats.org/officeDocument/2006/relationships/hyperlink" Target="https://statiz.sporki.com/add/?m=draft_school02&amp;ps_school=60801" TargetMode="External"/><Relationship Id="rId3961" Type="http://schemas.openxmlformats.org/officeDocument/2006/relationships/hyperlink" Target="https://statiz.sporki.com/player/?m=playerinfo&amp;p_no=11490" TargetMode="External"/><Relationship Id="rId13555" Type="http://schemas.openxmlformats.org/officeDocument/2006/relationships/hyperlink" Target="https://statiz.sporki.com/player/?m=playerinfo&amp;p_no=14747" TargetMode="External"/><Relationship Id="rId3614" Type="http://schemas.openxmlformats.org/officeDocument/2006/relationships/hyperlink" Target="https://statiz.sporki.com/add/?m=draft_school01&amp;ps_school=50103" TargetMode="External"/><Relationship Id="rId13208" Type="http://schemas.openxmlformats.org/officeDocument/2006/relationships/hyperlink" Target="https://statiz.sporki.com/player/?m=playerinfo&amp;p_no=12590" TargetMode="External"/><Relationship Id="rId1165" Type="http://schemas.openxmlformats.org/officeDocument/2006/relationships/hyperlink" Target="https://statiz.sporki.com/player/?m=playerinfo&amp;p_no=14824" TargetMode="External"/><Relationship Id="rId6837" Type="http://schemas.openxmlformats.org/officeDocument/2006/relationships/hyperlink" Target="https://statiz.sporki.com/add/?m=draft_school02&amp;ps_school=" TargetMode="External"/><Relationship Id="rId16778" Type="http://schemas.openxmlformats.org/officeDocument/2006/relationships/hyperlink" Target="https://statiz.sporki.com/add/?m=draft_school01&amp;ps_school=50401" TargetMode="External"/><Relationship Id="rId19251" Type="http://schemas.openxmlformats.org/officeDocument/2006/relationships/hyperlink" Target="https://statiz.sporki.com/add/?m=draft_school01&amp;ps_school=50107" TargetMode="External"/><Relationship Id="rId4388" Type="http://schemas.openxmlformats.org/officeDocument/2006/relationships/hyperlink" Target="https://statiz.sporki.com/add/?m=draft_school01&amp;ps_school=51103" TargetMode="External"/><Relationship Id="rId9310" Type="http://schemas.openxmlformats.org/officeDocument/2006/relationships/hyperlink" Target="https://statiz.sporki.com/player/?m=playerinfo&amp;p_no=1836" TargetMode="External"/><Relationship Id="rId15861" Type="http://schemas.openxmlformats.org/officeDocument/2006/relationships/hyperlink" Target="https://statiz.sporki.com/player/?m=playerinfo&amp;p_no=1317" TargetMode="External"/><Relationship Id="rId5920" Type="http://schemas.openxmlformats.org/officeDocument/2006/relationships/hyperlink" Target="https://statiz.sporki.com/player/?m=playerinfo&amp;p_no=10023" TargetMode="External"/><Relationship Id="rId15514" Type="http://schemas.openxmlformats.org/officeDocument/2006/relationships/hyperlink" Target="https://statiz.sporki.com/player/?m=playerinfo&amp;p_no=1655" TargetMode="External"/><Relationship Id="rId3471" Type="http://schemas.openxmlformats.org/officeDocument/2006/relationships/hyperlink" Target="https://statiz.sporki.com/add/?m=draft_school02&amp;ps_school=" TargetMode="External"/><Relationship Id="rId13065" Type="http://schemas.openxmlformats.org/officeDocument/2006/relationships/hyperlink" Target="https://statiz.sporki.com/player/?m=playerinfo&amp;p_no=12865" TargetMode="External"/><Relationship Id="rId18737" Type="http://schemas.openxmlformats.org/officeDocument/2006/relationships/hyperlink" Target="https://statiz.sporki.com/add/?m=draft_school01&amp;ps_school=50502" TargetMode="External"/><Relationship Id="rId3124" Type="http://schemas.openxmlformats.org/officeDocument/2006/relationships/hyperlink" Target="https://statiz.sporki.com/player/?m=playerinfo&amp;p_no=13263" TargetMode="External"/><Relationship Id="rId6694" Type="http://schemas.openxmlformats.org/officeDocument/2006/relationships/hyperlink" Target="https://statiz.sporki.com/player/?m=playerinfo&amp;p_no=10470" TargetMode="External"/><Relationship Id="rId16288" Type="http://schemas.openxmlformats.org/officeDocument/2006/relationships/hyperlink" Target="https://statiz.sporki.com/add/?m=draft_school01&amp;ps_school=50901" TargetMode="External"/><Relationship Id="rId6347" Type="http://schemas.openxmlformats.org/officeDocument/2006/relationships/hyperlink" Target="https://statiz.sporki.com/add/?m=draft_school01&amp;ps_school=50104" TargetMode="External"/><Relationship Id="rId12898" Type="http://schemas.openxmlformats.org/officeDocument/2006/relationships/hyperlink" Target="https://statiz.sporki.com/player/?m=playerinfo&amp;p_no=14196" TargetMode="External"/><Relationship Id="rId17820" Type="http://schemas.openxmlformats.org/officeDocument/2006/relationships/hyperlink" Target="https://statiz.sporki.com/add/?m=draft_school01&amp;ps_school=50801" TargetMode="External"/><Relationship Id="rId2957" Type="http://schemas.openxmlformats.org/officeDocument/2006/relationships/hyperlink" Target="https://statiz.sporki.com/add/?m=draft_school01&amp;ps_school=50402" TargetMode="External"/><Relationship Id="rId15371" Type="http://schemas.openxmlformats.org/officeDocument/2006/relationships/hyperlink" Target="https://statiz.sporki.com/player/?m=playerinfo&amp;p_no=1719" TargetMode="External"/><Relationship Id="rId929" Type="http://schemas.openxmlformats.org/officeDocument/2006/relationships/hyperlink" Target="https://statiz.sporki.com/add/?m=draft_school01&amp;ps_school=50602" TargetMode="External"/><Relationship Id="rId5430" Type="http://schemas.openxmlformats.org/officeDocument/2006/relationships/hyperlink" Target="https://statiz.sporki.com/add/?m=draft_school02&amp;ps_school=60301" TargetMode="External"/><Relationship Id="rId11981" Type="http://schemas.openxmlformats.org/officeDocument/2006/relationships/hyperlink" Target="https://statiz.sporki.com/add/?m=draft_school01&amp;ps_school=50202" TargetMode="External"/><Relationship Id="rId15024" Type="http://schemas.openxmlformats.org/officeDocument/2006/relationships/hyperlink" Target="https://statiz.sporki.com/player/?m=playerinfo&amp;p_no=1981" TargetMode="External"/><Relationship Id="rId18594" Type="http://schemas.openxmlformats.org/officeDocument/2006/relationships/hyperlink" Target="https://statiz.sporki.com/add/?m=draft_school01&amp;ps_school=50110" TargetMode="External"/><Relationship Id="rId8653" Type="http://schemas.openxmlformats.org/officeDocument/2006/relationships/hyperlink" Target="https://statiz.sporki.com/player/?m=playerinfo&amp;p_no=2035" TargetMode="External"/><Relationship Id="rId11634" Type="http://schemas.openxmlformats.org/officeDocument/2006/relationships/hyperlink" Target="https://statiz.sporki.com/add/?m=draft_school02&amp;ps_school=60803" TargetMode="External"/><Relationship Id="rId18247" Type="http://schemas.openxmlformats.org/officeDocument/2006/relationships/hyperlink" Target="https://statiz.sporki.com/add/?m=draft_school01&amp;ps_school=50107" TargetMode="External"/><Relationship Id="rId8306" Type="http://schemas.openxmlformats.org/officeDocument/2006/relationships/hyperlink" Target="https://statiz.sporki.com/add/?m=draft_school01&amp;ps_school=50209" TargetMode="External"/><Relationship Id="rId4916" Type="http://schemas.openxmlformats.org/officeDocument/2006/relationships/hyperlink" Target="https://statiz.sporki.com/add/?m=draft_school01&amp;ps_school=50806" TargetMode="External"/><Relationship Id="rId14857" Type="http://schemas.openxmlformats.org/officeDocument/2006/relationships/hyperlink" Target="https://statiz.sporki.com/player/?m=playerinfo&amp;p_no=10605" TargetMode="External"/><Relationship Id="rId17330" Type="http://schemas.openxmlformats.org/officeDocument/2006/relationships/hyperlink" Target="https://statiz.sporki.com/add/?m=draft_school01&amp;ps_school=50807" TargetMode="External"/><Relationship Id="rId786" Type="http://schemas.openxmlformats.org/officeDocument/2006/relationships/hyperlink" Target="https://statiz.sporki.com/add/?m=draft_school02&amp;ps_school=" TargetMode="External"/><Relationship Id="rId2467" Type="http://schemas.openxmlformats.org/officeDocument/2006/relationships/hyperlink" Target="https://statiz.sporki.com/player/?m=playerinfo&amp;p_no=13139" TargetMode="External"/><Relationship Id="rId439" Type="http://schemas.openxmlformats.org/officeDocument/2006/relationships/hyperlink" Target="https://statiz.sporki.com/player/?m=playerinfo&amp;p_no=15611" TargetMode="External"/><Relationship Id="rId13940" Type="http://schemas.openxmlformats.org/officeDocument/2006/relationships/hyperlink" Target="https://statiz.sporki.com/player/?m=playerinfo&amp;p_no=10646" TargetMode="External"/><Relationship Id="rId8163" Type="http://schemas.openxmlformats.org/officeDocument/2006/relationships/hyperlink" Target="https://statiz.sporki.com/add/?m=draft_school02&amp;ps_school=60101" TargetMode="External"/><Relationship Id="rId11491" Type="http://schemas.openxmlformats.org/officeDocument/2006/relationships/hyperlink" Target="https://statiz.sporki.com/player/?m=playerinfo&amp;p_no=1222" TargetMode="External"/><Relationship Id="rId1550" Type="http://schemas.openxmlformats.org/officeDocument/2006/relationships/hyperlink" Target="https://statiz.sporki.com/add/?m=draft_school01&amp;ps_school=50205" TargetMode="External"/><Relationship Id="rId11144" Type="http://schemas.openxmlformats.org/officeDocument/2006/relationships/hyperlink" Target="https://statiz.sporki.com/add/?m=draft_school01&amp;ps_school=50701" TargetMode="External"/><Relationship Id="rId16816" Type="http://schemas.openxmlformats.org/officeDocument/2006/relationships/hyperlink" Target="https://statiz.sporki.com/add/?m=draft_school01&amp;ps_school=50805" TargetMode="External"/><Relationship Id="rId1203" Type="http://schemas.openxmlformats.org/officeDocument/2006/relationships/hyperlink" Target="https://statiz.sporki.com/add/?m=draft_school02&amp;ps_school=" TargetMode="External"/><Relationship Id="rId4773" Type="http://schemas.openxmlformats.org/officeDocument/2006/relationships/hyperlink" Target="https://statiz.sporki.com/add/?m=draft_school02&amp;ps_school=60203" TargetMode="External"/><Relationship Id="rId14367" Type="http://schemas.openxmlformats.org/officeDocument/2006/relationships/hyperlink" Target="https://statiz.sporki.com/player/?m=playerinfo&amp;p_no=10701" TargetMode="External"/><Relationship Id="rId4426" Type="http://schemas.openxmlformats.org/officeDocument/2006/relationships/hyperlink" Target="https://statiz.sporki.com/player/?m=playerinfo&amp;p_no=13240" TargetMode="External"/><Relationship Id="rId7996" Type="http://schemas.openxmlformats.org/officeDocument/2006/relationships/hyperlink" Target="https://statiz.sporki.com/player/?m=playerinfo&amp;p_no=2116" TargetMode="External"/><Relationship Id="rId296" Type="http://schemas.openxmlformats.org/officeDocument/2006/relationships/hyperlink" Target="https://statiz.sporki.com/add/?m=draft_school01&amp;ps_school=50108" TargetMode="External"/><Relationship Id="rId7649" Type="http://schemas.openxmlformats.org/officeDocument/2006/relationships/hyperlink" Target="https://statiz.sporki.com/add/?m=draft_school01&amp;ps_school=50701" TargetMode="External"/><Relationship Id="rId10977" Type="http://schemas.openxmlformats.org/officeDocument/2006/relationships/hyperlink" Target="https://statiz.sporki.com/add/?m=draft_school02&amp;ps_school=60111" TargetMode="External"/><Relationship Id="rId13450" Type="http://schemas.openxmlformats.org/officeDocument/2006/relationships/hyperlink" Target="https://statiz.sporki.com/player/?m=playerinfo&amp;p_no=11368" TargetMode="External"/><Relationship Id="rId1060" Type="http://schemas.openxmlformats.org/officeDocument/2006/relationships/hyperlink" Target="https://statiz.sporki.com/player/?m=playerinfo&amp;p_no=14773" TargetMode="External"/><Relationship Id="rId13103" Type="http://schemas.openxmlformats.org/officeDocument/2006/relationships/hyperlink" Target="https://statiz.sporki.com/player/?m=playerinfo&amp;p_no=12936" TargetMode="External"/><Relationship Id="rId16673" Type="http://schemas.openxmlformats.org/officeDocument/2006/relationships/hyperlink" Target="https://statiz.sporki.com/add/?m=draft_school01&amp;ps_school=50111" TargetMode="External"/><Relationship Id="rId6732" Type="http://schemas.openxmlformats.org/officeDocument/2006/relationships/hyperlink" Target="https://statiz.sporki.com/add/?m=draft_school02&amp;ps_school=60103" TargetMode="External"/><Relationship Id="rId16326" Type="http://schemas.openxmlformats.org/officeDocument/2006/relationships/hyperlink" Target="https://statiz.sporki.com/add/?m=draft_school01&amp;ps_school=50807" TargetMode="External"/><Relationship Id="rId4283" Type="http://schemas.openxmlformats.org/officeDocument/2006/relationships/hyperlink" Target="https://statiz.sporki.com/add/?m=draft_school01&amp;ps_school=50801" TargetMode="External"/><Relationship Id="rId9955" Type="http://schemas.openxmlformats.org/officeDocument/2006/relationships/hyperlink" Target="https://statiz.sporki.com/player/?m=playerinfo&amp;p_no=1747" TargetMode="External"/><Relationship Id="rId19549" Type="http://schemas.openxmlformats.org/officeDocument/2006/relationships/hyperlink" Target="https://statiz.sporki.com/add/?m=draft_school01&amp;ps_school=50106" TargetMode="External"/><Relationship Id="rId9608" Type="http://schemas.openxmlformats.org/officeDocument/2006/relationships/hyperlink" Target="https://statiz.sporki.com/add/?m=draft_school01&amp;ps_school=50403" TargetMode="External"/><Relationship Id="rId10487" Type="http://schemas.openxmlformats.org/officeDocument/2006/relationships/hyperlink" Target="https://statiz.sporki.com/add/?m=draft_school01&amp;ps_school=50706" TargetMode="External"/><Relationship Id="rId12936" Type="http://schemas.openxmlformats.org/officeDocument/2006/relationships/hyperlink" Target="https://statiz.sporki.com/player/?m=playerinfo&amp;p_no=13170" TargetMode="External"/><Relationship Id="rId7159" Type="http://schemas.openxmlformats.org/officeDocument/2006/relationships/hyperlink" Target="https://statiz.sporki.com/player/?m=playerinfo&amp;p_no=2276" TargetMode="External"/><Relationship Id="rId16183" Type="http://schemas.openxmlformats.org/officeDocument/2006/relationships/hyperlink" Target="https://statiz.sporki.com/player/?m=playerinfo&amp;p_no=1015" TargetMode="External"/><Relationship Id="rId18632" Type="http://schemas.openxmlformats.org/officeDocument/2006/relationships/hyperlink" Target="https://statiz.sporki.com/add/?m=draft_school01&amp;ps_school=50112" TargetMode="External"/><Relationship Id="rId3769" Type="http://schemas.openxmlformats.org/officeDocument/2006/relationships/hyperlink" Target="https://statiz.sporki.com/player/?m=playerinfo&amp;p_no=11346" TargetMode="External"/><Relationship Id="rId6242" Type="http://schemas.openxmlformats.org/officeDocument/2006/relationships/hyperlink" Target="https://statiz.sporki.com/add/?m=draft_school01&amp;ps_school=50104" TargetMode="External"/><Relationship Id="rId12793" Type="http://schemas.openxmlformats.org/officeDocument/2006/relationships/hyperlink" Target="https://statiz.sporki.com/player/?m=playerinfo&amp;p_no=14173" TargetMode="External"/><Relationship Id="rId2852" Type="http://schemas.openxmlformats.org/officeDocument/2006/relationships/hyperlink" Target="https://statiz.sporki.com/add/?m=draft_school01&amp;ps_school=50106" TargetMode="External"/><Relationship Id="rId9465" Type="http://schemas.openxmlformats.org/officeDocument/2006/relationships/hyperlink" Target="https://statiz.sporki.com/add/?m=draft_school02&amp;ps_school=60204" TargetMode="External"/><Relationship Id="rId12446" Type="http://schemas.openxmlformats.org/officeDocument/2006/relationships/hyperlink" Target="https://statiz.sporki.com/player/?m=playerinfo&amp;p_no=15129" TargetMode="External"/><Relationship Id="rId19059" Type="http://schemas.openxmlformats.org/officeDocument/2006/relationships/hyperlink" Target="https://statiz.sporki.com/add/?m=draft_school01&amp;ps_school=50803" TargetMode="External"/><Relationship Id="rId824" Type="http://schemas.openxmlformats.org/officeDocument/2006/relationships/hyperlink" Target="https://statiz.sporki.com/add/?m=draft_school01&amp;ps_school=51125" TargetMode="External"/><Relationship Id="rId2505" Type="http://schemas.openxmlformats.org/officeDocument/2006/relationships/hyperlink" Target="https://statiz.sporki.com/add/?m=draft_school02&amp;ps_school=" TargetMode="External"/><Relationship Id="rId9118" Type="http://schemas.openxmlformats.org/officeDocument/2006/relationships/hyperlink" Target="https://statiz.sporki.com/player/?m=playerinfo&amp;p_no=1979" TargetMode="External"/><Relationship Id="rId15669" Type="http://schemas.openxmlformats.org/officeDocument/2006/relationships/hyperlink" Target="https://statiz.sporki.com/player/?m=playerinfo&amp;p_no=13923" TargetMode="External"/><Relationship Id="rId5728" Type="http://schemas.openxmlformats.org/officeDocument/2006/relationships/hyperlink" Target="https://statiz.sporki.com/player/?m=playerinfo&amp;p_no=12650" TargetMode="External"/><Relationship Id="rId18142" Type="http://schemas.openxmlformats.org/officeDocument/2006/relationships/hyperlink" Target="https://statiz.sporki.com/add/?m=draft_school01&amp;ps_school=50108" TargetMode="External"/><Relationship Id="rId3279" Type="http://schemas.openxmlformats.org/officeDocument/2006/relationships/hyperlink" Target="https://statiz.sporki.com/add/?m=draft_school02&amp;ps_school=60703" TargetMode="External"/><Relationship Id="rId8201" Type="http://schemas.openxmlformats.org/officeDocument/2006/relationships/hyperlink" Target="https://statiz.sporki.com/add/?m=draft_school01&amp;ps_school=50803" TargetMode="External"/><Relationship Id="rId14752" Type="http://schemas.openxmlformats.org/officeDocument/2006/relationships/hyperlink" Target="https://statiz.sporki.com/player/?m=playerinfo&amp;p_no=10447" TargetMode="External"/><Relationship Id="rId4811" Type="http://schemas.openxmlformats.org/officeDocument/2006/relationships/hyperlink" Target="https://statiz.sporki.com/add/?m=draft_school01&amp;ps_school=50703" TargetMode="External"/><Relationship Id="rId14405" Type="http://schemas.openxmlformats.org/officeDocument/2006/relationships/hyperlink" Target="https://statiz.sporki.com/player/?m=playerinfo&amp;p_no=11253" TargetMode="External"/><Relationship Id="rId17975" Type="http://schemas.openxmlformats.org/officeDocument/2006/relationships/hyperlink" Target="https://statiz.sporki.com/add/?m=draft_school01&amp;ps_school=50112" TargetMode="External"/><Relationship Id="rId681" Type="http://schemas.openxmlformats.org/officeDocument/2006/relationships/hyperlink" Target="https://statiz.sporki.com/add/?m=draft_school02&amp;ps_school=" TargetMode="External"/><Relationship Id="rId2362" Type="http://schemas.openxmlformats.org/officeDocument/2006/relationships/hyperlink" Target="https://statiz.sporki.com/player/?m=playerinfo&amp;p_no=13126" TargetMode="External"/><Relationship Id="rId17628" Type="http://schemas.openxmlformats.org/officeDocument/2006/relationships/hyperlink" Target="https://statiz.sporki.com/add/?m=draft_school01&amp;ps_school=50208" TargetMode="External"/><Relationship Id="rId334" Type="http://schemas.openxmlformats.org/officeDocument/2006/relationships/hyperlink" Target="https://statiz.sporki.com/player/?m=playerinfo&amp;p_no=15542" TargetMode="External"/><Relationship Id="rId2015" Type="http://schemas.openxmlformats.org/officeDocument/2006/relationships/hyperlink" Target="https://statiz.sporki.com/add/?m=draft_school01&amp;ps_school=50105" TargetMode="External"/><Relationship Id="rId5585" Type="http://schemas.openxmlformats.org/officeDocument/2006/relationships/hyperlink" Target="https://statiz.sporki.com/add/?m=draft_school01&amp;ps_school=50108" TargetMode="External"/><Relationship Id="rId15179" Type="http://schemas.openxmlformats.org/officeDocument/2006/relationships/hyperlink" Target="https://statiz.sporki.com/player/?m=playerinfo&amp;p_no=2061" TargetMode="External"/><Relationship Id="rId5238" Type="http://schemas.openxmlformats.org/officeDocument/2006/relationships/hyperlink" Target="https://statiz.sporki.com/add/?m=draft_school02&amp;ps_school=60802" TargetMode="External"/><Relationship Id="rId11789" Type="http://schemas.openxmlformats.org/officeDocument/2006/relationships/hyperlink" Target="https://statiz.sporki.com/add/?m=draft_school01&amp;ps_school=50122" TargetMode="External"/><Relationship Id="rId14262" Type="http://schemas.openxmlformats.org/officeDocument/2006/relationships/hyperlink" Target="https://statiz.sporki.com/player/?m=playerinfo&amp;p_no=10528" TargetMode="External"/><Relationship Id="rId16711" Type="http://schemas.openxmlformats.org/officeDocument/2006/relationships/hyperlink" Target="https://statiz.sporki.com/add/?m=draft_school01&amp;ps_school=50217" TargetMode="External"/><Relationship Id="rId1848" Type="http://schemas.openxmlformats.org/officeDocument/2006/relationships/hyperlink" Target="https://statiz.sporki.com/add/?m=draft_school02&amp;ps_school=" TargetMode="External"/><Relationship Id="rId4321" Type="http://schemas.openxmlformats.org/officeDocument/2006/relationships/hyperlink" Target="https://statiz.sporki.com/player/?m=playerinfo&amp;p_no=11343" TargetMode="External"/><Relationship Id="rId191" Type="http://schemas.openxmlformats.org/officeDocument/2006/relationships/hyperlink" Target="https://statiz.sporki.com/add/?m=draft_school01&amp;ps_school=50803" TargetMode="External"/><Relationship Id="rId7891" Type="http://schemas.openxmlformats.org/officeDocument/2006/relationships/hyperlink" Target="https://statiz.sporki.com/player/?m=playerinfo&amp;p_no=10011" TargetMode="External"/><Relationship Id="rId10872" Type="http://schemas.openxmlformats.org/officeDocument/2006/relationships/hyperlink" Target="https://statiz.sporki.com/add/?m=draft_school02&amp;ps_school=60103" TargetMode="External"/><Relationship Id="rId17485" Type="http://schemas.openxmlformats.org/officeDocument/2006/relationships/hyperlink" Target="https://statiz.sporki.com/add/?m=draft_school01&amp;ps_school=50114" TargetMode="External"/><Relationship Id="rId5095" Type="http://schemas.openxmlformats.org/officeDocument/2006/relationships/hyperlink" Target="https://statiz.sporki.com/player/?m=playerinfo&amp;p_no=10807" TargetMode="External"/><Relationship Id="rId7544" Type="http://schemas.openxmlformats.org/officeDocument/2006/relationships/hyperlink" Target="https://statiz.sporki.com/add/?m=draft_school01&amp;ps_school=50106" TargetMode="External"/><Relationship Id="rId10525" Type="http://schemas.openxmlformats.org/officeDocument/2006/relationships/hyperlink" Target="https://statiz.sporki.com/player/?m=playerinfo&amp;p_no=1559" TargetMode="External"/><Relationship Id="rId17138" Type="http://schemas.openxmlformats.org/officeDocument/2006/relationships/hyperlink" Target="https://statiz.sporki.com/add/?m=draft_school01&amp;ps_school=50206" TargetMode="External"/><Relationship Id="rId13748" Type="http://schemas.openxmlformats.org/officeDocument/2006/relationships/hyperlink" Target="https://statiz.sporki.com/player/?m=playerinfo&amp;p_no=10865" TargetMode="External"/><Relationship Id="rId3807" Type="http://schemas.openxmlformats.org/officeDocument/2006/relationships/hyperlink" Target="https://statiz.sporki.com/add/?m=draft_school02&amp;ps_school=" TargetMode="External"/><Relationship Id="rId11299" Type="http://schemas.openxmlformats.org/officeDocument/2006/relationships/hyperlink" Target="https://statiz.sporki.com/player/?m=playerinfo&amp;p_no=1262" TargetMode="External"/><Relationship Id="rId16221" Type="http://schemas.openxmlformats.org/officeDocument/2006/relationships/hyperlink" Target="https://statiz.sporki.com/add/?m=draft_school01&amp;ps_school=50701" TargetMode="External"/><Relationship Id="rId1358" Type="http://schemas.openxmlformats.org/officeDocument/2006/relationships/hyperlink" Target="https://statiz.sporki.com/add/?m=draft_school01&amp;ps_school=50302" TargetMode="External"/><Relationship Id="rId64" Type="http://schemas.openxmlformats.org/officeDocument/2006/relationships/hyperlink" Target="https://statiz.sporki.com/player/?m=playerinfo&amp;p_no=15433" TargetMode="External"/><Relationship Id="rId9503" Type="http://schemas.openxmlformats.org/officeDocument/2006/relationships/hyperlink" Target="https://statiz.sporki.com/add/?m=draft_school01&amp;ps_school=50805" TargetMode="External"/><Relationship Id="rId9850" Type="http://schemas.openxmlformats.org/officeDocument/2006/relationships/hyperlink" Target="https://statiz.sporki.com/player/?m=playerinfo&amp;p_no=1700" TargetMode="External"/><Relationship Id="rId12831" Type="http://schemas.openxmlformats.org/officeDocument/2006/relationships/hyperlink" Target="https://statiz.sporki.com/player/?m=playerinfo&amp;p_no=14152" TargetMode="External"/><Relationship Id="rId19444" Type="http://schemas.openxmlformats.org/officeDocument/2006/relationships/hyperlink" Target="https://statiz.sporki.com/add/?m=draft_school01&amp;ps_school=50602" TargetMode="External"/><Relationship Id="rId7054" Type="http://schemas.openxmlformats.org/officeDocument/2006/relationships/hyperlink" Target="https://statiz.sporki.com/player/?m=playerinfo&amp;p_no=2326" TargetMode="External"/><Relationship Id="rId10382" Type="http://schemas.openxmlformats.org/officeDocument/2006/relationships/hyperlink" Target="https://statiz.sporki.com/add/?m=draft_school01&amp;ps_school=50116" TargetMode="External"/><Relationship Id="rId10035" Type="http://schemas.openxmlformats.org/officeDocument/2006/relationships/hyperlink" Target="https://statiz.sporki.com/add/?m=draft_school02&amp;ps_school=60703" TargetMode="External"/><Relationship Id="rId15707" Type="http://schemas.openxmlformats.org/officeDocument/2006/relationships/hyperlink" Target="https://statiz.sporki.com/player/?m=playerinfo&amp;p_no=1447" TargetMode="External"/><Relationship Id="rId3664" Type="http://schemas.openxmlformats.org/officeDocument/2006/relationships/hyperlink" Target="https://statiz.sporki.com/player/?m=playerinfo&amp;p_no=11374" TargetMode="External"/><Relationship Id="rId13258" Type="http://schemas.openxmlformats.org/officeDocument/2006/relationships/hyperlink" Target="https://statiz.sporki.com/player/?m=playerinfo&amp;p_no=12595" TargetMode="External"/><Relationship Id="rId3317" Type="http://schemas.openxmlformats.org/officeDocument/2006/relationships/hyperlink" Target="https://statiz.sporki.com/add/?m=draft_school01&amp;ps_school=50901" TargetMode="External"/><Relationship Id="rId6887" Type="http://schemas.openxmlformats.org/officeDocument/2006/relationships/hyperlink" Target="https://statiz.sporki.com/add/?m=draft_school01&amp;ps_school=50303" TargetMode="External"/><Relationship Id="rId9360" Type="http://schemas.openxmlformats.org/officeDocument/2006/relationships/hyperlink" Target="https://statiz.sporki.com/add/?m=draft_school02&amp;ps_school=60802" TargetMode="External"/><Relationship Id="rId12341" Type="http://schemas.openxmlformats.org/officeDocument/2006/relationships/hyperlink" Target="https://statiz.sporki.com/player/?m=playerinfo&amp;p_no=15092" TargetMode="External"/><Relationship Id="rId2400" Type="http://schemas.openxmlformats.org/officeDocument/2006/relationships/hyperlink" Target="https://statiz.sporki.com/add/?m=draft_school02&amp;ps_school=" TargetMode="External"/><Relationship Id="rId9013" Type="http://schemas.openxmlformats.org/officeDocument/2006/relationships/hyperlink" Target="https://statiz.sporki.com/player/?m=playerinfo&amp;p_no=10039" TargetMode="External"/><Relationship Id="rId5970" Type="http://schemas.openxmlformats.org/officeDocument/2006/relationships/hyperlink" Target="https://statiz.sporki.com/add/?m=draft_school02&amp;ps_school=" TargetMode="External"/><Relationship Id="rId15564" Type="http://schemas.openxmlformats.org/officeDocument/2006/relationships/hyperlink" Target="https://statiz.sporki.com/player/?m=playerinfo&amp;p_no=14565" TargetMode="External"/><Relationship Id="rId3174" Type="http://schemas.openxmlformats.org/officeDocument/2006/relationships/hyperlink" Target="https://statiz.sporki.com/add/?m=draft_school02&amp;ps_school=" TargetMode="External"/><Relationship Id="rId5623" Type="http://schemas.openxmlformats.org/officeDocument/2006/relationships/hyperlink" Target="https://statiz.sporki.com/player/?m=playerinfo&amp;p_no=10801" TargetMode="External"/><Relationship Id="rId15217" Type="http://schemas.openxmlformats.org/officeDocument/2006/relationships/hyperlink" Target="https://statiz.sporki.com/player/?m=playerinfo&amp;p_no=1866" TargetMode="External"/><Relationship Id="rId18787" Type="http://schemas.openxmlformats.org/officeDocument/2006/relationships/hyperlink" Target="https://statiz.sporki.com/add/?m=draft_school01&amp;ps_school=50609" TargetMode="External"/><Relationship Id="rId8846" Type="http://schemas.openxmlformats.org/officeDocument/2006/relationships/hyperlink" Target="https://statiz.sporki.com/add/?m=draft_school01&amp;ps_school=50401" TargetMode="External"/><Relationship Id="rId11827" Type="http://schemas.openxmlformats.org/officeDocument/2006/relationships/hyperlink" Target="https://statiz.sporki.com/player/?m=playerinfo&amp;p_no=1117" TargetMode="External"/><Relationship Id="rId6397" Type="http://schemas.openxmlformats.org/officeDocument/2006/relationships/hyperlink" Target="https://statiz.sporki.com/player/?m=playerinfo&amp;p_no=10181" TargetMode="External"/><Relationship Id="rId14300" Type="http://schemas.openxmlformats.org/officeDocument/2006/relationships/hyperlink" Target="https://statiz.sporki.com/player/?m=playerinfo&amp;p_no=10931" TargetMode="External"/><Relationship Id="rId17870" Type="http://schemas.openxmlformats.org/officeDocument/2006/relationships/hyperlink" Target="https://statiz.sporki.com/add/?m=draft_school01&amp;ps_school=50703" TargetMode="External"/><Relationship Id="rId979" Type="http://schemas.openxmlformats.org/officeDocument/2006/relationships/hyperlink" Target="https://statiz.sporki.com/player/?m=playerinfo&amp;p_no=14784" TargetMode="External"/><Relationship Id="rId5480" Type="http://schemas.openxmlformats.org/officeDocument/2006/relationships/hyperlink" Target="https://statiz.sporki.com/add/?m=draft_school01&amp;ps_school=50105" TargetMode="External"/><Relationship Id="rId10910" Type="http://schemas.openxmlformats.org/officeDocument/2006/relationships/hyperlink" Target="https://statiz.sporki.com/add/?m=draft_school01&amp;ps_school=51100" TargetMode="External"/><Relationship Id="rId15074" Type="http://schemas.openxmlformats.org/officeDocument/2006/relationships/hyperlink" Target="https://statiz.sporki.com/player/?m=playerinfo&amp;p_no=10200" TargetMode="External"/><Relationship Id="rId17523" Type="http://schemas.openxmlformats.org/officeDocument/2006/relationships/hyperlink" Target="https://statiz.sporki.com/add/?m=draft_school01&amp;ps_school=50208" TargetMode="External"/><Relationship Id="rId5133" Type="http://schemas.openxmlformats.org/officeDocument/2006/relationships/hyperlink" Target="https://statiz.sporki.com/add/?m=draft_school02&amp;ps_school=60111" TargetMode="External"/><Relationship Id="rId11684" Type="http://schemas.openxmlformats.org/officeDocument/2006/relationships/hyperlink" Target="https://statiz.sporki.com/add/?m=draft_school01&amp;ps_school=50110" TargetMode="External"/><Relationship Id="rId18297" Type="http://schemas.openxmlformats.org/officeDocument/2006/relationships/hyperlink" Target="https://statiz.sporki.com/add/?m=draft_school01&amp;ps_school=50105" TargetMode="External"/><Relationship Id="rId1743" Type="http://schemas.openxmlformats.org/officeDocument/2006/relationships/hyperlink" Target="https://statiz.sporki.com/add/?m=draft_school02&amp;ps_school=" TargetMode="External"/><Relationship Id="rId8009" Type="http://schemas.openxmlformats.org/officeDocument/2006/relationships/hyperlink" Target="https://statiz.sporki.com/add/?m=draft_school01&amp;ps_school=" TargetMode="External"/><Relationship Id="rId8356" Type="http://schemas.openxmlformats.org/officeDocument/2006/relationships/hyperlink" Target="https://statiz.sporki.com/player/?m=playerinfo&amp;p_no=2019" TargetMode="External"/><Relationship Id="rId11337" Type="http://schemas.openxmlformats.org/officeDocument/2006/relationships/hyperlink" Target="https://statiz.sporki.com/add/?m=draft_school02&amp;ps_school=" TargetMode="External"/><Relationship Id="rId4966" Type="http://schemas.openxmlformats.org/officeDocument/2006/relationships/hyperlink" Target="https://statiz.sporki.com/player/?m=playerinfo&amp;p_no=10871" TargetMode="External"/><Relationship Id="rId17380" Type="http://schemas.openxmlformats.org/officeDocument/2006/relationships/hyperlink" Target="https://statiz.sporki.com/add/?m=draft_school01&amp;ps_school=50705" TargetMode="External"/><Relationship Id="rId4619" Type="http://schemas.openxmlformats.org/officeDocument/2006/relationships/hyperlink" Target="https://statiz.sporki.com/add/?m=draft_school01&amp;ps_school=50208" TargetMode="External"/><Relationship Id="rId10420" Type="http://schemas.openxmlformats.org/officeDocument/2006/relationships/hyperlink" Target="https://statiz.sporki.com/player/?m=playerinfo&amp;p_no=1522" TargetMode="External"/><Relationship Id="rId17033" Type="http://schemas.openxmlformats.org/officeDocument/2006/relationships/hyperlink" Target="https://statiz.sporki.com/add/?m=draft_school01&amp;ps_school=50805" TargetMode="External"/><Relationship Id="rId489" Type="http://schemas.openxmlformats.org/officeDocument/2006/relationships/hyperlink" Target="https://statiz.sporki.com/add/?m=draft_school02&amp;ps_school=" TargetMode="External"/><Relationship Id="rId13990" Type="http://schemas.openxmlformats.org/officeDocument/2006/relationships/hyperlink" Target="https://statiz.sporki.com/player/?m=playerinfo&amp;p_no=10270" TargetMode="External"/><Relationship Id="rId13643" Type="http://schemas.openxmlformats.org/officeDocument/2006/relationships/hyperlink" Target="https://statiz.sporki.com/player/?m=playerinfo&amp;p_no=11067" TargetMode="External"/><Relationship Id="rId1253" Type="http://schemas.openxmlformats.org/officeDocument/2006/relationships/hyperlink" Target="https://statiz.sporki.com/add/?m=draft_school01&amp;ps_school=50119" TargetMode="External"/><Relationship Id="rId3702" Type="http://schemas.openxmlformats.org/officeDocument/2006/relationships/hyperlink" Target="https://statiz.sporki.com/add/?m=draft_school02&amp;ps_school=" TargetMode="External"/><Relationship Id="rId11194" Type="http://schemas.openxmlformats.org/officeDocument/2006/relationships/hyperlink" Target="https://statiz.sporki.com/player/?m=playerinfo&amp;p_no=1288" TargetMode="External"/><Relationship Id="rId16866" Type="http://schemas.openxmlformats.org/officeDocument/2006/relationships/hyperlink" Target="https://statiz.sporki.com/add/?m=draft_school01&amp;ps_school=50705" TargetMode="External"/><Relationship Id="rId6925" Type="http://schemas.openxmlformats.org/officeDocument/2006/relationships/hyperlink" Target="https://statiz.sporki.com/player/?m=playerinfo&amp;p_no=10671" TargetMode="External"/><Relationship Id="rId16519" Type="http://schemas.openxmlformats.org/officeDocument/2006/relationships/hyperlink" Target="https://statiz.sporki.com/add/?m=draft_school01&amp;ps_school=50102" TargetMode="External"/><Relationship Id="rId4476" Type="http://schemas.openxmlformats.org/officeDocument/2006/relationships/hyperlink" Target="https://statiz.sporki.com/add/?m=draft_school02&amp;ps_school=60107" TargetMode="External"/><Relationship Id="rId4129" Type="http://schemas.openxmlformats.org/officeDocument/2006/relationships/hyperlink" Target="https://statiz.sporki.com/player/?m=playerinfo&amp;p_no=11236" TargetMode="External"/><Relationship Id="rId7699" Type="http://schemas.openxmlformats.org/officeDocument/2006/relationships/hyperlink" Target="https://statiz.sporki.com/player/?m=playerinfo&amp;p_no=10665" TargetMode="External"/><Relationship Id="rId13153" Type="http://schemas.openxmlformats.org/officeDocument/2006/relationships/hyperlink" Target="https://statiz.sporki.com/player/?m=playerinfo&amp;p_no=14721" TargetMode="External"/><Relationship Id="rId15602" Type="http://schemas.openxmlformats.org/officeDocument/2006/relationships/hyperlink" Target="https://statiz.sporki.com/player/?m=playerinfo&amp;p_no=1501" TargetMode="External"/><Relationship Id="rId3212" Type="http://schemas.openxmlformats.org/officeDocument/2006/relationships/hyperlink" Target="https://statiz.sporki.com/add/?m=draft_school01&amp;ps_school=50706" TargetMode="External"/><Relationship Id="rId18825" Type="http://schemas.openxmlformats.org/officeDocument/2006/relationships/hyperlink" Target="https://statiz.sporki.com/add/?m=draft_school01&amp;ps_school=50402" TargetMode="External"/><Relationship Id="rId6782" Type="http://schemas.openxmlformats.org/officeDocument/2006/relationships/hyperlink" Target="https://statiz.sporki.com/add/?m=draft_school01&amp;ps_school=50606" TargetMode="External"/><Relationship Id="rId16376" Type="http://schemas.openxmlformats.org/officeDocument/2006/relationships/hyperlink" Target="https://statiz.sporki.com/add/?m=draft_school01&amp;ps_school=50905" TargetMode="External"/><Relationship Id="rId6435" Type="http://schemas.openxmlformats.org/officeDocument/2006/relationships/hyperlink" Target="https://statiz.sporki.com/add/?m=draft_school02&amp;ps_school=60108" TargetMode="External"/><Relationship Id="rId12986" Type="http://schemas.openxmlformats.org/officeDocument/2006/relationships/hyperlink" Target="https://statiz.sporki.com/player/?m=playerinfo&amp;p_no=13175" TargetMode="External"/><Relationship Id="rId16029" Type="http://schemas.openxmlformats.org/officeDocument/2006/relationships/hyperlink" Target="https://statiz.sporki.com/player/?m=playerinfo&amp;p_no=1167" TargetMode="External"/><Relationship Id="rId19599" Type="http://schemas.openxmlformats.org/officeDocument/2006/relationships/hyperlink" Target="https://statiz.sporki.com/add/?m=draft_school01&amp;ps_school=50805" TargetMode="External"/><Relationship Id="rId9658" Type="http://schemas.openxmlformats.org/officeDocument/2006/relationships/hyperlink" Target="https://statiz.sporki.com/player/?m=playerinfo&amp;p_no=1740" TargetMode="External"/><Relationship Id="rId12639" Type="http://schemas.openxmlformats.org/officeDocument/2006/relationships/hyperlink" Target="https://statiz.sporki.com/player/?m=playerinfo&amp;p_no=14614" TargetMode="External"/><Relationship Id="rId15112" Type="http://schemas.openxmlformats.org/officeDocument/2006/relationships/hyperlink" Target="https://statiz.sporki.com/player/?m=playerinfo&amp;p_no=2206" TargetMode="External"/><Relationship Id="rId18682" Type="http://schemas.openxmlformats.org/officeDocument/2006/relationships/hyperlink" Target="https://statiz.sporki.com/add/?m=draft_school01&amp;ps_school=50701" TargetMode="External"/><Relationship Id="rId8741" Type="http://schemas.openxmlformats.org/officeDocument/2006/relationships/hyperlink" Target="https://statiz.sporki.com/add/?m=draft_school01&amp;ps_school=50116" TargetMode="External"/><Relationship Id="rId18335" Type="http://schemas.openxmlformats.org/officeDocument/2006/relationships/hyperlink" Target="https://statiz.sporki.com/add/?m=draft_school01&amp;ps_school=50706" TargetMode="External"/><Relationship Id="rId6292" Type="http://schemas.openxmlformats.org/officeDocument/2006/relationships/hyperlink" Target="https://statiz.sporki.com/player/?m=playerinfo&amp;p_no=10217" TargetMode="External"/><Relationship Id="rId11722" Type="http://schemas.openxmlformats.org/officeDocument/2006/relationships/hyperlink" Target="https://statiz.sporki.com/player/?m=playerinfo&amp;p_no=1094" TargetMode="External"/><Relationship Id="rId14945" Type="http://schemas.openxmlformats.org/officeDocument/2006/relationships/hyperlink" Target="https://statiz.sporki.com/player/?m=playerinfo&amp;p_no=10420" TargetMode="External"/><Relationship Id="rId9168" Type="http://schemas.openxmlformats.org/officeDocument/2006/relationships/hyperlink" Target="https://statiz.sporki.com/add/?m=draft_school02&amp;ps_school=60803" TargetMode="External"/><Relationship Id="rId12496" Type="http://schemas.openxmlformats.org/officeDocument/2006/relationships/hyperlink" Target="https://statiz.sporki.com/player/?m=playerinfo&amp;p_no=14793" TargetMode="External"/><Relationship Id="rId874" Type="http://schemas.openxmlformats.org/officeDocument/2006/relationships/hyperlink" Target="https://statiz.sporki.com/player/?m=playerinfo&amp;p_no=15005" TargetMode="External"/><Relationship Id="rId2555" Type="http://schemas.openxmlformats.org/officeDocument/2006/relationships/hyperlink" Target="https://statiz.sporki.com/add/?m=draft_school01&amp;ps_school=50209" TargetMode="External"/><Relationship Id="rId12149" Type="http://schemas.openxmlformats.org/officeDocument/2006/relationships/hyperlink" Target="https://statiz.sporki.com/player/?m=playerinfo&amp;p_no=15496" TargetMode="External"/><Relationship Id="rId527" Type="http://schemas.openxmlformats.org/officeDocument/2006/relationships/hyperlink" Target="https://statiz.sporki.com/add/?m=draft_school01&amp;ps_school=50811" TargetMode="External"/><Relationship Id="rId2208" Type="http://schemas.openxmlformats.org/officeDocument/2006/relationships/hyperlink" Target="https://statiz.sporki.com/add/?m=draft_school02&amp;ps_school=" TargetMode="External"/><Relationship Id="rId5778" Type="http://schemas.openxmlformats.org/officeDocument/2006/relationships/hyperlink" Target="https://statiz.sporki.com/add/?m=draft_school02&amp;ps_school=" TargetMode="External"/><Relationship Id="rId18192" Type="http://schemas.openxmlformats.org/officeDocument/2006/relationships/hyperlink" Target="https://statiz.sporki.com/add/?m=draft_school01&amp;ps_school=50602" TargetMode="External"/><Relationship Id="rId8251" Type="http://schemas.openxmlformats.org/officeDocument/2006/relationships/hyperlink" Target="https://statiz.sporki.com/player/?m=playerinfo&amp;p_no=2072" TargetMode="External"/><Relationship Id="rId11232" Type="http://schemas.openxmlformats.org/officeDocument/2006/relationships/hyperlink" Target="https://statiz.sporki.com/add/?m=draft_school02&amp;ps_school=60703" TargetMode="External"/><Relationship Id="rId16904" Type="http://schemas.openxmlformats.org/officeDocument/2006/relationships/hyperlink" Target="https://statiz.sporki.com/add/?m=draft_school01&amp;ps_school=50402" TargetMode="External"/><Relationship Id="rId4861" Type="http://schemas.openxmlformats.org/officeDocument/2006/relationships/hyperlink" Target="https://statiz.sporki.com/player/?m=playerinfo&amp;p_no=10866" TargetMode="External"/><Relationship Id="rId14455" Type="http://schemas.openxmlformats.org/officeDocument/2006/relationships/hyperlink" Target="https://statiz.sporki.com/player/?m=playerinfo&amp;p_no=2333" TargetMode="External"/><Relationship Id="rId384" Type="http://schemas.openxmlformats.org/officeDocument/2006/relationships/hyperlink" Target="https://statiz.sporki.com/add/?m=draft_school02&amp;ps_school=" TargetMode="External"/><Relationship Id="rId2065" Type="http://schemas.openxmlformats.org/officeDocument/2006/relationships/hyperlink" Target="https://statiz.sporki.com/player/?m=playerinfo&amp;p_no=14221" TargetMode="External"/><Relationship Id="rId4514" Type="http://schemas.openxmlformats.org/officeDocument/2006/relationships/hyperlink" Target="https://statiz.sporki.com/add/?m=draft_school01&amp;ps_school=50604" TargetMode="External"/><Relationship Id="rId14108" Type="http://schemas.openxmlformats.org/officeDocument/2006/relationships/hyperlink" Target="https://statiz.sporki.com/player/?m=playerinfo&amp;p_no=10015" TargetMode="External"/><Relationship Id="rId17678" Type="http://schemas.openxmlformats.org/officeDocument/2006/relationships/hyperlink" Target="https://statiz.sporki.com/add/?m=draft_school01&amp;ps_school=50116" TargetMode="External"/><Relationship Id="rId7737" Type="http://schemas.openxmlformats.org/officeDocument/2006/relationships/hyperlink" Target="https://statiz.sporki.com/add/?m=draft_school02&amp;ps_school=" TargetMode="External"/><Relationship Id="rId10718" Type="http://schemas.openxmlformats.org/officeDocument/2006/relationships/hyperlink" Target="https://statiz.sporki.com/add/?m=draft_school01&amp;ps_school=50607" TargetMode="External"/><Relationship Id="rId5288" Type="http://schemas.openxmlformats.org/officeDocument/2006/relationships/hyperlink" Target="https://statiz.sporki.com/add/?m=draft_school01&amp;ps_school=50114" TargetMode="External"/><Relationship Id="rId16761" Type="http://schemas.openxmlformats.org/officeDocument/2006/relationships/hyperlink" Target="https://statiz.sporki.com/add/?m=draft_school01&amp;ps_school=50108" TargetMode="External"/><Relationship Id="rId1898" Type="http://schemas.openxmlformats.org/officeDocument/2006/relationships/hyperlink" Target="https://statiz.sporki.com/add/?m=draft_school01&amp;ps_school=50403" TargetMode="External"/><Relationship Id="rId6820" Type="http://schemas.openxmlformats.org/officeDocument/2006/relationships/hyperlink" Target="https://statiz.sporki.com/player/?m=playerinfo&amp;p_no=10841" TargetMode="External"/><Relationship Id="rId16414" Type="http://schemas.openxmlformats.org/officeDocument/2006/relationships/hyperlink" Target="https://statiz.sporki.com/add/?m=draft_school01&amp;ps_school=50208" TargetMode="External"/><Relationship Id="rId4371" Type="http://schemas.openxmlformats.org/officeDocument/2006/relationships/hyperlink" Target="https://statiz.sporki.com/add/?m=draft_school02&amp;ps_school=" TargetMode="External"/><Relationship Id="rId4024" Type="http://schemas.openxmlformats.org/officeDocument/2006/relationships/hyperlink" Target="https://statiz.sporki.com/player/?m=playerinfo&amp;p_no=11242" TargetMode="External"/><Relationship Id="rId7594" Type="http://schemas.openxmlformats.org/officeDocument/2006/relationships/hyperlink" Target="https://statiz.sporki.com/player/?m=playerinfo&amp;p_no=2192" TargetMode="External"/><Relationship Id="rId17188" Type="http://schemas.openxmlformats.org/officeDocument/2006/relationships/hyperlink" Target="https://statiz.sporki.com/add/?m=draft_school01&amp;ps_school=50114" TargetMode="External"/><Relationship Id="rId19637" Type="http://schemas.openxmlformats.org/officeDocument/2006/relationships/hyperlink" Target="https://statiz.sporki.com/add/?m=draft_school01&amp;ps_school=50701" TargetMode="External"/><Relationship Id="rId7247" Type="http://schemas.openxmlformats.org/officeDocument/2006/relationships/hyperlink" Target="https://statiz.sporki.com/add/?m=draft_school01&amp;ps_school=" TargetMode="External"/><Relationship Id="rId10575" Type="http://schemas.openxmlformats.org/officeDocument/2006/relationships/hyperlink" Target="https://statiz.sporki.com/add/?m=draft_school02&amp;ps_school=60103" TargetMode="External"/><Relationship Id="rId10228" Type="http://schemas.openxmlformats.org/officeDocument/2006/relationships/hyperlink" Target="https://statiz.sporki.com/player/?m=playerinfo&amp;p_no=1633" TargetMode="External"/><Relationship Id="rId13798" Type="http://schemas.openxmlformats.org/officeDocument/2006/relationships/hyperlink" Target="https://statiz.sporki.com/player/?m=playerinfo&amp;p_no=10906" TargetMode="External"/><Relationship Id="rId18720" Type="http://schemas.openxmlformats.org/officeDocument/2006/relationships/hyperlink" Target="https://statiz.sporki.com/add/?m=draft_school01&amp;ps_school=50802" TargetMode="External"/><Relationship Id="rId3857" Type="http://schemas.openxmlformats.org/officeDocument/2006/relationships/hyperlink" Target="https://statiz.sporki.com/add/?m=draft_school01&amp;ps_school=50110" TargetMode="External"/><Relationship Id="rId16271" Type="http://schemas.openxmlformats.org/officeDocument/2006/relationships/hyperlink" Target="https://statiz.sporki.com/add/?m=draft_school01&amp;ps_school=50805" TargetMode="External"/><Relationship Id="rId6330" Type="http://schemas.openxmlformats.org/officeDocument/2006/relationships/hyperlink" Target="https://statiz.sporki.com/add/?m=draft_school02&amp;ps_school=" TargetMode="External"/><Relationship Id="rId19494" Type="http://schemas.openxmlformats.org/officeDocument/2006/relationships/hyperlink" Target="https://statiz.sporki.com/add/?m=draft_school01&amp;ps_school=50110" TargetMode="External"/><Relationship Id="rId9553" Type="http://schemas.openxmlformats.org/officeDocument/2006/relationships/hyperlink" Target="https://statiz.sporki.com/player/?m=playerinfo&amp;p_no=1804" TargetMode="External"/><Relationship Id="rId12881" Type="http://schemas.openxmlformats.org/officeDocument/2006/relationships/hyperlink" Target="https://statiz.sporki.com/player/?m=playerinfo&amp;p_no=13927" TargetMode="External"/><Relationship Id="rId19147" Type="http://schemas.openxmlformats.org/officeDocument/2006/relationships/hyperlink" Target="https://statiz.sporki.com/add/?m=draft_school01&amp;ps_school=50116" TargetMode="External"/><Relationship Id="rId2940" Type="http://schemas.openxmlformats.org/officeDocument/2006/relationships/hyperlink" Target="https://statiz.sporki.com/add/?m=draft_school02&amp;ps_school=" TargetMode="External"/><Relationship Id="rId9206" Type="http://schemas.openxmlformats.org/officeDocument/2006/relationships/hyperlink" Target="https://statiz.sporki.com/add/?m=draft_school01&amp;ps_school=50114" TargetMode="External"/><Relationship Id="rId10085" Type="http://schemas.openxmlformats.org/officeDocument/2006/relationships/hyperlink" Target="https://statiz.sporki.com/add/?m=draft_school01&amp;ps_school=50803" TargetMode="External"/><Relationship Id="rId12534" Type="http://schemas.openxmlformats.org/officeDocument/2006/relationships/hyperlink" Target="https://statiz.sporki.com/player/?m=playerinfo&amp;p_no=14858" TargetMode="External"/><Relationship Id="rId912" Type="http://schemas.openxmlformats.org/officeDocument/2006/relationships/hyperlink" Target="https://statiz.sporki.com/add/?m=draft_school02&amp;ps_school=60108" TargetMode="External"/><Relationship Id="rId15757" Type="http://schemas.openxmlformats.org/officeDocument/2006/relationships/hyperlink" Target="https://statiz.sporki.com/player/?m=playerinfo&amp;p_no=1372" TargetMode="External"/><Relationship Id="rId5816" Type="http://schemas.openxmlformats.org/officeDocument/2006/relationships/hyperlink" Target="https://statiz.sporki.com/add/?m=draft_school01&amp;ps_school=50209" TargetMode="External"/><Relationship Id="rId18230" Type="http://schemas.openxmlformats.org/officeDocument/2006/relationships/hyperlink" Target="https://statiz.sporki.com/add/?m=draft_school01&amp;ps_school=50202" TargetMode="External"/><Relationship Id="rId3367" Type="http://schemas.openxmlformats.org/officeDocument/2006/relationships/hyperlink" Target="https://statiz.sporki.com/player/?m=playerinfo&amp;p_no=12623" TargetMode="External"/><Relationship Id="rId14840" Type="http://schemas.openxmlformats.org/officeDocument/2006/relationships/hyperlink" Target="https://statiz.sporki.com/player/?m=playerinfo&amp;p_no=2284" TargetMode="External"/><Relationship Id="rId12391" Type="http://schemas.openxmlformats.org/officeDocument/2006/relationships/hyperlink" Target="https://statiz.sporki.com/player/?m=playerinfo&amp;p_no=15097" TargetMode="External"/><Relationship Id="rId2450" Type="http://schemas.openxmlformats.org/officeDocument/2006/relationships/hyperlink" Target="https://statiz.sporki.com/add/?m=draft_school01&amp;ps_school=50207" TargetMode="External"/><Relationship Id="rId9063" Type="http://schemas.openxmlformats.org/officeDocument/2006/relationships/hyperlink" Target="https://statiz.sporki.com/add/?m=draft_school02&amp;ps_school=" TargetMode="External"/><Relationship Id="rId12044" Type="http://schemas.openxmlformats.org/officeDocument/2006/relationships/hyperlink" Target="https://statiz.sporki.com/add/?m=draft_school01&amp;ps_school=50711" TargetMode="External"/><Relationship Id="rId422" Type="http://schemas.openxmlformats.org/officeDocument/2006/relationships/hyperlink" Target="https://statiz.sporki.com/add/?m=draft_school01&amp;ps_school=50703" TargetMode="External"/><Relationship Id="rId2103" Type="http://schemas.openxmlformats.org/officeDocument/2006/relationships/hyperlink" Target="https://statiz.sporki.com/add/?m=draft_school02&amp;ps_school=60902" TargetMode="External"/><Relationship Id="rId5673" Type="http://schemas.openxmlformats.org/officeDocument/2006/relationships/hyperlink" Target="https://statiz.sporki.com/add/?m=draft_school02&amp;ps_school=" TargetMode="External"/><Relationship Id="rId15267" Type="http://schemas.openxmlformats.org/officeDocument/2006/relationships/hyperlink" Target="https://statiz.sporki.com/player/?m=playerinfo&amp;p_no=1794" TargetMode="External"/><Relationship Id="rId17716" Type="http://schemas.openxmlformats.org/officeDocument/2006/relationships/hyperlink" Target="https://statiz.sporki.com/add/?m=draft_school01&amp;ps_school=50210" TargetMode="External"/><Relationship Id="rId5326" Type="http://schemas.openxmlformats.org/officeDocument/2006/relationships/hyperlink" Target="https://statiz.sporki.com/player/?m=playerinfo&amp;p_no=10672" TargetMode="External"/><Relationship Id="rId8896" Type="http://schemas.openxmlformats.org/officeDocument/2006/relationships/hyperlink" Target="https://statiz.sporki.com/player/?m=playerinfo&amp;p_no=12966" TargetMode="External"/><Relationship Id="rId11877" Type="http://schemas.openxmlformats.org/officeDocument/2006/relationships/hyperlink" Target="https://statiz.sporki.com/add/?m=draft_school02&amp;ps_school=" TargetMode="External"/><Relationship Id="rId1936" Type="http://schemas.openxmlformats.org/officeDocument/2006/relationships/hyperlink" Target="https://statiz.sporki.com/player/?m=playerinfo&amp;p_no=14179" TargetMode="External"/><Relationship Id="rId8549" Type="http://schemas.openxmlformats.org/officeDocument/2006/relationships/hyperlink" Target="https://statiz.sporki.com/add/?m=draft_school01&amp;ps_school=" TargetMode="External"/><Relationship Id="rId14350" Type="http://schemas.openxmlformats.org/officeDocument/2006/relationships/hyperlink" Target="https://statiz.sporki.com/player/?m=playerinfo&amp;p_no=2399" TargetMode="External"/><Relationship Id="rId14003" Type="http://schemas.openxmlformats.org/officeDocument/2006/relationships/hyperlink" Target="https://statiz.sporki.com/player/?m=playerinfo&amp;p_no=10104" TargetMode="External"/><Relationship Id="rId17573" Type="http://schemas.openxmlformats.org/officeDocument/2006/relationships/hyperlink" Target="https://statiz.sporki.com/add/?m=draft_school01&amp;ps_school=50801" TargetMode="External"/><Relationship Id="rId7632" Type="http://schemas.openxmlformats.org/officeDocument/2006/relationships/hyperlink" Target="https://statiz.sporki.com/add/?m=draft_school02&amp;ps_school=60803" TargetMode="External"/><Relationship Id="rId10960" Type="http://schemas.openxmlformats.org/officeDocument/2006/relationships/hyperlink" Target="https://statiz.sporki.com/player/?m=playerinfo&amp;p_no=1357" TargetMode="External"/><Relationship Id="rId17226" Type="http://schemas.openxmlformats.org/officeDocument/2006/relationships/hyperlink" Target="https://statiz.sporki.com/add/?m=draft_school01&amp;ps_school=50601" TargetMode="External"/><Relationship Id="rId5183" Type="http://schemas.openxmlformats.org/officeDocument/2006/relationships/hyperlink" Target="https://statiz.sporki.com/add/?m=draft_school01&amp;ps_school=50210" TargetMode="External"/><Relationship Id="rId10613" Type="http://schemas.openxmlformats.org/officeDocument/2006/relationships/hyperlink" Target="https://statiz.sporki.com/add/?m=draft_school01&amp;ps_school=50602" TargetMode="External"/><Relationship Id="rId13836" Type="http://schemas.openxmlformats.org/officeDocument/2006/relationships/hyperlink" Target="https://statiz.sporki.com/player/?m=playerinfo&amp;p_no=10940" TargetMode="External"/><Relationship Id="rId1793" Type="http://schemas.openxmlformats.org/officeDocument/2006/relationships/hyperlink" Target="https://statiz.sporki.com/add/?m=draft_school01&amp;ps_school=50401" TargetMode="External"/><Relationship Id="rId8059" Type="http://schemas.openxmlformats.org/officeDocument/2006/relationships/hyperlink" Target="https://statiz.sporki.com/player/?m=playerinfo&amp;p_no=2287" TargetMode="External"/><Relationship Id="rId11387" Type="http://schemas.openxmlformats.org/officeDocument/2006/relationships/hyperlink" Target="https://statiz.sporki.com/add/?m=draft_school01&amp;ps_school=" TargetMode="External"/><Relationship Id="rId1446" Type="http://schemas.openxmlformats.org/officeDocument/2006/relationships/hyperlink" Target="https://statiz.sporki.com/add/?m=draft_school02&amp;ps_school=60203" TargetMode="External"/><Relationship Id="rId19532" Type="http://schemas.openxmlformats.org/officeDocument/2006/relationships/hyperlink" Target="https://statiz.sporki.com/add/?m=draft_school01&amp;ps_school=50701" TargetMode="External"/><Relationship Id="rId4669" Type="http://schemas.openxmlformats.org/officeDocument/2006/relationships/hyperlink" Target="https://statiz.sporki.com/player/?m=playerinfo&amp;p_no=11158" TargetMode="External"/><Relationship Id="rId10470" Type="http://schemas.openxmlformats.org/officeDocument/2006/relationships/hyperlink" Target="https://statiz.sporki.com/add/?m=draft_school02&amp;ps_school=" TargetMode="External"/><Relationship Id="rId17083" Type="http://schemas.openxmlformats.org/officeDocument/2006/relationships/hyperlink" Target="https://statiz.sporki.com/add/?m=draft_school01&amp;ps_school=50807" TargetMode="External"/><Relationship Id="rId7142" Type="http://schemas.openxmlformats.org/officeDocument/2006/relationships/hyperlink" Target="https://statiz.sporki.com/add/?m=draft_school01&amp;ps_school=50402" TargetMode="External"/><Relationship Id="rId10123" Type="http://schemas.openxmlformats.org/officeDocument/2006/relationships/hyperlink" Target="https://statiz.sporki.com/player/?m=playerinfo&amp;p_no=1601" TargetMode="External"/><Relationship Id="rId13693" Type="http://schemas.openxmlformats.org/officeDocument/2006/relationships/hyperlink" Target="https://statiz.sporki.com/player/?m=playerinfo&amp;p_no=11170" TargetMode="External"/><Relationship Id="rId3752" Type="http://schemas.openxmlformats.org/officeDocument/2006/relationships/hyperlink" Target="https://statiz.sporki.com/add/?m=draft_school01&amp;ps_school=50302" TargetMode="External"/><Relationship Id="rId13346" Type="http://schemas.openxmlformats.org/officeDocument/2006/relationships/hyperlink" Target="https://statiz.sporki.com/player/?m=playerinfo&amp;p_no=11318" TargetMode="External"/><Relationship Id="rId3405" Type="http://schemas.openxmlformats.org/officeDocument/2006/relationships/hyperlink" Target="https://statiz.sporki.com/add/?m=draft_school02&amp;ps_school=60204" TargetMode="External"/><Relationship Id="rId6975" Type="http://schemas.openxmlformats.org/officeDocument/2006/relationships/hyperlink" Target="https://statiz.sporki.com/add/?m=draft_school02&amp;ps_school=60802" TargetMode="External"/><Relationship Id="rId16569" Type="http://schemas.openxmlformats.org/officeDocument/2006/relationships/hyperlink" Target="https://statiz.sporki.com/add/?m=draft_school01&amp;ps_school=50709" TargetMode="External"/><Relationship Id="rId4179" Type="http://schemas.openxmlformats.org/officeDocument/2006/relationships/hyperlink" Target="https://statiz.sporki.com/add/?m=draft_school02&amp;ps_school=" TargetMode="External"/><Relationship Id="rId6628" Type="http://schemas.openxmlformats.org/officeDocument/2006/relationships/hyperlink" Target="https://statiz.sporki.com/player/?m=playerinfo&amp;p_no=10114" TargetMode="External"/><Relationship Id="rId19042" Type="http://schemas.openxmlformats.org/officeDocument/2006/relationships/hyperlink" Target="https://statiz.sporki.com/add/?m=draft_school01&amp;ps_school=50604" TargetMode="External"/><Relationship Id="rId9101" Type="http://schemas.openxmlformats.org/officeDocument/2006/relationships/hyperlink" Target="https://statiz.sporki.com/add/?m=draft_school01&amp;ps_school=" TargetMode="External"/><Relationship Id="rId15652" Type="http://schemas.openxmlformats.org/officeDocument/2006/relationships/hyperlink" Target="https://statiz.sporki.com/player/?m=playerinfo&amp;p_no=1532" TargetMode="External"/><Relationship Id="rId5711" Type="http://schemas.openxmlformats.org/officeDocument/2006/relationships/hyperlink" Target="https://statiz.sporki.com/add/?m=draft_school01&amp;ps_school=50101" TargetMode="External"/><Relationship Id="rId15305" Type="http://schemas.openxmlformats.org/officeDocument/2006/relationships/hyperlink" Target="https://statiz.sporki.com/player/?m=playerinfo&amp;p_no=1791" TargetMode="External"/><Relationship Id="rId3262" Type="http://schemas.openxmlformats.org/officeDocument/2006/relationships/hyperlink" Target="https://statiz.sporki.com/player/?m=playerinfo&amp;p_no=12558" TargetMode="External"/><Relationship Id="rId18875" Type="http://schemas.openxmlformats.org/officeDocument/2006/relationships/hyperlink" Target="https://statiz.sporki.com/add/?m=draft_school01&amp;ps_school=50116" TargetMode="External"/><Relationship Id="rId6485" Type="http://schemas.openxmlformats.org/officeDocument/2006/relationships/hyperlink" Target="https://statiz.sporki.com/add/?m=draft_school01&amp;ps_school=50301" TargetMode="External"/><Relationship Id="rId8934" Type="http://schemas.openxmlformats.org/officeDocument/2006/relationships/hyperlink" Target="https://statiz.sporki.com/add/?m=draft_school02&amp;ps_school=60204" TargetMode="External"/><Relationship Id="rId11915" Type="http://schemas.openxmlformats.org/officeDocument/2006/relationships/hyperlink" Target="https://statiz.sporki.com/add/?m=draft_school01&amp;ps_school=50804" TargetMode="External"/><Relationship Id="rId16079" Type="http://schemas.openxmlformats.org/officeDocument/2006/relationships/hyperlink" Target="https://statiz.sporki.com/player/?m=playerinfo&amp;p_no=1113" TargetMode="External"/><Relationship Id="rId18528" Type="http://schemas.openxmlformats.org/officeDocument/2006/relationships/hyperlink" Target="https://statiz.sporki.com/add/?m=draft_school01&amp;ps_school=50110" TargetMode="External"/><Relationship Id="rId6138" Type="http://schemas.openxmlformats.org/officeDocument/2006/relationships/hyperlink" Target="https://statiz.sporki.com/add/?m=draft_school02&amp;ps_school=60804" TargetMode="External"/><Relationship Id="rId12689" Type="http://schemas.openxmlformats.org/officeDocument/2006/relationships/hyperlink" Target="https://statiz.sporki.com/player/?m=playerinfo&amp;p_no=14696" TargetMode="External"/><Relationship Id="rId17611" Type="http://schemas.openxmlformats.org/officeDocument/2006/relationships/hyperlink" Target="https://statiz.sporki.com/add/?m=draft_school01&amp;ps_school=50101" TargetMode="External"/><Relationship Id="rId2748" Type="http://schemas.openxmlformats.org/officeDocument/2006/relationships/hyperlink" Target="https://statiz.sporki.com/add/?m=draft_school02&amp;ps_school=" TargetMode="External"/><Relationship Id="rId15162" Type="http://schemas.openxmlformats.org/officeDocument/2006/relationships/hyperlink" Target="https://statiz.sporki.com/player/?m=playerinfo&amp;p_no=1928" TargetMode="External"/><Relationship Id="rId5221" Type="http://schemas.openxmlformats.org/officeDocument/2006/relationships/hyperlink" Target="https://statiz.sporki.com/player/?m=playerinfo&amp;p_no=10651" TargetMode="External"/><Relationship Id="rId8791" Type="http://schemas.openxmlformats.org/officeDocument/2006/relationships/hyperlink" Target="https://statiz.sporki.com/player/?m=playerinfo&amp;p_no=10537" TargetMode="External"/><Relationship Id="rId18385" Type="http://schemas.openxmlformats.org/officeDocument/2006/relationships/hyperlink" Target="https://statiz.sporki.com/add/?m=draft_school01&amp;ps_school=50402" TargetMode="External"/><Relationship Id="rId1831" Type="http://schemas.openxmlformats.org/officeDocument/2006/relationships/hyperlink" Target="https://statiz.sporki.com/player/?m=playerinfo&amp;p_no=14635" TargetMode="External"/><Relationship Id="rId8444" Type="http://schemas.openxmlformats.org/officeDocument/2006/relationships/hyperlink" Target="https://statiz.sporki.com/add/?m=draft_school01&amp;ps_school=50805" TargetMode="External"/><Relationship Id="rId11425" Type="http://schemas.openxmlformats.org/officeDocument/2006/relationships/hyperlink" Target="https://statiz.sporki.com/player/?m=playerinfo&amp;p_no=1268" TargetMode="External"/><Relationship Id="rId11772" Type="http://schemas.openxmlformats.org/officeDocument/2006/relationships/hyperlink" Target="https://statiz.sporki.com/add/?m=draft_school02&amp;ps_school=" TargetMode="External"/><Relationship Id="rId18038" Type="http://schemas.openxmlformats.org/officeDocument/2006/relationships/hyperlink" Target="https://statiz.sporki.com/add/?m=draft_school01&amp;ps_school=50806" TargetMode="External"/><Relationship Id="rId14995" Type="http://schemas.openxmlformats.org/officeDocument/2006/relationships/hyperlink" Target="https://statiz.sporki.com/player/?m=playerinfo&amp;p_no=10519" TargetMode="External"/><Relationship Id="rId12199" Type="http://schemas.openxmlformats.org/officeDocument/2006/relationships/hyperlink" Target="https://statiz.sporki.com/player/?m=playerinfo&amp;p_no=15502" TargetMode="External"/><Relationship Id="rId14648" Type="http://schemas.openxmlformats.org/officeDocument/2006/relationships/hyperlink" Target="https://statiz.sporki.com/player/?m=playerinfo&amp;p_no=2225" TargetMode="External"/><Relationship Id="rId577" Type="http://schemas.openxmlformats.org/officeDocument/2006/relationships/hyperlink" Target="https://statiz.sporki.com/player/?m=playerinfo&amp;p_no=15102" TargetMode="External"/><Relationship Id="rId2258" Type="http://schemas.openxmlformats.org/officeDocument/2006/relationships/hyperlink" Target="https://statiz.sporki.com/add/?m=draft_school01&amp;ps_school=50103" TargetMode="External"/><Relationship Id="rId4707" Type="http://schemas.openxmlformats.org/officeDocument/2006/relationships/hyperlink" Target="https://statiz.sporki.com/add/?m=draft_school02&amp;ps_school=60104" TargetMode="External"/><Relationship Id="rId17121" Type="http://schemas.openxmlformats.org/officeDocument/2006/relationships/hyperlink" Target="https://statiz.sporki.com/add/?m=draft_school01&amp;ps_school=50107" TargetMode="External"/><Relationship Id="rId13731" Type="http://schemas.openxmlformats.org/officeDocument/2006/relationships/hyperlink" Target="https://statiz.sporki.com/player/?m=playerinfo&amp;p_no=10854" TargetMode="External"/><Relationship Id="rId11282" Type="http://schemas.openxmlformats.org/officeDocument/2006/relationships/hyperlink" Target="https://statiz.sporki.com/add/?m=draft_school01&amp;ps_school=50110" TargetMode="External"/><Relationship Id="rId1341" Type="http://schemas.openxmlformats.org/officeDocument/2006/relationships/hyperlink" Target="https://statiz.sporki.com/add/?m=draft_school02&amp;ps_school=61120" TargetMode="External"/><Relationship Id="rId16954" Type="http://schemas.openxmlformats.org/officeDocument/2006/relationships/hyperlink" Target="https://statiz.sporki.com/add/?m=draft_school01&amp;ps_school=50110" TargetMode="External"/><Relationship Id="rId4564" Type="http://schemas.openxmlformats.org/officeDocument/2006/relationships/hyperlink" Target="https://statiz.sporki.com/player/?m=playerinfo&amp;p_no=13249" TargetMode="External"/><Relationship Id="rId14158" Type="http://schemas.openxmlformats.org/officeDocument/2006/relationships/hyperlink" Target="https://statiz.sporki.com/player/?m=playerinfo&amp;p_no=10030" TargetMode="External"/><Relationship Id="rId16607" Type="http://schemas.openxmlformats.org/officeDocument/2006/relationships/hyperlink" Target="https://statiz.sporki.com/add/?m=draft_school01&amp;ps_school=50802" TargetMode="External"/><Relationship Id="rId4217" Type="http://schemas.openxmlformats.org/officeDocument/2006/relationships/hyperlink" Target="https://statiz.sporki.com/add/?m=draft_school01&amp;ps_school=50207" TargetMode="External"/><Relationship Id="rId7787" Type="http://schemas.openxmlformats.org/officeDocument/2006/relationships/hyperlink" Target="https://statiz.sporki.com/add/?m=draft_school01&amp;ps_school=" TargetMode="External"/><Relationship Id="rId10768" Type="http://schemas.openxmlformats.org/officeDocument/2006/relationships/hyperlink" Target="https://statiz.sporki.com/player/?m=playerinfo&amp;p_no=1440" TargetMode="External"/><Relationship Id="rId13241" Type="http://schemas.openxmlformats.org/officeDocument/2006/relationships/hyperlink" Target="https://statiz.sporki.com/player/?m=playerinfo&amp;p_no=12538" TargetMode="External"/><Relationship Id="rId18913" Type="http://schemas.openxmlformats.org/officeDocument/2006/relationships/hyperlink" Target="https://statiz.sporki.com/add/?m=draft_school01&amp;ps_school=50401" TargetMode="External"/><Relationship Id="rId3300" Type="http://schemas.openxmlformats.org/officeDocument/2006/relationships/hyperlink" Target="https://statiz.sporki.com/add/?m=draft_school02&amp;ps_school=60101" TargetMode="External"/><Relationship Id="rId6870" Type="http://schemas.openxmlformats.org/officeDocument/2006/relationships/hyperlink" Target="https://statiz.sporki.com/add/?m=draft_school02&amp;ps_school=" TargetMode="External"/><Relationship Id="rId16464" Type="http://schemas.openxmlformats.org/officeDocument/2006/relationships/hyperlink" Target="https://statiz.sporki.com/add/?m=draft_school01&amp;ps_school=50403" TargetMode="External"/><Relationship Id="rId6523" Type="http://schemas.openxmlformats.org/officeDocument/2006/relationships/hyperlink" Target="https://statiz.sporki.com/player/?m=playerinfo&amp;p_no=12944" TargetMode="External"/><Relationship Id="rId16117" Type="http://schemas.openxmlformats.org/officeDocument/2006/relationships/hyperlink" Target="https://statiz.sporki.com/player/?m=playerinfo&amp;p_no=1125" TargetMode="External"/><Relationship Id="rId4074" Type="http://schemas.openxmlformats.org/officeDocument/2006/relationships/hyperlink" Target="https://statiz.sporki.com/add/?m=draft_school02&amp;ps_school=" TargetMode="External"/><Relationship Id="rId9746" Type="http://schemas.openxmlformats.org/officeDocument/2006/relationships/hyperlink" Target="https://statiz.sporki.com/add/?m=draft_school01&amp;ps_school=50203" TargetMode="External"/><Relationship Id="rId7297" Type="http://schemas.openxmlformats.org/officeDocument/2006/relationships/hyperlink" Target="https://statiz.sporki.com/player/?m=playerinfo&amp;p_no=10177" TargetMode="External"/><Relationship Id="rId10278" Type="http://schemas.openxmlformats.org/officeDocument/2006/relationships/hyperlink" Target="https://statiz.sporki.com/add/?m=draft_school02&amp;ps_school=60113" TargetMode="External"/><Relationship Id="rId12727" Type="http://schemas.openxmlformats.org/officeDocument/2006/relationships/hyperlink" Target="https://statiz.sporki.com/player/?m=playerinfo&amp;p_no=14743" TargetMode="External"/><Relationship Id="rId15200" Type="http://schemas.openxmlformats.org/officeDocument/2006/relationships/hyperlink" Target="https://statiz.sporki.com/player/?m=playerinfo&amp;p_no=1888" TargetMode="External"/><Relationship Id="rId18770" Type="http://schemas.openxmlformats.org/officeDocument/2006/relationships/hyperlink" Target="https://statiz.sporki.com/add/?m=draft_school01&amp;ps_school=50116" TargetMode="External"/><Relationship Id="rId11810" Type="http://schemas.openxmlformats.org/officeDocument/2006/relationships/hyperlink" Target="https://statiz.sporki.com/add/?m=draft_school01&amp;ps_school=50109" TargetMode="External"/><Relationship Id="rId18423" Type="http://schemas.openxmlformats.org/officeDocument/2006/relationships/hyperlink" Target="https://statiz.sporki.com/add/?m=draft_school01&amp;ps_school=50601" TargetMode="External"/><Relationship Id="rId6380" Type="http://schemas.openxmlformats.org/officeDocument/2006/relationships/hyperlink" Target="https://statiz.sporki.com/add/?m=draft_school01&amp;ps_school=50110" TargetMode="External"/><Relationship Id="rId2990" Type="http://schemas.openxmlformats.org/officeDocument/2006/relationships/hyperlink" Target="https://statiz.sporki.com/add/?m=draft_school01&amp;ps_school=50804" TargetMode="External"/><Relationship Id="rId6033" Type="http://schemas.openxmlformats.org/officeDocument/2006/relationships/hyperlink" Target="https://statiz.sporki.com/add/?m=draft_school02&amp;ps_school=60701" TargetMode="External"/><Relationship Id="rId12584" Type="http://schemas.openxmlformats.org/officeDocument/2006/relationships/hyperlink" Target="https://statiz.sporki.com/player/?m=playerinfo&amp;p_no=14990" TargetMode="External"/><Relationship Id="rId19197" Type="http://schemas.openxmlformats.org/officeDocument/2006/relationships/hyperlink" Target="https://statiz.sporki.com/add/?m=draft_school01&amp;ps_school=50114" TargetMode="External"/><Relationship Id="rId962" Type="http://schemas.openxmlformats.org/officeDocument/2006/relationships/hyperlink" Target="https://statiz.sporki.com/add/?m=draft_school01&amp;ps_school=50211" TargetMode="External"/><Relationship Id="rId2643" Type="http://schemas.openxmlformats.org/officeDocument/2006/relationships/hyperlink" Target="https://statiz.sporki.com/add/?m=draft_school02&amp;ps_school=" TargetMode="External"/><Relationship Id="rId9256" Type="http://schemas.openxmlformats.org/officeDocument/2006/relationships/hyperlink" Target="https://statiz.sporki.com/player/?m=playerinfo&amp;p_no=1908" TargetMode="External"/><Relationship Id="rId12237" Type="http://schemas.openxmlformats.org/officeDocument/2006/relationships/hyperlink" Target="https://statiz.sporki.com/player/?m=playerinfo&amp;p_no=15482" TargetMode="External"/><Relationship Id="rId615" Type="http://schemas.openxmlformats.org/officeDocument/2006/relationships/hyperlink" Target="https://statiz.sporki.com/add/?m=draft_school02&amp;ps_school=" TargetMode="External"/><Relationship Id="rId17909" Type="http://schemas.openxmlformats.org/officeDocument/2006/relationships/hyperlink" Target="https://statiz.sporki.com/add/?m=draft_school01&amp;ps_school=50703" TargetMode="External"/><Relationship Id="rId5866" Type="http://schemas.openxmlformats.org/officeDocument/2006/relationships/hyperlink" Target="https://statiz.sporki.com/player/?m=playerinfo&amp;p_no=10621" TargetMode="External"/><Relationship Id="rId18280" Type="http://schemas.openxmlformats.org/officeDocument/2006/relationships/hyperlink" Target="https://statiz.sporki.com/add/?m=draft_school01&amp;ps_school=50107" TargetMode="External"/><Relationship Id="rId5519" Type="http://schemas.openxmlformats.org/officeDocument/2006/relationships/hyperlink" Target="https://statiz.sporki.com/add/?m=draft_school01&amp;ps_school=50805" TargetMode="External"/><Relationship Id="rId11320" Type="http://schemas.openxmlformats.org/officeDocument/2006/relationships/hyperlink" Target="https://statiz.sporki.com/player/?m=playerinfo&amp;p_no=1254" TargetMode="External"/><Relationship Id="rId14890" Type="http://schemas.openxmlformats.org/officeDocument/2006/relationships/hyperlink" Target="https://statiz.sporki.com/player/?m=playerinfo&amp;p_no=10085" TargetMode="External"/><Relationship Id="rId14543" Type="http://schemas.openxmlformats.org/officeDocument/2006/relationships/hyperlink" Target="https://statiz.sporki.com/player/?m=playerinfo&amp;p_no=10275" TargetMode="External"/><Relationship Id="rId4602" Type="http://schemas.openxmlformats.org/officeDocument/2006/relationships/hyperlink" Target="https://statiz.sporki.com/add/?m=draft_school02&amp;ps_school=60804" TargetMode="External"/><Relationship Id="rId12094" Type="http://schemas.openxmlformats.org/officeDocument/2006/relationships/hyperlink" Target="https://statiz.sporki.com/player/?m=playerinfo&amp;p_no=1098" TargetMode="External"/><Relationship Id="rId17766" Type="http://schemas.openxmlformats.org/officeDocument/2006/relationships/hyperlink" Target="https://statiz.sporki.com/add/?m=draft_school01&amp;ps_school=50403" TargetMode="External"/><Relationship Id="rId472" Type="http://schemas.openxmlformats.org/officeDocument/2006/relationships/hyperlink" Target="https://statiz.sporki.com/player/?m=playerinfo&amp;p_no=15628" TargetMode="External"/><Relationship Id="rId2153" Type="http://schemas.openxmlformats.org/officeDocument/2006/relationships/hyperlink" Target="https://statiz.sporki.com/add/?m=draft_school01&amp;ps_school=50807" TargetMode="External"/><Relationship Id="rId7825" Type="http://schemas.openxmlformats.org/officeDocument/2006/relationships/hyperlink" Target="https://statiz.sporki.com/player/?m=playerinfo&amp;p_no=10592" TargetMode="External"/><Relationship Id="rId17419" Type="http://schemas.openxmlformats.org/officeDocument/2006/relationships/hyperlink" Target="https://statiz.sporki.com/add/?m=draft_school01&amp;ps_school=50103" TargetMode="External"/><Relationship Id="rId125" Type="http://schemas.openxmlformats.org/officeDocument/2006/relationships/hyperlink" Target="https://statiz.sporki.com/add/?m=draft_school01&amp;ps_school=50401" TargetMode="External"/><Relationship Id="rId5376" Type="http://schemas.openxmlformats.org/officeDocument/2006/relationships/hyperlink" Target="https://statiz.sporki.com/add/?m=draft_school02&amp;ps_school=" TargetMode="External"/><Relationship Id="rId10806" Type="http://schemas.openxmlformats.org/officeDocument/2006/relationships/hyperlink" Target="https://statiz.sporki.com/add/?m=draft_school02&amp;ps_school=60204" TargetMode="External"/><Relationship Id="rId5029" Type="http://schemas.openxmlformats.org/officeDocument/2006/relationships/hyperlink" Target="https://statiz.sporki.com/player/?m=playerinfo&amp;p_no=10794" TargetMode="External"/><Relationship Id="rId8599" Type="http://schemas.openxmlformats.org/officeDocument/2006/relationships/hyperlink" Target="https://statiz.sporki.com/player/?m=playerinfo&amp;p_no=10265" TargetMode="External"/><Relationship Id="rId1986" Type="http://schemas.openxmlformats.org/officeDocument/2006/relationships/hyperlink" Target="https://statiz.sporki.com/add/?m=draft_school02&amp;ps_school=60205" TargetMode="External"/><Relationship Id="rId16502" Type="http://schemas.openxmlformats.org/officeDocument/2006/relationships/hyperlink" Target="https://statiz.sporki.com/add/?m=draft_school01&amp;ps_school=50810" TargetMode="External"/><Relationship Id="rId1639" Type="http://schemas.openxmlformats.org/officeDocument/2006/relationships/hyperlink" Target="https://statiz.sporki.com/player/?m=playerinfo&amp;p_no=14643" TargetMode="External"/><Relationship Id="rId14053" Type="http://schemas.openxmlformats.org/officeDocument/2006/relationships/hyperlink" Target="https://statiz.sporki.com/player/?m=playerinfo&amp;p_no=10071" TargetMode="External"/><Relationship Id="rId4112" Type="http://schemas.openxmlformats.org/officeDocument/2006/relationships/hyperlink" Target="https://statiz.sporki.com/add/?m=draft_school01&amp;ps_school=50606" TargetMode="External"/><Relationship Id="rId7682" Type="http://schemas.openxmlformats.org/officeDocument/2006/relationships/hyperlink" Target="https://statiz.sporki.com/add/?m=draft_school01&amp;ps_school=50107" TargetMode="External"/><Relationship Id="rId10663" Type="http://schemas.openxmlformats.org/officeDocument/2006/relationships/hyperlink" Target="https://statiz.sporki.com/player/?m=playerinfo&amp;p_no=1444" TargetMode="External"/><Relationship Id="rId17276" Type="http://schemas.openxmlformats.org/officeDocument/2006/relationships/hyperlink" Target="https://statiz.sporki.com/add/?m=draft_school01&amp;ps_school=50801" TargetMode="External"/><Relationship Id="rId7335" Type="http://schemas.openxmlformats.org/officeDocument/2006/relationships/hyperlink" Target="https://statiz.sporki.com/add/?m=draft_school02&amp;ps_school=" TargetMode="External"/><Relationship Id="rId10316" Type="http://schemas.openxmlformats.org/officeDocument/2006/relationships/hyperlink" Target="https://statiz.sporki.com/add/?m=draft_school01&amp;ps_school=50403" TargetMode="External"/><Relationship Id="rId13886" Type="http://schemas.openxmlformats.org/officeDocument/2006/relationships/hyperlink" Target="https://statiz.sporki.com/player/?m=playerinfo&amp;p_no=10746" TargetMode="External"/><Relationship Id="rId1496" Type="http://schemas.openxmlformats.org/officeDocument/2006/relationships/hyperlink" Target="https://statiz.sporki.com/add/?m=draft_school01&amp;ps_school=50103" TargetMode="External"/><Relationship Id="rId3945" Type="http://schemas.openxmlformats.org/officeDocument/2006/relationships/hyperlink" Target="https://statiz.sporki.com/add/?m=draft_school02&amp;ps_school=" TargetMode="External"/><Relationship Id="rId13539" Type="http://schemas.openxmlformats.org/officeDocument/2006/relationships/hyperlink" Target="https://statiz.sporki.com/player/?m=playerinfo&amp;p_no=11234" TargetMode="External"/><Relationship Id="rId16012" Type="http://schemas.openxmlformats.org/officeDocument/2006/relationships/hyperlink" Target="https://statiz.sporki.com/player/?m=playerinfo&amp;p_no=1153" TargetMode="External"/><Relationship Id="rId1149" Type="http://schemas.openxmlformats.org/officeDocument/2006/relationships/hyperlink" Target="https://statiz.sporki.com/add/?m=draft_school02&amp;ps_school=" TargetMode="External"/><Relationship Id="rId19582" Type="http://schemas.openxmlformats.org/officeDocument/2006/relationships/hyperlink" Target="https://statiz.sporki.com/add/?m=draft_school01&amp;ps_school=50402" TargetMode="External"/><Relationship Id="rId7192" Type="http://schemas.openxmlformats.org/officeDocument/2006/relationships/hyperlink" Target="https://statiz.sporki.com/player/?m=playerinfo&amp;p_no=2286" TargetMode="External"/><Relationship Id="rId9641" Type="http://schemas.openxmlformats.org/officeDocument/2006/relationships/hyperlink" Target="https://statiz.sporki.com/add/?m=draft_school01&amp;ps_school=50805" TargetMode="External"/><Relationship Id="rId12622" Type="http://schemas.openxmlformats.org/officeDocument/2006/relationships/hyperlink" Target="https://statiz.sporki.com/player/?m=playerinfo&amp;p_no=14612" TargetMode="External"/><Relationship Id="rId19235" Type="http://schemas.openxmlformats.org/officeDocument/2006/relationships/hyperlink" Target="https://statiz.sporki.com/add/?m=draft_school01&amp;ps_school=50609" TargetMode="External"/><Relationship Id="rId10173" Type="http://schemas.openxmlformats.org/officeDocument/2006/relationships/hyperlink" Target="https://statiz.sporki.com/add/?m=draft_school02&amp;ps_school=" TargetMode="External"/><Relationship Id="rId15845" Type="http://schemas.openxmlformats.org/officeDocument/2006/relationships/hyperlink" Target="https://statiz.sporki.com/player/?m=playerinfo&amp;p_no=1556" TargetMode="External"/><Relationship Id="rId5904" Type="http://schemas.openxmlformats.org/officeDocument/2006/relationships/hyperlink" Target="https://statiz.sporki.com/add/?m=draft_school02&amp;ps_school=" TargetMode="External"/><Relationship Id="rId13396" Type="http://schemas.openxmlformats.org/officeDocument/2006/relationships/hyperlink" Target="https://statiz.sporki.com/player/?m=playerinfo&amp;p_no=13180" TargetMode="External"/><Relationship Id="rId3455" Type="http://schemas.openxmlformats.org/officeDocument/2006/relationships/hyperlink" Target="https://statiz.sporki.com/add/?m=draft_school01&amp;ps_school=50802" TargetMode="External"/><Relationship Id="rId13049" Type="http://schemas.openxmlformats.org/officeDocument/2006/relationships/hyperlink" Target="https://statiz.sporki.com/player/?m=playerinfo&amp;p_no=13260" TargetMode="External"/><Relationship Id="rId3108" Type="http://schemas.openxmlformats.org/officeDocument/2006/relationships/hyperlink" Target="https://statiz.sporki.com/add/?m=draft_school02&amp;ps_school=" TargetMode="External"/><Relationship Id="rId6678" Type="http://schemas.openxmlformats.org/officeDocument/2006/relationships/hyperlink" Target="https://statiz.sporki.com/add/?m=draft_school02&amp;ps_school=60203" TargetMode="External"/><Relationship Id="rId19092" Type="http://schemas.openxmlformats.org/officeDocument/2006/relationships/hyperlink" Target="https://statiz.sporki.com/add/?m=draft_school01&amp;ps_school=50111" TargetMode="External"/><Relationship Id="rId9151" Type="http://schemas.openxmlformats.org/officeDocument/2006/relationships/hyperlink" Target="https://statiz.sporki.com/player/?m=playerinfo&amp;p_no=2028" TargetMode="External"/><Relationship Id="rId12132" Type="http://schemas.openxmlformats.org/officeDocument/2006/relationships/hyperlink" Target="https://statiz.sporki.com/add/?m=draft_school02&amp;ps_school=60703" TargetMode="External"/><Relationship Id="rId17804" Type="http://schemas.openxmlformats.org/officeDocument/2006/relationships/hyperlink" Target="https://statiz.sporki.com/add/?m=draft_school01&amp;ps_school=50802" TargetMode="External"/><Relationship Id="rId510" Type="http://schemas.openxmlformats.org/officeDocument/2006/relationships/hyperlink" Target="https://statiz.sporki.com/add/?m=draft_school02&amp;ps_school=" TargetMode="External"/><Relationship Id="rId5761" Type="http://schemas.openxmlformats.org/officeDocument/2006/relationships/hyperlink" Target="https://statiz.sporki.com/player/?m=playerinfo&amp;p_no=10301" TargetMode="External"/><Relationship Id="rId15355" Type="http://schemas.openxmlformats.org/officeDocument/2006/relationships/hyperlink" Target="https://statiz.sporki.com/player/?m=playerinfo&amp;p_no=1764" TargetMode="External"/><Relationship Id="rId5414" Type="http://schemas.openxmlformats.org/officeDocument/2006/relationships/hyperlink" Target="https://statiz.sporki.com/add/?m=draft_school01&amp;ps_school=50111" TargetMode="External"/><Relationship Id="rId8984" Type="http://schemas.openxmlformats.org/officeDocument/2006/relationships/hyperlink" Target="https://statiz.sporki.com/add/?m=draft_school01&amp;ps_school=50121" TargetMode="External"/><Relationship Id="rId15008" Type="http://schemas.openxmlformats.org/officeDocument/2006/relationships/hyperlink" Target="https://statiz.sporki.com/player/?m=playerinfo&amp;p_no=10265" TargetMode="External"/><Relationship Id="rId18578" Type="http://schemas.openxmlformats.org/officeDocument/2006/relationships/hyperlink" Target="https://statiz.sporki.com/add/?m=draft_school01&amp;ps_school=50116" TargetMode="External"/><Relationship Id="rId8637" Type="http://schemas.openxmlformats.org/officeDocument/2006/relationships/hyperlink" Target="https://statiz.sporki.com/add/?m=draft_school02&amp;ps_school=60705" TargetMode="External"/><Relationship Id="rId11965" Type="http://schemas.openxmlformats.org/officeDocument/2006/relationships/hyperlink" Target="https://statiz.sporki.com/player/?m=playerinfo&amp;p_no=1021" TargetMode="External"/><Relationship Id="rId6188" Type="http://schemas.openxmlformats.org/officeDocument/2006/relationships/hyperlink" Target="https://statiz.sporki.com/add/?m=draft_school01&amp;ps_school=" TargetMode="External"/><Relationship Id="rId11618" Type="http://schemas.openxmlformats.org/officeDocument/2006/relationships/hyperlink" Target="https://statiz.sporki.com/add/?m=draft_school01&amp;ps_school=50802" TargetMode="External"/><Relationship Id="rId17661" Type="http://schemas.openxmlformats.org/officeDocument/2006/relationships/hyperlink" Target="https://statiz.sporki.com/add/?m=draft_school01&amp;ps_school=50605" TargetMode="External"/><Relationship Id="rId2798" Type="http://schemas.openxmlformats.org/officeDocument/2006/relationships/hyperlink" Target="https://statiz.sporki.com/add/?m=draft_school01&amp;ps_school=50103" TargetMode="External"/><Relationship Id="rId5271" Type="http://schemas.openxmlformats.org/officeDocument/2006/relationships/hyperlink" Target="https://statiz.sporki.com/add/?m=draft_school02&amp;ps_school=" TargetMode="External"/><Relationship Id="rId7720" Type="http://schemas.openxmlformats.org/officeDocument/2006/relationships/hyperlink" Target="https://statiz.sporki.com/player/?m=playerinfo&amp;p_no=2202" TargetMode="External"/><Relationship Id="rId10701" Type="http://schemas.openxmlformats.org/officeDocument/2006/relationships/hyperlink" Target="https://statiz.sporki.com/add/?m=draft_school02&amp;ps_school=60501" TargetMode="External"/><Relationship Id="rId17314" Type="http://schemas.openxmlformats.org/officeDocument/2006/relationships/hyperlink" Target="https://statiz.sporki.com/add/?m=draft_school01&amp;ps_school=50105" TargetMode="External"/><Relationship Id="rId13924" Type="http://schemas.openxmlformats.org/officeDocument/2006/relationships/hyperlink" Target="https://statiz.sporki.com/player/?m=playerinfo&amp;p_no=10790" TargetMode="External"/><Relationship Id="rId1881" Type="http://schemas.openxmlformats.org/officeDocument/2006/relationships/hyperlink" Target="https://statiz.sporki.com/add/?m=draft_school02&amp;ps_school=" TargetMode="External"/><Relationship Id="rId8494" Type="http://schemas.openxmlformats.org/officeDocument/2006/relationships/hyperlink" Target="https://statiz.sporki.com/player/?m=playerinfo&amp;p_no=10497" TargetMode="External"/><Relationship Id="rId11475" Type="http://schemas.openxmlformats.org/officeDocument/2006/relationships/hyperlink" Target="https://statiz.sporki.com/add/?m=draft_school02&amp;ps_school=60204" TargetMode="External"/><Relationship Id="rId18088" Type="http://schemas.openxmlformats.org/officeDocument/2006/relationships/hyperlink" Target="https://statiz.sporki.com/add/?m=draft_school01&amp;ps_school=50110" TargetMode="External"/><Relationship Id="rId1534" Type="http://schemas.openxmlformats.org/officeDocument/2006/relationships/hyperlink" Target="https://statiz.sporki.com/player/?m=playerinfo&amp;p_no=14723" TargetMode="External"/><Relationship Id="rId8147" Type="http://schemas.openxmlformats.org/officeDocument/2006/relationships/hyperlink" Target="https://statiz.sporki.com/add/?m=draft_school01&amp;ps_school=50402" TargetMode="External"/><Relationship Id="rId11128" Type="http://schemas.openxmlformats.org/officeDocument/2006/relationships/hyperlink" Target="https://statiz.sporki.com/player/?m=playerinfo&amp;p_no=1282" TargetMode="External"/><Relationship Id="rId14698" Type="http://schemas.openxmlformats.org/officeDocument/2006/relationships/hyperlink" Target="https://statiz.sporki.com/player/?m=playerinfo&amp;p_no=10393" TargetMode="External"/><Relationship Id="rId4757" Type="http://schemas.openxmlformats.org/officeDocument/2006/relationships/hyperlink" Target="https://statiz.sporki.com/add/?m=draft_school01&amp;ps_school=50102" TargetMode="External"/><Relationship Id="rId17171" Type="http://schemas.openxmlformats.org/officeDocument/2006/relationships/hyperlink" Target="https://statiz.sporki.com/add/?m=draft_school01&amp;ps_school=50401" TargetMode="External"/><Relationship Id="rId19620" Type="http://schemas.openxmlformats.org/officeDocument/2006/relationships/hyperlink" Target="https://statiz.sporki.com/add/?m=draft_school01&amp;ps_school=50202" TargetMode="External"/><Relationship Id="rId7230" Type="http://schemas.openxmlformats.org/officeDocument/2006/relationships/hyperlink" Target="https://statiz.sporki.com/add/?m=draft_school02&amp;ps_school=" TargetMode="External"/><Relationship Id="rId10211" Type="http://schemas.openxmlformats.org/officeDocument/2006/relationships/hyperlink" Target="https://statiz.sporki.com/add/?m=draft_school01&amp;ps_school=50115" TargetMode="External"/><Relationship Id="rId13781" Type="http://schemas.openxmlformats.org/officeDocument/2006/relationships/hyperlink" Target="https://statiz.sporki.com/player/?m=playerinfo&amp;p_no=10869" TargetMode="External"/><Relationship Id="rId3840" Type="http://schemas.openxmlformats.org/officeDocument/2006/relationships/hyperlink" Target="https://statiz.sporki.com/add/?m=draft_school02&amp;ps_school=" TargetMode="External"/><Relationship Id="rId13434" Type="http://schemas.openxmlformats.org/officeDocument/2006/relationships/hyperlink" Target="https://statiz.sporki.com/player/?m=playerinfo&amp;p_no=11298" TargetMode="External"/><Relationship Id="rId1391" Type="http://schemas.openxmlformats.org/officeDocument/2006/relationships/hyperlink" Target="https://statiz.sporki.com/add/?m=draft_school01&amp;ps_school=50807" TargetMode="External"/><Relationship Id="rId16657" Type="http://schemas.openxmlformats.org/officeDocument/2006/relationships/hyperlink" Target="https://statiz.sporki.com/add/?m=draft_school01&amp;ps_school=50705" TargetMode="External"/><Relationship Id="rId1044" Type="http://schemas.openxmlformats.org/officeDocument/2006/relationships/hyperlink" Target="https://statiz.sporki.com/add/?m=draft_school02&amp;ps_school=" TargetMode="External"/><Relationship Id="rId6716" Type="http://schemas.openxmlformats.org/officeDocument/2006/relationships/hyperlink" Target="https://statiz.sporki.com/add/?m=draft_school01&amp;ps_school=50110" TargetMode="External"/><Relationship Id="rId19130" Type="http://schemas.openxmlformats.org/officeDocument/2006/relationships/hyperlink" Target="https://statiz.sporki.com/add/?m=draft_school01&amp;ps_school=50601" TargetMode="External"/><Relationship Id="rId4267" Type="http://schemas.openxmlformats.org/officeDocument/2006/relationships/hyperlink" Target="https://statiz.sporki.com/player/?m=playerinfo&amp;p_no=11271" TargetMode="External"/><Relationship Id="rId9939" Type="http://schemas.openxmlformats.org/officeDocument/2006/relationships/hyperlink" Target="https://statiz.sporki.com/add/?m=draft_school02&amp;ps_school=" TargetMode="External"/><Relationship Id="rId15740" Type="http://schemas.openxmlformats.org/officeDocument/2006/relationships/hyperlink" Target="https://statiz.sporki.com/player/?m=playerinfo&amp;p_no=1402" TargetMode="External"/><Relationship Id="rId3350" Type="http://schemas.openxmlformats.org/officeDocument/2006/relationships/hyperlink" Target="https://statiz.sporki.com/add/?m=draft_school01&amp;ps_school=50705" TargetMode="External"/><Relationship Id="rId13291" Type="http://schemas.openxmlformats.org/officeDocument/2006/relationships/hyperlink" Target="https://statiz.sporki.com/player/?m=playerinfo&amp;p_no=12543" TargetMode="External"/><Relationship Id="rId18963" Type="http://schemas.openxmlformats.org/officeDocument/2006/relationships/hyperlink" Target="https://statiz.sporki.com/add/?m=draft_school01&amp;ps_school=50608" TargetMode="External"/><Relationship Id="rId3003" Type="http://schemas.openxmlformats.org/officeDocument/2006/relationships/hyperlink" Target="https://statiz.sporki.com/add/?m=draft_school02&amp;ps_school=" TargetMode="External"/><Relationship Id="rId18616" Type="http://schemas.openxmlformats.org/officeDocument/2006/relationships/hyperlink" Target="https://statiz.sporki.com/add/?m=draft_school01&amp;ps_school=50107" TargetMode="External"/><Relationship Id="rId6573" Type="http://schemas.openxmlformats.org/officeDocument/2006/relationships/hyperlink" Target="https://statiz.sporki.com/add/?m=draft_school02&amp;ps_school=" TargetMode="External"/><Relationship Id="rId16167" Type="http://schemas.openxmlformats.org/officeDocument/2006/relationships/hyperlink" Target="https://statiz.sporki.com/player/?m=playerinfo&amp;p_no=1091" TargetMode="External"/><Relationship Id="rId6226" Type="http://schemas.openxmlformats.org/officeDocument/2006/relationships/hyperlink" Target="https://statiz.sporki.com/player/?m=playerinfo&amp;p_no=10855" TargetMode="External"/><Relationship Id="rId9796" Type="http://schemas.openxmlformats.org/officeDocument/2006/relationships/hyperlink" Target="https://statiz.sporki.com/player/?m=playerinfo&amp;p_no=1701" TargetMode="External"/><Relationship Id="rId12777" Type="http://schemas.openxmlformats.org/officeDocument/2006/relationships/hyperlink" Target="https://statiz.sporki.com/player/?m=playerinfo&amp;p_no=14178" TargetMode="External"/><Relationship Id="rId2836" Type="http://schemas.openxmlformats.org/officeDocument/2006/relationships/hyperlink" Target="https://statiz.sporki.com/player/?m=playerinfo&amp;p_no=12909" TargetMode="External"/><Relationship Id="rId9449" Type="http://schemas.openxmlformats.org/officeDocument/2006/relationships/hyperlink" Target="https://statiz.sporki.com/add/?m=draft_school01&amp;ps_school=50108" TargetMode="External"/><Relationship Id="rId15250" Type="http://schemas.openxmlformats.org/officeDocument/2006/relationships/hyperlink" Target="https://statiz.sporki.com/player/?m=playerinfo&amp;p_no=1814" TargetMode="External"/><Relationship Id="rId808" Type="http://schemas.openxmlformats.org/officeDocument/2006/relationships/hyperlink" Target="https://statiz.sporki.com/player/?m=playerinfo&amp;p_no=14996" TargetMode="External"/><Relationship Id="rId11860" Type="http://schemas.openxmlformats.org/officeDocument/2006/relationships/hyperlink" Target="https://statiz.sporki.com/player/?m=playerinfo&amp;p_no=1040" TargetMode="External"/><Relationship Id="rId18473" Type="http://schemas.openxmlformats.org/officeDocument/2006/relationships/hyperlink" Target="https://statiz.sporki.com/add/?m=draft_school01&amp;ps_school=50602" TargetMode="External"/><Relationship Id="rId6083" Type="http://schemas.openxmlformats.org/officeDocument/2006/relationships/hyperlink" Target="https://statiz.sporki.com/add/?m=draft_school01&amp;ps_school=50204" TargetMode="External"/><Relationship Id="rId8532" Type="http://schemas.openxmlformats.org/officeDocument/2006/relationships/hyperlink" Target="https://statiz.sporki.com/add/?m=draft_school02&amp;ps_school=" TargetMode="External"/><Relationship Id="rId11513" Type="http://schemas.openxmlformats.org/officeDocument/2006/relationships/hyperlink" Target="https://statiz.sporki.com/add/?m=draft_school01&amp;ps_school=50807" TargetMode="External"/><Relationship Id="rId18126" Type="http://schemas.openxmlformats.org/officeDocument/2006/relationships/hyperlink" Target="https://statiz.sporki.com/add/?m=draft_school01&amp;ps_school=50102" TargetMode="External"/><Relationship Id="rId14736" Type="http://schemas.openxmlformats.org/officeDocument/2006/relationships/hyperlink" Target="https://statiz.sporki.com/player/?m=playerinfo&amp;p_no=2407" TargetMode="External"/><Relationship Id="rId2693" Type="http://schemas.openxmlformats.org/officeDocument/2006/relationships/hyperlink" Target="https://statiz.sporki.com/add/?m=draft_school01&amp;ps_school=50401" TargetMode="External"/><Relationship Id="rId12287" Type="http://schemas.openxmlformats.org/officeDocument/2006/relationships/hyperlink" Target="https://statiz.sporki.com/player/?m=playerinfo&amp;p_no=15613" TargetMode="External"/><Relationship Id="rId665" Type="http://schemas.openxmlformats.org/officeDocument/2006/relationships/hyperlink" Target="https://statiz.sporki.com/add/?m=draft_school01&amp;ps_school=50114" TargetMode="External"/><Relationship Id="rId2346" Type="http://schemas.openxmlformats.org/officeDocument/2006/relationships/hyperlink" Target="https://statiz.sporki.com/add/?m=draft_school02&amp;ps_school=" TargetMode="External"/><Relationship Id="rId17959" Type="http://schemas.openxmlformats.org/officeDocument/2006/relationships/hyperlink" Target="https://statiz.sporki.com/add/?m=draft_school01&amp;ps_school=50111" TargetMode="External"/><Relationship Id="rId318" Type="http://schemas.openxmlformats.org/officeDocument/2006/relationships/hyperlink" Target="https://statiz.sporki.com/add/?m=draft_school02&amp;ps_school=" TargetMode="External"/><Relationship Id="rId5569" Type="http://schemas.openxmlformats.org/officeDocument/2006/relationships/hyperlink" Target="https://statiz.sporki.com/player/?m=playerinfo&amp;p_no=10019" TargetMode="External"/><Relationship Id="rId8042" Type="http://schemas.openxmlformats.org/officeDocument/2006/relationships/hyperlink" Target="https://statiz.sporki.com/add/?m=draft_school01&amp;ps_school=50112" TargetMode="External"/><Relationship Id="rId11370" Type="http://schemas.openxmlformats.org/officeDocument/2006/relationships/hyperlink" Target="https://statiz.sporki.com/add/?m=draft_school02&amp;ps_school=60103" TargetMode="External"/><Relationship Id="rId11023" Type="http://schemas.openxmlformats.org/officeDocument/2006/relationships/hyperlink" Target="https://statiz.sporki.com/player/?m=playerinfo&amp;p_no=1398" TargetMode="External"/><Relationship Id="rId14593" Type="http://schemas.openxmlformats.org/officeDocument/2006/relationships/hyperlink" Target="https://statiz.sporki.com/player/?m=playerinfo&amp;p_no=10049" TargetMode="External"/><Relationship Id="rId4652" Type="http://schemas.openxmlformats.org/officeDocument/2006/relationships/hyperlink" Target="https://statiz.sporki.com/add/?m=draft_school01&amp;ps_school=50701" TargetMode="External"/><Relationship Id="rId14246" Type="http://schemas.openxmlformats.org/officeDocument/2006/relationships/hyperlink" Target="https://statiz.sporki.com/player/?m=playerinfo&amp;p_no=10058" TargetMode="External"/><Relationship Id="rId175" Type="http://schemas.openxmlformats.org/officeDocument/2006/relationships/hyperlink" Target="https://statiz.sporki.com/player/?m=playerinfo&amp;p_no=15513" TargetMode="External"/><Relationship Id="rId4305" Type="http://schemas.openxmlformats.org/officeDocument/2006/relationships/hyperlink" Target="https://statiz.sporki.com/add/?m=draft_school02&amp;ps_school=" TargetMode="External"/><Relationship Id="rId7875" Type="http://schemas.openxmlformats.org/officeDocument/2006/relationships/hyperlink" Target="https://statiz.sporki.com/add/?m=draft_school02&amp;ps_school=60108" TargetMode="External"/><Relationship Id="rId10856" Type="http://schemas.openxmlformats.org/officeDocument/2006/relationships/hyperlink" Target="https://statiz.sporki.com/add/?m=draft_school01&amp;ps_school=50121" TargetMode="External"/><Relationship Id="rId17469" Type="http://schemas.openxmlformats.org/officeDocument/2006/relationships/hyperlink" Target="https://statiz.sporki.com/add/?m=draft_school01&amp;ps_school=50805" TargetMode="External"/><Relationship Id="rId7528" Type="http://schemas.openxmlformats.org/officeDocument/2006/relationships/hyperlink" Target="https://statiz.sporki.com/player/?m=playerinfo&amp;p_no=2249" TargetMode="External"/><Relationship Id="rId10509" Type="http://schemas.openxmlformats.org/officeDocument/2006/relationships/hyperlink" Target="https://statiz.sporki.com/add/?m=draft_school02&amp;ps_school=" TargetMode="External"/><Relationship Id="rId5079" Type="http://schemas.openxmlformats.org/officeDocument/2006/relationships/hyperlink" Target="https://statiz.sporki.com/add/?m=draft_school02&amp;ps_school=60803" TargetMode="External"/><Relationship Id="rId1689" Type="http://schemas.openxmlformats.org/officeDocument/2006/relationships/hyperlink" Target="https://statiz.sporki.com/add/?m=draft_school02&amp;ps_school=" TargetMode="External"/><Relationship Id="rId16552" Type="http://schemas.openxmlformats.org/officeDocument/2006/relationships/hyperlink" Target="https://statiz.sporki.com/add/?m=draft_school01&amp;ps_school=50301" TargetMode="External"/><Relationship Id="rId4162" Type="http://schemas.openxmlformats.org/officeDocument/2006/relationships/hyperlink" Target="https://statiz.sporki.com/player/?m=playerinfo&amp;p_no=11219" TargetMode="External"/><Relationship Id="rId6611" Type="http://schemas.openxmlformats.org/officeDocument/2006/relationships/hyperlink" Target="https://statiz.sporki.com/add/?m=draft_school01&amp;ps_school=50705" TargetMode="External"/><Relationship Id="rId16205" Type="http://schemas.openxmlformats.org/officeDocument/2006/relationships/hyperlink" Target="https://statiz.sporki.com/add/?m=draft_school01&amp;ps_school=50108" TargetMode="External"/><Relationship Id="rId9834" Type="http://schemas.openxmlformats.org/officeDocument/2006/relationships/hyperlink" Target="https://statiz.sporki.com/add/?m=draft_school02&amp;ps_school=60203" TargetMode="External"/><Relationship Id="rId12815" Type="http://schemas.openxmlformats.org/officeDocument/2006/relationships/hyperlink" Target="https://statiz.sporki.com/player/?m=playerinfo&amp;p_no=14118" TargetMode="External"/><Relationship Id="rId19428" Type="http://schemas.openxmlformats.org/officeDocument/2006/relationships/hyperlink" Target="https://statiz.sporki.com/add/?m=draft_school01&amp;ps_school=50403" TargetMode="External"/><Relationship Id="rId48" Type="http://schemas.openxmlformats.org/officeDocument/2006/relationships/hyperlink" Target="https://statiz.sporki.com/add/?m=draft_school02&amp;ps_school=" TargetMode="External"/><Relationship Id="rId7385" Type="http://schemas.openxmlformats.org/officeDocument/2006/relationships/hyperlink" Target="https://statiz.sporki.com/add/?m=draft_school01&amp;ps_school=50602" TargetMode="External"/><Relationship Id="rId10366" Type="http://schemas.openxmlformats.org/officeDocument/2006/relationships/hyperlink" Target="https://statiz.sporki.com/player/?m=playerinfo&amp;p_no=1514" TargetMode="External"/><Relationship Id="rId3995" Type="http://schemas.openxmlformats.org/officeDocument/2006/relationships/hyperlink" Target="https://statiz.sporki.com/add/?m=draft_school01&amp;ps_school=50113" TargetMode="External"/><Relationship Id="rId7038" Type="http://schemas.openxmlformats.org/officeDocument/2006/relationships/hyperlink" Target="https://statiz.sporki.com/add/?m=draft_school02&amp;ps_school=60108" TargetMode="External"/><Relationship Id="rId10019" Type="http://schemas.openxmlformats.org/officeDocument/2006/relationships/hyperlink" Target="https://statiz.sporki.com/add/?m=draft_school01&amp;ps_school=50107" TargetMode="External"/><Relationship Id="rId13589" Type="http://schemas.openxmlformats.org/officeDocument/2006/relationships/hyperlink" Target="https://statiz.sporki.com/player/?m=playerinfo&amp;p_no=11288" TargetMode="External"/><Relationship Id="rId18511" Type="http://schemas.openxmlformats.org/officeDocument/2006/relationships/hyperlink" Target="https://statiz.sporki.com/add/?m=draft_school01&amp;ps_school=50108" TargetMode="External"/><Relationship Id="rId3648" Type="http://schemas.openxmlformats.org/officeDocument/2006/relationships/hyperlink" Target="https://statiz.sporki.com/add/?m=draft_school02&amp;ps_school=60108" TargetMode="External"/><Relationship Id="rId16062" Type="http://schemas.openxmlformats.org/officeDocument/2006/relationships/hyperlink" Target="https://statiz.sporki.com/player/?m=playerinfo&amp;p_no=1130" TargetMode="External"/><Relationship Id="rId1199" Type="http://schemas.openxmlformats.org/officeDocument/2006/relationships/hyperlink" Target="https://statiz.sporki.com/add/?m=draft_school01&amp;ps_school=51104" TargetMode="External"/><Relationship Id="rId6121" Type="http://schemas.openxmlformats.org/officeDocument/2006/relationships/hyperlink" Target="https://statiz.sporki.com/player/?m=playerinfo&amp;p_no=10737" TargetMode="External"/><Relationship Id="rId9691" Type="http://schemas.openxmlformats.org/officeDocument/2006/relationships/hyperlink" Target="https://statiz.sporki.com/player/?m=playerinfo&amp;p_no=1777" TargetMode="External"/><Relationship Id="rId19285" Type="http://schemas.openxmlformats.org/officeDocument/2006/relationships/hyperlink" Target="https://statiz.sporki.com/add/?m=draft_school01&amp;ps_school=50301" TargetMode="External"/><Relationship Id="rId9344" Type="http://schemas.openxmlformats.org/officeDocument/2006/relationships/hyperlink" Target="https://statiz.sporki.com/add/?m=draft_school01&amp;ps_school=50126" TargetMode="External"/><Relationship Id="rId12672" Type="http://schemas.openxmlformats.org/officeDocument/2006/relationships/hyperlink" Target="https://statiz.sporki.com/player/?m=playerinfo&amp;p_no=14673" TargetMode="External"/><Relationship Id="rId2731" Type="http://schemas.openxmlformats.org/officeDocument/2006/relationships/hyperlink" Target="https://statiz.sporki.com/player/?m=playerinfo&amp;p_no=13257" TargetMode="External"/><Relationship Id="rId12325" Type="http://schemas.openxmlformats.org/officeDocument/2006/relationships/hyperlink" Target="https://statiz.sporki.com/player/?m=playerinfo&amp;p_no=15101" TargetMode="External"/><Relationship Id="rId15895" Type="http://schemas.openxmlformats.org/officeDocument/2006/relationships/hyperlink" Target="https://statiz.sporki.com/player/?m=playerinfo&amp;p_no=1251" TargetMode="External"/><Relationship Id="rId703" Type="http://schemas.openxmlformats.org/officeDocument/2006/relationships/hyperlink" Target="https://statiz.sporki.com/player/?m=playerinfo&amp;p_no=15645" TargetMode="External"/><Relationship Id="rId5954" Type="http://schemas.openxmlformats.org/officeDocument/2006/relationships/hyperlink" Target="https://statiz.sporki.com/add/?m=draft_school01&amp;ps_school=" TargetMode="External"/><Relationship Id="rId15548" Type="http://schemas.openxmlformats.org/officeDocument/2006/relationships/hyperlink" Target="https://statiz.sporki.com/player/?m=playerinfo&amp;p_no=1610" TargetMode="External"/><Relationship Id="rId5607" Type="http://schemas.openxmlformats.org/officeDocument/2006/relationships/hyperlink" Target="https://statiz.sporki.com/add/?m=draft_school02&amp;ps_school=" TargetMode="External"/><Relationship Id="rId13099" Type="http://schemas.openxmlformats.org/officeDocument/2006/relationships/hyperlink" Target="https://statiz.sporki.com/player/?m=playerinfo&amp;p_no=13189" TargetMode="External"/><Relationship Id="rId18021" Type="http://schemas.openxmlformats.org/officeDocument/2006/relationships/hyperlink" Target="https://statiz.sporki.com/add/?m=draft_school01&amp;ps_school=50106" TargetMode="External"/><Relationship Id="rId3158" Type="http://schemas.openxmlformats.org/officeDocument/2006/relationships/hyperlink" Target="https://statiz.sporki.com/add/?m=draft_school01&amp;ps_school=50101" TargetMode="External"/><Relationship Id="rId12182" Type="http://schemas.openxmlformats.org/officeDocument/2006/relationships/hyperlink" Target="https://statiz.sporki.com/player/?m=playerinfo&amp;p_no=15425" TargetMode="External"/><Relationship Id="rId14631" Type="http://schemas.openxmlformats.org/officeDocument/2006/relationships/hyperlink" Target="https://statiz.sporki.com/player/?m=playerinfo&amp;p_no=10697" TargetMode="External"/><Relationship Id="rId560" Type="http://schemas.openxmlformats.org/officeDocument/2006/relationships/hyperlink" Target="https://statiz.sporki.com/add/?m=draft_school01&amp;ps_school=50207" TargetMode="External"/><Relationship Id="rId2241" Type="http://schemas.openxmlformats.org/officeDocument/2006/relationships/hyperlink" Target="https://statiz.sporki.com/add/?m=draft_school02&amp;ps_school=" TargetMode="External"/><Relationship Id="rId17854" Type="http://schemas.openxmlformats.org/officeDocument/2006/relationships/hyperlink" Target="https://statiz.sporki.com/add/?m=draft_school01&amp;ps_school=50802" TargetMode="External"/><Relationship Id="rId213" Type="http://schemas.openxmlformats.org/officeDocument/2006/relationships/hyperlink" Target="https://statiz.sporki.com/add/?m=draft_school02&amp;ps_school=" TargetMode="External"/><Relationship Id="rId7913" Type="http://schemas.openxmlformats.org/officeDocument/2006/relationships/hyperlink" Target="https://statiz.sporki.com/add/?m=draft_school01&amp;ps_school=50115" TargetMode="External"/><Relationship Id="rId17507" Type="http://schemas.openxmlformats.org/officeDocument/2006/relationships/hyperlink" Target="https://statiz.sporki.com/add/?m=draft_school01&amp;ps_school=50209" TargetMode="External"/><Relationship Id="rId5464" Type="http://schemas.openxmlformats.org/officeDocument/2006/relationships/hyperlink" Target="https://statiz.sporki.com/player/?m=playerinfo&amp;p_no=10726" TargetMode="External"/><Relationship Id="rId15058" Type="http://schemas.openxmlformats.org/officeDocument/2006/relationships/hyperlink" Target="https://statiz.sporki.com/player/?m=playerinfo&amp;p_no=2016" TargetMode="External"/><Relationship Id="rId5117" Type="http://schemas.openxmlformats.org/officeDocument/2006/relationships/hyperlink" Target="https://statiz.sporki.com/add/?m=draft_school01&amp;ps_school=50208" TargetMode="External"/><Relationship Id="rId8687" Type="http://schemas.openxmlformats.org/officeDocument/2006/relationships/hyperlink" Target="https://statiz.sporki.com/add/?m=draft_school01&amp;ps_school=50105" TargetMode="External"/><Relationship Id="rId11668" Type="http://schemas.openxmlformats.org/officeDocument/2006/relationships/hyperlink" Target="https://statiz.sporki.com/player/?m=playerinfo&amp;p_no=1136" TargetMode="External"/><Relationship Id="rId1727" Type="http://schemas.openxmlformats.org/officeDocument/2006/relationships/hyperlink" Target="https://statiz.sporki.com/add/?m=draft_school01&amp;ps_school=51107" TargetMode="External"/><Relationship Id="rId14141" Type="http://schemas.openxmlformats.org/officeDocument/2006/relationships/hyperlink" Target="https://statiz.sporki.com/player/?m=playerinfo&amp;p_no=10900" TargetMode="External"/><Relationship Id="rId4200" Type="http://schemas.openxmlformats.org/officeDocument/2006/relationships/hyperlink" Target="https://statiz.sporki.com/add/?m=draft_school02&amp;ps_school=" TargetMode="External"/><Relationship Id="rId7770" Type="http://schemas.openxmlformats.org/officeDocument/2006/relationships/hyperlink" Target="https://statiz.sporki.com/add/?m=draft_school02&amp;ps_school=" TargetMode="External"/><Relationship Id="rId17364" Type="http://schemas.openxmlformats.org/officeDocument/2006/relationships/hyperlink" Target="https://statiz.sporki.com/add/?m=draft_school01&amp;ps_school=50107" TargetMode="External"/><Relationship Id="rId7423" Type="http://schemas.openxmlformats.org/officeDocument/2006/relationships/hyperlink" Target="https://statiz.sporki.com/player/?m=playerinfo&amp;p_no=2379" TargetMode="External"/><Relationship Id="rId10751" Type="http://schemas.openxmlformats.org/officeDocument/2006/relationships/hyperlink" Target="https://statiz.sporki.com/add/?m=draft_school01&amp;ps_school=50703" TargetMode="External"/><Relationship Id="rId17017" Type="http://schemas.openxmlformats.org/officeDocument/2006/relationships/hyperlink" Target="https://statiz.sporki.com/add/?m=draft_school01&amp;ps_school=50111" TargetMode="External"/><Relationship Id="rId10404" Type="http://schemas.openxmlformats.org/officeDocument/2006/relationships/hyperlink" Target="https://statiz.sporki.com/add/?m=draft_school02&amp;ps_school=60109" TargetMode="External"/><Relationship Id="rId13974" Type="http://schemas.openxmlformats.org/officeDocument/2006/relationships/hyperlink" Target="https://statiz.sporki.com/player/?m=playerinfo&amp;p_no=10297" TargetMode="External"/><Relationship Id="rId8197" Type="http://schemas.openxmlformats.org/officeDocument/2006/relationships/hyperlink" Target="https://statiz.sporki.com/player/?m=playerinfo&amp;p_no=10573" TargetMode="External"/><Relationship Id="rId13627" Type="http://schemas.openxmlformats.org/officeDocument/2006/relationships/hyperlink" Target="https://statiz.sporki.com/player/?m=playerinfo&amp;p_no=11111" TargetMode="External"/><Relationship Id="rId1584" Type="http://schemas.openxmlformats.org/officeDocument/2006/relationships/hyperlink" Target="https://statiz.sporki.com/add/?m=draft_school02&amp;ps_school=" TargetMode="External"/><Relationship Id="rId11178" Type="http://schemas.openxmlformats.org/officeDocument/2006/relationships/hyperlink" Target="https://statiz.sporki.com/add/?m=draft_school02&amp;ps_school=60109" TargetMode="External"/><Relationship Id="rId16100" Type="http://schemas.openxmlformats.org/officeDocument/2006/relationships/hyperlink" Target="https://statiz.sporki.com/player/?m=playerinfo&amp;p_no=1001" TargetMode="External"/><Relationship Id="rId19670" Type="http://schemas.openxmlformats.org/officeDocument/2006/relationships/hyperlink" Target="https://statiz.sporki.com/add/?m=draft_school01&amp;ps_school=50114" TargetMode="External"/><Relationship Id="rId1237" Type="http://schemas.openxmlformats.org/officeDocument/2006/relationships/hyperlink" Target="https://statiz.sporki.com/player/?m=playerinfo&amp;p_no=14859" TargetMode="External"/><Relationship Id="rId6909" Type="http://schemas.openxmlformats.org/officeDocument/2006/relationships/hyperlink" Target="https://statiz.sporki.com/add/?m=draft_school02&amp;ps_school=" TargetMode="External"/><Relationship Id="rId19323" Type="http://schemas.openxmlformats.org/officeDocument/2006/relationships/hyperlink" Target="https://statiz.sporki.com/add/?m=draft_school01&amp;ps_school=50701" TargetMode="External"/><Relationship Id="rId7280" Type="http://schemas.openxmlformats.org/officeDocument/2006/relationships/hyperlink" Target="https://statiz.sporki.com/add/?m=draft_school01&amp;ps_school=50502" TargetMode="External"/><Relationship Id="rId10261" Type="http://schemas.openxmlformats.org/officeDocument/2006/relationships/hyperlink" Target="https://statiz.sporki.com/player/?m=playerinfo&amp;p_no=1579" TargetMode="External"/><Relationship Id="rId12710" Type="http://schemas.openxmlformats.org/officeDocument/2006/relationships/hyperlink" Target="https://statiz.sporki.com/player/?m=playerinfo&amp;p_no=14681" TargetMode="External"/><Relationship Id="rId15933" Type="http://schemas.openxmlformats.org/officeDocument/2006/relationships/hyperlink" Target="https://statiz.sporki.com/player/?m=playerinfo&amp;p_no=1324" TargetMode="External"/><Relationship Id="rId3890" Type="http://schemas.openxmlformats.org/officeDocument/2006/relationships/hyperlink" Target="https://statiz.sporki.com/add/?m=draft_school01&amp;ps_school=50804" TargetMode="External"/><Relationship Id="rId13484" Type="http://schemas.openxmlformats.org/officeDocument/2006/relationships/hyperlink" Target="https://statiz.sporki.com/player/?m=playerinfo&amp;p_no=11226" TargetMode="External"/><Relationship Id="rId1094" Type="http://schemas.openxmlformats.org/officeDocument/2006/relationships/hyperlink" Target="https://statiz.sporki.com/add/?m=draft_school01&amp;ps_school=50215" TargetMode="External"/><Relationship Id="rId3543" Type="http://schemas.openxmlformats.org/officeDocument/2006/relationships/hyperlink" Target="https://statiz.sporki.com/add/?m=draft_school02&amp;ps_school=" TargetMode="External"/><Relationship Id="rId13137" Type="http://schemas.openxmlformats.org/officeDocument/2006/relationships/hyperlink" Target="https://statiz.sporki.com/player/?m=playerinfo&amp;p_no=12862" TargetMode="External"/><Relationship Id="rId18809" Type="http://schemas.openxmlformats.org/officeDocument/2006/relationships/hyperlink" Target="https://statiz.sporki.com/add/?m=draft_school01&amp;ps_school=50706" TargetMode="External"/><Relationship Id="rId6766" Type="http://schemas.openxmlformats.org/officeDocument/2006/relationships/hyperlink" Target="https://statiz.sporki.com/player/?m=playerinfo&amp;p_no=10400" TargetMode="External"/><Relationship Id="rId19180" Type="http://schemas.openxmlformats.org/officeDocument/2006/relationships/hyperlink" Target="https://statiz.sporki.com/add/?m=draft_school01&amp;ps_school=50706" TargetMode="External"/><Relationship Id="rId6419" Type="http://schemas.openxmlformats.org/officeDocument/2006/relationships/hyperlink" Target="https://statiz.sporki.com/add/?m=draft_school01&amp;ps_school=50104" TargetMode="External"/><Relationship Id="rId9989" Type="http://schemas.openxmlformats.org/officeDocument/2006/relationships/hyperlink" Target="https://statiz.sporki.com/add/?m=draft_school01&amp;ps_school=50501" TargetMode="External"/><Relationship Id="rId12220" Type="http://schemas.openxmlformats.org/officeDocument/2006/relationships/hyperlink" Target="https://statiz.sporki.com/player/?m=playerinfo&amp;p_no=15515" TargetMode="External"/><Relationship Id="rId15790" Type="http://schemas.openxmlformats.org/officeDocument/2006/relationships/hyperlink" Target="https://statiz.sporki.com/player/?m=playerinfo&amp;p_no=1466" TargetMode="External"/><Relationship Id="rId5502" Type="http://schemas.openxmlformats.org/officeDocument/2006/relationships/hyperlink" Target="https://statiz.sporki.com/add/?m=draft_school02&amp;ps_school=60404" TargetMode="External"/><Relationship Id="rId15443" Type="http://schemas.openxmlformats.org/officeDocument/2006/relationships/hyperlink" Target="https://statiz.sporki.com/player/?m=playerinfo&amp;p_no=1662" TargetMode="External"/><Relationship Id="rId3053" Type="http://schemas.openxmlformats.org/officeDocument/2006/relationships/hyperlink" Target="https://statiz.sporki.com/add/?m=draft_school01&amp;ps_school=" TargetMode="External"/><Relationship Id="rId18666" Type="http://schemas.openxmlformats.org/officeDocument/2006/relationships/hyperlink" Target="https://statiz.sporki.com/add/?m=draft_school01&amp;ps_school=50604" TargetMode="External"/><Relationship Id="rId6276" Type="http://schemas.openxmlformats.org/officeDocument/2006/relationships/hyperlink" Target="https://statiz.sporki.com/add/?m=draft_school02&amp;ps_school=" TargetMode="External"/><Relationship Id="rId8725" Type="http://schemas.openxmlformats.org/officeDocument/2006/relationships/hyperlink" Target="https://statiz.sporki.com/player/?m=playerinfo&amp;p_no=10419" TargetMode="External"/><Relationship Id="rId11706" Type="http://schemas.openxmlformats.org/officeDocument/2006/relationships/hyperlink" Target="https://statiz.sporki.com/add/?m=draft_school02&amp;ps_school=" TargetMode="External"/><Relationship Id="rId18319" Type="http://schemas.openxmlformats.org/officeDocument/2006/relationships/hyperlink" Target="https://statiz.sporki.com/add/?m=draft_school01&amp;ps_school=50805" TargetMode="External"/><Relationship Id="rId14929" Type="http://schemas.openxmlformats.org/officeDocument/2006/relationships/hyperlink" Target="https://statiz.sporki.com/player/?m=playerinfo&amp;p_no=2086" TargetMode="External"/><Relationship Id="rId2886" Type="http://schemas.openxmlformats.org/officeDocument/2006/relationships/hyperlink" Target="https://statiz.sporki.com/add/?m=draft_school02&amp;ps_school=" TargetMode="External"/><Relationship Id="rId9499" Type="http://schemas.openxmlformats.org/officeDocument/2006/relationships/hyperlink" Target="https://statiz.sporki.com/player/?m=playerinfo&amp;p_no=1806" TargetMode="External"/><Relationship Id="rId17402" Type="http://schemas.openxmlformats.org/officeDocument/2006/relationships/hyperlink" Target="https://statiz.sporki.com/add/?m=draft_school01&amp;ps_school=50112" TargetMode="External"/><Relationship Id="rId858" Type="http://schemas.openxmlformats.org/officeDocument/2006/relationships/hyperlink" Target="https://statiz.sporki.com/add/?m=draft_school02&amp;ps_school=" TargetMode="External"/><Relationship Id="rId2539" Type="http://schemas.openxmlformats.org/officeDocument/2006/relationships/hyperlink" Target="https://statiz.sporki.com/player/?m=playerinfo&amp;p_no=13088" TargetMode="External"/><Relationship Id="rId5012" Type="http://schemas.openxmlformats.org/officeDocument/2006/relationships/hyperlink" Target="https://statiz.sporki.com/add/?m=draft_school01&amp;ps_school=50401" TargetMode="External"/><Relationship Id="rId8582" Type="http://schemas.openxmlformats.org/officeDocument/2006/relationships/hyperlink" Target="https://statiz.sporki.com/add/?m=draft_school01&amp;ps_school=50101" TargetMode="External"/><Relationship Id="rId18176" Type="http://schemas.openxmlformats.org/officeDocument/2006/relationships/hyperlink" Target="https://statiz.sporki.com/add/?m=draft_school01&amp;ps_school=50104" TargetMode="External"/><Relationship Id="rId8235" Type="http://schemas.openxmlformats.org/officeDocument/2006/relationships/hyperlink" Target="https://statiz.sporki.com/add/?m=draft_school02&amp;ps_school=" TargetMode="External"/><Relationship Id="rId11563" Type="http://schemas.openxmlformats.org/officeDocument/2006/relationships/hyperlink" Target="https://statiz.sporki.com/player/?m=playerinfo&amp;p_no=1146" TargetMode="External"/><Relationship Id="rId1622" Type="http://schemas.openxmlformats.org/officeDocument/2006/relationships/hyperlink" Target="https://statiz.sporki.com/add/?m=draft_school01&amp;ps_school=50111" TargetMode="External"/><Relationship Id="rId11216" Type="http://schemas.openxmlformats.org/officeDocument/2006/relationships/hyperlink" Target="https://statiz.sporki.com/add/?m=draft_school01&amp;ps_school=50301" TargetMode="External"/><Relationship Id="rId14786" Type="http://schemas.openxmlformats.org/officeDocument/2006/relationships/hyperlink" Target="https://statiz.sporki.com/player/?m=playerinfo&amp;p_no=2156" TargetMode="External"/><Relationship Id="rId4845" Type="http://schemas.openxmlformats.org/officeDocument/2006/relationships/hyperlink" Target="https://statiz.sporki.com/add/?m=draft_school02&amp;ps_school=" TargetMode="External"/><Relationship Id="rId14439" Type="http://schemas.openxmlformats.org/officeDocument/2006/relationships/hyperlink" Target="https://statiz.sporki.com/player/?m=playerinfo&amp;p_no=11462" TargetMode="External"/><Relationship Id="rId2396" Type="http://schemas.openxmlformats.org/officeDocument/2006/relationships/hyperlink" Target="https://statiz.sporki.com/add/?m=draft_school01&amp;ps_school=50110" TargetMode="External"/><Relationship Id="rId368" Type="http://schemas.openxmlformats.org/officeDocument/2006/relationships/hyperlink" Target="https://statiz.sporki.com/add/?m=draft_school01&amp;ps_school=" TargetMode="External"/><Relationship Id="rId2049" Type="http://schemas.openxmlformats.org/officeDocument/2006/relationships/hyperlink" Target="https://statiz.sporki.com/add/?m=draft_school02&amp;ps_school=" TargetMode="External"/><Relationship Id="rId8092" Type="http://schemas.openxmlformats.org/officeDocument/2006/relationships/hyperlink" Target="https://statiz.sporki.com/player/?m=playerinfo&amp;p_no=10192" TargetMode="External"/><Relationship Id="rId11073" Type="http://schemas.openxmlformats.org/officeDocument/2006/relationships/hyperlink" Target="https://statiz.sporki.com/add/?m=draft_school02&amp;ps_school=60101" TargetMode="External"/><Relationship Id="rId13522" Type="http://schemas.openxmlformats.org/officeDocument/2006/relationships/hyperlink" Target="https://statiz.sporki.com/player/?m=playerinfo&amp;p_no=11403" TargetMode="External"/><Relationship Id="rId1132" Type="http://schemas.openxmlformats.org/officeDocument/2006/relationships/hyperlink" Target="https://statiz.sporki.com/player/?m=playerinfo&amp;p_no=14809" TargetMode="External"/><Relationship Id="rId16745" Type="http://schemas.openxmlformats.org/officeDocument/2006/relationships/hyperlink" Target="https://statiz.sporki.com/add/?m=draft_school01&amp;ps_school=50110" TargetMode="External"/><Relationship Id="rId4355" Type="http://schemas.openxmlformats.org/officeDocument/2006/relationships/hyperlink" Target="https://statiz.sporki.com/add/?m=draft_school01&amp;ps_school=" TargetMode="External"/><Relationship Id="rId6804" Type="http://schemas.openxmlformats.org/officeDocument/2006/relationships/hyperlink" Target="https://statiz.sporki.com/add/?m=draft_school02&amp;ps_school=" TargetMode="External"/><Relationship Id="rId14296" Type="http://schemas.openxmlformats.org/officeDocument/2006/relationships/hyperlink" Target="https://statiz.sporki.com/player/?m=playerinfo&amp;p_no=2395" TargetMode="External"/><Relationship Id="rId4008" Type="http://schemas.openxmlformats.org/officeDocument/2006/relationships/hyperlink" Target="https://statiz.sporki.com/add/?m=draft_school02&amp;ps_school=" TargetMode="External"/><Relationship Id="rId7578" Type="http://schemas.openxmlformats.org/officeDocument/2006/relationships/hyperlink" Target="https://statiz.sporki.com/add/?m=draft_school02&amp;ps_school=" TargetMode="External"/><Relationship Id="rId10559" Type="http://schemas.openxmlformats.org/officeDocument/2006/relationships/hyperlink" Target="https://statiz.sporki.com/add/?m=draft_school01&amp;ps_school=50403" TargetMode="External"/><Relationship Id="rId13032" Type="http://schemas.openxmlformats.org/officeDocument/2006/relationships/hyperlink" Target="https://statiz.sporki.com/player/?m=playerinfo&amp;p_no=13232" TargetMode="External"/><Relationship Id="rId6661" Type="http://schemas.openxmlformats.org/officeDocument/2006/relationships/hyperlink" Target="https://statiz.sporki.com/player/?m=playerinfo&amp;p_no=2387" TargetMode="External"/><Relationship Id="rId16255" Type="http://schemas.openxmlformats.org/officeDocument/2006/relationships/hyperlink" Target="https://statiz.sporki.com/add/?m=draft_school01&amp;ps_school=50807" TargetMode="External"/><Relationship Id="rId18704" Type="http://schemas.openxmlformats.org/officeDocument/2006/relationships/hyperlink" Target="https://statiz.sporki.com/add/?m=draft_school01&amp;ps_school=50121" TargetMode="External"/><Relationship Id="rId6314" Type="http://schemas.openxmlformats.org/officeDocument/2006/relationships/hyperlink" Target="https://statiz.sporki.com/add/?m=draft_school01&amp;ps_school=50601" TargetMode="External"/><Relationship Id="rId9884" Type="http://schemas.openxmlformats.org/officeDocument/2006/relationships/hyperlink" Target="https://statiz.sporki.com/add/?m=draft_school01&amp;ps_school=50706" TargetMode="External"/><Relationship Id="rId12865" Type="http://schemas.openxmlformats.org/officeDocument/2006/relationships/hyperlink" Target="https://statiz.sporki.com/player/?m=playerinfo&amp;p_no=14224" TargetMode="External"/><Relationship Id="rId19478" Type="http://schemas.openxmlformats.org/officeDocument/2006/relationships/hyperlink" Target="https://statiz.sporki.com/add/?m=draft_school01&amp;ps_school=50701" TargetMode="External"/><Relationship Id="rId98" Type="http://schemas.openxmlformats.org/officeDocument/2006/relationships/hyperlink" Target="https://statiz.sporki.com/add/?m=draft_school01&amp;ps_school=50701" TargetMode="External"/><Relationship Id="rId2924" Type="http://schemas.openxmlformats.org/officeDocument/2006/relationships/hyperlink" Target="https://statiz.sporki.com/add/?m=draft_school01&amp;ps_school=50403" TargetMode="External"/><Relationship Id="rId7088" Type="http://schemas.openxmlformats.org/officeDocument/2006/relationships/hyperlink" Target="https://statiz.sporki.com/add/?m=draft_school01&amp;ps_school=50901" TargetMode="External"/><Relationship Id="rId9537" Type="http://schemas.openxmlformats.org/officeDocument/2006/relationships/hyperlink" Target="https://statiz.sporki.com/add/?m=draft_school02&amp;ps_school=" TargetMode="External"/><Relationship Id="rId12518" Type="http://schemas.openxmlformats.org/officeDocument/2006/relationships/hyperlink" Target="https://statiz.sporki.com/player/?m=playerinfo&amp;p_no=14851" TargetMode="External"/><Relationship Id="rId10069" Type="http://schemas.openxmlformats.org/officeDocument/2006/relationships/hyperlink" Target="https://statiz.sporki.com/player/?m=playerinfo&amp;p_no=1619" TargetMode="External"/><Relationship Id="rId18561" Type="http://schemas.openxmlformats.org/officeDocument/2006/relationships/hyperlink" Target="https://statiz.sporki.com/add/?m=draft_school01&amp;ps_school=50110" TargetMode="External"/><Relationship Id="rId3698" Type="http://schemas.openxmlformats.org/officeDocument/2006/relationships/hyperlink" Target="https://statiz.sporki.com/add/?m=draft_school01&amp;ps_school=50601" TargetMode="External"/><Relationship Id="rId8620" Type="http://schemas.openxmlformats.org/officeDocument/2006/relationships/hyperlink" Target="https://statiz.sporki.com/player/?m=playerinfo&amp;p_no=10398" TargetMode="External"/><Relationship Id="rId18214" Type="http://schemas.openxmlformats.org/officeDocument/2006/relationships/hyperlink" Target="https://statiz.sporki.com/add/?m=draft_school01&amp;ps_school=50602" TargetMode="External"/><Relationship Id="rId6171" Type="http://schemas.openxmlformats.org/officeDocument/2006/relationships/hyperlink" Target="https://statiz.sporki.com/add/?m=draft_school02&amp;ps_school=" TargetMode="External"/><Relationship Id="rId11601" Type="http://schemas.openxmlformats.org/officeDocument/2006/relationships/hyperlink" Target="https://statiz.sporki.com/add/?m=draft_school02&amp;ps_school=" TargetMode="External"/><Relationship Id="rId2781" Type="http://schemas.openxmlformats.org/officeDocument/2006/relationships/hyperlink" Target="https://statiz.sporki.com/add/?m=draft_school02&amp;ps_school=" TargetMode="External"/><Relationship Id="rId9394" Type="http://schemas.openxmlformats.org/officeDocument/2006/relationships/hyperlink" Target="https://statiz.sporki.com/player/?m=playerinfo&amp;p_no=1809" TargetMode="External"/><Relationship Id="rId14824" Type="http://schemas.openxmlformats.org/officeDocument/2006/relationships/hyperlink" Target="https://statiz.sporki.com/player/?m=playerinfo&amp;p_no=10596" TargetMode="External"/><Relationship Id="rId753" Type="http://schemas.openxmlformats.org/officeDocument/2006/relationships/hyperlink" Target="https://statiz.sporki.com/add/?m=draft_school02&amp;ps_school=" TargetMode="External"/><Relationship Id="rId2434" Type="http://schemas.openxmlformats.org/officeDocument/2006/relationships/hyperlink" Target="https://statiz.sporki.com/player/?m=playerinfo&amp;p_no=13160" TargetMode="External"/><Relationship Id="rId9047" Type="http://schemas.openxmlformats.org/officeDocument/2006/relationships/hyperlink" Target="https://statiz.sporki.com/add/?m=draft_school01&amp;ps_school=50114" TargetMode="External"/><Relationship Id="rId12028" Type="http://schemas.openxmlformats.org/officeDocument/2006/relationships/hyperlink" Target="https://statiz.sporki.com/player/?m=playerinfo&amp;p_no=1039" TargetMode="External"/><Relationship Id="rId12375" Type="http://schemas.openxmlformats.org/officeDocument/2006/relationships/hyperlink" Target="https://statiz.sporki.com/player/?m=playerinfo&amp;p_no=15106" TargetMode="External"/><Relationship Id="rId406" Type="http://schemas.openxmlformats.org/officeDocument/2006/relationships/hyperlink" Target="https://statiz.sporki.com/player/?m=playerinfo&amp;p_no=15620" TargetMode="External"/><Relationship Id="rId15598" Type="http://schemas.openxmlformats.org/officeDocument/2006/relationships/hyperlink" Target="https://statiz.sporki.com/player/?m=playerinfo&amp;p_no=1696" TargetMode="External"/><Relationship Id="rId5657" Type="http://schemas.openxmlformats.org/officeDocument/2006/relationships/hyperlink" Target="https://statiz.sporki.com/add/?m=draft_school01&amp;ps_school=" TargetMode="External"/><Relationship Id="rId18071" Type="http://schemas.openxmlformats.org/officeDocument/2006/relationships/hyperlink" Target="https://statiz.sporki.com/add/?m=draft_school01&amp;ps_school=50104" TargetMode="External"/><Relationship Id="rId8130" Type="http://schemas.openxmlformats.org/officeDocument/2006/relationships/hyperlink" Target="https://statiz.sporki.com/add/?m=draft_school02&amp;ps_school=60104" TargetMode="External"/><Relationship Id="rId11111" Type="http://schemas.openxmlformats.org/officeDocument/2006/relationships/hyperlink" Target="https://statiz.sporki.com/add/?m=draft_school01&amp;ps_school=50402" TargetMode="External"/><Relationship Id="rId14681" Type="http://schemas.openxmlformats.org/officeDocument/2006/relationships/hyperlink" Target="https://statiz.sporki.com/player/?m=playerinfo&amp;p_no=10028" TargetMode="External"/><Relationship Id="rId4740" Type="http://schemas.openxmlformats.org/officeDocument/2006/relationships/hyperlink" Target="https://statiz.sporki.com/add/?m=draft_school02&amp;ps_school=" TargetMode="External"/><Relationship Id="rId14334" Type="http://schemas.openxmlformats.org/officeDocument/2006/relationships/hyperlink" Target="https://statiz.sporki.com/player/?m=playerinfo&amp;p_no=10281" TargetMode="External"/><Relationship Id="rId2291" Type="http://schemas.openxmlformats.org/officeDocument/2006/relationships/hyperlink" Target="https://statiz.sporki.com/add/?m=draft_school01&amp;ps_school=50601" TargetMode="External"/><Relationship Id="rId263" Type="http://schemas.openxmlformats.org/officeDocument/2006/relationships/hyperlink" Target="https://statiz.sporki.com/add/?m=draft_school01&amp;ps_school=50208" TargetMode="External"/><Relationship Id="rId7963" Type="http://schemas.openxmlformats.org/officeDocument/2006/relationships/hyperlink" Target="https://statiz.sporki.com/player/?m=playerinfo&amp;p_no=2120" TargetMode="External"/><Relationship Id="rId10944" Type="http://schemas.openxmlformats.org/officeDocument/2006/relationships/hyperlink" Target="https://statiz.sporki.com/add/?m=draft_school02&amp;ps_school=" TargetMode="External"/><Relationship Id="rId17557" Type="http://schemas.openxmlformats.org/officeDocument/2006/relationships/hyperlink" Target="https://statiz.sporki.com/add/?m=draft_school01&amp;ps_school=50102" TargetMode="External"/><Relationship Id="rId5167" Type="http://schemas.openxmlformats.org/officeDocument/2006/relationships/hyperlink" Target="https://statiz.sporki.com/player/?m=playerinfo&amp;p_no=10733" TargetMode="External"/><Relationship Id="rId7616" Type="http://schemas.openxmlformats.org/officeDocument/2006/relationships/hyperlink" Target="https://statiz.sporki.com/add/?m=draft_school01&amp;ps_school=50902" TargetMode="External"/><Relationship Id="rId16640" Type="http://schemas.openxmlformats.org/officeDocument/2006/relationships/hyperlink" Target="https://statiz.sporki.com/add/?m=draft_school01&amp;ps_school=50703" TargetMode="External"/><Relationship Id="rId1777" Type="http://schemas.openxmlformats.org/officeDocument/2006/relationships/hyperlink" Target="https://statiz.sporki.com/player/?m=playerinfo&amp;p_no=14729" TargetMode="External"/><Relationship Id="rId14191" Type="http://schemas.openxmlformats.org/officeDocument/2006/relationships/hyperlink" Target="https://statiz.sporki.com/player/?m=playerinfo&amp;p_no=10008" TargetMode="External"/><Relationship Id="rId4250" Type="http://schemas.openxmlformats.org/officeDocument/2006/relationships/hyperlink" Target="https://statiz.sporki.com/add/?m=draft_school01&amp;ps_school=50604" TargetMode="External"/><Relationship Id="rId9922" Type="http://schemas.openxmlformats.org/officeDocument/2006/relationships/hyperlink" Target="https://statiz.sporki.com/player/?m=playerinfo&amp;p_no=1731" TargetMode="External"/><Relationship Id="rId19516" Type="http://schemas.openxmlformats.org/officeDocument/2006/relationships/hyperlink" Target="https://statiz.sporki.com/add/?m=draft_school01&amp;ps_school=50807" TargetMode="External"/><Relationship Id="rId7473" Type="http://schemas.openxmlformats.org/officeDocument/2006/relationships/hyperlink" Target="https://statiz.sporki.com/add/?m=draft_school02&amp;ps_school=60103" TargetMode="External"/><Relationship Id="rId12903" Type="http://schemas.openxmlformats.org/officeDocument/2006/relationships/hyperlink" Target="https://statiz.sporki.com/player/?m=playerinfo&amp;p_no=14206" TargetMode="External"/><Relationship Id="rId17067" Type="http://schemas.openxmlformats.org/officeDocument/2006/relationships/hyperlink" Target="https://statiz.sporki.com/add/?m=draft_school01&amp;ps_school=50106" TargetMode="External"/><Relationship Id="rId7126" Type="http://schemas.openxmlformats.org/officeDocument/2006/relationships/hyperlink" Target="https://statiz.sporki.com/player/?m=playerinfo&amp;p_no=10486" TargetMode="External"/><Relationship Id="rId10454" Type="http://schemas.openxmlformats.org/officeDocument/2006/relationships/hyperlink" Target="https://statiz.sporki.com/add/?m=draft_school01&amp;ps_school=50121" TargetMode="External"/><Relationship Id="rId10107" Type="http://schemas.openxmlformats.org/officeDocument/2006/relationships/hyperlink" Target="https://statiz.sporki.com/add/?m=draft_school02&amp;ps_school=60108" TargetMode="External"/><Relationship Id="rId13677" Type="http://schemas.openxmlformats.org/officeDocument/2006/relationships/hyperlink" Target="https://statiz.sporki.com/player/?m=playerinfo&amp;p_no=11091" TargetMode="External"/><Relationship Id="rId1287" Type="http://schemas.openxmlformats.org/officeDocument/2006/relationships/hyperlink" Target="https://statiz.sporki.com/add/?m=draft_school02&amp;ps_school=" TargetMode="External"/><Relationship Id="rId3736" Type="http://schemas.openxmlformats.org/officeDocument/2006/relationships/hyperlink" Target="https://statiz.sporki.com/player/?m=playerinfo&amp;p_no=11414" TargetMode="External"/><Relationship Id="rId16150" Type="http://schemas.openxmlformats.org/officeDocument/2006/relationships/hyperlink" Target="https://statiz.sporki.com/player/?m=playerinfo&amp;p_no=1043" TargetMode="External"/><Relationship Id="rId6959" Type="http://schemas.openxmlformats.org/officeDocument/2006/relationships/hyperlink" Target="https://statiz.sporki.com/add/?m=draft_school01&amp;ps_school=50804" TargetMode="External"/><Relationship Id="rId12760" Type="http://schemas.openxmlformats.org/officeDocument/2006/relationships/hyperlink" Target="https://statiz.sporki.com/player/?m=playerinfo&amp;p_no=14188" TargetMode="External"/><Relationship Id="rId19373" Type="http://schemas.openxmlformats.org/officeDocument/2006/relationships/hyperlink" Target="https://statiz.sporki.com/add/?m=draft_school01&amp;ps_school=50402" TargetMode="External"/><Relationship Id="rId9432" Type="http://schemas.openxmlformats.org/officeDocument/2006/relationships/hyperlink" Target="https://statiz.sporki.com/add/?m=draft_school02&amp;ps_school=60103" TargetMode="External"/><Relationship Id="rId12413" Type="http://schemas.openxmlformats.org/officeDocument/2006/relationships/hyperlink" Target="https://statiz.sporki.com/player/?m=playerinfo&amp;p_no=14997" TargetMode="External"/><Relationship Id="rId19026" Type="http://schemas.openxmlformats.org/officeDocument/2006/relationships/hyperlink" Target="https://statiz.sporki.com/add/?m=draft_school01&amp;ps_school=50608" TargetMode="External"/><Relationship Id="rId15983" Type="http://schemas.openxmlformats.org/officeDocument/2006/relationships/hyperlink" Target="https://statiz.sporki.com/player/?m=playerinfo&amp;p_no=1216" TargetMode="External"/><Relationship Id="rId3593" Type="http://schemas.openxmlformats.org/officeDocument/2006/relationships/hyperlink" Target="https://statiz.sporki.com/add/?m=draft_school01&amp;ps_school=50804" TargetMode="External"/><Relationship Id="rId13187" Type="http://schemas.openxmlformats.org/officeDocument/2006/relationships/hyperlink" Target="https://statiz.sporki.com/player/?m=playerinfo&amp;p_no=13270" TargetMode="External"/><Relationship Id="rId15636" Type="http://schemas.openxmlformats.org/officeDocument/2006/relationships/hyperlink" Target="https://statiz.sporki.com/player/?m=playerinfo&amp;p_no=1553" TargetMode="External"/><Relationship Id="rId3246" Type="http://schemas.openxmlformats.org/officeDocument/2006/relationships/hyperlink" Target="https://statiz.sporki.com/add/?m=draft_school02&amp;ps_school=60101" TargetMode="External"/><Relationship Id="rId18859" Type="http://schemas.openxmlformats.org/officeDocument/2006/relationships/hyperlink" Target="https://statiz.sporki.com/add/?m=draft_school01&amp;ps_school=50604" TargetMode="External"/><Relationship Id="rId8918" Type="http://schemas.openxmlformats.org/officeDocument/2006/relationships/hyperlink" Target="https://statiz.sporki.com/add/?m=draft_school01&amp;ps_school=50602" TargetMode="External"/><Relationship Id="rId6469" Type="http://schemas.openxmlformats.org/officeDocument/2006/relationships/hyperlink" Target="https://statiz.sporki.com/player/?m=playerinfo&amp;p_no=2404" TargetMode="External"/><Relationship Id="rId12270" Type="http://schemas.openxmlformats.org/officeDocument/2006/relationships/hyperlink" Target="https://statiz.sporki.com/player/?m=playerinfo&amp;p_no=15647" TargetMode="External"/><Relationship Id="rId17942" Type="http://schemas.openxmlformats.org/officeDocument/2006/relationships/hyperlink" Target="https://statiz.sporki.com/add/?m=draft_school01&amp;ps_school=50204" TargetMode="External"/><Relationship Id="rId15493" Type="http://schemas.openxmlformats.org/officeDocument/2006/relationships/hyperlink" Target="https://statiz.sporki.com/player/?m=playerinfo&amp;p_no=11436" TargetMode="External"/><Relationship Id="rId301" Type="http://schemas.openxmlformats.org/officeDocument/2006/relationships/hyperlink" Target="https://statiz.sporki.com/player/?m=playerinfo&amp;p_no=15449" TargetMode="External"/><Relationship Id="rId5552" Type="http://schemas.openxmlformats.org/officeDocument/2006/relationships/hyperlink" Target="https://statiz.sporki.com/add/?m=draft_school01&amp;ps_school=50701" TargetMode="External"/><Relationship Id="rId15146" Type="http://schemas.openxmlformats.org/officeDocument/2006/relationships/hyperlink" Target="https://statiz.sporki.com/player/?m=playerinfo&amp;p_no=10039" TargetMode="External"/><Relationship Id="rId5205" Type="http://schemas.openxmlformats.org/officeDocument/2006/relationships/hyperlink" Target="https://statiz.sporki.com/add/?m=draft_school02&amp;ps_school=" TargetMode="External"/><Relationship Id="rId8775" Type="http://schemas.openxmlformats.org/officeDocument/2006/relationships/hyperlink" Target="https://statiz.sporki.com/add/?m=draft_school02&amp;ps_school=60103" TargetMode="External"/><Relationship Id="rId18369" Type="http://schemas.openxmlformats.org/officeDocument/2006/relationships/hyperlink" Target="https://statiz.sporki.com/add/?m=draft_school01&amp;ps_school=50802" TargetMode="External"/><Relationship Id="rId8428" Type="http://schemas.openxmlformats.org/officeDocument/2006/relationships/hyperlink" Target="https://statiz.sporki.com/player/?m=playerinfo&amp;p_no=2233" TargetMode="External"/><Relationship Id="rId11756" Type="http://schemas.openxmlformats.org/officeDocument/2006/relationships/hyperlink" Target="https://statiz.sporki.com/add/?m=draft_school01&amp;ps_school=50116" TargetMode="External"/><Relationship Id="rId1815" Type="http://schemas.openxmlformats.org/officeDocument/2006/relationships/hyperlink" Target="https://statiz.sporki.com/add/?m=draft_school02&amp;ps_school=60113" TargetMode="External"/><Relationship Id="rId11409" Type="http://schemas.openxmlformats.org/officeDocument/2006/relationships/hyperlink" Target="https://statiz.sporki.com/add/?m=draft_school02&amp;ps_school=60803" TargetMode="External"/><Relationship Id="rId14979" Type="http://schemas.openxmlformats.org/officeDocument/2006/relationships/hyperlink" Target="https://statiz.sporki.com/player/?m=playerinfo&amp;p_no=10766" TargetMode="External"/><Relationship Id="rId17452" Type="http://schemas.openxmlformats.org/officeDocument/2006/relationships/hyperlink" Target="https://statiz.sporki.com/add/?m=draft_school01&amp;ps_school=50207" TargetMode="External"/><Relationship Id="rId2589" Type="http://schemas.openxmlformats.org/officeDocument/2006/relationships/hyperlink" Target="https://statiz.sporki.com/add/?m=draft_school02&amp;ps_school=" TargetMode="External"/><Relationship Id="rId7511" Type="http://schemas.openxmlformats.org/officeDocument/2006/relationships/hyperlink" Target="https://statiz.sporki.com/add/?m=draft_school01&amp;ps_school=" TargetMode="External"/><Relationship Id="rId17105" Type="http://schemas.openxmlformats.org/officeDocument/2006/relationships/hyperlink" Target="https://statiz.sporki.com/add/?m=draft_school01&amp;ps_school=50403" TargetMode="External"/><Relationship Id="rId5062" Type="http://schemas.openxmlformats.org/officeDocument/2006/relationships/hyperlink" Target="https://statiz.sporki.com/player/?m=playerinfo&amp;p_no=10880" TargetMode="External"/><Relationship Id="rId1672" Type="http://schemas.openxmlformats.org/officeDocument/2006/relationships/hyperlink" Target="https://statiz.sporki.com/player/?m=playerinfo&amp;p_no=14664" TargetMode="External"/><Relationship Id="rId8285" Type="http://schemas.openxmlformats.org/officeDocument/2006/relationships/hyperlink" Target="https://statiz.sporki.com/add/?m=draft_school01&amp;ps_school=50105" TargetMode="External"/><Relationship Id="rId11266" Type="http://schemas.openxmlformats.org/officeDocument/2006/relationships/hyperlink" Target="https://statiz.sporki.com/player/?m=playerinfo&amp;p_no=1328" TargetMode="External"/><Relationship Id="rId13715" Type="http://schemas.openxmlformats.org/officeDocument/2006/relationships/hyperlink" Target="https://statiz.sporki.com/player/?m=playerinfo&amp;p_no=11251" TargetMode="External"/><Relationship Id="rId1325" Type="http://schemas.openxmlformats.org/officeDocument/2006/relationships/hyperlink" Target="https://statiz.sporki.com/add/?m=draft_school01&amp;ps_school=" TargetMode="External"/><Relationship Id="rId16938" Type="http://schemas.openxmlformats.org/officeDocument/2006/relationships/hyperlink" Target="https://statiz.sporki.com/add/?m=draft_school01&amp;ps_school=50106" TargetMode="External"/><Relationship Id="rId4895" Type="http://schemas.openxmlformats.org/officeDocument/2006/relationships/hyperlink" Target="https://statiz.sporki.com/add/?m=draft_school01&amp;ps_school=50501" TargetMode="External"/><Relationship Id="rId14489" Type="http://schemas.openxmlformats.org/officeDocument/2006/relationships/hyperlink" Target="https://statiz.sporki.com/player/?m=playerinfo&amp;p_no=11132" TargetMode="External"/><Relationship Id="rId19411" Type="http://schemas.openxmlformats.org/officeDocument/2006/relationships/hyperlink" Target="https://statiz.sporki.com/add/?m=draft_school01&amp;ps_school=50609" TargetMode="External"/><Relationship Id="rId31" Type="http://schemas.openxmlformats.org/officeDocument/2006/relationships/hyperlink" Target="https://statiz.sporki.com/player/?m=playerinfo&amp;p_no=15422" TargetMode="External"/><Relationship Id="rId2099" Type="http://schemas.openxmlformats.org/officeDocument/2006/relationships/hyperlink" Target="https://statiz.sporki.com/add/?m=draft_school01&amp;ps_school=50210" TargetMode="External"/><Relationship Id="rId4548" Type="http://schemas.openxmlformats.org/officeDocument/2006/relationships/hyperlink" Target="https://statiz.sporki.com/add/?m=draft_school02&amp;ps_school=" TargetMode="External"/><Relationship Id="rId7021" Type="http://schemas.openxmlformats.org/officeDocument/2006/relationships/hyperlink" Target="https://statiz.sporki.com/player/?m=playerinfo&amp;p_no=10786" TargetMode="External"/><Relationship Id="rId10002" Type="http://schemas.openxmlformats.org/officeDocument/2006/relationships/hyperlink" Target="https://statiz.sporki.com/add/?m=draft_school02&amp;ps_school=60802" TargetMode="External"/><Relationship Id="rId13572" Type="http://schemas.openxmlformats.org/officeDocument/2006/relationships/hyperlink" Target="https://statiz.sporki.com/player/?m=playerinfo&amp;p_no=13241" TargetMode="External"/><Relationship Id="rId3631" Type="http://schemas.openxmlformats.org/officeDocument/2006/relationships/hyperlink" Target="https://statiz.sporki.com/player/?m=playerinfo&amp;p_no=11388" TargetMode="External"/><Relationship Id="rId13225" Type="http://schemas.openxmlformats.org/officeDocument/2006/relationships/hyperlink" Target="https://statiz.sporki.com/player/?m=playerinfo&amp;p_no=12613" TargetMode="External"/><Relationship Id="rId1182" Type="http://schemas.openxmlformats.org/officeDocument/2006/relationships/hyperlink" Target="https://statiz.sporki.com/add/?m=draft_school02&amp;ps_school=" TargetMode="External"/><Relationship Id="rId6854" Type="http://schemas.openxmlformats.org/officeDocument/2006/relationships/hyperlink" Target="https://statiz.sporki.com/add/?m=draft_school01&amp;ps_school=" TargetMode="External"/><Relationship Id="rId16448" Type="http://schemas.openxmlformats.org/officeDocument/2006/relationships/hyperlink" Target="https://statiz.sporki.com/add/?m=draft_school01&amp;ps_school=50601" TargetMode="External"/><Relationship Id="rId16795" Type="http://schemas.openxmlformats.org/officeDocument/2006/relationships/hyperlink" Target="https://statiz.sporki.com/add/?m=draft_school01&amp;ps_school=50701" TargetMode="External"/><Relationship Id="rId6507" Type="http://schemas.openxmlformats.org/officeDocument/2006/relationships/hyperlink" Target="https://statiz.sporki.com/add/?m=draft_school02&amp;ps_school=" TargetMode="External"/><Relationship Id="rId4058" Type="http://schemas.openxmlformats.org/officeDocument/2006/relationships/hyperlink" Target="https://statiz.sporki.com/add/?m=draft_school01&amp;ps_school=50101" TargetMode="External"/><Relationship Id="rId15531" Type="http://schemas.openxmlformats.org/officeDocument/2006/relationships/hyperlink" Target="https://statiz.sporki.com/player/?m=playerinfo&amp;p_no=1578" TargetMode="External"/><Relationship Id="rId13082" Type="http://schemas.openxmlformats.org/officeDocument/2006/relationships/hyperlink" Target="https://statiz.sporki.com/player/?m=playerinfo&amp;p_no=12931" TargetMode="External"/><Relationship Id="rId18754" Type="http://schemas.openxmlformats.org/officeDocument/2006/relationships/hyperlink" Target="https://statiz.sporki.com/add/?m=draft_school01&amp;ps_school=50209" TargetMode="External"/><Relationship Id="rId3141" Type="http://schemas.openxmlformats.org/officeDocument/2006/relationships/hyperlink" Target="https://statiz.sporki.com/add/?m=draft_school02&amp;ps_school=60101" TargetMode="External"/><Relationship Id="rId8813" Type="http://schemas.openxmlformats.org/officeDocument/2006/relationships/hyperlink" Target="https://statiz.sporki.com/add/?m=draft_school01&amp;ps_school=" TargetMode="External"/><Relationship Id="rId18407" Type="http://schemas.openxmlformats.org/officeDocument/2006/relationships/hyperlink" Target="https://statiz.sporki.com/add/?m=draft_school01&amp;ps_school=50106" TargetMode="External"/><Relationship Id="rId6364" Type="http://schemas.openxmlformats.org/officeDocument/2006/relationships/hyperlink" Target="https://statiz.sporki.com/player/?m=playerinfo&amp;p_no=10547" TargetMode="External"/><Relationship Id="rId6017" Type="http://schemas.openxmlformats.org/officeDocument/2006/relationships/hyperlink" Target="https://statiz.sporki.com/add/?m=draft_school01&amp;ps_school=50501" TargetMode="External"/><Relationship Id="rId9587" Type="http://schemas.openxmlformats.org/officeDocument/2006/relationships/hyperlink" Target="https://statiz.sporki.com/add/?m=draft_school01&amp;ps_school=50602" TargetMode="External"/><Relationship Id="rId2974" Type="http://schemas.openxmlformats.org/officeDocument/2006/relationships/hyperlink" Target="https://statiz.sporki.com/player/?m=playerinfo&amp;p_no=12886" TargetMode="External"/><Relationship Id="rId12568" Type="http://schemas.openxmlformats.org/officeDocument/2006/relationships/hyperlink" Target="https://statiz.sporki.com/player/?m=playerinfo&amp;p_no=14874" TargetMode="External"/><Relationship Id="rId946" Type="http://schemas.openxmlformats.org/officeDocument/2006/relationships/hyperlink" Target="https://statiz.sporki.com/player/?m=playerinfo&amp;p_no=15139" TargetMode="External"/><Relationship Id="rId2627" Type="http://schemas.openxmlformats.org/officeDocument/2006/relationships/hyperlink" Target="https://statiz.sporki.com/add/?m=draft_school01&amp;ps_school=" TargetMode="External"/><Relationship Id="rId5100" Type="http://schemas.openxmlformats.org/officeDocument/2006/relationships/hyperlink" Target="https://statiz.sporki.com/add/?m=draft_school02&amp;ps_school=" TargetMode="External"/><Relationship Id="rId15041" Type="http://schemas.openxmlformats.org/officeDocument/2006/relationships/hyperlink" Target="https://statiz.sporki.com/player/?m=playerinfo&amp;p_no=2181" TargetMode="External"/><Relationship Id="rId8670" Type="http://schemas.openxmlformats.org/officeDocument/2006/relationships/hyperlink" Target="https://statiz.sporki.com/add/?m=draft_school02&amp;ps_school=60802" TargetMode="External"/><Relationship Id="rId11651" Type="http://schemas.openxmlformats.org/officeDocument/2006/relationships/hyperlink" Target="https://statiz.sporki.com/add/?m=draft_school01&amp;ps_school=50711" TargetMode="External"/><Relationship Id="rId18264" Type="http://schemas.openxmlformats.org/officeDocument/2006/relationships/hyperlink" Target="https://statiz.sporki.com/add/?m=draft_school01&amp;ps_school=50109" TargetMode="External"/><Relationship Id="rId1710" Type="http://schemas.openxmlformats.org/officeDocument/2006/relationships/hyperlink" Target="https://statiz.sporki.com/add/?m=draft_school02&amp;ps_school=" TargetMode="External"/><Relationship Id="rId8323" Type="http://schemas.openxmlformats.org/officeDocument/2006/relationships/hyperlink" Target="https://statiz.sporki.com/player/?m=playerinfo&amp;p_no=10542" TargetMode="External"/><Relationship Id="rId11304" Type="http://schemas.openxmlformats.org/officeDocument/2006/relationships/hyperlink" Target="https://statiz.sporki.com/add/?m=draft_school02&amp;ps_school=" TargetMode="External"/><Relationship Id="rId4933" Type="http://schemas.openxmlformats.org/officeDocument/2006/relationships/hyperlink" Target="https://statiz.sporki.com/player/?m=playerinfo&amp;p_no=10904" TargetMode="External"/><Relationship Id="rId14527" Type="http://schemas.openxmlformats.org/officeDocument/2006/relationships/hyperlink" Target="https://statiz.sporki.com/player/?m=playerinfo&amp;p_no=10092" TargetMode="External"/><Relationship Id="rId14874" Type="http://schemas.openxmlformats.org/officeDocument/2006/relationships/hyperlink" Target="https://statiz.sporki.com/player/?m=playerinfo&amp;p_no=10573" TargetMode="External"/><Relationship Id="rId2484" Type="http://schemas.openxmlformats.org/officeDocument/2006/relationships/hyperlink" Target="https://statiz.sporki.com/add/?m=draft_school02&amp;ps_school=" TargetMode="External"/><Relationship Id="rId9097" Type="http://schemas.openxmlformats.org/officeDocument/2006/relationships/hyperlink" Target="https://statiz.sporki.com/player/?m=playerinfo&amp;p_no=10593" TargetMode="External"/><Relationship Id="rId12078" Type="http://schemas.openxmlformats.org/officeDocument/2006/relationships/hyperlink" Target="https://statiz.sporki.com/add/?m=draft_school02&amp;ps_school=" TargetMode="External"/><Relationship Id="rId17000" Type="http://schemas.openxmlformats.org/officeDocument/2006/relationships/hyperlink" Target="https://statiz.sporki.com/add/?m=draft_school01&amp;ps_school=50702" TargetMode="External"/><Relationship Id="rId456" Type="http://schemas.openxmlformats.org/officeDocument/2006/relationships/hyperlink" Target="https://statiz.sporki.com/add/?m=draft_school02&amp;ps_school=60805" TargetMode="External"/><Relationship Id="rId2137" Type="http://schemas.openxmlformats.org/officeDocument/2006/relationships/hyperlink" Target="https://statiz.sporki.com/player/?m=playerinfo&amp;p_no=14122" TargetMode="External"/><Relationship Id="rId109" Type="http://schemas.openxmlformats.org/officeDocument/2006/relationships/hyperlink" Target="https://statiz.sporki.com/player/?m=playerinfo&amp;p_no=15487" TargetMode="External"/><Relationship Id="rId7809" Type="http://schemas.openxmlformats.org/officeDocument/2006/relationships/hyperlink" Target="https://statiz.sporki.com/add/?m=draft_school02&amp;ps_school=" TargetMode="External"/><Relationship Id="rId8180" Type="http://schemas.openxmlformats.org/officeDocument/2006/relationships/hyperlink" Target="https://statiz.sporki.com/add/?m=draft_school01&amp;ps_school=50402" TargetMode="External"/><Relationship Id="rId13610" Type="http://schemas.openxmlformats.org/officeDocument/2006/relationships/hyperlink" Target="https://statiz.sporki.com/player/?m=playerinfo&amp;p_no=12943" TargetMode="External"/><Relationship Id="rId11161" Type="http://schemas.openxmlformats.org/officeDocument/2006/relationships/hyperlink" Target="https://statiz.sporki.com/player/?m=playerinfo&amp;p_no=1327" TargetMode="External"/><Relationship Id="rId16833" Type="http://schemas.openxmlformats.org/officeDocument/2006/relationships/hyperlink" Target="https://statiz.sporki.com/add/?m=draft_school01&amp;ps_school=50403" TargetMode="External"/><Relationship Id="rId1220" Type="http://schemas.openxmlformats.org/officeDocument/2006/relationships/hyperlink" Target="https://statiz.sporki.com/add/?m=draft_school01&amp;ps_school=50301" TargetMode="External"/><Relationship Id="rId4790" Type="http://schemas.openxmlformats.org/officeDocument/2006/relationships/hyperlink" Target="https://statiz.sporki.com/add/?m=draft_school01&amp;ps_school=50604" TargetMode="External"/><Relationship Id="rId14384" Type="http://schemas.openxmlformats.org/officeDocument/2006/relationships/hyperlink" Target="https://statiz.sporki.com/player/?m=playerinfo&amp;p_no=10061" TargetMode="External"/><Relationship Id="rId4443" Type="http://schemas.openxmlformats.org/officeDocument/2006/relationships/hyperlink" Target="https://statiz.sporki.com/add/?m=draft_school02&amp;ps_school=" TargetMode="External"/><Relationship Id="rId14037" Type="http://schemas.openxmlformats.org/officeDocument/2006/relationships/hyperlink" Target="https://statiz.sporki.com/player/?m=playerinfo&amp;p_no=2435" TargetMode="External"/><Relationship Id="rId7666" Type="http://schemas.openxmlformats.org/officeDocument/2006/relationships/hyperlink" Target="https://statiz.sporki.com/player/?m=playerinfo&amp;p_no=10389" TargetMode="External"/><Relationship Id="rId10994" Type="http://schemas.openxmlformats.org/officeDocument/2006/relationships/hyperlink" Target="https://statiz.sporki.com/add/?m=draft_school01&amp;ps_school=50703" TargetMode="External"/><Relationship Id="rId7319" Type="http://schemas.openxmlformats.org/officeDocument/2006/relationships/hyperlink" Target="https://statiz.sporki.com/add/?m=draft_school01&amp;ps_school=50706" TargetMode="External"/><Relationship Id="rId10647" Type="http://schemas.openxmlformats.org/officeDocument/2006/relationships/hyperlink" Target="https://statiz.sporki.com/add/?m=draft_school02&amp;ps_school=" TargetMode="External"/><Relationship Id="rId13120" Type="http://schemas.openxmlformats.org/officeDocument/2006/relationships/hyperlink" Target="https://statiz.sporki.com/player/?m=playerinfo&amp;p_no=12858" TargetMode="External"/><Relationship Id="rId16690" Type="http://schemas.openxmlformats.org/officeDocument/2006/relationships/hyperlink" Target="https://statiz.sporki.com/add/?m=draft_school01&amp;ps_school=50605" TargetMode="External"/><Relationship Id="rId3929" Type="http://schemas.openxmlformats.org/officeDocument/2006/relationships/hyperlink" Target="https://statiz.sporki.com/add/?m=draft_school01&amp;ps_school=" TargetMode="External"/><Relationship Id="rId16343" Type="http://schemas.openxmlformats.org/officeDocument/2006/relationships/hyperlink" Target="https://statiz.sporki.com/add/?m=draft_school01&amp;ps_school=50602" TargetMode="External"/><Relationship Id="rId6402" Type="http://schemas.openxmlformats.org/officeDocument/2006/relationships/hyperlink" Target="https://statiz.sporki.com/add/?m=draft_school02&amp;ps_school=" TargetMode="External"/><Relationship Id="rId9972" Type="http://schemas.openxmlformats.org/officeDocument/2006/relationships/hyperlink" Target="https://statiz.sporki.com/add/?m=draft_school02&amp;ps_school=" TargetMode="External"/><Relationship Id="rId19566" Type="http://schemas.openxmlformats.org/officeDocument/2006/relationships/hyperlink" Target="https://statiz.sporki.com/add/?m=draft_school01&amp;ps_school=50102" TargetMode="External"/><Relationship Id="rId9625" Type="http://schemas.openxmlformats.org/officeDocument/2006/relationships/hyperlink" Target="https://statiz.sporki.com/player/?m=playerinfo&amp;p_no=1729" TargetMode="External"/><Relationship Id="rId12606" Type="http://schemas.openxmlformats.org/officeDocument/2006/relationships/hyperlink" Target="https://statiz.sporki.com/player/?m=playerinfo&amp;p_no=14581" TargetMode="External"/><Relationship Id="rId12953" Type="http://schemas.openxmlformats.org/officeDocument/2006/relationships/hyperlink" Target="https://statiz.sporki.com/player/?m=playerinfo&amp;p_no=13160" TargetMode="External"/><Relationship Id="rId19219" Type="http://schemas.openxmlformats.org/officeDocument/2006/relationships/hyperlink" Target="https://statiz.sporki.com/add/?m=draft_school01&amp;ps_school=50604" TargetMode="External"/><Relationship Id="rId7176" Type="http://schemas.openxmlformats.org/officeDocument/2006/relationships/hyperlink" Target="https://statiz.sporki.com/add/?m=draft_school02&amp;ps_school=60705" TargetMode="External"/><Relationship Id="rId10157" Type="http://schemas.openxmlformats.org/officeDocument/2006/relationships/hyperlink" Target="https://statiz.sporki.com/add/?m=draft_school01&amp;ps_school=50703" TargetMode="External"/><Relationship Id="rId3786" Type="http://schemas.openxmlformats.org/officeDocument/2006/relationships/hyperlink" Target="https://statiz.sporki.com/add/?m=draft_school02&amp;ps_school=60803" TargetMode="External"/><Relationship Id="rId15829" Type="http://schemas.openxmlformats.org/officeDocument/2006/relationships/hyperlink" Target="https://statiz.sporki.com/player/?m=playerinfo&amp;p_no=13282" TargetMode="External"/><Relationship Id="rId3439" Type="http://schemas.openxmlformats.org/officeDocument/2006/relationships/hyperlink" Target="https://statiz.sporki.com/player/?m=playerinfo&amp;p_no=12598" TargetMode="External"/><Relationship Id="rId18302" Type="http://schemas.openxmlformats.org/officeDocument/2006/relationships/hyperlink" Target="https://statiz.sporki.com/add/?m=draft_school01&amp;ps_school=50402" TargetMode="External"/><Relationship Id="rId14912" Type="http://schemas.openxmlformats.org/officeDocument/2006/relationships/hyperlink" Target="https://statiz.sporki.com/player/?m=playerinfo&amp;p_no=2176" TargetMode="External"/><Relationship Id="rId9482" Type="http://schemas.openxmlformats.org/officeDocument/2006/relationships/hyperlink" Target="https://statiz.sporki.com/add/?m=draft_school01&amp;ps_school=50116" TargetMode="External"/><Relationship Id="rId12463" Type="http://schemas.openxmlformats.org/officeDocument/2006/relationships/hyperlink" Target="https://statiz.sporki.com/player/?m=playerinfo&amp;p_no=14780" TargetMode="External"/><Relationship Id="rId19076" Type="http://schemas.openxmlformats.org/officeDocument/2006/relationships/hyperlink" Target="https://statiz.sporki.com/add/?m=draft_school01&amp;ps_school=51100" TargetMode="External"/><Relationship Id="rId841" Type="http://schemas.openxmlformats.org/officeDocument/2006/relationships/hyperlink" Target="https://statiz.sporki.com/player/?m=playerinfo&amp;p_no=15006" TargetMode="External"/><Relationship Id="rId2522" Type="http://schemas.openxmlformats.org/officeDocument/2006/relationships/hyperlink" Target="https://statiz.sporki.com/add/?m=draft_school01&amp;ps_school=50101" TargetMode="External"/><Relationship Id="rId9135" Type="http://schemas.openxmlformats.org/officeDocument/2006/relationships/hyperlink" Target="https://statiz.sporki.com/add/?m=draft_school02&amp;ps_school=60109" TargetMode="External"/><Relationship Id="rId12116" Type="http://schemas.openxmlformats.org/officeDocument/2006/relationships/hyperlink" Target="https://statiz.sporki.com/add/?m=draft_school01&amp;ps_school=50501" TargetMode="External"/><Relationship Id="rId15686" Type="http://schemas.openxmlformats.org/officeDocument/2006/relationships/hyperlink" Target="https://statiz.sporki.com/player/?m=playerinfo&amp;p_no=1423" TargetMode="External"/><Relationship Id="rId5745" Type="http://schemas.openxmlformats.org/officeDocument/2006/relationships/hyperlink" Target="https://statiz.sporki.com/add/?m=draft_school02&amp;ps_school=" TargetMode="External"/><Relationship Id="rId15339" Type="http://schemas.openxmlformats.org/officeDocument/2006/relationships/hyperlink" Target="https://statiz.sporki.com/player/?m=playerinfo&amp;p_no=1737" TargetMode="External"/><Relationship Id="rId3296" Type="http://schemas.openxmlformats.org/officeDocument/2006/relationships/hyperlink" Target="https://statiz.sporki.com/add/?m=draft_school01&amp;ps_school=50602" TargetMode="External"/><Relationship Id="rId8968" Type="http://schemas.openxmlformats.org/officeDocument/2006/relationships/hyperlink" Target="https://statiz.sporki.com/player/?m=playerinfo&amp;p_no=2153" TargetMode="External"/><Relationship Id="rId11949" Type="http://schemas.openxmlformats.org/officeDocument/2006/relationships/hyperlink" Target="https://statiz.sporki.com/add/?m=draft_school02&amp;ps_school=60204" TargetMode="External"/><Relationship Id="rId14422" Type="http://schemas.openxmlformats.org/officeDocument/2006/relationships/hyperlink" Target="https://statiz.sporki.com/player/?m=playerinfo&amp;p_no=2369" TargetMode="External"/><Relationship Id="rId17992" Type="http://schemas.openxmlformats.org/officeDocument/2006/relationships/hyperlink" Target="https://statiz.sporki.com/add/?m=draft_school01&amp;ps_school=50110" TargetMode="External"/><Relationship Id="rId17645" Type="http://schemas.openxmlformats.org/officeDocument/2006/relationships/hyperlink" Target="https://statiz.sporki.com/add/?m=draft_school01&amp;ps_school=50605" TargetMode="External"/><Relationship Id="rId351" Type="http://schemas.openxmlformats.org/officeDocument/2006/relationships/hyperlink" Target="https://statiz.sporki.com/add/?m=draft_school02&amp;ps_school=" TargetMode="External"/><Relationship Id="rId2032" Type="http://schemas.openxmlformats.org/officeDocument/2006/relationships/hyperlink" Target="https://statiz.sporki.com/player/?m=playerinfo&amp;p_no=14140" TargetMode="External"/><Relationship Id="rId7704" Type="http://schemas.openxmlformats.org/officeDocument/2006/relationships/hyperlink" Target="https://statiz.sporki.com/add/?m=draft_school02&amp;ps_school=" TargetMode="External"/><Relationship Id="rId15196" Type="http://schemas.openxmlformats.org/officeDocument/2006/relationships/hyperlink" Target="https://statiz.sporki.com/player/?m=playerinfo&amp;p_no=1946" TargetMode="External"/><Relationship Id="rId5255" Type="http://schemas.openxmlformats.org/officeDocument/2006/relationships/hyperlink" Target="https://statiz.sporki.com/add/?m=draft_school01&amp;ps_school=50606" TargetMode="External"/><Relationship Id="rId1865" Type="http://schemas.openxmlformats.org/officeDocument/2006/relationships/hyperlink" Target="https://statiz.sporki.com/add/?m=draft_school01&amp;ps_school=50116" TargetMode="External"/><Relationship Id="rId8478" Type="http://schemas.openxmlformats.org/officeDocument/2006/relationships/hyperlink" Target="https://statiz.sporki.com/add/?m=draft_school02&amp;ps_school=" TargetMode="External"/><Relationship Id="rId13908" Type="http://schemas.openxmlformats.org/officeDocument/2006/relationships/hyperlink" Target="https://statiz.sporki.com/player/?m=playerinfo&amp;p_no=10764" TargetMode="External"/><Relationship Id="rId1518" Type="http://schemas.openxmlformats.org/officeDocument/2006/relationships/hyperlink" Target="https://statiz.sporki.com/add/?m=draft_school02&amp;ps_school=" TargetMode="External"/><Relationship Id="rId11459" Type="http://schemas.openxmlformats.org/officeDocument/2006/relationships/hyperlink" Target="https://statiz.sporki.com/add/?m=draft_school01&amp;ps_school=50802" TargetMode="External"/><Relationship Id="rId19604" Type="http://schemas.openxmlformats.org/officeDocument/2006/relationships/hyperlink" Target="https://statiz.sporki.com/add/?m=draft_school01&amp;ps_school=50812" TargetMode="External"/><Relationship Id="rId7561" Type="http://schemas.openxmlformats.org/officeDocument/2006/relationships/hyperlink" Target="https://statiz.sporki.com/player/?m=playerinfo&amp;p_no=10524" TargetMode="External"/><Relationship Id="rId10542" Type="http://schemas.openxmlformats.org/officeDocument/2006/relationships/hyperlink" Target="https://statiz.sporki.com/add/?m=draft_school02&amp;ps_school=60203" TargetMode="External"/><Relationship Id="rId17155" Type="http://schemas.openxmlformats.org/officeDocument/2006/relationships/hyperlink" Target="https://statiz.sporki.com/add/?m=draft_school01&amp;ps_school=50602" TargetMode="External"/><Relationship Id="rId7214" Type="http://schemas.openxmlformats.org/officeDocument/2006/relationships/hyperlink" Target="https://statiz.sporki.com/add/?m=draft_school01&amp;ps_school=50106" TargetMode="External"/><Relationship Id="rId13765" Type="http://schemas.openxmlformats.org/officeDocument/2006/relationships/hyperlink" Target="https://statiz.sporki.com/player/?m=playerinfo&amp;p_no=10867" TargetMode="External"/><Relationship Id="rId3824" Type="http://schemas.openxmlformats.org/officeDocument/2006/relationships/hyperlink" Target="https://statiz.sporki.com/add/?m=draft_school01&amp;ps_school=50113" TargetMode="External"/><Relationship Id="rId13418" Type="http://schemas.openxmlformats.org/officeDocument/2006/relationships/hyperlink" Target="https://statiz.sporki.com/player/?m=playerinfo&amp;p_no=13273" TargetMode="External"/><Relationship Id="rId1375" Type="http://schemas.openxmlformats.org/officeDocument/2006/relationships/hyperlink" Target="https://statiz.sporki.com/player/?m=playerinfo&amp;p_no=14879" TargetMode="External"/><Relationship Id="rId16988" Type="http://schemas.openxmlformats.org/officeDocument/2006/relationships/hyperlink" Target="https://statiz.sporki.com/add/?m=draft_school01&amp;ps_school=50111" TargetMode="External"/><Relationship Id="rId81" Type="http://schemas.openxmlformats.org/officeDocument/2006/relationships/hyperlink" Target="https://statiz.sporki.com/add/?m=draft_school02&amp;ps_school=" TargetMode="External"/><Relationship Id="rId1028" Type="http://schemas.openxmlformats.org/officeDocument/2006/relationships/hyperlink" Target="https://statiz.sporki.com/add/?m=draft_school01&amp;ps_school=50301" TargetMode="External"/><Relationship Id="rId4598" Type="http://schemas.openxmlformats.org/officeDocument/2006/relationships/hyperlink" Target="https://statiz.sporki.com/add/?m=draft_school01&amp;ps_school=50112" TargetMode="External"/><Relationship Id="rId9520" Type="http://schemas.openxmlformats.org/officeDocument/2006/relationships/hyperlink" Target="https://statiz.sporki.com/player/?m=playerinfo&amp;p_no=1817" TargetMode="External"/><Relationship Id="rId19114" Type="http://schemas.openxmlformats.org/officeDocument/2006/relationships/hyperlink" Target="https://statiz.sporki.com/add/?m=draft_school01&amp;ps_school=50608" TargetMode="External"/><Relationship Id="rId19461" Type="http://schemas.openxmlformats.org/officeDocument/2006/relationships/hyperlink" Target="https://statiz.sporki.com/add/?m=draft_school01&amp;ps_school=50403" TargetMode="External"/><Relationship Id="rId7071" Type="http://schemas.openxmlformats.org/officeDocument/2006/relationships/hyperlink" Target="https://statiz.sporki.com/add/?m=draft_school02&amp;ps_school=" TargetMode="External"/><Relationship Id="rId12501" Type="http://schemas.openxmlformats.org/officeDocument/2006/relationships/hyperlink" Target="https://statiz.sporki.com/player/?m=playerinfo&amp;p_no=14775" TargetMode="External"/><Relationship Id="rId10052" Type="http://schemas.openxmlformats.org/officeDocument/2006/relationships/hyperlink" Target="https://statiz.sporki.com/add/?m=draft_school01&amp;ps_school=50813" TargetMode="External"/><Relationship Id="rId15724" Type="http://schemas.openxmlformats.org/officeDocument/2006/relationships/hyperlink" Target="https://statiz.sporki.com/player/?m=playerinfo&amp;p_no=1434" TargetMode="External"/><Relationship Id="rId3681" Type="http://schemas.openxmlformats.org/officeDocument/2006/relationships/hyperlink" Target="https://statiz.sporki.com/add/?m=draft_school02&amp;ps_school=60101" TargetMode="External"/><Relationship Id="rId13275" Type="http://schemas.openxmlformats.org/officeDocument/2006/relationships/hyperlink" Target="https://statiz.sporki.com/player/?m=playerinfo&amp;p_no=12618" TargetMode="External"/><Relationship Id="rId18947" Type="http://schemas.openxmlformats.org/officeDocument/2006/relationships/hyperlink" Target="https://statiz.sporki.com/add/?m=draft_school01&amp;ps_school=50604" TargetMode="External"/><Relationship Id="rId3334" Type="http://schemas.openxmlformats.org/officeDocument/2006/relationships/hyperlink" Target="https://statiz.sporki.com/player/?m=playerinfo&amp;p_no=12553" TargetMode="External"/><Relationship Id="rId16498" Type="http://schemas.openxmlformats.org/officeDocument/2006/relationships/hyperlink" Target="https://statiz.sporki.com/add/?m=draft_school01&amp;ps_school=50301" TargetMode="External"/><Relationship Id="rId6557" Type="http://schemas.openxmlformats.org/officeDocument/2006/relationships/hyperlink" Target="https://statiz.sporki.com/add/?m=draft_school01&amp;ps_school=50104" TargetMode="External"/><Relationship Id="rId9030" Type="http://schemas.openxmlformats.org/officeDocument/2006/relationships/hyperlink" Target="https://statiz.sporki.com/add/?m=draft_school02&amp;ps_school=60101" TargetMode="External"/><Relationship Id="rId12011" Type="http://schemas.openxmlformats.org/officeDocument/2006/relationships/hyperlink" Target="https://statiz.sporki.com/add/?m=draft_school01&amp;ps_school=50107" TargetMode="External"/><Relationship Id="rId15581" Type="http://schemas.openxmlformats.org/officeDocument/2006/relationships/hyperlink" Target="https://statiz.sporki.com/player/?m=playerinfo&amp;p_no=1644" TargetMode="External"/><Relationship Id="rId3191" Type="http://schemas.openxmlformats.org/officeDocument/2006/relationships/hyperlink" Target="https://statiz.sporki.com/add/?m=draft_school01&amp;ps_school=50107" TargetMode="External"/><Relationship Id="rId5640" Type="http://schemas.openxmlformats.org/officeDocument/2006/relationships/hyperlink" Target="https://statiz.sporki.com/add/?m=draft_school02&amp;ps_school=" TargetMode="External"/><Relationship Id="rId15234" Type="http://schemas.openxmlformats.org/officeDocument/2006/relationships/hyperlink" Target="https://statiz.sporki.com/player/?m=playerinfo&amp;p_no=1889" TargetMode="External"/><Relationship Id="rId8863" Type="http://schemas.openxmlformats.org/officeDocument/2006/relationships/hyperlink" Target="https://statiz.sporki.com/player/?m=playerinfo&amp;p_no=1960" TargetMode="External"/><Relationship Id="rId11844" Type="http://schemas.openxmlformats.org/officeDocument/2006/relationships/hyperlink" Target="https://statiz.sporki.com/add/?m=draft_school02&amp;ps_school=60204" TargetMode="External"/><Relationship Id="rId18457" Type="http://schemas.openxmlformats.org/officeDocument/2006/relationships/hyperlink" Target="https://statiz.sporki.com/add/?m=draft_school01&amp;ps_school=50802" TargetMode="External"/><Relationship Id="rId1903" Type="http://schemas.openxmlformats.org/officeDocument/2006/relationships/hyperlink" Target="https://statiz.sporki.com/player/?m=playerinfo&amp;p_no=14125" TargetMode="External"/><Relationship Id="rId8516" Type="http://schemas.openxmlformats.org/officeDocument/2006/relationships/hyperlink" Target="https://statiz.sporki.com/add/?m=draft_school01&amp;ps_school=50116" TargetMode="External"/><Relationship Id="rId6067" Type="http://schemas.openxmlformats.org/officeDocument/2006/relationships/hyperlink" Target="https://statiz.sporki.com/player/?m=playerinfo&amp;p_no=10452" TargetMode="External"/><Relationship Id="rId996" Type="http://schemas.openxmlformats.org/officeDocument/2006/relationships/hyperlink" Target="https://statiz.sporki.com/add/?m=draft_school02&amp;ps_school=" TargetMode="External"/><Relationship Id="rId2677" Type="http://schemas.openxmlformats.org/officeDocument/2006/relationships/hyperlink" Target="https://statiz.sporki.com/player/?m=playerinfo&amp;p_no=13231" TargetMode="External"/><Relationship Id="rId15091" Type="http://schemas.openxmlformats.org/officeDocument/2006/relationships/hyperlink" Target="https://statiz.sporki.com/player/?m=playerinfo&amp;p_no=2001" TargetMode="External"/><Relationship Id="rId17540" Type="http://schemas.openxmlformats.org/officeDocument/2006/relationships/hyperlink" Target="https://statiz.sporki.com/add/?m=draft_school01&amp;ps_school=50202" TargetMode="External"/><Relationship Id="rId649" Type="http://schemas.openxmlformats.org/officeDocument/2006/relationships/hyperlink" Target="https://statiz.sporki.com/player/?m=playerinfo&amp;p_no=15072" TargetMode="External"/><Relationship Id="rId5150" Type="http://schemas.openxmlformats.org/officeDocument/2006/relationships/hyperlink" Target="https://statiz.sporki.com/add/?m=draft_school01&amp;ps_school=50103" TargetMode="External"/><Relationship Id="rId8373" Type="http://schemas.openxmlformats.org/officeDocument/2006/relationships/hyperlink" Target="https://statiz.sporki.com/add/?m=draft_school02&amp;ps_school=60108" TargetMode="External"/><Relationship Id="rId13803" Type="http://schemas.openxmlformats.org/officeDocument/2006/relationships/hyperlink" Target="https://statiz.sporki.com/player/?m=playerinfo&amp;p_no=10815" TargetMode="External"/><Relationship Id="rId1760" Type="http://schemas.openxmlformats.org/officeDocument/2006/relationships/hyperlink" Target="https://statiz.sporki.com/add/?m=draft_school01&amp;ps_school=" TargetMode="External"/><Relationship Id="rId8026" Type="http://schemas.openxmlformats.org/officeDocument/2006/relationships/hyperlink" Target="https://statiz.sporki.com/player/?m=playerinfo&amp;p_no=10121" TargetMode="External"/><Relationship Id="rId11354" Type="http://schemas.openxmlformats.org/officeDocument/2006/relationships/hyperlink" Target="https://statiz.sporki.com/add/?m=draft_school01&amp;ps_school=50602" TargetMode="External"/><Relationship Id="rId1413" Type="http://schemas.openxmlformats.org/officeDocument/2006/relationships/hyperlink" Target="https://statiz.sporki.com/add/?m=draft_school02&amp;ps_school=" TargetMode="External"/><Relationship Id="rId4983" Type="http://schemas.openxmlformats.org/officeDocument/2006/relationships/hyperlink" Target="https://statiz.sporki.com/add/?m=draft_school02&amp;ps_school=60101" TargetMode="External"/><Relationship Id="rId11007" Type="http://schemas.openxmlformats.org/officeDocument/2006/relationships/hyperlink" Target="https://statiz.sporki.com/add/?m=draft_school02&amp;ps_school=60501" TargetMode="External"/><Relationship Id="rId14577" Type="http://schemas.openxmlformats.org/officeDocument/2006/relationships/hyperlink" Target="https://statiz.sporki.com/player/?m=playerinfo&amp;p_no=10295" TargetMode="External"/><Relationship Id="rId4636" Type="http://schemas.openxmlformats.org/officeDocument/2006/relationships/hyperlink" Target="https://statiz.sporki.com/player/?m=playerinfo&amp;p_no=11179" TargetMode="External"/><Relationship Id="rId17050" Type="http://schemas.openxmlformats.org/officeDocument/2006/relationships/hyperlink" Target="https://statiz.sporki.com/add/?m=draft_school01&amp;ps_school=50402" TargetMode="External"/><Relationship Id="rId2187" Type="http://schemas.openxmlformats.org/officeDocument/2006/relationships/hyperlink" Target="https://statiz.sporki.com/add/?m=draft_school02&amp;ps_school=" TargetMode="External"/><Relationship Id="rId7859" Type="http://schemas.openxmlformats.org/officeDocument/2006/relationships/hyperlink" Target="https://statiz.sporki.com/add/?m=draft_school01&amp;ps_school=50802" TargetMode="External"/><Relationship Id="rId159" Type="http://schemas.openxmlformats.org/officeDocument/2006/relationships/hyperlink" Target="https://statiz.sporki.com/add/?m=draft_school02&amp;ps_school=" TargetMode="External"/><Relationship Id="rId13660" Type="http://schemas.openxmlformats.org/officeDocument/2006/relationships/hyperlink" Target="https://statiz.sporki.com/player/?m=playerinfo&amp;p_no=11073" TargetMode="External"/><Relationship Id="rId1270" Type="http://schemas.openxmlformats.org/officeDocument/2006/relationships/hyperlink" Target="https://statiz.sporki.com/player/?m=playerinfo&amp;p_no=14840" TargetMode="External"/><Relationship Id="rId13313" Type="http://schemas.openxmlformats.org/officeDocument/2006/relationships/hyperlink" Target="https://statiz.sporki.com/player/?m=playerinfo&amp;p_no=12515" TargetMode="External"/><Relationship Id="rId16883" Type="http://schemas.openxmlformats.org/officeDocument/2006/relationships/hyperlink" Target="https://statiz.sporki.com/add/?m=draft_school01&amp;ps_school=50802" TargetMode="External"/><Relationship Id="rId6942" Type="http://schemas.openxmlformats.org/officeDocument/2006/relationships/hyperlink" Target="https://statiz.sporki.com/add/?m=draft_school02&amp;ps_school=" TargetMode="External"/><Relationship Id="rId16536" Type="http://schemas.openxmlformats.org/officeDocument/2006/relationships/hyperlink" Target="https://statiz.sporki.com/add/?m=draft_school01&amp;ps_school=50103" TargetMode="External"/><Relationship Id="rId4493" Type="http://schemas.openxmlformats.org/officeDocument/2006/relationships/hyperlink" Target="https://statiz.sporki.com/add/?m=draft_school01&amp;ps_school=50403" TargetMode="External"/><Relationship Id="rId14087" Type="http://schemas.openxmlformats.org/officeDocument/2006/relationships/hyperlink" Target="https://statiz.sporki.com/player/?m=playerinfo&amp;p_no=10410" TargetMode="External"/><Relationship Id="rId4146" Type="http://schemas.openxmlformats.org/officeDocument/2006/relationships/hyperlink" Target="https://statiz.sporki.com/add/?m=draft_school02&amp;ps_school=61001" TargetMode="External"/><Relationship Id="rId9818" Type="http://schemas.openxmlformats.org/officeDocument/2006/relationships/hyperlink" Target="https://statiz.sporki.com/add/?m=draft_school01&amp;ps_school=50805" TargetMode="External"/><Relationship Id="rId10697" Type="http://schemas.openxmlformats.org/officeDocument/2006/relationships/hyperlink" Target="https://statiz.sporki.com/add/?m=draft_school01&amp;ps_school=" TargetMode="External"/><Relationship Id="rId7369" Type="http://schemas.openxmlformats.org/officeDocument/2006/relationships/hyperlink" Target="https://statiz.sporki.com/player/?m=playerinfo&amp;p_no=10084" TargetMode="External"/><Relationship Id="rId13170" Type="http://schemas.openxmlformats.org/officeDocument/2006/relationships/hyperlink" Target="https://statiz.sporki.com/player/?m=playerinfo&amp;p_no=12948" TargetMode="External"/><Relationship Id="rId18842" Type="http://schemas.openxmlformats.org/officeDocument/2006/relationships/hyperlink" Target="https://statiz.sporki.com/add/?m=draft_school01&amp;ps_school=50802" TargetMode="External"/><Relationship Id="rId3979" Type="http://schemas.openxmlformats.org/officeDocument/2006/relationships/hyperlink" Target="https://statiz.sporki.com/player/?m=playerinfo&amp;p_no=12683" TargetMode="External"/><Relationship Id="rId6452" Type="http://schemas.openxmlformats.org/officeDocument/2006/relationships/hyperlink" Target="https://statiz.sporki.com/add/?m=draft_school01&amp;ps_school=" TargetMode="External"/><Relationship Id="rId8901" Type="http://schemas.openxmlformats.org/officeDocument/2006/relationships/hyperlink" Target="https://statiz.sporki.com/add/?m=draft_school02&amp;ps_school=60803" TargetMode="External"/><Relationship Id="rId16393" Type="http://schemas.openxmlformats.org/officeDocument/2006/relationships/hyperlink" Target="https://statiz.sporki.com/add/?m=draft_school01&amp;ps_school=50504" TargetMode="External"/><Relationship Id="rId6105" Type="http://schemas.openxmlformats.org/officeDocument/2006/relationships/hyperlink" Target="https://statiz.sporki.com/add/?m=draft_school02&amp;ps_school=" TargetMode="External"/><Relationship Id="rId16046" Type="http://schemas.openxmlformats.org/officeDocument/2006/relationships/hyperlink" Target="https://statiz.sporki.com/player/?m=playerinfo&amp;p_no=1060" TargetMode="External"/><Relationship Id="rId9675" Type="http://schemas.openxmlformats.org/officeDocument/2006/relationships/hyperlink" Target="https://statiz.sporki.com/add/?m=draft_school02&amp;ps_school=60101" TargetMode="External"/><Relationship Id="rId12656" Type="http://schemas.openxmlformats.org/officeDocument/2006/relationships/hyperlink" Target="https://statiz.sporki.com/player/?m=playerinfo&amp;p_no=14684" TargetMode="External"/><Relationship Id="rId19269" Type="http://schemas.openxmlformats.org/officeDocument/2006/relationships/hyperlink" Target="https://statiz.sporki.com/add/?m=draft_school01&amp;ps_school=50609" TargetMode="External"/><Relationship Id="rId2715" Type="http://schemas.openxmlformats.org/officeDocument/2006/relationships/hyperlink" Target="https://statiz.sporki.com/add/?m=draft_school02&amp;ps_school=60113" TargetMode="External"/><Relationship Id="rId9328" Type="http://schemas.openxmlformats.org/officeDocument/2006/relationships/hyperlink" Target="https://statiz.sporki.com/player/?m=playerinfo&amp;p_no=1999" TargetMode="External"/><Relationship Id="rId12309" Type="http://schemas.openxmlformats.org/officeDocument/2006/relationships/hyperlink" Target="https://statiz.sporki.com/player/?m=playerinfo&amp;p_no=15013" TargetMode="External"/><Relationship Id="rId15879" Type="http://schemas.openxmlformats.org/officeDocument/2006/relationships/hyperlink" Target="https://statiz.sporki.com/player/?m=playerinfo&amp;p_no=1350" TargetMode="External"/><Relationship Id="rId5938" Type="http://schemas.openxmlformats.org/officeDocument/2006/relationships/hyperlink" Target="https://statiz.sporki.com/player/?m=playerinfo&amp;p_no=10204" TargetMode="External"/><Relationship Id="rId18352" Type="http://schemas.openxmlformats.org/officeDocument/2006/relationships/hyperlink" Target="https://statiz.sporki.com/add/?m=draft_school01&amp;ps_school=50113" TargetMode="External"/><Relationship Id="rId3489" Type="http://schemas.openxmlformats.org/officeDocument/2006/relationships/hyperlink" Target="https://statiz.sporki.com/add/?m=draft_school02&amp;ps_school=" TargetMode="External"/><Relationship Id="rId8411" Type="http://schemas.openxmlformats.org/officeDocument/2006/relationships/hyperlink" Target="https://statiz.sporki.com/add/?m=draft_school01&amp;ps_school=50107" TargetMode="External"/><Relationship Id="rId18005" Type="http://schemas.openxmlformats.org/officeDocument/2006/relationships/hyperlink" Target="https://statiz.sporki.com/add/?m=draft_school01&amp;ps_school=50501" TargetMode="External"/><Relationship Id="rId14962" Type="http://schemas.openxmlformats.org/officeDocument/2006/relationships/hyperlink" Target="https://statiz.sporki.com/player/?m=playerinfo&amp;p_no=2113" TargetMode="External"/><Relationship Id="rId9185" Type="http://schemas.openxmlformats.org/officeDocument/2006/relationships/hyperlink" Target="https://statiz.sporki.com/add/?m=draft_school01&amp;ps_school=50108" TargetMode="External"/><Relationship Id="rId14615" Type="http://schemas.openxmlformats.org/officeDocument/2006/relationships/hyperlink" Target="https://statiz.sporki.com/player/?m=playerinfo&amp;p_no=10135" TargetMode="External"/><Relationship Id="rId891" Type="http://schemas.openxmlformats.org/officeDocument/2006/relationships/hyperlink" Target="https://statiz.sporki.com/add/?m=draft_school02&amp;ps_school=60902" TargetMode="External"/><Relationship Id="rId2572" Type="http://schemas.openxmlformats.org/officeDocument/2006/relationships/hyperlink" Target="https://statiz.sporki.com/player/?m=playerinfo&amp;p_no=13133" TargetMode="External"/><Relationship Id="rId12166" Type="http://schemas.openxmlformats.org/officeDocument/2006/relationships/hyperlink" Target="https://statiz.sporki.com/player/?m=playerinfo&amp;p_no=15463" TargetMode="External"/><Relationship Id="rId17838" Type="http://schemas.openxmlformats.org/officeDocument/2006/relationships/hyperlink" Target="https://statiz.sporki.com/add/?m=draft_school01&amp;ps_school=50705" TargetMode="External"/><Relationship Id="rId544" Type="http://schemas.openxmlformats.org/officeDocument/2006/relationships/hyperlink" Target="https://statiz.sporki.com/player/?m=playerinfo&amp;p_no=15112" TargetMode="External"/><Relationship Id="rId2225" Type="http://schemas.openxmlformats.org/officeDocument/2006/relationships/hyperlink" Target="https://statiz.sporki.com/add/?m=draft_school01&amp;ps_school=" TargetMode="External"/><Relationship Id="rId5795" Type="http://schemas.openxmlformats.org/officeDocument/2006/relationships/hyperlink" Target="https://statiz.sporki.com/add/?m=draft_school01&amp;ps_school=50604" TargetMode="External"/><Relationship Id="rId15389" Type="http://schemas.openxmlformats.org/officeDocument/2006/relationships/hyperlink" Target="https://statiz.sporki.com/player/?m=playerinfo&amp;p_no=1749" TargetMode="External"/><Relationship Id="rId5448" Type="http://schemas.openxmlformats.org/officeDocument/2006/relationships/hyperlink" Target="https://statiz.sporki.com/add/?m=draft_school02&amp;ps_school=" TargetMode="External"/><Relationship Id="rId11999" Type="http://schemas.openxmlformats.org/officeDocument/2006/relationships/hyperlink" Target="https://statiz.sporki.com/add/?m=draft_school01&amp;ps_school=50202" TargetMode="External"/><Relationship Id="rId16921" Type="http://schemas.openxmlformats.org/officeDocument/2006/relationships/hyperlink" Target="https://statiz.sporki.com/add/?m=draft_school01&amp;ps_school=50809" TargetMode="External"/><Relationship Id="rId4531" Type="http://schemas.openxmlformats.org/officeDocument/2006/relationships/hyperlink" Target="https://statiz.sporki.com/player/?m=playerinfo&amp;p_no=11086" TargetMode="External"/><Relationship Id="rId14472" Type="http://schemas.openxmlformats.org/officeDocument/2006/relationships/hyperlink" Target="https://statiz.sporki.com/player/?m=playerinfo&amp;p_no=10805" TargetMode="External"/><Relationship Id="rId2082" Type="http://schemas.openxmlformats.org/officeDocument/2006/relationships/hyperlink" Target="https://statiz.sporki.com/add/?m=draft_school02&amp;ps_school=" TargetMode="External"/><Relationship Id="rId14125" Type="http://schemas.openxmlformats.org/officeDocument/2006/relationships/hyperlink" Target="https://statiz.sporki.com/player/?m=playerinfo&amp;p_no=10190" TargetMode="External"/><Relationship Id="rId17695" Type="http://schemas.openxmlformats.org/officeDocument/2006/relationships/hyperlink" Target="https://statiz.sporki.com/add/?m=draft_school01&amp;ps_school=50101" TargetMode="External"/><Relationship Id="rId7754" Type="http://schemas.openxmlformats.org/officeDocument/2006/relationships/hyperlink" Target="https://statiz.sporki.com/add/?m=draft_school01&amp;ps_school=" TargetMode="External"/><Relationship Id="rId10735" Type="http://schemas.openxmlformats.org/officeDocument/2006/relationships/hyperlink" Target="https://statiz.sporki.com/player/?m=playerinfo&amp;p_no=1483" TargetMode="External"/><Relationship Id="rId17348" Type="http://schemas.openxmlformats.org/officeDocument/2006/relationships/hyperlink" Target="https://statiz.sporki.com/add/?m=draft_school01&amp;ps_school=51001" TargetMode="External"/><Relationship Id="rId7407" Type="http://schemas.openxmlformats.org/officeDocument/2006/relationships/hyperlink" Target="https://statiz.sporki.com/add/?m=draft_school02&amp;ps_school=61002" TargetMode="External"/><Relationship Id="rId13958" Type="http://schemas.openxmlformats.org/officeDocument/2006/relationships/hyperlink" Target="https://statiz.sporki.com/player/?m=playerinfo&amp;p_no=10898" TargetMode="External"/><Relationship Id="rId16431" Type="http://schemas.openxmlformats.org/officeDocument/2006/relationships/hyperlink" Target="https://statiz.sporki.com/add/?m=draft_school01&amp;ps_school=50301" TargetMode="External"/><Relationship Id="rId1568" Type="http://schemas.openxmlformats.org/officeDocument/2006/relationships/hyperlink" Target="https://statiz.sporki.com/add/?m=draft_school01&amp;ps_school=50903" TargetMode="External"/><Relationship Id="rId4041" Type="http://schemas.openxmlformats.org/officeDocument/2006/relationships/hyperlink" Target="https://statiz.sporki.com/add/?m=draft_school02&amp;ps_school=" TargetMode="External"/><Relationship Id="rId19654" Type="http://schemas.openxmlformats.org/officeDocument/2006/relationships/hyperlink" Target="https://statiz.sporki.com/add/?m=draft_school01&amp;ps_school=50501" TargetMode="External"/><Relationship Id="rId7264" Type="http://schemas.openxmlformats.org/officeDocument/2006/relationships/hyperlink" Target="https://statiz.sporki.com/player/?m=playerinfo&amp;p_no=2300" TargetMode="External"/><Relationship Id="rId9713" Type="http://schemas.openxmlformats.org/officeDocument/2006/relationships/hyperlink" Target="https://statiz.sporki.com/add/?m=draft_school01&amp;ps_school=50806" TargetMode="External"/><Relationship Id="rId10592" Type="http://schemas.openxmlformats.org/officeDocument/2006/relationships/hyperlink" Target="https://statiz.sporki.com/add/?m=draft_school01&amp;ps_school=50802" TargetMode="External"/><Relationship Id="rId19307" Type="http://schemas.openxmlformats.org/officeDocument/2006/relationships/hyperlink" Target="https://statiz.sporki.com/add/?m=draft_school01&amp;ps_school=50110" TargetMode="External"/><Relationship Id="rId10245" Type="http://schemas.openxmlformats.org/officeDocument/2006/relationships/hyperlink" Target="https://statiz.sporki.com/add/?m=draft_school02&amp;ps_school=" TargetMode="External"/><Relationship Id="rId15917" Type="http://schemas.openxmlformats.org/officeDocument/2006/relationships/hyperlink" Target="https://statiz.sporki.com/player/?m=playerinfo&amp;p_no=1234" TargetMode="External"/><Relationship Id="rId3874" Type="http://schemas.openxmlformats.org/officeDocument/2006/relationships/hyperlink" Target="https://statiz.sporki.com/player/?m=playerinfo&amp;p_no=11394" TargetMode="External"/><Relationship Id="rId13468" Type="http://schemas.openxmlformats.org/officeDocument/2006/relationships/hyperlink" Target="https://statiz.sporki.com/player/?m=playerinfo&amp;p_no=12683" TargetMode="External"/><Relationship Id="rId3527" Type="http://schemas.openxmlformats.org/officeDocument/2006/relationships/hyperlink" Target="https://statiz.sporki.com/add/?m=draft_school01&amp;ps_school=" TargetMode="External"/><Relationship Id="rId1078" Type="http://schemas.openxmlformats.org/officeDocument/2006/relationships/hyperlink" Target="https://statiz.sporki.com/player/?m=playerinfo&amp;p_no=14775" TargetMode="External"/><Relationship Id="rId6000" Type="http://schemas.openxmlformats.org/officeDocument/2006/relationships/hyperlink" Target="https://statiz.sporki.com/add/?m=draft_school02&amp;ps_school=" TargetMode="External"/><Relationship Id="rId9570" Type="http://schemas.openxmlformats.org/officeDocument/2006/relationships/hyperlink" Target="https://statiz.sporki.com/add/?m=draft_school02&amp;ps_school=60803" TargetMode="External"/><Relationship Id="rId19164" Type="http://schemas.openxmlformats.org/officeDocument/2006/relationships/hyperlink" Target="https://statiz.sporki.com/add/?m=draft_school01&amp;ps_school=50115" TargetMode="External"/><Relationship Id="rId9223" Type="http://schemas.openxmlformats.org/officeDocument/2006/relationships/hyperlink" Target="https://statiz.sporki.com/player/?m=playerinfo&amp;p_no=2099" TargetMode="External"/><Relationship Id="rId12551" Type="http://schemas.openxmlformats.org/officeDocument/2006/relationships/hyperlink" Target="https://statiz.sporki.com/player/?m=playerinfo&amp;p_no=14882" TargetMode="External"/><Relationship Id="rId2610" Type="http://schemas.openxmlformats.org/officeDocument/2006/relationships/hyperlink" Target="https://statiz.sporki.com/add/?m=draft_school02&amp;ps_school=" TargetMode="External"/><Relationship Id="rId12204" Type="http://schemas.openxmlformats.org/officeDocument/2006/relationships/hyperlink" Target="https://statiz.sporki.com/player/?m=playerinfo&amp;p_no=15445" TargetMode="External"/><Relationship Id="rId15774" Type="http://schemas.openxmlformats.org/officeDocument/2006/relationships/hyperlink" Target="https://statiz.sporki.com/player/?m=playerinfo&amp;p_no=1413" TargetMode="External"/><Relationship Id="rId5833" Type="http://schemas.openxmlformats.org/officeDocument/2006/relationships/hyperlink" Target="https://statiz.sporki.com/player/?m=playerinfo&amp;p_no=10595" TargetMode="External"/><Relationship Id="rId15427" Type="http://schemas.openxmlformats.org/officeDocument/2006/relationships/hyperlink" Target="https://statiz.sporki.com/player/?m=playerinfo&amp;p_no=1653" TargetMode="External"/><Relationship Id="rId18997" Type="http://schemas.openxmlformats.org/officeDocument/2006/relationships/hyperlink" Target="https://statiz.sporki.com/add/?m=draft_school01&amp;ps_school=50109" TargetMode="External"/><Relationship Id="rId3037" Type="http://schemas.openxmlformats.org/officeDocument/2006/relationships/hyperlink" Target="https://statiz.sporki.com/player/?m=playerinfo&amp;p_no=12864" TargetMode="External"/><Relationship Id="rId3384" Type="http://schemas.openxmlformats.org/officeDocument/2006/relationships/hyperlink" Target="https://statiz.sporki.com/add/?m=draft_school02&amp;ps_school=" TargetMode="External"/><Relationship Id="rId8709" Type="http://schemas.openxmlformats.org/officeDocument/2006/relationships/hyperlink" Target="https://statiz.sporki.com/add/?m=draft_school02&amp;ps_school=60204" TargetMode="External"/><Relationship Id="rId14510" Type="http://schemas.openxmlformats.org/officeDocument/2006/relationships/hyperlink" Target="https://statiz.sporki.com/player/?m=playerinfo&amp;p_no=10469" TargetMode="External"/><Relationship Id="rId9080" Type="http://schemas.openxmlformats.org/officeDocument/2006/relationships/hyperlink" Target="https://statiz.sporki.com/add/?m=draft_school01&amp;ps_school=50602" TargetMode="External"/><Relationship Id="rId12061" Type="http://schemas.openxmlformats.org/officeDocument/2006/relationships/hyperlink" Target="https://statiz.sporki.com/player/?m=playerinfo&amp;p_no=1104" TargetMode="External"/><Relationship Id="rId2120" Type="http://schemas.openxmlformats.org/officeDocument/2006/relationships/hyperlink" Target="https://statiz.sporki.com/add/?m=draft_school01&amp;ps_school=50205" TargetMode="External"/><Relationship Id="rId5690" Type="http://schemas.openxmlformats.org/officeDocument/2006/relationships/hyperlink" Target="https://statiz.sporki.com/add/?m=draft_school01&amp;ps_school=" TargetMode="External"/><Relationship Id="rId15284" Type="http://schemas.openxmlformats.org/officeDocument/2006/relationships/hyperlink" Target="https://statiz.sporki.com/player/?m=playerinfo&amp;p_no=1849" TargetMode="External"/><Relationship Id="rId17733" Type="http://schemas.openxmlformats.org/officeDocument/2006/relationships/hyperlink" Target="https://statiz.sporki.com/add/?m=draft_school01&amp;ps_school=50601" TargetMode="External"/><Relationship Id="rId5343" Type="http://schemas.openxmlformats.org/officeDocument/2006/relationships/hyperlink" Target="https://statiz.sporki.com/add/?m=draft_school02&amp;ps_school=" TargetMode="External"/><Relationship Id="rId11894" Type="http://schemas.openxmlformats.org/officeDocument/2006/relationships/hyperlink" Target="https://statiz.sporki.com/add/?m=draft_school01&amp;ps_school=50802" TargetMode="External"/><Relationship Id="rId1953" Type="http://schemas.openxmlformats.org/officeDocument/2006/relationships/hyperlink" Target="https://statiz.sporki.com/add/?m=draft_school02&amp;ps_school=" TargetMode="External"/><Relationship Id="rId8566" Type="http://schemas.openxmlformats.org/officeDocument/2006/relationships/hyperlink" Target="https://statiz.sporki.com/player/?m=playerinfo&amp;p_no=10491" TargetMode="External"/><Relationship Id="rId11547" Type="http://schemas.openxmlformats.org/officeDocument/2006/relationships/hyperlink" Target="https://statiz.sporki.com/add/?m=draft_school02&amp;ps_school=60204" TargetMode="External"/><Relationship Id="rId1606" Type="http://schemas.openxmlformats.org/officeDocument/2006/relationships/hyperlink" Target="https://statiz.sporki.com/player/?m=playerinfo&amp;p_no=14730" TargetMode="External"/><Relationship Id="rId8219" Type="http://schemas.openxmlformats.org/officeDocument/2006/relationships/hyperlink" Target="https://statiz.sporki.com/add/?m=draft_school01&amp;ps_school=" TargetMode="External"/><Relationship Id="rId14020" Type="http://schemas.openxmlformats.org/officeDocument/2006/relationships/hyperlink" Target="https://statiz.sporki.com/player/?m=playerinfo&amp;p_no=10415" TargetMode="External"/><Relationship Id="rId17590" Type="http://schemas.openxmlformats.org/officeDocument/2006/relationships/hyperlink" Target="https://statiz.sporki.com/add/?m=draft_school01&amp;ps_school=50701" TargetMode="External"/><Relationship Id="rId4829" Type="http://schemas.openxmlformats.org/officeDocument/2006/relationships/hyperlink" Target="https://statiz.sporki.com/add/?m=draft_school01&amp;ps_school=50103" TargetMode="External"/><Relationship Id="rId17243" Type="http://schemas.openxmlformats.org/officeDocument/2006/relationships/hyperlink" Target="https://statiz.sporki.com/add/?m=draft_school01&amp;ps_school=50804" TargetMode="External"/><Relationship Id="rId699" Type="http://schemas.openxmlformats.org/officeDocument/2006/relationships/hyperlink" Target="https://statiz.sporki.com/add/?m=draft_school02&amp;ps_school=" TargetMode="External"/><Relationship Id="rId7302" Type="http://schemas.openxmlformats.org/officeDocument/2006/relationships/hyperlink" Target="https://statiz.sporki.com/add/?m=draft_school02&amp;ps_school=" TargetMode="External"/><Relationship Id="rId10630" Type="http://schemas.openxmlformats.org/officeDocument/2006/relationships/hyperlink" Target="https://statiz.sporki.com/player/?m=playerinfo&amp;p_no=11473" TargetMode="External"/><Relationship Id="rId13853" Type="http://schemas.openxmlformats.org/officeDocument/2006/relationships/hyperlink" Target="https://statiz.sporki.com/player/?m=playerinfo&amp;p_no=11190" TargetMode="External"/><Relationship Id="rId3912" Type="http://schemas.openxmlformats.org/officeDocument/2006/relationships/hyperlink" Target="https://statiz.sporki.com/add/?m=draft_school02&amp;ps_school=" TargetMode="External"/><Relationship Id="rId8076" Type="http://schemas.openxmlformats.org/officeDocument/2006/relationships/hyperlink" Target="https://statiz.sporki.com/add/?m=draft_school02&amp;ps_school=60204" TargetMode="External"/><Relationship Id="rId13506" Type="http://schemas.openxmlformats.org/officeDocument/2006/relationships/hyperlink" Target="https://statiz.sporki.com/player/?m=playerinfo&amp;p_no=11214" TargetMode="External"/><Relationship Id="rId1116" Type="http://schemas.openxmlformats.org/officeDocument/2006/relationships/hyperlink" Target="https://statiz.sporki.com/add/?m=draft_school02&amp;ps_school=" TargetMode="External"/><Relationship Id="rId1463" Type="http://schemas.openxmlformats.org/officeDocument/2006/relationships/hyperlink" Target="https://statiz.sporki.com/add/?m=draft_school01&amp;ps_school=50215" TargetMode="External"/><Relationship Id="rId11057" Type="http://schemas.openxmlformats.org/officeDocument/2006/relationships/hyperlink" Target="https://statiz.sporki.com/add/?m=draft_school01&amp;ps_school=50904" TargetMode="External"/><Relationship Id="rId16729" Type="http://schemas.openxmlformats.org/officeDocument/2006/relationships/hyperlink" Target="https://statiz.sporki.com/add/?m=draft_school01&amp;ps_school=50802" TargetMode="External"/><Relationship Id="rId4686" Type="http://schemas.openxmlformats.org/officeDocument/2006/relationships/hyperlink" Target="https://statiz.sporki.com/add/?m=draft_school02&amp;ps_school=" TargetMode="External"/><Relationship Id="rId19202" Type="http://schemas.openxmlformats.org/officeDocument/2006/relationships/hyperlink" Target="https://statiz.sporki.com/add/?m=draft_school01&amp;ps_school=50114" TargetMode="External"/><Relationship Id="rId4339" Type="http://schemas.openxmlformats.org/officeDocument/2006/relationships/hyperlink" Target="https://statiz.sporki.com/player/?m=playerinfo&amp;p_no=11252" TargetMode="External"/><Relationship Id="rId10140" Type="http://schemas.openxmlformats.org/officeDocument/2006/relationships/hyperlink" Target="https://statiz.sporki.com/add/?m=draft_school02&amp;ps_school=61133" TargetMode="External"/><Relationship Id="rId13363" Type="http://schemas.openxmlformats.org/officeDocument/2006/relationships/hyperlink" Target="https://statiz.sporki.com/player/?m=playerinfo&amp;p_no=11374" TargetMode="External"/><Relationship Id="rId15812" Type="http://schemas.openxmlformats.org/officeDocument/2006/relationships/hyperlink" Target="https://statiz.sporki.com/player/?m=playerinfo&amp;p_no=1359" TargetMode="External"/><Relationship Id="rId3422" Type="http://schemas.openxmlformats.org/officeDocument/2006/relationships/hyperlink" Target="https://statiz.sporki.com/add/?m=draft_school01&amp;ps_school=50602" TargetMode="External"/><Relationship Id="rId13016" Type="http://schemas.openxmlformats.org/officeDocument/2006/relationships/hyperlink" Target="https://statiz.sporki.com/player/?m=playerinfo&amp;p_no=13066" TargetMode="External"/><Relationship Id="rId6992" Type="http://schemas.openxmlformats.org/officeDocument/2006/relationships/hyperlink" Target="https://statiz.sporki.com/add/?m=draft_school01&amp;ps_school=50604" TargetMode="External"/><Relationship Id="rId16586" Type="http://schemas.openxmlformats.org/officeDocument/2006/relationships/hyperlink" Target="https://statiz.sporki.com/add/?m=draft_school01&amp;ps_school=50809" TargetMode="External"/><Relationship Id="rId4196" Type="http://schemas.openxmlformats.org/officeDocument/2006/relationships/hyperlink" Target="https://statiz.sporki.com/add/?m=draft_school01&amp;ps_school=50105" TargetMode="External"/><Relationship Id="rId6645" Type="http://schemas.openxmlformats.org/officeDocument/2006/relationships/hyperlink" Target="https://statiz.sporki.com/add/?m=draft_school02&amp;ps_school=" TargetMode="External"/><Relationship Id="rId16239" Type="http://schemas.openxmlformats.org/officeDocument/2006/relationships/hyperlink" Target="https://statiz.sporki.com/add/?m=draft_school01&amp;ps_school=50402" TargetMode="External"/><Relationship Id="rId9868" Type="http://schemas.openxmlformats.org/officeDocument/2006/relationships/hyperlink" Target="https://statiz.sporki.com/player/?m=playerinfo&amp;p_no=1681" TargetMode="External"/><Relationship Id="rId12849" Type="http://schemas.openxmlformats.org/officeDocument/2006/relationships/hyperlink" Target="https://statiz.sporki.com/player/?m=playerinfo&amp;p_no=14220" TargetMode="External"/><Relationship Id="rId2908" Type="http://schemas.openxmlformats.org/officeDocument/2006/relationships/hyperlink" Target="https://statiz.sporki.com/player/?m=playerinfo&amp;p_no=12894" TargetMode="External"/><Relationship Id="rId15322" Type="http://schemas.openxmlformats.org/officeDocument/2006/relationships/hyperlink" Target="https://statiz.sporki.com/player/?m=playerinfo&amp;p_no=1762" TargetMode="External"/><Relationship Id="rId8951" Type="http://schemas.openxmlformats.org/officeDocument/2006/relationships/hyperlink" Target="https://statiz.sporki.com/add/?m=draft_school01&amp;ps_school=" TargetMode="External"/><Relationship Id="rId18892" Type="http://schemas.openxmlformats.org/officeDocument/2006/relationships/hyperlink" Target="https://statiz.sporki.com/add/?m=draft_school01&amp;ps_school=50602" TargetMode="External"/><Relationship Id="rId8604" Type="http://schemas.openxmlformats.org/officeDocument/2006/relationships/hyperlink" Target="https://statiz.sporki.com/add/?m=draft_school02&amp;ps_school=60111" TargetMode="External"/><Relationship Id="rId11932" Type="http://schemas.openxmlformats.org/officeDocument/2006/relationships/hyperlink" Target="https://statiz.sporki.com/player/?m=playerinfo&amp;p_no=11471" TargetMode="External"/><Relationship Id="rId16096" Type="http://schemas.openxmlformats.org/officeDocument/2006/relationships/hyperlink" Target="https://statiz.sporki.com/player/?m=playerinfo&amp;p_no=1035" TargetMode="External"/><Relationship Id="rId18545" Type="http://schemas.openxmlformats.org/officeDocument/2006/relationships/hyperlink" Target="https://statiz.sporki.com/add/?m=draft_school01&amp;ps_school=50107" TargetMode="External"/><Relationship Id="rId6155" Type="http://schemas.openxmlformats.org/officeDocument/2006/relationships/hyperlink" Target="https://statiz.sporki.com/add/?m=draft_school01&amp;ps_school=50108" TargetMode="External"/><Relationship Id="rId9378" Type="http://schemas.openxmlformats.org/officeDocument/2006/relationships/hyperlink" Target="https://statiz.sporki.com/add/?m=draft_school02&amp;ps_school=60705" TargetMode="External"/><Relationship Id="rId14808" Type="http://schemas.openxmlformats.org/officeDocument/2006/relationships/hyperlink" Target="https://statiz.sporki.com/player/?m=playerinfo&amp;p_no=2119" TargetMode="External"/><Relationship Id="rId2765" Type="http://schemas.openxmlformats.org/officeDocument/2006/relationships/hyperlink" Target="https://statiz.sporki.com/add/?m=draft_school01&amp;ps_school=50702" TargetMode="External"/><Relationship Id="rId12359" Type="http://schemas.openxmlformats.org/officeDocument/2006/relationships/hyperlink" Target="https://statiz.sporki.com/player/?m=playerinfo&amp;p_no=13676" TargetMode="External"/><Relationship Id="rId737" Type="http://schemas.openxmlformats.org/officeDocument/2006/relationships/hyperlink" Target="https://statiz.sporki.com/add/?m=draft_school01&amp;ps_school=50805" TargetMode="External"/><Relationship Id="rId2418" Type="http://schemas.openxmlformats.org/officeDocument/2006/relationships/hyperlink" Target="https://statiz.sporki.com/add/?m=draft_school02&amp;ps_school=" TargetMode="External"/><Relationship Id="rId5988" Type="http://schemas.openxmlformats.org/officeDocument/2006/relationships/hyperlink" Target="https://statiz.sporki.com/add/?m=draft_school02&amp;ps_school=" TargetMode="External"/><Relationship Id="rId8461" Type="http://schemas.openxmlformats.org/officeDocument/2006/relationships/hyperlink" Target="https://statiz.sporki.com/player/?m=playerinfo&amp;p_no=2113" TargetMode="External"/><Relationship Id="rId11442" Type="http://schemas.openxmlformats.org/officeDocument/2006/relationships/hyperlink" Target="https://statiz.sporki.com/add/?m=draft_school02&amp;ps_school=60108" TargetMode="External"/><Relationship Id="rId18055" Type="http://schemas.openxmlformats.org/officeDocument/2006/relationships/hyperlink" Target="https://statiz.sporki.com/add/?m=draft_school01&amp;ps_school=50102" TargetMode="External"/><Relationship Id="rId1501" Type="http://schemas.openxmlformats.org/officeDocument/2006/relationships/hyperlink" Target="https://statiz.sporki.com/player/?m=playerinfo&amp;p_no=14607" TargetMode="External"/><Relationship Id="rId8114" Type="http://schemas.openxmlformats.org/officeDocument/2006/relationships/hyperlink" Target="https://statiz.sporki.com/add/?m=draft_school01&amp;ps_school=50804" TargetMode="External"/><Relationship Id="rId14665" Type="http://schemas.openxmlformats.org/officeDocument/2006/relationships/hyperlink" Target="https://statiz.sporki.com/player/?m=playerinfo&amp;p_no=10198" TargetMode="External"/><Relationship Id="rId594" Type="http://schemas.openxmlformats.org/officeDocument/2006/relationships/hyperlink" Target="https://statiz.sporki.com/add/?m=draft_school02&amp;ps_school=" TargetMode="External"/><Relationship Id="rId2275" Type="http://schemas.openxmlformats.org/officeDocument/2006/relationships/hyperlink" Target="https://statiz.sporki.com/player/?m=playerinfo&amp;p_no=14202" TargetMode="External"/><Relationship Id="rId4724" Type="http://schemas.openxmlformats.org/officeDocument/2006/relationships/hyperlink" Target="https://statiz.sporki.com/add/?m=draft_school01&amp;ps_school=50111" TargetMode="External"/><Relationship Id="rId14318" Type="http://schemas.openxmlformats.org/officeDocument/2006/relationships/hyperlink" Target="https://statiz.sporki.com/player/?m=playerinfo&amp;p_no=10394" TargetMode="External"/><Relationship Id="rId17888" Type="http://schemas.openxmlformats.org/officeDocument/2006/relationships/hyperlink" Target="https://statiz.sporki.com/add/?m=draft_school01&amp;ps_school=50602" TargetMode="External"/><Relationship Id="rId247" Type="http://schemas.openxmlformats.org/officeDocument/2006/relationships/hyperlink" Target="https://statiz.sporki.com/player/?m=playerinfo&amp;p_no=15447" TargetMode="External"/><Relationship Id="rId7947" Type="http://schemas.openxmlformats.org/officeDocument/2006/relationships/hyperlink" Target="https://statiz.sporki.com/add/?m=draft_school02&amp;ps_school=60113" TargetMode="External"/><Relationship Id="rId10928" Type="http://schemas.openxmlformats.org/officeDocument/2006/relationships/hyperlink" Target="https://statiz.sporki.com/add/?m=draft_school01&amp;ps_school=50103" TargetMode="External"/><Relationship Id="rId5498" Type="http://schemas.openxmlformats.org/officeDocument/2006/relationships/hyperlink" Target="https://statiz.sporki.com/add/?m=draft_school01&amp;ps_school=50207" TargetMode="External"/><Relationship Id="rId13401" Type="http://schemas.openxmlformats.org/officeDocument/2006/relationships/hyperlink" Target="https://statiz.sporki.com/player/?m=playerinfo&amp;p_no=11376" TargetMode="External"/><Relationship Id="rId16971" Type="http://schemas.openxmlformats.org/officeDocument/2006/relationships/hyperlink" Target="https://statiz.sporki.com/add/?m=draft_school01&amp;ps_school=50201" TargetMode="External"/><Relationship Id="rId1011" Type="http://schemas.openxmlformats.org/officeDocument/2006/relationships/hyperlink" Target="https://statiz.sporki.com/add/?m=draft_school02&amp;ps_school=" TargetMode="External"/><Relationship Id="rId4581" Type="http://schemas.openxmlformats.org/officeDocument/2006/relationships/hyperlink" Target="https://statiz.sporki.com/add/?m=draft_school02&amp;ps_school=60114" TargetMode="External"/><Relationship Id="rId14175" Type="http://schemas.openxmlformats.org/officeDocument/2006/relationships/hyperlink" Target="https://statiz.sporki.com/player/?m=playerinfo&amp;p_no=10434" TargetMode="External"/><Relationship Id="rId16624" Type="http://schemas.openxmlformats.org/officeDocument/2006/relationships/hyperlink" Target="https://statiz.sporki.com/add/?m=draft_school01&amp;ps_school=50902" TargetMode="External"/><Relationship Id="rId4234" Type="http://schemas.openxmlformats.org/officeDocument/2006/relationships/hyperlink" Target="https://statiz.sporki.com/player/?m=playerinfo&amp;p_no=11295" TargetMode="External"/><Relationship Id="rId7457" Type="http://schemas.openxmlformats.org/officeDocument/2006/relationships/hyperlink" Target="https://statiz.sporki.com/add/?m=draft_school01&amp;ps_school=50209" TargetMode="External"/><Relationship Id="rId9906" Type="http://schemas.openxmlformats.org/officeDocument/2006/relationships/hyperlink" Target="https://statiz.sporki.com/add/?m=draft_school02&amp;ps_school=" TargetMode="External"/><Relationship Id="rId10785" Type="http://schemas.openxmlformats.org/officeDocument/2006/relationships/hyperlink" Target="https://statiz.sporki.com/add/?m=draft_school02&amp;ps_school=60104" TargetMode="External"/><Relationship Id="rId17398" Type="http://schemas.openxmlformats.org/officeDocument/2006/relationships/hyperlink" Target="https://statiz.sporki.com/add/?m=draft_school01&amp;ps_school=50209" TargetMode="External"/><Relationship Id="rId10438" Type="http://schemas.openxmlformats.org/officeDocument/2006/relationships/hyperlink" Target="https://statiz.sporki.com/player/?m=playerinfo&amp;p_no=1504" TargetMode="External"/><Relationship Id="rId18930" Type="http://schemas.openxmlformats.org/officeDocument/2006/relationships/hyperlink" Target="https://statiz.sporki.com/add/?m=draft_school01&amp;ps_school=50114" TargetMode="External"/><Relationship Id="rId16481" Type="http://schemas.openxmlformats.org/officeDocument/2006/relationships/hyperlink" Target="https://statiz.sporki.com/add/?m=draft_school01&amp;ps_school=50402" TargetMode="External"/><Relationship Id="rId6540" Type="http://schemas.openxmlformats.org/officeDocument/2006/relationships/hyperlink" Target="https://statiz.sporki.com/add/?m=draft_school02&amp;ps_school=" TargetMode="External"/><Relationship Id="rId16134" Type="http://schemas.openxmlformats.org/officeDocument/2006/relationships/hyperlink" Target="https://statiz.sporki.com/player/?m=playerinfo&amp;p_no=1070" TargetMode="External"/><Relationship Id="rId4091" Type="http://schemas.openxmlformats.org/officeDocument/2006/relationships/hyperlink" Target="https://statiz.sporki.com/add/?m=draft_school01&amp;ps_school=50501" TargetMode="External"/><Relationship Id="rId9763" Type="http://schemas.openxmlformats.org/officeDocument/2006/relationships/hyperlink" Target="https://statiz.sporki.com/player/?m=playerinfo&amp;p_no=10113" TargetMode="External"/><Relationship Id="rId19357" Type="http://schemas.openxmlformats.org/officeDocument/2006/relationships/hyperlink" Target="https://statiz.sporki.com/add/?m=draft_school01&amp;ps_school=50701" TargetMode="External"/><Relationship Id="rId9416" Type="http://schemas.openxmlformats.org/officeDocument/2006/relationships/hyperlink" Target="https://statiz.sporki.com/add/?m=draft_school01&amp;ps_school=50804" TargetMode="External"/><Relationship Id="rId10295" Type="http://schemas.openxmlformats.org/officeDocument/2006/relationships/hyperlink" Target="https://statiz.sporki.com/add/?m=draft_school01&amp;ps_school=" TargetMode="External"/><Relationship Id="rId12744" Type="http://schemas.openxmlformats.org/officeDocument/2006/relationships/hyperlink" Target="https://statiz.sporki.com/player/?m=playerinfo&amp;p_no=14688" TargetMode="External"/><Relationship Id="rId2803" Type="http://schemas.openxmlformats.org/officeDocument/2006/relationships/hyperlink" Target="https://statiz.sporki.com/player/?m=playerinfo&amp;p_no=12938" TargetMode="External"/><Relationship Id="rId15967" Type="http://schemas.openxmlformats.org/officeDocument/2006/relationships/hyperlink" Target="https://statiz.sporki.com/player/?m=playerinfo&amp;p_no=1261" TargetMode="External"/><Relationship Id="rId18440" Type="http://schemas.openxmlformats.org/officeDocument/2006/relationships/hyperlink" Target="https://statiz.sporki.com/add/?m=draft_school01&amp;ps_school=50103" TargetMode="External"/><Relationship Id="rId3577" Type="http://schemas.openxmlformats.org/officeDocument/2006/relationships/hyperlink" Target="https://statiz.sporki.com/player/?m=playerinfo&amp;p_no=12989" TargetMode="External"/><Relationship Id="rId6050" Type="http://schemas.openxmlformats.org/officeDocument/2006/relationships/hyperlink" Target="https://statiz.sporki.com/add/?m=draft_school01&amp;ps_school=50110" TargetMode="External"/><Relationship Id="rId2660" Type="http://schemas.openxmlformats.org/officeDocument/2006/relationships/hyperlink" Target="https://statiz.sporki.com/add/?m=draft_school01&amp;ps_school=" TargetMode="External"/><Relationship Id="rId9273" Type="http://schemas.openxmlformats.org/officeDocument/2006/relationships/hyperlink" Target="https://statiz.sporki.com/add/?m=draft_school02&amp;ps_school=" TargetMode="External"/><Relationship Id="rId12254" Type="http://schemas.openxmlformats.org/officeDocument/2006/relationships/hyperlink" Target="https://statiz.sporki.com/player/?m=playerinfo&amp;p_no=15532" TargetMode="External"/><Relationship Id="rId14703" Type="http://schemas.openxmlformats.org/officeDocument/2006/relationships/hyperlink" Target="https://statiz.sporki.com/player/?m=playerinfo&amp;p_no=2347" TargetMode="External"/><Relationship Id="rId632" Type="http://schemas.openxmlformats.org/officeDocument/2006/relationships/hyperlink" Target="https://statiz.sporki.com/add/?m=draft_school01&amp;ps_school=50101" TargetMode="External"/><Relationship Id="rId2313" Type="http://schemas.openxmlformats.org/officeDocument/2006/relationships/hyperlink" Target="https://statiz.sporki.com/add/?m=draft_school02&amp;ps_school=" TargetMode="External"/><Relationship Id="rId17926" Type="http://schemas.openxmlformats.org/officeDocument/2006/relationships/hyperlink" Target="https://statiz.sporki.com/add/?m=draft_school01&amp;ps_school=50402" TargetMode="External"/><Relationship Id="rId5536" Type="http://schemas.openxmlformats.org/officeDocument/2006/relationships/hyperlink" Target="https://statiz.sporki.com/player/?m=playerinfo&amp;p_no=10079" TargetMode="External"/><Relationship Id="rId5883" Type="http://schemas.openxmlformats.org/officeDocument/2006/relationships/hyperlink" Target="https://statiz.sporki.com/add/?m=draft_school02&amp;ps_school=60802" TargetMode="External"/><Relationship Id="rId15477" Type="http://schemas.openxmlformats.org/officeDocument/2006/relationships/hyperlink" Target="https://statiz.sporki.com/player/?m=playerinfo&amp;p_no=1608" TargetMode="External"/><Relationship Id="rId3087" Type="http://schemas.openxmlformats.org/officeDocument/2006/relationships/hyperlink" Target="https://statiz.sporki.com/add/?m=draft_school02&amp;ps_school=" TargetMode="External"/><Relationship Id="rId8759" Type="http://schemas.openxmlformats.org/officeDocument/2006/relationships/hyperlink" Target="https://statiz.sporki.com/add/?m=draft_school01&amp;ps_school=50403" TargetMode="External"/><Relationship Id="rId14560" Type="http://schemas.openxmlformats.org/officeDocument/2006/relationships/hyperlink" Target="https://statiz.sporki.com/player/?m=playerinfo&amp;p_no=2285" TargetMode="External"/><Relationship Id="rId14213" Type="http://schemas.openxmlformats.org/officeDocument/2006/relationships/hyperlink" Target="https://statiz.sporki.com/player/?m=playerinfo&amp;p_no=10618" TargetMode="External"/><Relationship Id="rId17783" Type="http://schemas.openxmlformats.org/officeDocument/2006/relationships/hyperlink" Target="https://statiz.sporki.com/add/?m=draft_school01&amp;ps_school=50805" TargetMode="External"/><Relationship Id="rId2170" Type="http://schemas.openxmlformats.org/officeDocument/2006/relationships/hyperlink" Target="https://statiz.sporki.com/player/?m=playerinfo&amp;p_no=14224" TargetMode="External"/><Relationship Id="rId7842" Type="http://schemas.openxmlformats.org/officeDocument/2006/relationships/hyperlink" Target="https://statiz.sporki.com/add/?m=draft_school02&amp;ps_school=" TargetMode="External"/><Relationship Id="rId17436" Type="http://schemas.openxmlformats.org/officeDocument/2006/relationships/hyperlink" Target="https://statiz.sporki.com/add/?m=draft_school01&amp;ps_school=50801" TargetMode="External"/><Relationship Id="rId142" Type="http://schemas.openxmlformats.org/officeDocument/2006/relationships/hyperlink" Target="https://statiz.sporki.com/player/?m=playerinfo&amp;p_no=15501" TargetMode="External"/><Relationship Id="rId5393" Type="http://schemas.openxmlformats.org/officeDocument/2006/relationships/hyperlink" Target="https://statiz.sporki.com/add/?m=draft_school01&amp;ps_school=" TargetMode="External"/><Relationship Id="rId10823" Type="http://schemas.openxmlformats.org/officeDocument/2006/relationships/hyperlink" Target="https://statiz.sporki.com/add/?m=draft_school01&amp;ps_school=50802" TargetMode="External"/><Relationship Id="rId5046" Type="http://schemas.openxmlformats.org/officeDocument/2006/relationships/hyperlink" Target="https://statiz.sporki.com/add/?m=draft_school02&amp;ps_school=60804" TargetMode="External"/><Relationship Id="rId8269" Type="http://schemas.openxmlformats.org/officeDocument/2006/relationships/hyperlink" Target="https://statiz.sporki.com/player/?m=playerinfo&amp;p_no=2066" TargetMode="External"/><Relationship Id="rId11597" Type="http://schemas.openxmlformats.org/officeDocument/2006/relationships/hyperlink" Target="https://statiz.sporki.com/add/?m=draft_school01&amp;ps_school=50802" TargetMode="External"/><Relationship Id="rId1656" Type="http://schemas.openxmlformats.org/officeDocument/2006/relationships/hyperlink" Target="https://statiz.sporki.com/add/?m=draft_school02&amp;ps_school=" TargetMode="External"/><Relationship Id="rId14070" Type="http://schemas.openxmlformats.org/officeDocument/2006/relationships/hyperlink" Target="https://statiz.sporki.com/player/?m=playerinfo&amp;p_no=10189" TargetMode="External"/><Relationship Id="rId1309" Type="http://schemas.openxmlformats.org/officeDocument/2006/relationships/hyperlink" Target="https://statiz.sporki.com/player/?m=playerinfo&amp;p_no=14750" TargetMode="External"/><Relationship Id="rId4879" Type="http://schemas.openxmlformats.org/officeDocument/2006/relationships/hyperlink" Target="https://statiz.sporki.com/player/?m=playerinfo&amp;p_no=10830" TargetMode="External"/><Relationship Id="rId9801" Type="http://schemas.openxmlformats.org/officeDocument/2006/relationships/hyperlink" Target="https://statiz.sporki.com/add/?m=draft_school02&amp;ps_school=60111" TargetMode="External"/><Relationship Id="rId10680" Type="http://schemas.openxmlformats.org/officeDocument/2006/relationships/hyperlink" Target="https://statiz.sporki.com/add/?m=draft_school02&amp;ps_school=60104" TargetMode="External"/><Relationship Id="rId17293" Type="http://schemas.openxmlformats.org/officeDocument/2006/relationships/hyperlink" Target="https://statiz.sporki.com/add/?m=draft_school01&amp;ps_school=50301" TargetMode="External"/><Relationship Id="rId15" Type="http://schemas.openxmlformats.org/officeDocument/2006/relationships/hyperlink" Target="https://statiz.sporki.com/add/?m=draft_school02&amp;ps_school=" TargetMode="External"/><Relationship Id="rId7352" Type="http://schemas.openxmlformats.org/officeDocument/2006/relationships/hyperlink" Target="https://statiz.sporki.com/add/?m=draft_school01&amp;ps_school=50107" TargetMode="External"/><Relationship Id="rId10333" Type="http://schemas.openxmlformats.org/officeDocument/2006/relationships/hyperlink" Target="https://statiz.sporki.com/player/?m=playerinfo&amp;p_no=1643" TargetMode="External"/><Relationship Id="rId7005" Type="http://schemas.openxmlformats.org/officeDocument/2006/relationships/hyperlink" Target="https://statiz.sporki.com/add/?m=draft_school02&amp;ps_school=" TargetMode="External"/><Relationship Id="rId3615" Type="http://schemas.openxmlformats.org/officeDocument/2006/relationships/hyperlink" Target="https://statiz.sporki.com/add/?m=draft_school02&amp;ps_school=" TargetMode="External"/><Relationship Id="rId3962" Type="http://schemas.openxmlformats.org/officeDocument/2006/relationships/hyperlink" Target="https://statiz.sporki.com/add/?m=draft_school01&amp;ps_school=" TargetMode="External"/><Relationship Id="rId13556" Type="http://schemas.openxmlformats.org/officeDocument/2006/relationships/hyperlink" Target="https://statiz.sporki.com/player/?m=playerinfo&amp;p_no=11406" TargetMode="External"/><Relationship Id="rId1166" Type="http://schemas.openxmlformats.org/officeDocument/2006/relationships/hyperlink" Target="https://statiz.sporki.com/add/?m=draft_school01&amp;ps_school=50114" TargetMode="External"/><Relationship Id="rId13209" Type="http://schemas.openxmlformats.org/officeDocument/2006/relationships/hyperlink" Target="https://statiz.sporki.com/player/?m=playerinfo&amp;p_no=12637" TargetMode="External"/><Relationship Id="rId16779" Type="http://schemas.openxmlformats.org/officeDocument/2006/relationships/hyperlink" Target="https://statiz.sporki.com/add/?m=draft_school01&amp;ps_school=50502" TargetMode="External"/><Relationship Id="rId4389" Type="http://schemas.openxmlformats.org/officeDocument/2006/relationships/hyperlink" Target="https://statiz.sporki.com/add/?m=draft_school02&amp;ps_school=61103" TargetMode="External"/><Relationship Id="rId6838" Type="http://schemas.openxmlformats.org/officeDocument/2006/relationships/hyperlink" Target="https://statiz.sporki.com/player/?m=playerinfo&amp;p_no=2366" TargetMode="External"/><Relationship Id="rId19252" Type="http://schemas.openxmlformats.org/officeDocument/2006/relationships/hyperlink" Target="https://statiz.sporki.com/add/?m=draft_school01&amp;ps_school=50607" TargetMode="External"/><Relationship Id="rId9311" Type="http://schemas.openxmlformats.org/officeDocument/2006/relationships/hyperlink" Target="https://statiz.sporki.com/add/?m=draft_school01&amp;ps_school=50701" TargetMode="External"/><Relationship Id="rId10190" Type="http://schemas.openxmlformats.org/officeDocument/2006/relationships/hyperlink" Target="https://statiz.sporki.com/add/?m=draft_school01&amp;ps_school=50113" TargetMode="External"/><Relationship Id="rId15862" Type="http://schemas.openxmlformats.org/officeDocument/2006/relationships/hyperlink" Target="https://statiz.sporki.com/player/?m=playerinfo&amp;p_no=1327" TargetMode="External"/><Relationship Id="rId5921" Type="http://schemas.openxmlformats.org/officeDocument/2006/relationships/hyperlink" Target="https://statiz.sporki.com/add/?m=draft_school01&amp;ps_school=50303" TargetMode="External"/><Relationship Id="rId15515" Type="http://schemas.openxmlformats.org/officeDocument/2006/relationships/hyperlink" Target="https://statiz.sporki.com/player/?m=playerinfo&amp;p_no=1590" TargetMode="External"/><Relationship Id="rId3472" Type="http://schemas.openxmlformats.org/officeDocument/2006/relationships/hyperlink" Target="https://statiz.sporki.com/player/?m=playerinfo&amp;p_no=12643" TargetMode="External"/><Relationship Id="rId13066" Type="http://schemas.openxmlformats.org/officeDocument/2006/relationships/hyperlink" Target="https://statiz.sporki.com/player/?m=playerinfo&amp;p_no=12937" TargetMode="External"/><Relationship Id="rId3125" Type="http://schemas.openxmlformats.org/officeDocument/2006/relationships/hyperlink" Target="https://statiz.sporki.com/add/?m=draft_school01&amp;ps_school=50114" TargetMode="External"/><Relationship Id="rId6695" Type="http://schemas.openxmlformats.org/officeDocument/2006/relationships/hyperlink" Target="https://statiz.sporki.com/add/?m=draft_school01&amp;ps_school=50108" TargetMode="External"/><Relationship Id="rId16289" Type="http://schemas.openxmlformats.org/officeDocument/2006/relationships/hyperlink" Target="https://statiz.sporki.com/add/?m=draft_school01&amp;ps_school=50209" TargetMode="External"/><Relationship Id="rId18738" Type="http://schemas.openxmlformats.org/officeDocument/2006/relationships/hyperlink" Target="https://statiz.sporki.com/add/?m=draft_school01&amp;ps_school=50804" TargetMode="External"/><Relationship Id="rId6348" Type="http://schemas.openxmlformats.org/officeDocument/2006/relationships/hyperlink" Target="https://statiz.sporki.com/add/?m=draft_school02&amp;ps_school=60704" TargetMode="External"/><Relationship Id="rId12899" Type="http://schemas.openxmlformats.org/officeDocument/2006/relationships/hyperlink" Target="https://statiz.sporki.com/player/?m=playerinfo&amp;p_no=14195" TargetMode="External"/><Relationship Id="rId17821" Type="http://schemas.openxmlformats.org/officeDocument/2006/relationships/hyperlink" Target="https://statiz.sporki.com/add/?m=draft_school01&amp;ps_school=50114" TargetMode="External"/><Relationship Id="rId2958" Type="http://schemas.openxmlformats.org/officeDocument/2006/relationships/hyperlink" Target="https://statiz.sporki.com/add/?m=draft_school02&amp;ps_school=" TargetMode="External"/><Relationship Id="rId15372" Type="http://schemas.openxmlformats.org/officeDocument/2006/relationships/hyperlink" Target="https://statiz.sporki.com/player/?m=playerinfo&amp;p_no=1777" TargetMode="External"/><Relationship Id="rId5431" Type="http://schemas.openxmlformats.org/officeDocument/2006/relationships/hyperlink" Target="https://statiz.sporki.com/player/?m=playerinfo&amp;p_no=10934" TargetMode="External"/><Relationship Id="rId15025" Type="http://schemas.openxmlformats.org/officeDocument/2006/relationships/hyperlink" Target="https://statiz.sporki.com/player/?m=playerinfo&amp;p_no=1987" TargetMode="External"/><Relationship Id="rId18595" Type="http://schemas.openxmlformats.org/officeDocument/2006/relationships/hyperlink" Target="https://statiz.sporki.com/add/?m=draft_school01&amp;ps_school=50803" TargetMode="External"/><Relationship Id="rId8654" Type="http://schemas.openxmlformats.org/officeDocument/2006/relationships/hyperlink" Target="https://statiz.sporki.com/add/?m=draft_school01&amp;ps_school=50114" TargetMode="External"/><Relationship Id="rId11982" Type="http://schemas.openxmlformats.org/officeDocument/2006/relationships/hyperlink" Target="https://statiz.sporki.com/add/?m=draft_school02&amp;ps_school=60703" TargetMode="External"/><Relationship Id="rId18248" Type="http://schemas.openxmlformats.org/officeDocument/2006/relationships/hyperlink" Target="https://statiz.sporki.com/add/?m=draft_school01&amp;ps_school=50606" TargetMode="External"/><Relationship Id="rId8307" Type="http://schemas.openxmlformats.org/officeDocument/2006/relationships/hyperlink" Target="https://statiz.sporki.com/add/?m=draft_school02&amp;ps_school=60114" TargetMode="External"/><Relationship Id="rId11635" Type="http://schemas.openxmlformats.org/officeDocument/2006/relationships/hyperlink" Target="https://statiz.sporki.com/player/?m=playerinfo&amp;p_no=1173" TargetMode="External"/><Relationship Id="rId14858" Type="http://schemas.openxmlformats.org/officeDocument/2006/relationships/hyperlink" Target="https://statiz.sporki.com/player/?m=playerinfo&amp;p_no=2279" TargetMode="External"/><Relationship Id="rId4917" Type="http://schemas.openxmlformats.org/officeDocument/2006/relationships/hyperlink" Target="https://statiz.sporki.com/add/?m=draft_school02&amp;ps_school=" TargetMode="External"/><Relationship Id="rId17331" Type="http://schemas.openxmlformats.org/officeDocument/2006/relationships/hyperlink" Target="https://statiz.sporki.com/add/?m=draft_school01&amp;ps_school=50110" TargetMode="External"/><Relationship Id="rId787" Type="http://schemas.openxmlformats.org/officeDocument/2006/relationships/hyperlink" Target="https://statiz.sporki.com/player/?m=playerinfo&amp;p_no=15033" TargetMode="External"/><Relationship Id="rId2468" Type="http://schemas.openxmlformats.org/officeDocument/2006/relationships/hyperlink" Target="https://statiz.sporki.com/add/?m=draft_school01&amp;ps_school=50501" TargetMode="External"/><Relationship Id="rId13941" Type="http://schemas.openxmlformats.org/officeDocument/2006/relationships/hyperlink" Target="https://statiz.sporki.com/player/?m=playerinfo&amp;p_no=10775" TargetMode="External"/><Relationship Id="rId11492" Type="http://schemas.openxmlformats.org/officeDocument/2006/relationships/hyperlink" Target="https://statiz.sporki.com/add/?m=draft_school01&amp;ps_school=50711" TargetMode="External"/><Relationship Id="rId1551" Type="http://schemas.openxmlformats.org/officeDocument/2006/relationships/hyperlink" Target="https://statiz.sporki.com/add/?m=draft_school02&amp;ps_school=60801" TargetMode="External"/><Relationship Id="rId8164" Type="http://schemas.openxmlformats.org/officeDocument/2006/relationships/hyperlink" Target="https://statiz.sporki.com/player/?m=playerinfo&amp;p_no=10254" TargetMode="External"/><Relationship Id="rId11145" Type="http://schemas.openxmlformats.org/officeDocument/2006/relationships/hyperlink" Target="https://statiz.sporki.com/add/?m=draft_school02&amp;ps_school=60111" TargetMode="External"/><Relationship Id="rId1204" Type="http://schemas.openxmlformats.org/officeDocument/2006/relationships/hyperlink" Target="https://statiz.sporki.com/player/?m=playerinfo&amp;p_no=14829" TargetMode="External"/><Relationship Id="rId4774" Type="http://schemas.openxmlformats.org/officeDocument/2006/relationships/hyperlink" Target="https://statiz.sporki.com/player/?m=playerinfo&amp;p_no=10825" TargetMode="External"/><Relationship Id="rId14368" Type="http://schemas.openxmlformats.org/officeDocument/2006/relationships/hyperlink" Target="https://statiz.sporki.com/player/?m=playerinfo&amp;p_no=10477" TargetMode="External"/><Relationship Id="rId16817" Type="http://schemas.openxmlformats.org/officeDocument/2006/relationships/hyperlink" Target="https://statiz.sporki.com/add/?m=draft_school01&amp;ps_school=50705" TargetMode="External"/><Relationship Id="rId4427" Type="http://schemas.openxmlformats.org/officeDocument/2006/relationships/hyperlink" Target="https://statiz.sporki.com/add/?m=draft_school01&amp;ps_school=50111" TargetMode="External"/><Relationship Id="rId297" Type="http://schemas.openxmlformats.org/officeDocument/2006/relationships/hyperlink" Target="https://statiz.sporki.com/add/?m=draft_school02&amp;ps_school=60804" TargetMode="External"/><Relationship Id="rId7997" Type="http://schemas.openxmlformats.org/officeDocument/2006/relationships/hyperlink" Target="https://statiz.sporki.com/add/?m=draft_school01&amp;ps_school=" TargetMode="External"/><Relationship Id="rId10978" Type="http://schemas.openxmlformats.org/officeDocument/2006/relationships/hyperlink" Target="https://statiz.sporki.com/player/?m=playerinfo&amp;p_no=1411" TargetMode="External"/><Relationship Id="rId15900" Type="http://schemas.openxmlformats.org/officeDocument/2006/relationships/hyperlink" Target="https://statiz.sporki.com/player/?m=playerinfo&amp;p_no=1247" TargetMode="External"/><Relationship Id="rId13451" Type="http://schemas.openxmlformats.org/officeDocument/2006/relationships/hyperlink" Target="https://statiz.sporki.com/player/?m=playerinfo&amp;p_no=11380" TargetMode="External"/><Relationship Id="rId3510" Type="http://schemas.openxmlformats.org/officeDocument/2006/relationships/hyperlink" Target="https://statiz.sporki.com/add/?m=draft_school02&amp;ps_school=" TargetMode="External"/><Relationship Id="rId13104" Type="http://schemas.openxmlformats.org/officeDocument/2006/relationships/hyperlink" Target="https://statiz.sporki.com/player/?m=playerinfo&amp;p_no=12872" TargetMode="External"/><Relationship Id="rId16674" Type="http://schemas.openxmlformats.org/officeDocument/2006/relationships/hyperlink" Target="https://statiz.sporki.com/add/?m=draft_school01&amp;ps_school=50116" TargetMode="External"/><Relationship Id="rId1061" Type="http://schemas.openxmlformats.org/officeDocument/2006/relationships/hyperlink" Target="https://statiz.sporki.com/add/?m=draft_school01&amp;ps_school=50209" TargetMode="External"/><Relationship Id="rId6733" Type="http://schemas.openxmlformats.org/officeDocument/2006/relationships/hyperlink" Target="https://statiz.sporki.com/player/?m=playerinfo&amp;p_no=10852" TargetMode="External"/><Relationship Id="rId16327" Type="http://schemas.openxmlformats.org/officeDocument/2006/relationships/hyperlink" Target="https://statiz.sporki.com/add/?m=draft_school01&amp;ps_school=50209" TargetMode="External"/><Relationship Id="rId4284" Type="http://schemas.openxmlformats.org/officeDocument/2006/relationships/hyperlink" Target="https://statiz.sporki.com/add/?m=draft_school02&amp;ps_school=" TargetMode="External"/><Relationship Id="rId9956" Type="http://schemas.openxmlformats.org/officeDocument/2006/relationships/hyperlink" Target="https://statiz.sporki.com/add/?m=draft_school01&amp;ps_school=50901" TargetMode="External"/><Relationship Id="rId9609" Type="http://schemas.openxmlformats.org/officeDocument/2006/relationships/hyperlink" Target="https://statiz.sporki.com/add/?m=draft_school02&amp;ps_school=60803" TargetMode="External"/><Relationship Id="rId12937" Type="http://schemas.openxmlformats.org/officeDocument/2006/relationships/hyperlink" Target="https://statiz.sporki.com/player/?m=playerinfo&amp;p_no=13105" TargetMode="External"/><Relationship Id="rId10488" Type="http://schemas.openxmlformats.org/officeDocument/2006/relationships/hyperlink" Target="https://statiz.sporki.com/add/?m=draft_school02&amp;ps_school=" TargetMode="External"/><Relationship Id="rId15410" Type="http://schemas.openxmlformats.org/officeDocument/2006/relationships/hyperlink" Target="https://statiz.sporki.com/player/?m=playerinfo&amp;p_no=12722" TargetMode="External"/><Relationship Id="rId18980" Type="http://schemas.openxmlformats.org/officeDocument/2006/relationships/hyperlink" Target="https://statiz.sporki.com/add/?m=draft_school01&amp;ps_school=50903" TargetMode="External"/><Relationship Id="rId3020" Type="http://schemas.openxmlformats.org/officeDocument/2006/relationships/hyperlink" Target="https://statiz.sporki.com/add/?m=draft_school01&amp;ps_school=50503" TargetMode="External"/><Relationship Id="rId18633" Type="http://schemas.openxmlformats.org/officeDocument/2006/relationships/hyperlink" Target="https://statiz.sporki.com/add/?m=draft_school01&amp;ps_school=50502" TargetMode="External"/><Relationship Id="rId6590" Type="http://schemas.openxmlformats.org/officeDocument/2006/relationships/hyperlink" Target="https://statiz.sporki.com/add/?m=draft_school01&amp;ps_school=50802" TargetMode="External"/><Relationship Id="rId16184" Type="http://schemas.openxmlformats.org/officeDocument/2006/relationships/hyperlink" Target="https://statiz.sporki.com/player/?m=playerinfo&amp;p_no=1030" TargetMode="External"/><Relationship Id="rId6243" Type="http://schemas.openxmlformats.org/officeDocument/2006/relationships/hyperlink" Target="https://statiz.sporki.com/add/?m=draft_school02&amp;ps_school=60101" TargetMode="External"/><Relationship Id="rId12794" Type="http://schemas.openxmlformats.org/officeDocument/2006/relationships/hyperlink" Target="https://statiz.sporki.com/player/?m=playerinfo&amp;p_no=14162" TargetMode="External"/><Relationship Id="rId2853" Type="http://schemas.openxmlformats.org/officeDocument/2006/relationships/hyperlink" Target="https://statiz.sporki.com/add/?m=draft_school02&amp;ps_school=60501" TargetMode="External"/><Relationship Id="rId9466" Type="http://schemas.openxmlformats.org/officeDocument/2006/relationships/hyperlink" Target="https://statiz.sporki.com/player/?m=playerinfo&amp;p_no=1821" TargetMode="External"/><Relationship Id="rId12447" Type="http://schemas.openxmlformats.org/officeDocument/2006/relationships/hyperlink" Target="https://statiz.sporki.com/player/?m=playerinfo&amp;p_no=15133" TargetMode="External"/><Relationship Id="rId825" Type="http://schemas.openxmlformats.org/officeDocument/2006/relationships/hyperlink" Target="https://statiz.sporki.com/add/?m=draft_school02&amp;ps_school=" TargetMode="External"/><Relationship Id="rId2506" Type="http://schemas.openxmlformats.org/officeDocument/2006/relationships/hyperlink" Target="https://statiz.sporki.com/player/?m=playerinfo&amp;p_no=13109" TargetMode="External"/><Relationship Id="rId9119" Type="http://schemas.openxmlformats.org/officeDocument/2006/relationships/hyperlink" Target="https://statiz.sporki.com/add/?m=draft_school01&amp;ps_school=50208" TargetMode="External"/><Relationship Id="rId18490" Type="http://schemas.openxmlformats.org/officeDocument/2006/relationships/hyperlink" Target="https://statiz.sporki.com/add/?m=draft_school01&amp;ps_school=50209" TargetMode="External"/><Relationship Id="rId5729" Type="http://schemas.openxmlformats.org/officeDocument/2006/relationships/hyperlink" Target="https://statiz.sporki.com/add/?m=draft_school01&amp;ps_school=50703" TargetMode="External"/><Relationship Id="rId8202" Type="http://schemas.openxmlformats.org/officeDocument/2006/relationships/hyperlink" Target="https://statiz.sporki.com/add/?m=draft_school02&amp;ps_school=60109" TargetMode="External"/><Relationship Id="rId11530" Type="http://schemas.openxmlformats.org/officeDocument/2006/relationships/hyperlink" Target="https://statiz.sporki.com/player/?m=playerinfo&amp;p_no=1232" TargetMode="External"/><Relationship Id="rId18143" Type="http://schemas.openxmlformats.org/officeDocument/2006/relationships/hyperlink" Target="https://statiz.sporki.com/add/?m=draft_school01&amp;ps_school=50601" TargetMode="External"/><Relationship Id="rId14753" Type="http://schemas.openxmlformats.org/officeDocument/2006/relationships/hyperlink" Target="https://statiz.sporki.com/player/?m=playerinfo&amp;p_no=10502" TargetMode="External"/><Relationship Id="rId4812" Type="http://schemas.openxmlformats.org/officeDocument/2006/relationships/hyperlink" Target="https://statiz.sporki.com/add/?m=draft_school02&amp;ps_school=" TargetMode="External"/><Relationship Id="rId14406" Type="http://schemas.openxmlformats.org/officeDocument/2006/relationships/hyperlink" Target="https://statiz.sporki.com/player/?m=playerinfo&amp;p_no=10347" TargetMode="External"/><Relationship Id="rId682" Type="http://schemas.openxmlformats.org/officeDocument/2006/relationships/hyperlink" Target="https://statiz.sporki.com/player/?m=playerinfo&amp;p_no=15018" TargetMode="External"/><Relationship Id="rId2363" Type="http://schemas.openxmlformats.org/officeDocument/2006/relationships/hyperlink" Target="https://statiz.sporki.com/add/?m=draft_school01&amp;ps_school=50802" TargetMode="External"/><Relationship Id="rId17976" Type="http://schemas.openxmlformats.org/officeDocument/2006/relationships/hyperlink" Target="https://statiz.sporki.com/add/?m=draft_school01&amp;ps_school=50114" TargetMode="External"/><Relationship Id="rId335" Type="http://schemas.openxmlformats.org/officeDocument/2006/relationships/hyperlink" Target="https://statiz.sporki.com/add/?m=draft_school01&amp;ps_school=" TargetMode="External"/><Relationship Id="rId2016" Type="http://schemas.openxmlformats.org/officeDocument/2006/relationships/hyperlink" Target="https://statiz.sporki.com/add/?m=draft_school02&amp;ps_school=60101" TargetMode="External"/><Relationship Id="rId5586" Type="http://schemas.openxmlformats.org/officeDocument/2006/relationships/hyperlink" Target="https://statiz.sporki.com/add/?m=draft_school02&amp;ps_school=60114" TargetMode="External"/><Relationship Id="rId17629" Type="http://schemas.openxmlformats.org/officeDocument/2006/relationships/hyperlink" Target="https://statiz.sporki.com/add/?m=draft_school01&amp;ps_school=50602" TargetMode="External"/><Relationship Id="rId5239" Type="http://schemas.openxmlformats.org/officeDocument/2006/relationships/hyperlink" Target="https://statiz.sporki.com/player/?m=playerinfo&amp;p_no=10761" TargetMode="External"/><Relationship Id="rId11040" Type="http://schemas.openxmlformats.org/officeDocument/2006/relationships/hyperlink" Target="https://statiz.sporki.com/add/?m=draft_school02&amp;ps_school=60803" TargetMode="External"/><Relationship Id="rId16712" Type="http://schemas.openxmlformats.org/officeDocument/2006/relationships/hyperlink" Target="https://statiz.sporki.com/add/?m=draft_school01&amp;ps_school=50211" TargetMode="External"/><Relationship Id="rId1849" Type="http://schemas.openxmlformats.org/officeDocument/2006/relationships/hyperlink" Target="https://statiz.sporki.com/player/?m=playerinfo&amp;p_no=14106" TargetMode="External"/><Relationship Id="rId14263" Type="http://schemas.openxmlformats.org/officeDocument/2006/relationships/hyperlink" Target="https://statiz.sporki.com/player/?m=playerinfo&amp;p_no=10547" TargetMode="External"/><Relationship Id="rId192" Type="http://schemas.openxmlformats.org/officeDocument/2006/relationships/hyperlink" Target="https://statiz.sporki.com/add/?m=draft_school02&amp;ps_school=" TargetMode="External"/><Relationship Id="rId4322" Type="http://schemas.openxmlformats.org/officeDocument/2006/relationships/hyperlink" Target="https://statiz.sporki.com/add/?m=draft_school01&amp;ps_school=51001" TargetMode="External"/><Relationship Id="rId7892" Type="http://schemas.openxmlformats.org/officeDocument/2006/relationships/hyperlink" Target="https://statiz.sporki.com/add/?m=draft_school01&amp;ps_school=50106" TargetMode="External"/><Relationship Id="rId10873" Type="http://schemas.openxmlformats.org/officeDocument/2006/relationships/hyperlink" Target="https://statiz.sporki.com/player/?m=playerinfo&amp;p_no=1374" TargetMode="External"/><Relationship Id="rId17486" Type="http://schemas.openxmlformats.org/officeDocument/2006/relationships/hyperlink" Target="https://statiz.sporki.com/add/?m=draft_school01&amp;ps_school=50207" TargetMode="External"/><Relationship Id="rId7545" Type="http://schemas.openxmlformats.org/officeDocument/2006/relationships/hyperlink" Target="https://statiz.sporki.com/add/?m=draft_school02&amp;ps_school=60111" TargetMode="External"/><Relationship Id="rId10526" Type="http://schemas.openxmlformats.org/officeDocument/2006/relationships/hyperlink" Target="https://statiz.sporki.com/add/?m=draft_school01&amp;ps_school=50608" TargetMode="External"/><Relationship Id="rId17139" Type="http://schemas.openxmlformats.org/officeDocument/2006/relationships/hyperlink" Target="https://statiz.sporki.com/add/?m=draft_school01&amp;ps_school=50208" TargetMode="External"/><Relationship Id="rId5096" Type="http://schemas.openxmlformats.org/officeDocument/2006/relationships/hyperlink" Target="https://statiz.sporki.com/add/?m=draft_school01&amp;ps_school=50802" TargetMode="External"/><Relationship Id="rId13749" Type="http://schemas.openxmlformats.org/officeDocument/2006/relationships/hyperlink" Target="https://statiz.sporki.com/player/?m=playerinfo&amp;p_no=10847" TargetMode="External"/><Relationship Id="rId1359" Type="http://schemas.openxmlformats.org/officeDocument/2006/relationships/hyperlink" Target="https://statiz.sporki.com/add/?m=draft_school02&amp;ps_school=60102" TargetMode="External"/><Relationship Id="rId3808" Type="http://schemas.openxmlformats.org/officeDocument/2006/relationships/hyperlink" Target="https://statiz.sporki.com/player/?m=playerinfo&amp;p_no=11377" TargetMode="External"/><Relationship Id="rId16222" Type="http://schemas.openxmlformats.org/officeDocument/2006/relationships/hyperlink" Target="https://statiz.sporki.com/add/?m=draft_school01&amp;ps_school=50110" TargetMode="External"/><Relationship Id="rId9851" Type="http://schemas.openxmlformats.org/officeDocument/2006/relationships/hyperlink" Target="https://statiz.sporki.com/add/?m=draft_school01&amp;ps_school=50114" TargetMode="External"/><Relationship Id="rId12832" Type="http://schemas.openxmlformats.org/officeDocument/2006/relationships/hyperlink" Target="https://statiz.sporki.com/player/?m=playerinfo&amp;p_no=14677" TargetMode="External"/><Relationship Id="rId19445" Type="http://schemas.openxmlformats.org/officeDocument/2006/relationships/hyperlink" Target="https://statiz.sporki.com/add/?m=draft_school01&amp;ps_school=50110" TargetMode="External"/><Relationship Id="rId65" Type="http://schemas.openxmlformats.org/officeDocument/2006/relationships/hyperlink" Target="https://statiz.sporki.com/add/?m=draft_school01&amp;ps_school=50116" TargetMode="External"/><Relationship Id="rId9504" Type="http://schemas.openxmlformats.org/officeDocument/2006/relationships/hyperlink" Target="https://statiz.sporki.com/add/?m=draft_school02&amp;ps_school=" TargetMode="External"/><Relationship Id="rId10383" Type="http://schemas.openxmlformats.org/officeDocument/2006/relationships/hyperlink" Target="https://statiz.sporki.com/add/?m=draft_school02&amp;ps_school=60101" TargetMode="External"/><Relationship Id="rId7055" Type="http://schemas.openxmlformats.org/officeDocument/2006/relationships/hyperlink" Target="https://statiz.sporki.com/add/?m=draft_school01&amp;ps_school=" TargetMode="External"/><Relationship Id="rId10036" Type="http://schemas.openxmlformats.org/officeDocument/2006/relationships/hyperlink" Target="https://statiz.sporki.com/player/?m=playerinfo&amp;p_no=11468" TargetMode="External"/><Relationship Id="rId3665" Type="http://schemas.openxmlformats.org/officeDocument/2006/relationships/hyperlink" Target="https://statiz.sporki.com/add/?m=draft_school01&amp;ps_school=50101" TargetMode="External"/><Relationship Id="rId13259" Type="http://schemas.openxmlformats.org/officeDocument/2006/relationships/hyperlink" Target="https://statiz.sporki.com/player/?m=playerinfo&amp;p_no=12639" TargetMode="External"/><Relationship Id="rId15708" Type="http://schemas.openxmlformats.org/officeDocument/2006/relationships/hyperlink" Target="https://statiz.sporki.com/player/?m=playerinfo&amp;p_no=1455" TargetMode="External"/><Relationship Id="rId3318" Type="http://schemas.openxmlformats.org/officeDocument/2006/relationships/hyperlink" Target="https://statiz.sporki.com/add/?m=draft_school02&amp;ps_school=" TargetMode="External"/><Relationship Id="rId6888" Type="http://schemas.openxmlformats.org/officeDocument/2006/relationships/hyperlink" Target="https://statiz.sporki.com/add/?m=draft_school02&amp;ps_school=60703" TargetMode="External"/><Relationship Id="rId9361" Type="http://schemas.openxmlformats.org/officeDocument/2006/relationships/hyperlink" Target="https://statiz.sporki.com/player/?m=playerinfo&amp;p_no=1932" TargetMode="External"/><Relationship Id="rId9014" Type="http://schemas.openxmlformats.org/officeDocument/2006/relationships/hyperlink" Target="https://statiz.sporki.com/add/?m=draft_school01&amp;ps_school=50803" TargetMode="External"/><Relationship Id="rId12342" Type="http://schemas.openxmlformats.org/officeDocument/2006/relationships/hyperlink" Target="https://statiz.sporki.com/player/?m=playerinfo&amp;p_no=15082" TargetMode="External"/><Relationship Id="rId720" Type="http://schemas.openxmlformats.org/officeDocument/2006/relationships/hyperlink" Target="https://statiz.sporki.com/add/?m=draft_school02&amp;ps_school=" TargetMode="External"/><Relationship Id="rId2401" Type="http://schemas.openxmlformats.org/officeDocument/2006/relationships/hyperlink" Target="https://statiz.sporki.com/player/?m=playerinfo&amp;p_no=13148" TargetMode="External"/><Relationship Id="rId5971" Type="http://schemas.openxmlformats.org/officeDocument/2006/relationships/hyperlink" Target="https://statiz.sporki.com/player/?m=playerinfo&amp;p_no=11480" TargetMode="External"/><Relationship Id="rId15565" Type="http://schemas.openxmlformats.org/officeDocument/2006/relationships/hyperlink" Target="https://statiz.sporki.com/player/?m=playerinfo&amp;p_no=1735" TargetMode="External"/><Relationship Id="rId5624" Type="http://schemas.openxmlformats.org/officeDocument/2006/relationships/hyperlink" Target="https://statiz.sporki.com/add/?m=draft_school01&amp;ps_school=50115" TargetMode="External"/><Relationship Id="rId15218" Type="http://schemas.openxmlformats.org/officeDocument/2006/relationships/hyperlink" Target="https://statiz.sporki.com/player/?m=playerinfo&amp;p_no=1933" TargetMode="External"/><Relationship Id="rId18788" Type="http://schemas.openxmlformats.org/officeDocument/2006/relationships/hyperlink" Target="https://statiz.sporki.com/add/?m=draft_school01&amp;ps_school=50114" TargetMode="External"/><Relationship Id="rId3175" Type="http://schemas.openxmlformats.org/officeDocument/2006/relationships/hyperlink" Target="https://statiz.sporki.com/player/?m=playerinfo&amp;p_no=12570" TargetMode="External"/><Relationship Id="rId8847" Type="http://schemas.openxmlformats.org/officeDocument/2006/relationships/hyperlink" Target="https://statiz.sporki.com/add/?m=draft_school02&amp;ps_school=60113" TargetMode="External"/><Relationship Id="rId6398" Type="http://schemas.openxmlformats.org/officeDocument/2006/relationships/hyperlink" Target="https://statiz.sporki.com/add/?m=draft_school01&amp;ps_school=50904" TargetMode="External"/><Relationship Id="rId11828" Type="http://schemas.openxmlformats.org/officeDocument/2006/relationships/hyperlink" Target="https://statiz.sporki.com/add/?m=draft_school01&amp;ps_school=" TargetMode="External"/><Relationship Id="rId14301" Type="http://schemas.openxmlformats.org/officeDocument/2006/relationships/hyperlink" Target="https://statiz.sporki.com/player/?m=playerinfo&amp;p_no=10326" TargetMode="External"/><Relationship Id="rId17871" Type="http://schemas.openxmlformats.org/officeDocument/2006/relationships/hyperlink" Target="https://statiz.sporki.com/add/?m=draft_school01&amp;ps_school=50602" TargetMode="External"/><Relationship Id="rId230" Type="http://schemas.openxmlformats.org/officeDocument/2006/relationships/hyperlink" Target="https://statiz.sporki.com/add/?m=draft_school01&amp;ps_school=50110" TargetMode="External"/><Relationship Id="rId7930" Type="http://schemas.openxmlformats.org/officeDocument/2006/relationships/hyperlink" Target="https://statiz.sporki.com/player/?m=playerinfo&amp;p_no=2360" TargetMode="External"/><Relationship Id="rId10911" Type="http://schemas.openxmlformats.org/officeDocument/2006/relationships/hyperlink" Target="https://statiz.sporki.com/add/?m=draft_school02&amp;ps_school=" TargetMode="External"/><Relationship Id="rId17524" Type="http://schemas.openxmlformats.org/officeDocument/2006/relationships/hyperlink" Target="https://statiz.sporki.com/add/?m=draft_school01&amp;ps_school=50108" TargetMode="External"/><Relationship Id="rId5481" Type="http://schemas.openxmlformats.org/officeDocument/2006/relationships/hyperlink" Target="https://statiz.sporki.com/add/?m=draft_school02&amp;ps_school=60103" TargetMode="External"/><Relationship Id="rId15075" Type="http://schemas.openxmlformats.org/officeDocument/2006/relationships/hyperlink" Target="https://statiz.sporki.com/player/?m=playerinfo&amp;p_no=10032" TargetMode="External"/><Relationship Id="rId5134" Type="http://schemas.openxmlformats.org/officeDocument/2006/relationships/hyperlink" Target="https://statiz.sporki.com/player/?m=playerinfo&amp;p_no=11190" TargetMode="External"/><Relationship Id="rId11685" Type="http://schemas.openxmlformats.org/officeDocument/2006/relationships/hyperlink" Target="https://statiz.sporki.com/add/?m=draft_school02&amp;ps_school=60103" TargetMode="External"/><Relationship Id="rId18298" Type="http://schemas.openxmlformats.org/officeDocument/2006/relationships/hyperlink" Target="https://statiz.sporki.com/add/?m=draft_school01&amp;ps_school=50803" TargetMode="External"/><Relationship Id="rId1744" Type="http://schemas.openxmlformats.org/officeDocument/2006/relationships/hyperlink" Target="https://statiz.sporki.com/player/?m=playerinfo&amp;p_no=14629" TargetMode="External"/><Relationship Id="rId8357" Type="http://schemas.openxmlformats.org/officeDocument/2006/relationships/hyperlink" Target="https://statiz.sporki.com/add/?m=draft_school01&amp;ps_school=50401" TargetMode="External"/><Relationship Id="rId11338" Type="http://schemas.openxmlformats.org/officeDocument/2006/relationships/hyperlink" Target="https://statiz.sporki.com/player/?m=playerinfo&amp;p_no=1294" TargetMode="External"/><Relationship Id="rId4967" Type="http://schemas.openxmlformats.org/officeDocument/2006/relationships/hyperlink" Target="https://statiz.sporki.com/add/?m=draft_school01&amp;ps_school=50804" TargetMode="External"/><Relationship Id="rId17381" Type="http://schemas.openxmlformats.org/officeDocument/2006/relationships/hyperlink" Target="https://statiz.sporki.com/add/?m=draft_school01&amp;ps_school=50803" TargetMode="External"/><Relationship Id="rId7440" Type="http://schemas.openxmlformats.org/officeDocument/2006/relationships/hyperlink" Target="https://statiz.sporki.com/add/?m=draft_school02&amp;ps_school=60103" TargetMode="External"/><Relationship Id="rId17034" Type="http://schemas.openxmlformats.org/officeDocument/2006/relationships/hyperlink" Target="https://statiz.sporki.com/add/?m=draft_school01&amp;ps_school=50108" TargetMode="External"/><Relationship Id="rId10421" Type="http://schemas.openxmlformats.org/officeDocument/2006/relationships/hyperlink" Target="https://statiz.sporki.com/add/?m=draft_school01&amp;ps_school=50814" TargetMode="External"/><Relationship Id="rId13991" Type="http://schemas.openxmlformats.org/officeDocument/2006/relationships/hyperlink" Target="https://statiz.sporki.com/player/?m=playerinfo&amp;p_no=10324" TargetMode="External"/><Relationship Id="rId13644" Type="http://schemas.openxmlformats.org/officeDocument/2006/relationships/hyperlink" Target="https://statiz.sporki.com/player/?m=playerinfo&amp;p_no=11118" TargetMode="External"/><Relationship Id="rId3703" Type="http://schemas.openxmlformats.org/officeDocument/2006/relationships/hyperlink" Target="https://statiz.sporki.com/player/?m=playerinfo&amp;p_no=11407" TargetMode="External"/><Relationship Id="rId11195" Type="http://schemas.openxmlformats.org/officeDocument/2006/relationships/hyperlink" Target="https://statiz.sporki.com/add/?m=draft_school01&amp;ps_school=50112" TargetMode="External"/><Relationship Id="rId16867" Type="http://schemas.openxmlformats.org/officeDocument/2006/relationships/hyperlink" Target="https://statiz.sporki.com/add/?m=draft_school01&amp;ps_school=50403" TargetMode="External"/><Relationship Id="rId1254" Type="http://schemas.openxmlformats.org/officeDocument/2006/relationships/hyperlink" Target="https://statiz.sporki.com/add/?m=draft_school02&amp;ps_school=" TargetMode="External"/><Relationship Id="rId6926" Type="http://schemas.openxmlformats.org/officeDocument/2006/relationships/hyperlink" Target="https://statiz.sporki.com/add/?m=draft_school01&amp;ps_school=50403" TargetMode="External"/><Relationship Id="rId19340" Type="http://schemas.openxmlformats.org/officeDocument/2006/relationships/hyperlink" Target="https://statiz.sporki.com/add/?m=draft_school01&amp;ps_school=50502" TargetMode="External"/><Relationship Id="rId4477" Type="http://schemas.openxmlformats.org/officeDocument/2006/relationships/hyperlink" Target="https://statiz.sporki.com/player/?m=playerinfo&amp;p_no=11425" TargetMode="External"/><Relationship Id="rId15950" Type="http://schemas.openxmlformats.org/officeDocument/2006/relationships/hyperlink" Target="https://statiz.sporki.com/player/?m=playerinfo&amp;p_no=1268" TargetMode="External"/><Relationship Id="rId15603" Type="http://schemas.openxmlformats.org/officeDocument/2006/relationships/hyperlink" Target="https://statiz.sporki.com/player/?m=playerinfo&amp;p_no=1557" TargetMode="External"/><Relationship Id="rId3560" Type="http://schemas.openxmlformats.org/officeDocument/2006/relationships/hyperlink" Target="https://statiz.sporki.com/add/?m=draft_school01&amp;ps_school=50403" TargetMode="External"/><Relationship Id="rId13154" Type="http://schemas.openxmlformats.org/officeDocument/2006/relationships/hyperlink" Target="https://statiz.sporki.com/player/?m=playerinfo&amp;p_no=12864" TargetMode="External"/><Relationship Id="rId18826" Type="http://schemas.openxmlformats.org/officeDocument/2006/relationships/hyperlink" Target="https://statiz.sporki.com/add/?m=draft_school01&amp;ps_school=50604" TargetMode="External"/><Relationship Id="rId3213" Type="http://schemas.openxmlformats.org/officeDocument/2006/relationships/hyperlink" Target="https://statiz.sporki.com/add/?m=draft_school02&amp;ps_school=" TargetMode="External"/><Relationship Id="rId6783" Type="http://schemas.openxmlformats.org/officeDocument/2006/relationships/hyperlink" Target="https://statiz.sporki.com/add/?m=draft_school02&amp;ps_school=" TargetMode="External"/><Relationship Id="rId16377" Type="http://schemas.openxmlformats.org/officeDocument/2006/relationships/hyperlink" Target="https://statiz.sporki.com/add/?m=draft_school01&amp;ps_school=50202" TargetMode="External"/><Relationship Id="rId6436" Type="http://schemas.openxmlformats.org/officeDocument/2006/relationships/hyperlink" Target="https://statiz.sporki.com/player/?m=playerinfo&amp;p_no=2414" TargetMode="External"/><Relationship Id="rId9659" Type="http://schemas.openxmlformats.org/officeDocument/2006/relationships/hyperlink" Target="https://statiz.sporki.com/add/?m=draft_school01&amp;ps_school=50202" TargetMode="External"/><Relationship Id="rId12987" Type="http://schemas.openxmlformats.org/officeDocument/2006/relationships/hyperlink" Target="https://statiz.sporki.com/player/?m=playerinfo&amp;p_no=13110" TargetMode="External"/><Relationship Id="rId15460" Type="http://schemas.openxmlformats.org/officeDocument/2006/relationships/hyperlink" Target="https://statiz.sporki.com/player/?m=playerinfo&amp;p_no=1747" TargetMode="External"/><Relationship Id="rId15113" Type="http://schemas.openxmlformats.org/officeDocument/2006/relationships/hyperlink" Target="https://statiz.sporki.com/player/?m=playerinfo&amp;p_no=10291" TargetMode="External"/><Relationship Id="rId3070" Type="http://schemas.openxmlformats.org/officeDocument/2006/relationships/hyperlink" Target="https://statiz.sporki.com/player/?m=playerinfo&amp;p_no=12946" TargetMode="External"/><Relationship Id="rId18683" Type="http://schemas.openxmlformats.org/officeDocument/2006/relationships/hyperlink" Target="https://statiz.sporki.com/add/?m=draft_school01&amp;ps_school=50109" TargetMode="External"/><Relationship Id="rId6293" Type="http://schemas.openxmlformats.org/officeDocument/2006/relationships/hyperlink" Target="https://statiz.sporki.com/add/?m=draft_school01&amp;ps_school=50111" TargetMode="External"/><Relationship Id="rId8742" Type="http://schemas.openxmlformats.org/officeDocument/2006/relationships/hyperlink" Target="https://statiz.sporki.com/add/?m=draft_school02&amp;ps_school=" TargetMode="External"/><Relationship Id="rId11723" Type="http://schemas.openxmlformats.org/officeDocument/2006/relationships/hyperlink" Target="https://statiz.sporki.com/add/?m=draft_school01&amp;ps_school=50121" TargetMode="External"/><Relationship Id="rId18336" Type="http://schemas.openxmlformats.org/officeDocument/2006/relationships/hyperlink" Target="https://statiz.sporki.com/add/?m=draft_school01&amp;ps_school=50904" TargetMode="External"/><Relationship Id="rId14946" Type="http://schemas.openxmlformats.org/officeDocument/2006/relationships/hyperlink" Target="https://statiz.sporki.com/player/?m=playerinfo&amp;p_no=2272" TargetMode="External"/><Relationship Id="rId12497" Type="http://schemas.openxmlformats.org/officeDocument/2006/relationships/hyperlink" Target="https://statiz.sporki.com/player/?m=playerinfo&amp;p_no=14801" TargetMode="External"/><Relationship Id="rId875" Type="http://schemas.openxmlformats.org/officeDocument/2006/relationships/hyperlink" Target="https://statiz.sporki.com/add/?m=draft_school01&amp;ps_school=" TargetMode="External"/><Relationship Id="rId2556" Type="http://schemas.openxmlformats.org/officeDocument/2006/relationships/hyperlink" Target="https://statiz.sporki.com/add/?m=draft_school02&amp;ps_school=" TargetMode="External"/><Relationship Id="rId9169" Type="http://schemas.openxmlformats.org/officeDocument/2006/relationships/hyperlink" Target="https://statiz.sporki.com/player/?m=playerinfo&amp;p_no=1878" TargetMode="External"/><Relationship Id="rId528" Type="http://schemas.openxmlformats.org/officeDocument/2006/relationships/hyperlink" Target="https://statiz.sporki.com/add/?m=draft_school02&amp;ps_school=" TargetMode="External"/><Relationship Id="rId2209" Type="http://schemas.openxmlformats.org/officeDocument/2006/relationships/hyperlink" Target="https://statiz.sporki.com/player/?m=playerinfo&amp;p_no=14227" TargetMode="External"/><Relationship Id="rId5779" Type="http://schemas.openxmlformats.org/officeDocument/2006/relationships/hyperlink" Target="https://statiz.sporki.com/player/?m=playerinfo&amp;p_no=10134" TargetMode="External"/><Relationship Id="rId18193" Type="http://schemas.openxmlformats.org/officeDocument/2006/relationships/hyperlink" Target="https://statiz.sporki.com/add/?m=draft_school01&amp;ps_school=50702" TargetMode="External"/><Relationship Id="rId8252" Type="http://schemas.openxmlformats.org/officeDocument/2006/relationships/hyperlink" Target="https://statiz.sporki.com/add/?m=draft_school01&amp;ps_school=" TargetMode="External"/><Relationship Id="rId11580" Type="http://schemas.openxmlformats.org/officeDocument/2006/relationships/hyperlink" Target="https://statiz.sporki.com/add/?m=draft_school02&amp;ps_school=" TargetMode="External"/><Relationship Id="rId11233" Type="http://schemas.openxmlformats.org/officeDocument/2006/relationships/hyperlink" Target="https://statiz.sporki.com/player/?m=playerinfo&amp;p_no=1274" TargetMode="External"/><Relationship Id="rId16905" Type="http://schemas.openxmlformats.org/officeDocument/2006/relationships/hyperlink" Target="https://statiz.sporki.com/add/?m=draft_school01&amp;ps_school=50207" TargetMode="External"/><Relationship Id="rId4862" Type="http://schemas.openxmlformats.org/officeDocument/2006/relationships/hyperlink" Target="https://statiz.sporki.com/add/?m=draft_school01&amp;ps_school=50502" TargetMode="External"/><Relationship Id="rId14456" Type="http://schemas.openxmlformats.org/officeDocument/2006/relationships/hyperlink" Target="https://statiz.sporki.com/player/?m=playerinfo&amp;p_no=10445" TargetMode="External"/><Relationship Id="rId4515" Type="http://schemas.openxmlformats.org/officeDocument/2006/relationships/hyperlink" Target="https://statiz.sporki.com/add/?m=draft_school02&amp;ps_school=" TargetMode="External"/><Relationship Id="rId14109" Type="http://schemas.openxmlformats.org/officeDocument/2006/relationships/hyperlink" Target="https://statiz.sporki.com/player/?m=playerinfo&amp;p_no=10809" TargetMode="External"/><Relationship Id="rId17679" Type="http://schemas.openxmlformats.org/officeDocument/2006/relationships/hyperlink" Target="https://statiz.sporki.com/add/?m=draft_school01&amp;ps_school=50806" TargetMode="External"/><Relationship Id="rId385" Type="http://schemas.openxmlformats.org/officeDocument/2006/relationships/hyperlink" Target="https://statiz.sporki.com/player/?m=playerinfo&amp;p_no=15647" TargetMode="External"/><Relationship Id="rId2066" Type="http://schemas.openxmlformats.org/officeDocument/2006/relationships/hyperlink" Target="https://statiz.sporki.com/add/?m=draft_school01&amp;ps_school=50302" TargetMode="External"/><Relationship Id="rId7738" Type="http://schemas.openxmlformats.org/officeDocument/2006/relationships/hyperlink" Target="https://statiz.sporki.com/player/?m=playerinfo&amp;p_no=2178" TargetMode="External"/><Relationship Id="rId5289" Type="http://schemas.openxmlformats.org/officeDocument/2006/relationships/hyperlink" Target="https://statiz.sporki.com/add/?m=draft_school02&amp;ps_school=" TargetMode="External"/><Relationship Id="rId10719" Type="http://schemas.openxmlformats.org/officeDocument/2006/relationships/hyperlink" Target="https://statiz.sporki.com/add/?m=draft_school02&amp;ps_school=" TargetMode="External"/><Relationship Id="rId11090" Type="http://schemas.openxmlformats.org/officeDocument/2006/relationships/hyperlink" Target="https://statiz.sporki.com/add/?m=draft_school01&amp;ps_school=50109" TargetMode="External"/><Relationship Id="rId16762" Type="http://schemas.openxmlformats.org/officeDocument/2006/relationships/hyperlink" Target="https://statiz.sporki.com/add/?m=draft_school01&amp;ps_school=50110" TargetMode="External"/><Relationship Id="rId1899" Type="http://schemas.openxmlformats.org/officeDocument/2006/relationships/hyperlink" Target="https://statiz.sporki.com/add/?m=draft_school02&amp;ps_school=" TargetMode="External"/><Relationship Id="rId4372" Type="http://schemas.openxmlformats.org/officeDocument/2006/relationships/hyperlink" Target="https://statiz.sporki.com/player/?m=playerinfo&amp;p_no=11286" TargetMode="External"/><Relationship Id="rId6821" Type="http://schemas.openxmlformats.org/officeDocument/2006/relationships/hyperlink" Target="https://statiz.sporki.com/add/?m=draft_school01&amp;ps_school=50804" TargetMode="External"/><Relationship Id="rId16415" Type="http://schemas.openxmlformats.org/officeDocument/2006/relationships/hyperlink" Target="https://statiz.sporki.com/add/?m=draft_school01&amp;ps_school=50108" TargetMode="External"/><Relationship Id="rId4025" Type="http://schemas.openxmlformats.org/officeDocument/2006/relationships/hyperlink" Target="https://statiz.sporki.com/add/?m=draft_school01&amp;ps_school=50202" TargetMode="External"/><Relationship Id="rId19638" Type="http://schemas.openxmlformats.org/officeDocument/2006/relationships/hyperlink" Target="https://statiz.sporki.com/add/?m=draft_school01&amp;ps_school=50711" TargetMode="External"/><Relationship Id="rId7595" Type="http://schemas.openxmlformats.org/officeDocument/2006/relationships/hyperlink" Target="https://statiz.sporki.com/add/?m=draft_school01&amp;ps_school=50804" TargetMode="External"/><Relationship Id="rId10576" Type="http://schemas.openxmlformats.org/officeDocument/2006/relationships/hyperlink" Target="https://statiz.sporki.com/player/?m=playerinfo&amp;p_no=1424" TargetMode="External"/><Relationship Id="rId17189" Type="http://schemas.openxmlformats.org/officeDocument/2006/relationships/hyperlink" Target="https://statiz.sporki.com/add/?m=draft_school01&amp;ps_school=50107" TargetMode="External"/><Relationship Id="rId7248" Type="http://schemas.openxmlformats.org/officeDocument/2006/relationships/hyperlink" Target="https://statiz.sporki.com/add/?m=draft_school02&amp;ps_school=" TargetMode="External"/><Relationship Id="rId10229" Type="http://schemas.openxmlformats.org/officeDocument/2006/relationships/hyperlink" Target="https://statiz.sporki.com/add/?m=draft_school01&amp;ps_school=50702" TargetMode="External"/><Relationship Id="rId13799" Type="http://schemas.openxmlformats.org/officeDocument/2006/relationships/hyperlink" Target="https://statiz.sporki.com/player/?m=playerinfo&amp;p_no=10859" TargetMode="External"/><Relationship Id="rId3858" Type="http://schemas.openxmlformats.org/officeDocument/2006/relationships/hyperlink" Target="https://statiz.sporki.com/add/?m=draft_school02&amp;ps_school=60104" TargetMode="External"/><Relationship Id="rId16272" Type="http://schemas.openxmlformats.org/officeDocument/2006/relationships/hyperlink" Target="https://statiz.sporki.com/add/?m=draft_school01&amp;ps_school=50110" TargetMode="External"/><Relationship Id="rId18721" Type="http://schemas.openxmlformats.org/officeDocument/2006/relationships/hyperlink" Target="https://statiz.sporki.com/add/?m=draft_school01&amp;ps_school=50121" TargetMode="External"/><Relationship Id="rId6331" Type="http://schemas.openxmlformats.org/officeDocument/2006/relationships/hyperlink" Target="https://statiz.sporki.com/player/?m=playerinfo&amp;p_no=10363" TargetMode="External"/><Relationship Id="rId12882" Type="http://schemas.openxmlformats.org/officeDocument/2006/relationships/hyperlink" Target="https://statiz.sporki.com/player/?m=playerinfo&amp;p_no=13929" TargetMode="External"/><Relationship Id="rId19495" Type="http://schemas.openxmlformats.org/officeDocument/2006/relationships/hyperlink" Target="https://statiz.sporki.com/add/?m=draft_school01&amp;ps_school=50114" TargetMode="External"/><Relationship Id="rId2941" Type="http://schemas.openxmlformats.org/officeDocument/2006/relationships/hyperlink" Target="https://statiz.sporki.com/player/?m=playerinfo&amp;p_no=12929" TargetMode="External"/><Relationship Id="rId9207" Type="http://schemas.openxmlformats.org/officeDocument/2006/relationships/hyperlink" Target="https://statiz.sporki.com/add/?m=draft_school02&amp;ps_school=60104" TargetMode="External"/><Relationship Id="rId9554" Type="http://schemas.openxmlformats.org/officeDocument/2006/relationships/hyperlink" Target="https://statiz.sporki.com/add/?m=draft_school01&amp;ps_school=50501" TargetMode="External"/><Relationship Id="rId12535" Type="http://schemas.openxmlformats.org/officeDocument/2006/relationships/hyperlink" Target="https://statiz.sporki.com/player/?m=playerinfo&amp;p_no=14832" TargetMode="External"/><Relationship Id="rId19148" Type="http://schemas.openxmlformats.org/officeDocument/2006/relationships/hyperlink" Target="https://statiz.sporki.com/add/?m=draft_school01&amp;ps_school=50209" TargetMode="External"/><Relationship Id="rId913" Type="http://schemas.openxmlformats.org/officeDocument/2006/relationships/hyperlink" Target="https://statiz.sporki.com/player/?m=playerinfo&amp;p_no=15129" TargetMode="External"/><Relationship Id="rId10086" Type="http://schemas.openxmlformats.org/officeDocument/2006/relationships/hyperlink" Target="https://statiz.sporki.com/add/?m=draft_school02&amp;ps_school=60803" TargetMode="External"/><Relationship Id="rId15758" Type="http://schemas.openxmlformats.org/officeDocument/2006/relationships/hyperlink" Target="https://statiz.sporki.com/player/?m=playerinfo&amp;p_no=1406" TargetMode="External"/><Relationship Id="rId5817" Type="http://schemas.openxmlformats.org/officeDocument/2006/relationships/hyperlink" Target="https://statiz.sporki.com/add/?m=draft_school02&amp;ps_school=" TargetMode="External"/><Relationship Id="rId18231" Type="http://schemas.openxmlformats.org/officeDocument/2006/relationships/hyperlink" Target="https://statiz.sporki.com/add/?m=draft_school01&amp;ps_school=50113" TargetMode="External"/><Relationship Id="rId3368" Type="http://schemas.openxmlformats.org/officeDocument/2006/relationships/hyperlink" Target="https://statiz.sporki.com/add/?m=draft_school01&amp;ps_school=50401" TargetMode="External"/><Relationship Id="rId12392" Type="http://schemas.openxmlformats.org/officeDocument/2006/relationships/hyperlink" Target="https://statiz.sporki.com/player/?m=playerinfo&amp;p_no=15087" TargetMode="External"/><Relationship Id="rId14841" Type="http://schemas.openxmlformats.org/officeDocument/2006/relationships/hyperlink" Target="https://statiz.sporki.com/player/?m=playerinfo&amp;p_no=10193" TargetMode="External"/><Relationship Id="rId770" Type="http://schemas.openxmlformats.org/officeDocument/2006/relationships/hyperlink" Target="https://statiz.sporki.com/add/?m=draft_school01&amp;ps_school=50801" TargetMode="External"/><Relationship Id="rId2451" Type="http://schemas.openxmlformats.org/officeDocument/2006/relationships/hyperlink" Target="https://statiz.sporki.com/add/?m=draft_school02&amp;ps_school=" TargetMode="External"/><Relationship Id="rId4900" Type="http://schemas.openxmlformats.org/officeDocument/2006/relationships/hyperlink" Target="https://statiz.sporki.com/player/?m=playerinfo&amp;p_no=10884" TargetMode="External"/><Relationship Id="rId9064" Type="http://schemas.openxmlformats.org/officeDocument/2006/relationships/hyperlink" Target="https://statiz.sporki.com/player/?m=playerinfo&amp;p_no=2185" TargetMode="External"/><Relationship Id="rId12045" Type="http://schemas.openxmlformats.org/officeDocument/2006/relationships/hyperlink" Target="https://statiz.sporki.com/add/?m=draft_school02&amp;ps_school=60113" TargetMode="External"/><Relationship Id="rId423" Type="http://schemas.openxmlformats.org/officeDocument/2006/relationships/hyperlink" Target="https://statiz.sporki.com/add/?m=draft_school02&amp;ps_school=60102" TargetMode="External"/><Relationship Id="rId2104" Type="http://schemas.openxmlformats.org/officeDocument/2006/relationships/hyperlink" Target="https://statiz.sporki.com/player/?m=playerinfo&amp;p_no=14167" TargetMode="External"/><Relationship Id="rId17717" Type="http://schemas.openxmlformats.org/officeDocument/2006/relationships/hyperlink" Target="https://statiz.sporki.com/add/?m=draft_school01&amp;ps_school=50501" TargetMode="External"/><Relationship Id="rId5674" Type="http://schemas.openxmlformats.org/officeDocument/2006/relationships/hyperlink" Target="https://statiz.sporki.com/player/?m=playerinfo&amp;p_no=10231" TargetMode="External"/><Relationship Id="rId15268" Type="http://schemas.openxmlformats.org/officeDocument/2006/relationships/hyperlink" Target="https://statiz.sporki.com/player/?m=playerinfo&amp;p_no=1795" TargetMode="External"/><Relationship Id="rId5327" Type="http://schemas.openxmlformats.org/officeDocument/2006/relationships/hyperlink" Target="https://statiz.sporki.com/add/?m=draft_school01&amp;ps_school=50403" TargetMode="External"/><Relationship Id="rId8897" Type="http://schemas.openxmlformats.org/officeDocument/2006/relationships/hyperlink" Target="https://statiz.sporki.com/add/?m=draft_school01&amp;ps_school=50103" TargetMode="External"/><Relationship Id="rId11878" Type="http://schemas.openxmlformats.org/officeDocument/2006/relationships/hyperlink" Target="https://statiz.sporki.com/player/?m=playerinfo&amp;p_no=11469" TargetMode="External"/><Relationship Id="rId1937" Type="http://schemas.openxmlformats.org/officeDocument/2006/relationships/hyperlink" Target="https://statiz.sporki.com/add/?m=draft_school01&amp;ps_school=50211" TargetMode="External"/><Relationship Id="rId14351" Type="http://schemas.openxmlformats.org/officeDocument/2006/relationships/hyperlink" Target="https://statiz.sporki.com/player/?m=playerinfo&amp;p_no=10114" TargetMode="External"/><Relationship Id="rId16800" Type="http://schemas.openxmlformats.org/officeDocument/2006/relationships/hyperlink" Target="https://statiz.sporki.com/add/?m=draft_school01&amp;ps_school=50212" TargetMode="External"/><Relationship Id="rId4410" Type="http://schemas.openxmlformats.org/officeDocument/2006/relationships/hyperlink" Target="https://statiz.sporki.com/add/?m=draft_school02&amp;ps_school=60102" TargetMode="External"/><Relationship Id="rId14004" Type="http://schemas.openxmlformats.org/officeDocument/2006/relationships/hyperlink" Target="https://statiz.sporki.com/player/?m=playerinfo&amp;p_no=10146" TargetMode="External"/><Relationship Id="rId280" Type="http://schemas.openxmlformats.org/officeDocument/2006/relationships/hyperlink" Target="https://statiz.sporki.com/player/?m=playerinfo&amp;p_no=15459" TargetMode="External"/><Relationship Id="rId7980" Type="http://schemas.openxmlformats.org/officeDocument/2006/relationships/hyperlink" Target="https://statiz.sporki.com/add/?m=draft_school02&amp;ps_school=61100" TargetMode="External"/><Relationship Id="rId10961" Type="http://schemas.openxmlformats.org/officeDocument/2006/relationships/hyperlink" Target="https://statiz.sporki.com/add/?m=draft_school01&amp;ps_school=50122" TargetMode="External"/><Relationship Id="rId17574" Type="http://schemas.openxmlformats.org/officeDocument/2006/relationships/hyperlink" Target="https://statiz.sporki.com/add/?m=draft_school01&amp;ps_school=50101" TargetMode="External"/><Relationship Id="rId5184" Type="http://schemas.openxmlformats.org/officeDocument/2006/relationships/hyperlink" Target="https://statiz.sporki.com/add/?m=draft_school02&amp;ps_school=" TargetMode="External"/><Relationship Id="rId7633" Type="http://schemas.openxmlformats.org/officeDocument/2006/relationships/hyperlink" Target="https://statiz.sporki.com/player/?m=playerinfo&amp;p_no=10442" TargetMode="External"/><Relationship Id="rId10614" Type="http://schemas.openxmlformats.org/officeDocument/2006/relationships/hyperlink" Target="https://statiz.sporki.com/add/?m=draft_school02&amp;ps_school=" TargetMode="External"/><Relationship Id="rId17227" Type="http://schemas.openxmlformats.org/officeDocument/2006/relationships/hyperlink" Target="https://statiz.sporki.com/add/?m=draft_school01&amp;ps_school=50602" TargetMode="External"/><Relationship Id="rId13837" Type="http://schemas.openxmlformats.org/officeDocument/2006/relationships/hyperlink" Target="https://statiz.sporki.com/player/?m=playerinfo&amp;p_no=11174" TargetMode="External"/><Relationship Id="rId1794" Type="http://schemas.openxmlformats.org/officeDocument/2006/relationships/hyperlink" Target="https://statiz.sporki.com/add/?m=draft_school02&amp;ps_school=60111" TargetMode="External"/><Relationship Id="rId11388" Type="http://schemas.openxmlformats.org/officeDocument/2006/relationships/hyperlink" Target="https://statiz.sporki.com/add/?m=draft_school02&amp;ps_school=" TargetMode="External"/><Relationship Id="rId16310" Type="http://schemas.openxmlformats.org/officeDocument/2006/relationships/hyperlink" Target="https://statiz.sporki.com/add/?m=draft_school01&amp;ps_school=50903" TargetMode="External"/><Relationship Id="rId1447" Type="http://schemas.openxmlformats.org/officeDocument/2006/relationships/hyperlink" Target="https://statiz.sporki.com/player/?m=playerinfo&amp;p_no=14591" TargetMode="External"/><Relationship Id="rId19533" Type="http://schemas.openxmlformats.org/officeDocument/2006/relationships/hyperlink" Target="https://statiz.sporki.com/add/?m=draft_school01&amp;ps_school=50116" TargetMode="External"/><Relationship Id="rId7490" Type="http://schemas.openxmlformats.org/officeDocument/2006/relationships/hyperlink" Target="https://statiz.sporki.com/add/?m=draft_school01&amp;ps_school=" TargetMode="External"/><Relationship Id="rId12920" Type="http://schemas.openxmlformats.org/officeDocument/2006/relationships/hyperlink" Target="https://statiz.sporki.com/player/?m=playerinfo&amp;p_no=13092" TargetMode="External"/><Relationship Id="rId17084" Type="http://schemas.openxmlformats.org/officeDocument/2006/relationships/hyperlink" Target="https://statiz.sporki.com/add/?m=draft_school01&amp;ps_school=50116" TargetMode="External"/><Relationship Id="rId7143" Type="http://schemas.openxmlformats.org/officeDocument/2006/relationships/hyperlink" Target="https://statiz.sporki.com/add/?m=draft_school02&amp;ps_school=60401" TargetMode="External"/><Relationship Id="rId10124" Type="http://schemas.openxmlformats.org/officeDocument/2006/relationships/hyperlink" Target="https://statiz.sporki.com/add/?m=draft_school01&amp;ps_school=50501" TargetMode="External"/><Relationship Id="rId10471" Type="http://schemas.openxmlformats.org/officeDocument/2006/relationships/hyperlink" Target="https://statiz.sporki.com/player/?m=playerinfo&amp;p_no=1584" TargetMode="External"/><Relationship Id="rId13694" Type="http://schemas.openxmlformats.org/officeDocument/2006/relationships/hyperlink" Target="https://statiz.sporki.com/player/?m=playerinfo&amp;p_no=11155" TargetMode="External"/><Relationship Id="rId3753" Type="http://schemas.openxmlformats.org/officeDocument/2006/relationships/hyperlink" Target="https://statiz.sporki.com/add/?m=draft_school02&amp;ps_school=" TargetMode="External"/><Relationship Id="rId13347" Type="http://schemas.openxmlformats.org/officeDocument/2006/relationships/hyperlink" Target="https://statiz.sporki.com/player/?m=playerinfo&amp;p_no=11344" TargetMode="External"/><Relationship Id="rId3406" Type="http://schemas.openxmlformats.org/officeDocument/2006/relationships/hyperlink" Target="https://statiz.sporki.com/player/?m=playerinfo&amp;p_no=12609" TargetMode="External"/><Relationship Id="rId6976" Type="http://schemas.openxmlformats.org/officeDocument/2006/relationships/hyperlink" Target="https://statiz.sporki.com/player/?m=playerinfo&amp;p_no=10232" TargetMode="External"/><Relationship Id="rId19390" Type="http://schemas.openxmlformats.org/officeDocument/2006/relationships/hyperlink" Target="https://statiz.sporki.com/add/?m=draft_school01&amp;ps_school=50502" TargetMode="External"/><Relationship Id="rId6629" Type="http://schemas.openxmlformats.org/officeDocument/2006/relationships/hyperlink" Target="https://statiz.sporki.com/add/?m=draft_school01&amp;ps_school=50110" TargetMode="External"/><Relationship Id="rId12430" Type="http://schemas.openxmlformats.org/officeDocument/2006/relationships/hyperlink" Target="https://statiz.sporki.com/player/?m=playerinfo&amp;p_no=15152" TargetMode="External"/><Relationship Id="rId19043" Type="http://schemas.openxmlformats.org/officeDocument/2006/relationships/hyperlink" Target="https://statiz.sporki.com/add/?m=draft_school01&amp;ps_school=50209" TargetMode="External"/><Relationship Id="rId9102" Type="http://schemas.openxmlformats.org/officeDocument/2006/relationships/hyperlink" Target="https://statiz.sporki.com/add/?m=draft_school02&amp;ps_school=60803" TargetMode="External"/><Relationship Id="rId15653" Type="http://schemas.openxmlformats.org/officeDocument/2006/relationships/hyperlink" Target="https://statiz.sporki.com/player/?m=playerinfo&amp;p_no=1645" TargetMode="External"/><Relationship Id="rId3263" Type="http://schemas.openxmlformats.org/officeDocument/2006/relationships/hyperlink" Target="https://statiz.sporki.com/add/?m=draft_school01&amp;ps_school=50113" TargetMode="External"/><Relationship Id="rId5712" Type="http://schemas.openxmlformats.org/officeDocument/2006/relationships/hyperlink" Target="https://statiz.sporki.com/add/?m=draft_school02&amp;ps_school=60104" TargetMode="External"/><Relationship Id="rId15306" Type="http://schemas.openxmlformats.org/officeDocument/2006/relationships/hyperlink" Target="https://statiz.sporki.com/player/?m=playerinfo&amp;p_no=1847" TargetMode="External"/><Relationship Id="rId18876" Type="http://schemas.openxmlformats.org/officeDocument/2006/relationships/hyperlink" Target="https://statiz.sporki.com/add/?m=draft_school01&amp;ps_school=50121" TargetMode="External"/><Relationship Id="rId8935" Type="http://schemas.openxmlformats.org/officeDocument/2006/relationships/hyperlink" Target="https://statiz.sporki.com/player/?m=playerinfo&amp;p_no=1912" TargetMode="External"/><Relationship Id="rId11916" Type="http://schemas.openxmlformats.org/officeDocument/2006/relationships/hyperlink" Target="https://statiz.sporki.com/add/?m=draft_school02&amp;ps_school=60111" TargetMode="External"/><Relationship Id="rId18529" Type="http://schemas.openxmlformats.org/officeDocument/2006/relationships/hyperlink" Target="https://statiz.sporki.com/add/?m=draft_school01&amp;ps_school=50802" TargetMode="External"/><Relationship Id="rId6139" Type="http://schemas.openxmlformats.org/officeDocument/2006/relationships/hyperlink" Target="https://statiz.sporki.com/player/?m=playerinfo&amp;p_no=10318" TargetMode="External"/><Relationship Id="rId6486" Type="http://schemas.openxmlformats.org/officeDocument/2006/relationships/hyperlink" Target="https://statiz.sporki.com/add/?m=draft_school02&amp;ps_school=" TargetMode="External"/><Relationship Id="rId17612" Type="http://schemas.openxmlformats.org/officeDocument/2006/relationships/hyperlink" Target="https://statiz.sporki.com/add/?m=draft_school01&amp;ps_school=50109" TargetMode="External"/><Relationship Id="rId2749" Type="http://schemas.openxmlformats.org/officeDocument/2006/relationships/hyperlink" Target="https://statiz.sporki.com/player/?m=playerinfo&amp;p_no=12898" TargetMode="External"/><Relationship Id="rId15163" Type="http://schemas.openxmlformats.org/officeDocument/2006/relationships/hyperlink" Target="https://statiz.sporki.com/player/?m=playerinfo&amp;p_no=2185" TargetMode="External"/><Relationship Id="rId5222" Type="http://schemas.openxmlformats.org/officeDocument/2006/relationships/hyperlink" Target="https://statiz.sporki.com/add/?m=draft_school01&amp;ps_school=50602" TargetMode="External"/><Relationship Id="rId8792" Type="http://schemas.openxmlformats.org/officeDocument/2006/relationships/hyperlink" Target="https://statiz.sporki.com/add/?m=draft_school01&amp;ps_school=50209" TargetMode="External"/><Relationship Id="rId18386" Type="http://schemas.openxmlformats.org/officeDocument/2006/relationships/hyperlink" Target="https://statiz.sporki.com/add/?m=draft_school01&amp;ps_school=50703" TargetMode="External"/><Relationship Id="rId8445" Type="http://schemas.openxmlformats.org/officeDocument/2006/relationships/hyperlink" Target="https://statiz.sporki.com/add/?m=draft_school02&amp;ps_school=60103" TargetMode="External"/><Relationship Id="rId11773" Type="http://schemas.openxmlformats.org/officeDocument/2006/relationships/hyperlink" Target="https://statiz.sporki.com/player/?m=playerinfo&amp;p_no=1077" TargetMode="External"/><Relationship Id="rId18039" Type="http://schemas.openxmlformats.org/officeDocument/2006/relationships/hyperlink" Target="https://statiz.sporki.com/add/?m=draft_school01&amp;ps_school=50802" TargetMode="External"/><Relationship Id="rId1832" Type="http://schemas.openxmlformats.org/officeDocument/2006/relationships/hyperlink" Target="https://statiz.sporki.com/add/?m=draft_school01&amp;ps_school=50802" TargetMode="External"/><Relationship Id="rId11426" Type="http://schemas.openxmlformats.org/officeDocument/2006/relationships/hyperlink" Target="https://statiz.sporki.com/add/?m=draft_school01&amp;ps_school=50121" TargetMode="External"/><Relationship Id="rId14996" Type="http://schemas.openxmlformats.org/officeDocument/2006/relationships/hyperlink" Target="https://statiz.sporki.com/player/?m=playerinfo&amp;p_no=2010" TargetMode="External"/><Relationship Id="rId14649" Type="http://schemas.openxmlformats.org/officeDocument/2006/relationships/hyperlink" Target="https://statiz.sporki.com/player/?m=playerinfo&amp;p_no=2269" TargetMode="External"/><Relationship Id="rId4708" Type="http://schemas.openxmlformats.org/officeDocument/2006/relationships/hyperlink" Target="https://statiz.sporki.com/player/?m=playerinfo&amp;p_no=11186" TargetMode="External"/><Relationship Id="rId17122" Type="http://schemas.openxmlformats.org/officeDocument/2006/relationships/hyperlink" Target="https://statiz.sporki.com/add/?m=draft_school01&amp;ps_school=50108" TargetMode="External"/><Relationship Id="rId578" Type="http://schemas.openxmlformats.org/officeDocument/2006/relationships/hyperlink" Target="https://statiz.sporki.com/add/?m=draft_school01&amp;ps_school=50116" TargetMode="External"/><Relationship Id="rId2259" Type="http://schemas.openxmlformats.org/officeDocument/2006/relationships/hyperlink" Target="https://statiz.sporki.com/add/?m=draft_school02&amp;ps_school=60103" TargetMode="External"/><Relationship Id="rId11283" Type="http://schemas.openxmlformats.org/officeDocument/2006/relationships/hyperlink" Target="https://statiz.sporki.com/add/?m=draft_school02&amp;ps_school=60111" TargetMode="External"/><Relationship Id="rId13732" Type="http://schemas.openxmlformats.org/officeDocument/2006/relationships/hyperlink" Target="https://statiz.sporki.com/player/?m=playerinfo&amp;p_no=10789" TargetMode="External"/><Relationship Id="rId1342" Type="http://schemas.openxmlformats.org/officeDocument/2006/relationships/hyperlink" Target="https://statiz.sporki.com/player/?m=playerinfo&amp;p_no=14885" TargetMode="External"/><Relationship Id="rId16955" Type="http://schemas.openxmlformats.org/officeDocument/2006/relationships/hyperlink" Target="https://statiz.sporki.com/add/?m=draft_school01&amp;ps_school=50802" TargetMode="External"/><Relationship Id="rId16608" Type="http://schemas.openxmlformats.org/officeDocument/2006/relationships/hyperlink" Target="https://statiz.sporki.com/add/?m=draft_school01&amp;ps_school=50101" TargetMode="External"/><Relationship Id="rId4565" Type="http://schemas.openxmlformats.org/officeDocument/2006/relationships/hyperlink" Target="https://statiz.sporki.com/add/?m=draft_school01&amp;ps_school=50706" TargetMode="External"/><Relationship Id="rId14159" Type="http://schemas.openxmlformats.org/officeDocument/2006/relationships/hyperlink" Target="https://statiz.sporki.com/player/?m=playerinfo&amp;p_no=10429" TargetMode="External"/><Relationship Id="rId4218" Type="http://schemas.openxmlformats.org/officeDocument/2006/relationships/hyperlink" Target="https://statiz.sporki.com/add/?m=draft_school02&amp;ps_school=" TargetMode="External"/><Relationship Id="rId7788" Type="http://schemas.openxmlformats.org/officeDocument/2006/relationships/hyperlink" Target="https://statiz.sporki.com/add/?m=draft_school02&amp;ps_school=" TargetMode="External"/><Relationship Id="rId10769" Type="http://schemas.openxmlformats.org/officeDocument/2006/relationships/hyperlink" Target="https://statiz.sporki.com/add/?m=draft_school01&amp;ps_school=50604" TargetMode="External"/><Relationship Id="rId13242" Type="http://schemas.openxmlformats.org/officeDocument/2006/relationships/hyperlink" Target="https://statiz.sporki.com/player/?m=playerinfo&amp;p_no=12577" TargetMode="External"/><Relationship Id="rId3301" Type="http://schemas.openxmlformats.org/officeDocument/2006/relationships/hyperlink" Target="https://statiz.sporki.com/player/?m=playerinfo&amp;p_no=12577" TargetMode="External"/><Relationship Id="rId6871" Type="http://schemas.openxmlformats.org/officeDocument/2006/relationships/hyperlink" Target="https://statiz.sporki.com/player/?m=playerinfo&amp;p_no=14895" TargetMode="External"/><Relationship Id="rId16465" Type="http://schemas.openxmlformats.org/officeDocument/2006/relationships/hyperlink" Target="https://statiz.sporki.com/add/?m=draft_school01&amp;ps_school=50602" TargetMode="External"/><Relationship Id="rId18914" Type="http://schemas.openxmlformats.org/officeDocument/2006/relationships/hyperlink" Target="https://statiz.sporki.com/add/?m=draft_school01&amp;ps_school=50110" TargetMode="External"/><Relationship Id="rId6524" Type="http://schemas.openxmlformats.org/officeDocument/2006/relationships/hyperlink" Target="https://statiz.sporki.com/add/?m=draft_school01&amp;ps_school=50104" TargetMode="External"/><Relationship Id="rId16118" Type="http://schemas.openxmlformats.org/officeDocument/2006/relationships/hyperlink" Target="https://statiz.sporki.com/player/?m=playerinfo&amp;p_no=1087" TargetMode="External"/><Relationship Id="rId4075" Type="http://schemas.openxmlformats.org/officeDocument/2006/relationships/hyperlink" Target="https://statiz.sporki.com/player/?m=playerinfo&amp;p_no=11204" TargetMode="External"/><Relationship Id="rId7298" Type="http://schemas.openxmlformats.org/officeDocument/2006/relationships/hyperlink" Target="https://statiz.sporki.com/add/?m=draft_school01&amp;ps_school=50109" TargetMode="External"/><Relationship Id="rId9747" Type="http://schemas.openxmlformats.org/officeDocument/2006/relationships/hyperlink" Target="https://statiz.sporki.com/add/?m=draft_school02&amp;ps_school=" TargetMode="External"/><Relationship Id="rId12728" Type="http://schemas.openxmlformats.org/officeDocument/2006/relationships/hyperlink" Target="https://statiz.sporki.com/player/?m=playerinfo&amp;p_no=14742" TargetMode="External"/><Relationship Id="rId10279" Type="http://schemas.openxmlformats.org/officeDocument/2006/relationships/hyperlink" Target="https://statiz.sporki.com/player/?m=playerinfo&amp;p_no=1524" TargetMode="External"/><Relationship Id="rId15201" Type="http://schemas.openxmlformats.org/officeDocument/2006/relationships/hyperlink" Target="https://statiz.sporki.com/player/?m=playerinfo&amp;p_no=1880" TargetMode="External"/><Relationship Id="rId18771" Type="http://schemas.openxmlformats.org/officeDocument/2006/relationships/hyperlink" Target="https://statiz.sporki.com/add/?m=draft_school01&amp;ps_school=50107" TargetMode="External"/><Relationship Id="rId8830" Type="http://schemas.openxmlformats.org/officeDocument/2006/relationships/hyperlink" Target="https://statiz.sporki.com/player/?m=playerinfo&amp;p_no=1918" TargetMode="External"/><Relationship Id="rId18424" Type="http://schemas.openxmlformats.org/officeDocument/2006/relationships/hyperlink" Target="https://statiz.sporki.com/add/?m=draft_school01&amp;ps_school=50102" TargetMode="External"/><Relationship Id="rId6381" Type="http://schemas.openxmlformats.org/officeDocument/2006/relationships/hyperlink" Target="https://statiz.sporki.com/add/?m=draft_school02&amp;ps_school=" TargetMode="External"/><Relationship Id="rId11811" Type="http://schemas.openxmlformats.org/officeDocument/2006/relationships/hyperlink" Target="https://statiz.sporki.com/add/?m=draft_school02&amp;ps_school=" TargetMode="External"/><Relationship Id="rId6034" Type="http://schemas.openxmlformats.org/officeDocument/2006/relationships/hyperlink" Target="https://statiz.sporki.com/player/?m=playerinfo&amp;p_no=10568" TargetMode="External"/><Relationship Id="rId19198" Type="http://schemas.openxmlformats.org/officeDocument/2006/relationships/hyperlink" Target="https://statiz.sporki.com/add/?m=draft_school01&amp;ps_school=50112" TargetMode="External"/><Relationship Id="rId2991" Type="http://schemas.openxmlformats.org/officeDocument/2006/relationships/hyperlink" Target="https://statiz.sporki.com/add/?m=draft_school02&amp;ps_school=60803" TargetMode="External"/><Relationship Id="rId9257" Type="http://schemas.openxmlformats.org/officeDocument/2006/relationships/hyperlink" Target="https://statiz.sporki.com/add/?m=draft_school01&amp;ps_school=50805" TargetMode="External"/><Relationship Id="rId12585" Type="http://schemas.openxmlformats.org/officeDocument/2006/relationships/hyperlink" Target="https://statiz.sporki.com/player/?m=playerinfo&amp;p_no=14762" TargetMode="External"/><Relationship Id="rId963" Type="http://schemas.openxmlformats.org/officeDocument/2006/relationships/hyperlink" Target="https://statiz.sporki.com/add/?m=draft_school02&amp;ps_school=" TargetMode="External"/><Relationship Id="rId2644" Type="http://schemas.openxmlformats.org/officeDocument/2006/relationships/hyperlink" Target="https://statiz.sporki.com/player/?m=playerinfo&amp;p_no=13067" TargetMode="External"/><Relationship Id="rId12238" Type="http://schemas.openxmlformats.org/officeDocument/2006/relationships/hyperlink" Target="https://statiz.sporki.com/player/?m=playerinfo&amp;p_no=15494" TargetMode="External"/><Relationship Id="rId616" Type="http://schemas.openxmlformats.org/officeDocument/2006/relationships/hyperlink" Target="https://statiz.sporki.com/player/?m=playerinfo&amp;p_no=15027" TargetMode="External"/><Relationship Id="rId5867" Type="http://schemas.openxmlformats.org/officeDocument/2006/relationships/hyperlink" Target="https://statiz.sporki.com/add/?m=draft_school01&amp;ps_school=50113" TargetMode="External"/><Relationship Id="rId18281" Type="http://schemas.openxmlformats.org/officeDocument/2006/relationships/hyperlink" Target="https://statiz.sporki.com/add/?m=draft_school01&amp;ps_school=50109" TargetMode="External"/><Relationship Id="rId8340" Type="http://schemas.openxmlformats.org/officeDocument/2006/relationships/hyperlink" Target="https://statiz.sporki.com/add/?m=draft_school02&amp;ps_school=60802" TargetMode="External"/><Relationship Id="rId11321" Type="http://schemas.openxmlformats.org/officeDocument/2006/relationships/hyperlink" Target="https://statiz.sporki.com/add/?m=draft_school01&amp;ps_school=50121" TargetMode="External"/><Relationship Id="rId14891" Type="http://schemas.openxmlformats.org/officeDocument/2006/relationships/hyperlink" Target="https://statiz.sporki.com/player/?m=playerinfo&amp;p_no=2071" TargetMode="External"/><Relationship Id="rId4950" Type="http://schemas.openxmlformats.org/officeDocument/2006/relationships/hyperlink" Target="https://statiz.sporki.com/add/?m=draft_school02&amp;ps_school=" TargetMode="External"/><Relationship Id="rId14544" Type="http://schemas.openxmlformats.org/officeDocument/2006/relationships/hyperlink" Target="https://statiz.sporki.com/player/?m=playerinfo&amp;p_no=10144" TargetMode="External"/><Relationship Id="rId4603" Type="http://schemas.openxmlformats.org/officeDocument/2006/relationships/hyperlink" Target="https://statiz.sporki.com/player/?m=playerinfo&amp;p_no=11110" TargetMode="External"/><Relationship Id="rId12095" Type="http://schemas.openxmlformats.org/officeDocument/2006/relationships/hyperlink" Target="https://statiz.sporki.com/add/?m=draft_school01&amp;ps_school=50608" TargetMode="External"/><Relationship Id="rId473" Type="http://schemas.openxmlformats.org/officeDocument/2006/relationships/hyperlink" Target="https://statiz.sporki.com/add/?m=draft_school01&amp;ps_school=50202" TargetMode="External"/><Relationship Id="rId2154" Type="http://schemas.openxmlformats.org/officeDocument/2006/relationships/hyperlink" Target="https://statiz.sporki.com/add/?m=draft_school02&amp;ps_school=" TargetMode="External"/><Relationship Id="rId17767" Type="http://schemas.openxmlformats.org/officeDocument/2006/relationships/hyperlink" Target="https://statiz.sporki.com/add/?m=draft_school01&amp;ps_school=50604" TargetMode="External"/><Relationship Id="rId126" Type="http://schemas.openxmlformats.org/officeDocument/2006/relationships/hyperlink" Target="https://statiz.sporki.com/add/?m=draft_school02&amp;ps_school=" TargetMode="External"/><Relationship Id="rId5377" Type="http://schemas.openxmlformats.org/officeDocument/2006/relationships/hyperlink" Target="https://statiz.sporki.com/player/?m=playerinfo&amp;p_no=10669" TargetMode="External"/><Relationship Id="rId7826" Type="http://schemas.openxmlformats.org/officeDocument/2006/relationships/hyperlink" Target="https://statiz.sporki.com/add/?m=draft_school01&amp;ps_school=50402" TargetMode="External"/><Relationship Id="rId10807" Type="http://schemas.openxmlformats.org/officeDocument/2006/relationships/hyperlink" Target="https://statiz.sporki.com/player/?m=playerinfo&amp;p_no=1463" TargetMode="External"/><Relationship Id="rId16850" Type="http://schemas.openxmlformats.org/officeDocument/2006/relationships/hyperlink" Target="https://statiz.sporki.com/add/?m=draft_school01&amp;ps_school=50807" TargetMode="External"/><Relationship Id="rId1987" Type="http://schemas.openxmlformats.org/officeDocument/2006/relationships/hyperlink" Target="https://statiz.sporki.com/player/?m=playerinfo&amp;p_no=14163" TargetMode="External"/><Relationship Id="rId16503" Type="http://schemas.openxmlformats.org/officeDocument/2006/relationships/hyperlink" Target="https://statiz.sporki.com/add/?m=draft_school01&amp;ps_school=50402" TargetMode="External"/><Relationship Id="rId4460" Type="http://schemas.openxmlformats.org/officeDocument/2006/relationships/hyperlink" Target="https://statiz.sporki.com/add/?m=draft_school01&amp;ps_school=50103" TargetMode="External"/><Relationship Id="rId14054" Type="http://schemas.openxmlformats.org/officeDocument/2006/relationships/hyperlink" Target="https://statiz.sporki.com/player/?m=playerinfo&amp;p_no=10475" TargetMode="External"/><Relationship Id="rId4113" Type="http://schemas.openxmlformats.org/officeDocument/2006/relationships/hyperlink" Target="https://statiz.sporki.com/add/?m=draft_school02&amp;ps_school=60702" TargetMode="External"/><Relationship Id="rId7683" Type="http://schemas.openxmlformats.org/officeDocument/2006/relationships/hyperlink" Target="https://statiz.sporki.com/add/?m=draft_school02&amp;ps_school=" TargetMode="External"/><Relationship Id="rId17277" Type="http://schemas.openxmlformats.org/officeDocument/2006/relationships/hyperlink" Target="https://statiz.sporki.com/add/?m=draft_school01&amp;ps_school=50205" TargetMode="External"/><Relationship Id="rId7336" Type="http://schemas.openxmlformats.org/officeDocument/2006/relationships/hyperlink" Target="https://statiz.sporki.com/player/?m=playerinfo&amp;p_no=2329" TargetMode="External"/><Relationship Id="rId10664" Type="http://schemas.openxmlformats.org/officeDocument/2006/relationships/hyperlink" Target="https://statiz.sporki.com/add/?m=draft_school01&amp;ps_school=50602" TargetMode="External"/><Relationship Id="rId10317" Type="http://schemas.openxmlformats.org/officeDocument/2006/relationships/hyperlink" Target="https://statiz.sporki.com/add/?m=draft_school02&amp;ps_school=60803" TargetMode="External"/><Relationship Id="rId13887" Type="http://schemas.openxmlformats.org/officeDocument/2006/relationships/hyperlink" Target="https://statiz.sporki.com/player/?m=playerinfo&amp;p_no=10637" TargetMode="External"/><Relationship Id="rId3946" Type="http://schemas.openxmlformats.org/officeDocument/2006/relationships/hyperlink" Target="https://statiz.sporki.com/player/?m=playerinfo&amp;p_no=11392" TargetMode="External"/><Relationship Id="rId16360" Type="http://schemas.openxmlformats.org/officeDocument/2006/relationships/hyperlink" Target="https://statiz.sporki.com/add/?m=draft_school01&amp;ps_school=50901" TargetMode="External"/><Relationship Id="rId1497" Type="http://schemas.openxmlformats.org/officeDocument/2006/relationships/hyperlink" Target="https://statiz.sporki.com/add/?m=draft_school02&amp;ps_school=" TargetMode="External"/><Relationship Id="rId16013" Type="http://schemas.openxmlformats.org/officeDocument/2006/relationships/hyperlink" Target="https://statiz.sporki.com/player/?m=playerinfo&amp;p_no=1157" TargetMode="External"/><Relationship Id="rId19583" Type="http://schemas.openxmlformats.org/officeDocument/2006/relationships/hyperlink" Target="https://statiz.sporki.com/add/?m=draft_school01&amp;ps_school=50109" TargetMode="External"/><Relationship Id="rId9642" Type="http://schemas.openxmlformats.org/officeDocument/2006/relationships/hyperlink" Target="https://statiz.sporki.com/add/?m=draft_school02&amp;ps_school=60111" TargetMode="External"/><Relationship Id="rId12623" Type="http://schemas.openxmlformats.org/officeDocument/2006/relationships/hyperlink" Target="https://statiz.sporki.com/player/?m=playerinfo&amp;p_no=14606" TargetMode="External"/><Relationship Id="rId12970" Type="http://schemas.openxmlformats.org/officeDocument/2006/relationships/hyperlink" Target="https://statiz.sporki.com/player/?m=playerinfo&amp;p_no=13097" TargetMode="External"/><Relationship Id="rId19236" Type="http://schemas.openxmlformats.org/officeDocument/2006/relationships/hyperlink" Target="https://statiz.sporki.com/add/?m=draft_school01&amp;ps_school=50222" TargetMode="External"/><Relationship Id="rId7193" Type="http://schemas.openxmlformats.org/officeDocument/2006/relationships/hyperlink" Target="https://statiz.sporki.com/add/?m=draft_school01&amp;ps_school=50201" TargetMode="External"/><Relationship Id="rId10174" Type="http://schemas.openxmlformats.org/officeDocument/2006/relationships/hyperlink" Target="https://statiz.sporki.com/player/?m=playerinfo&amp;p_no=1565" TargetMode="External"/><Relationship Id="rId13397" Type="http://schemas.openxmlformats.org/officeDocument/2006/relationships/hyperlink" Target="https://statiz.sporki.com/player/?m=playerinfo&amp;p_no=11336" TargetMode="External"/><Relationship Id="rId15846" Type="http://schemas.openxmlformats.org/officeDocument/2006/relationships/hyperlink" Target="https://statiz.sporki.com/player/?m=playerinfo&amp;p_no=1285" TargetMode="External"/><Relationship Id="rId3456" Type="http://schemas.openxmlformats.org/officeDocument/2006/relationships/hyperlink" Target="https://statiz.sporki.com/add/?m=draft_school02&amp;ps_school=60103" TargetMode="External"/><Relationship Id="rId5905" Type="http://schemas.openxmlformats.org/officeDocument/2006/relationships/hyperlink" Target="https://statiz.sporki.com/player/?m=playerinfo&amp;p_no=10468" TargetMode="External"/><Relationship Id="rId3109" Type="http://schemas.openxmlformats.org/officeDocument/2006/relationships/hyperlink" Target="https://statiz.sporki.com/player/?m=playerinfo&amp;p_no=12958" TargetMode="External"/><Relationship Id="rId6679" Type="http://schemas.openxmlformats.org/officeDocument/2006/relationships/hyperlink" Target="https://statiz.sporki.com/player/?m=playerinfo&amp;p_no=10477" TargetMode="External"/><Relationship Id="rId12480" Type="http://schemas.openxmlformats.org/officeDocument/2006/relationships/hyperlink" Target="https://statiz.sporki.com/player/?m=playerinfo&amp;p_no=14789" TargetMode="External"/><Relationship Id="rId19093" Type="http://schemas.openxmlformats.org/officeDocument/2006/relationships/hyperlink" Target="https://statiz.sporki.com/add/?m=draft_school01&amp;ps_school=50111" TargetMode="External"/><Relationship Id="rId9152" Type="http://schemas.openxmlformats.org/officeDocument/2006/relationships/hyperlink" Target="https://statiz.sporki.com/add/?m=draft_school01&amp;ps_school=50402" TargetMode="External"/><Relationship Id="rId12133" Type="http://schemas.openxmlformats.org/officeDocument/2006/relationships/hyperlink" Target="https://statiz.sporki.com/player/?m=playerinfo&amp;p_no=1033" TargetMode="External"/><Relationship Id="rId511" Type="http://schemas.openxmlformats.org/officeDocument/2006/relationships/hyperlink" Target="https://statiz.sporki.com/player/?m=playerinfo&amp;p_no=15079" TargetMode="External"/><Relationship Id="rId5762" Type="http://schemas.openxmlformats.org/officeDocument/2006/relationships/hyperlink" Target="https://statiz.sporki.com/add/?m=draft_school01&amp;ps_school=50606" TargetMode="External"/><Relationship Id="rId15356" Type="http://schemas.openxmlformats.org/officeDocument/2006/relationships/hyperlink" Target="https://statiz.sporki.com/player/?m=playerinfo&amp;p_no=1767" TargetMode="External"/><Relationship Id="rId17805" Type="http://schemas.openxmlformats.org/officeDocument/2006/relationships/hyperlink" Target="https://statiz.sporki.com/add/?m=draft_school01&amp;ps_school=50108" TargetMode="External"/><Relationship Id="rId5415" Type="http://schemas.openxmlformats.org/officeDocument/2006/relationships/hyperlink" Target="https://statiz.sporki.com/add/?m=draft_school02&amp;ps_school=60101" TargetMode="External"/><Relationship Id="rId15009" Type="http://schemas.openxmlformats.org/officeDocument/2006/relationships/hyperlink" Target="https://statiz.sporki.com/player/?m=playerinfo&amp;p_no=2014" TargetMode="External"/><Relationship Id="rId8638" Type="http://schemas.openxmlformats.org/officeDocument/2006/relationships/hyperlink" Target="https://statiz.sporki.com/player/?m=playerinfo&amp;p_no=1995" TargetMode="External"/><Relationship Id="rId8985" Type="http://schemas.openxmlformats.org/officeDocument/2006/relationships/hyperlink" Target="https://statiz.sporki.com/add/?m=draft_school02&amp;ps_school=60102" TargetMode="External"/><Relationship Id="rId11966" Type="http://schemas.openxmlformats.org/officeDocument/2006/relationships/hyperlink" Target="https://statiz.sporki.com/add/?m=draft_school01&amp;ps_school=50209" TargetMode="External"/><Relationship Id="rId18579" Type="http://schemas.openxmlformats.org/officeDocument/2006/relationships/hyperlink" Target="https://statiz.sporki.com/add/?m=draft_school01&amp;ps_school=50402" TargetMode="External"/><Relationship Id="rId6189" Type="http://schemas.openxmlformats.org/officeDocument/2006/relationships/hyperlink" Target="https://statiz.sporki.com/add/?m=draft_school02&amp;ps_school=" TargetMode="External"/><Relationship Id="rId11619" Type="http://schemas.openxmlformats.org/officeDocument/2006/relationships/hyperlink" Target="https://statiz.sporki.com/add/?m=draft_school02&amp;ps_school=60111" TargetMode="External"/><Relationship Id="rId17662" Type="http://schemas.openxmlformats.org/officeDocument/2006/relationships/hyperlink" Target="https://statiz.sporki.com/add/?m=draft_school01&amp;ps_school=50112" TargetMode="External"/><Relationship Id="rId2799" Type="http://schemas.openxmlformats.org/officeDocument/2006/relationships/hyperlink" Target="https://statiz.sporki.com/add/?m=draft_school02&amp;ps_school=" TargetMode="External"/><Relationship Id="rId7721" Type="http://schemas.openxmlformats.org/officeDocument/2006/relationships/hyperlink" Target="https://statiz.sporki.com/add/?m=draft_school01&amp;ps_school=" TargetMode="External"/><Relationship Id="rId10702" Type="http://schemas.openxmlformats.org/officeDocument/2006/relationships/hyperlink" Target="https://statiz.sporki.com/player/?m=playerinfo&amp;p_no=1475" TargetMode="External"/><Relationship Id="rId17315" Type="http://schemas.openxmlformats.org/officeDocument/2006/relationships/hyperlink" Target="https://statiz.sporki.com/add/?m=draft_school01&amp;ps_school=50110" TargetMode="External"/><Relationship Id="rId5272" Type="http://schemas.openxmlformats.org/officeDocument/2006/relationships/hyperlink" Target="https://statiz.sporki.com/player/?m=playerinfo&amp;p_no=10803" TargetMode="External"/><Relationship Id="rId1882" Type="http://schemas.openxmlformats.org/officeDocument/2006/relationships/hyperlink" Target="https://statiz.sporki.com/player/?m=playerinfo&amp;p_no=14135" TargetMode="External"/><Relationship Id="rId8495" Type="http://schemas.openxmlformats.org/officeDocument/2006/relationships/hyperlink" Target="https://statiz.sporki.com/add/?m=draft_school01&amp;ps_school=50606" TargetMode="External"/><Relationship Id="rId11476" Type="http://schemas.openxmlformats.org/officeDocument/2006/relationships/hyperlink" Target="https://statiz.sporki.com/player/?m=playerinfo&amp;p_no=1261" TargetMode="External"/><Relationship Id="rId13925" Type="http://schemas.openxmlformats.org/officeDocument/2006/relationships/hyperlink" Target="https://statiz.sporki.com/player/?m=playerinfo&amp;p_no=10932" TargetMode="External"/><Relationship Id="rId18089" Type="http://schemas.openxmlformats.org/officeDocument/2006/relationships/hyperlink" Target="https://statiz.sporki.com/add/?m=draft_school01&amp;ps_school=50705" TargetMode="External"/><Relationship Id="rId1535" Type="http://schemas.openxmlformats.org/officeDocument/2006/relationships/hyperlink" Target="https://statiz.sporki.com/add/?m=draft_school01&amp;ps_school=50110" TargetMode="External"/><Relationship Id="rId8148" Type="http://schemas.openxmlformats.org/officeDocument/2006/relationships/hyperlink" Target="https://statiz.sporki.com/add/?m=draft_school02&amp;ps_school=60804" TargetMode="External"/><Relationship Id="rId11129" Type="http://schemas.openxmlformats.org/officeDocument/2006/relationships/hyperlink" Target="https://statiz.sporki.com/add/?m=draft_school01&amp;ps_school=50403" TargetMode="External"/><Relationship Id="rId14699" Type="http://schemas.openxmlformats.org/officeDocument/2006/relationships/hyperlink" Target="https://statiz.sporki.com/player/?m=playerinfo&amp;p_no=2212" TargetMode="External"/><Relationship Id="rId19621" Type="http://schemas.openxmlformats.org/officeDocument/2006/relationships/hyperlink" Target="https://statiz.sporki.com/add/?m=draft_school01&amp;ps_school=50202" TargetMode="External"/><Relationship Id="rId4758" Type="http://schemas.openxmlformats.org/officeDocument/2006/relationships/hyperlink" Target="https://statiz.sporki.com/add/?m=draft_school02&amp;ps_school=" TargetMode="External"/><Relationship Id="rId17172" Type="http://schemas.openxmlformats.org/officeDocument/2006/relationships/hyperlink" Target="https://statiz.sporki.com/add/?m=draft_school01&amp;ps_school=50108" TargetMode="External"/><Relationship Id="rId7231" Type="http://schemas.openxmlformats.org/officeDocument/2006/relationships/hyperlink" Target="https://statiz.sporki.com/player/?m=playerinfo&amp;p_no=2294" TargetMode="External"/><Relationship Id="rId10212" Type="http://schemas.openxmlformats.org/officeDocument/2006/relationships/hyperlink" Target="https://statiz.sporki.com/add/?m=draft_school02&amp;ps_school=" TargetMode="External"/><Relationship Id="rId13782" Type="http://schemas.openxmlformats.org/officeDocument/2006/relationships/hyperlink" Target="https://statiz.sporki.com/player/?m=playerinfo&amp;p_no=10856" TargetMode="External"/><Relationship Id="rId3841" Type="http://schemas.openxmlformats.org/officeDocument/2006/relationships/hyperlink" Target="https://statiz.sporki.com/player/?m=playerinfo&amp;p_no=11415" TargetMode="External"/><Relationship Id="rId13435" Type="http://schemas.openxmlformats.org/officeDocument/2006/relationships/hyperlink" Target="https://statiz.sporki.com/player/?m=playerinfo&amp;p_no=11550" TargetMode="External"/><Relationship Id="rId1392" Type="http://schemas.openxmlformats.org/officeDocument/2006/relationships/hyperlink" Target="https://statiz.sporki.com/add/?m=draft_school02&amp;ps_school=" TargetMode="External"/><Relationship Id="rId1045" Type="http://schemas.openxmlformats.org/officeDocument/2006/relationships/hyperlink" Target="https://statiz.sporki.com/player/?m=playerinfo&amp;p_no=14787" TargetMode="External"/><Relationship Id="rId16658" Type="http://schemas.openxmlformats.org/officeDocument/2006/relationships/hyperlink" Target="https://statiz.sporki.com/add/?m=draft_school01&amp;ps_school=50403" TargetMode="External"/><Relationship Id="rId19131" Type="http://schemas.openxmlformats.org/officeDocument/2006/relationships/hyperlink" Target="https://statiz.sporki.com/add/?m=draft_school01&amp;ps_school=50706" TargetMode="External"/><Relationship Id="rId4268" Type="http://schemas.openxmlformats.org/officeDocument/2006/relationships/hyperlink" Target="https://statiz.sporki.com/add/?m=draft_school01&amp;ps_school=50113" TargetMode="External"/><Relationship Id="rId6717" Type="http://schemas.openxmlformats.org/officeDocument/2006/relationships/hyperlink" Target="https://statiz.sporki.com/add/?m=draft_school02&amp;ps_school=" TargetMode="External"/><Relationship Id="rId15741" Type="http://schemas.openxmlformats.org/officeDocument/2006/relationships/hyperlink" Target="https://statiz.sporki.com/player/?m=playerinfo&amp;p_no=1417" TargetMode="External"/><Relationship Id="rId5800" Type="http://schemas.openxmlformats.org/officeDocument/2006/relationships/hyperlink" Target="https://statiz.sporki.com/player/?m=playerinfo&amp;p_no=10248" TargetMode="External"/><Relationship Id="rId13292" Type="http://schemas.openxmlformats.org/officeDocument/2006/relationships/hyperlink" Target="https://statiz.sporki.com/player/?m=playerinfo&amp;p_no=12581" TargetMode="External"/><Relationship Id="rId18964" Type="http://schemas.openxmlformats.org/officeDocument/2006/relationships/hyperlink" Target="https://statiz.sporki.com/add/?m=draft_school01&amp;ps_school=50604" TargetMode="External"/><Relationship Id="rId3351" Type="http://schemas.openxmlformats.org/officeDocument/2006/relationships/hyperlink" Target="https://statiz.sporki.com/add/?m=draft_school02&amp;ps_school=" TargetMode="External"/><Relationship Id="rId18617" Type="http://schemas.openxmlformats.org/officeDocument/2006/relationships/hyperlink" Target="https://statiz.sporki.com/add/?m=draft_school01&amp;ps_school=50805" TargetMode="External"/><Relationship Id="rId3004" Type="http://schemas.openxmlformats.org/officeDocument/2006/relationships/hyperlink" Target="https://statiz.sporki.com/player/?m=playerinfo&amp;p_no=12915" TargetMode="External"/><Relationship Id="rId6574" Type="http://schemas.openxmlformats.org/officeDocument/2006/relationships/hyperlink" Target="https://statiz.sporki.com/player/?m=playerinfo&amp;p_no=10407" TargetMode="External"/><Relationship Id="rId16168" Type="http://schemas.openxmlformats.org/officeDocument/2006/relationships/hyperlink" Target="https://statiz.sporki.com/player/?m=playerinfo&amp;p_no=1162" TargetMode="External"/><Relationship Id="rId6227" Type="http://schemas.openxmlformats.org/officeDocument/2006/relationships/hyperlink" Target="https://statiz.sporki.com/add/?m=draft_school01&amp;ps_school=50602" TargetMode="External"/><Relationship Id="rId9797" Type="http://schemas.openxmlformats.org/officeDocument/2006/relationships/hyperlink" Target="https://statiz.sporki.com/add/?m=draft_school01&amp;ps_school=50802" TargetMode="External"/><Relationship Id="rId12778" Type="http://schemas.openxmlformats.org/officeDocument/2006/relationships/hyperlink" Target="https://statiz.sporki.com/player/?m=playerinfo&amp;p_no=14107" TargetMode="External"/><Relationship Id="rId17700" Type="http://schemas.openxmlformats.org/officeDocument/2006/relationships/hyperlink" Target="https://statiz.sporki.com/add/?m=draft_school01&amp;ps_school=50602" TargetMode="External"/><Relationship Id="rId2837" Type="http://schemas.openxmlformats.org/officeDocument/2006/relationships/hyperlink" Target="https://statiz.sporki.com/add/?m=draft_school01&amp;ps_school=50107" TargetMode="External"/><Relationship Id="rId15251" Type="http://schemas.openxmlformats.org/officeDocument/2006/relationships/hyperlink" Target="https://statiz.sporki.com/player/?m=playerinfo&amp;p_no=1999" TargetMode="External"/><Relationship Id="rId809" Type="http://schemas.openxmlformats.org/officeDocument/2006/relationships/hyperlink" Target="https://statiz.sporki.com/add/?m=draft_school01&amp;ps_school=51124" TargetMode="External"/><Relationship Id="rId5310" Type="http://schemas.openxmlformats.org/officeDocument/2006/relationships/hyperlink" Target="https://statiz.sporki.com/add/?m=draft_school02&amp;ps_school=60801" TargetMode="External"/><Relationship Id="rId8880" Type="http://schemas.openxmlformats.org/officeDocument/2006/relationships/hyperlink" Target="https://statiz.sporki.com/add/?m=draft_school02&amp;ps_school=60203" TargetMode="External"/><Relationship Id="rId11861" Type="http://schemas.openxmlformats.org/officeDocument/2006/relationships/hyperlink" Target="https://statiz.sporki.com/add/?m=draft_school01&amp;ps_school=50402" TargetMode="External"/><Relationship Id="rId18474" Type="http://schemas.openxmlformats.org/officeDocument/2006/relationships/hyperlink" Target="https://statiz.sporki.com/add/?m=draft_school01&amp;ps_school=50502" TargetMode="External"/><Relationship Id="rId1920" Type="http://schemas.openxmlformats.org/officeDocument/2006/relationships/hyperlink" Target="https://statiz.sporki.com/add/?m=draft_school02&amp;ps_school=" TargetMode="External"/><Relationship Id="rId8533" Type="http://schemas.openxmlformats.org/officeDocument/2006/relationships/hyperlink" Target="https://statiz.sporki.com/player/?m=playerinfo&amp;p_no=2058" TargetMode="External"/><Relationship Id="rId11514" Type="http://schemas.openxmlformats.org/officeDocument/2006/relationships/hyperlink" Target="https://statiz.sporki.com/add/?m=draft_school02&amp;ps_school=60803" TargetMode="External"/><Relationship Id="rId18127" Type="http://schemas.openxmlformats.org/officeDocument/2006/relationships/hyperlink" Target="https://statiz.sporki.com/add/?m=draft_school01&amp;ps_school=50116" TargetMode="External"/><Relationship Id="rId6084" Type="http://schemas.openxmlformats.org/officeDocument/2006/relationships/hyperlink" Target="https://statiz.sporki.com/add/?m=draft_school02&amp;ps_school=" TargetMode="External"/><Relationship Id="rId2694" Type="http://schemas.openxmlformats.org/officeDocument/2006/relationships/hyperlink" Target="https://statiz.sporki.com/add/?m=draft_school02&amp;ps_school=60111" TargetMode="External"/><Relationship Id="rId12288" Type="http://schemas.openxmlformats.org/officeDocument/2006/relationships/hyperlink" Target="https://statiz.sporki.com/player/?m=playerinfo&amp;p_no=15611" TargetMode="External"/><Relationship Id="rId14737" Type="http://schemas.openxmlformats.org/officeDocument/2006/relationships/hyperlink" Target="https://statiz.sporki.com/player/?m=playerinfo&amp;p_no=2170" TargetMode="External"/><Relationship Id="rId17210" Type="http://schemas.openxmlformats.org/officeDocument/2006/relationships/hyperlink" Target="https://statiz.sporki.com/add/?m=draft_school01&amp;ps_school=50105" TargetMode="External"/><Relationship Id="rId666" Type="http://schemas.openxmlformats.org/officeDocument/2006/relationships/hyperlink" Target="https://statiz.sporki.com/add/?m=draft_school02&amp;ps_school=" TargetMode="External"/><Relationship Id="rId2347" Type="http://schemas.openxmlformats.org/officeDocument/2006/relationships/hyperlink" Target="https://statiz.sporki.com/player/?m=playerinfo&amp;p_no=13135" TargetMode="External"/><Relationship Id="rId319" Type="http://schemas.openxmlformats.org/officeDocument/2006/relationships/hyperlink" Target="https://statiz.sporki.com/player/?m=playerinfo&amp;p_no=15517" TargetMode="External"/><Relationship Id="rId8390" Type="http://schemas.openxmlformats.org/officeDocument/2006/relationships/hyperlink" Target="https://statiz.sporki.com/add/?m=draft_school01&amp;ps_school=50804" TargetMode="External"/><Relationship Id="rId13820" Type="http://schemas.openxmlformats.org/officeDocument/2006/relationships/hyperlink" Target="https://statiz.sporki.com/player/?m=playerinfo&amp;p_no=10926" TargetMode="External"/><Relationship Id="rId8043" Type="http://schemas.openxmlformats.org/officeDocument/2006/relationships/hyperlink" Target="https://statiz.sporki.com/add/?m=draft_school02&amp;ps_school=60102" TargetMode="External"/><Relationship Id="rId11371" Type="http://schemas.openxmlformats.org/officeDocument/2006/relationships/hyperlink" Target="https://statiz.sporki.com/player/?m=playerinfo&amp;p_no=11470" TargetMode="External"/><Relationship Id="rId1430" Type="http://schemas.openxmlformats.org/officeDocument/2006/relationships/hyperlink" Target="https://statiz.sporki.com/add/?m=draft_school01&amp;ps_school=50402" TargetMode="External"/><Relationship Id="rId11024" Type="http://schemas.openxmlformats.org/officeDocument/2006/relationships/hyperlink" Target="https://statiz.sporki.com/add/?m=draft_school01&amp;ps_school=50812" TargetMode="External"/><Relationship Id="rId14594" Type="http://schemas.openxmlformats.org/officeDocument/2006/relationships/hyperlink" Target="https://statiz.sporki.com/player/?m=playerinfo&amp;p_no=10388" TargetMode="External"/><Relationship Id="rId4653" Type="http://schemas.openxmlformats.org/officeDocument/2006/relationships/hyperlink" Target="https://statiz.sporki.com/add/?m=draft_school02&amp;ps_school=60703" TargetMode="External"/><Relationship Id="rId14247" Type="http://schemas.openxmlformats.org/officeDocument/2006/relationships/hyperlink" Target="https://statiz.sporki.com/player/?m=playerinfo&amp;p_no=10453" TargetMode="External"/><Relationship Id="rId4306" Type="http://schemas.openxmlformats.org/officeDocument/2006/relationships/hyperlink" Target="https://statiz.sporki.com/player/?m=playerinfo&amp;p_no=11292" TargetMode="External"/><Relationship Id="rId7876" Type="http://schemas.openxmlformats.org/officeDocument/2006/relationships/hyperlink" Target="https://statiz.sporki.com/player/?m=playerinfo&amp;p_no=10017" TargetMode="External"/><Relationship Id="rId176" Type="http://schemas.openxmlformats.org/officeDocument/2006/relationships/hyperlink" Target="https://statiz.sporki.com/add/?m=draft_school01&amp;ps_school=50602" TargetMode="External"/><Relationship Id="rId7529" Type="http://schemas.openxmlformats.org/officeDocument/2006/relationships/hyperlink" Target="https://statiz.sporki.com/add/?m=draft_school01&amp;ps_school=" TargetMode="External"/><Relationship Id="rId10857" Type="http://schemas.openxmlformats.org/officeDocument/2006/relationships/hyperlink" Target="https://statiz.sporki.com/add/?m=draft_school02&amp;ps_school=60103" TargetMode="External"/><Relationship Id="rId13330" Type="http://schemas.openxmlformats.org/officeDocument/2006/relationships/hyperlink" Target="https://statiz.sporki.com/player/?m=playerinfo&amp;p_no=13922" TargetMode="External"/><Relationship Id="rId16553" Type="http://schemas.openxmlformats.org/officeDocument/2006/relationships/hyperlink" Target="https://statiz.sporki.com/add/?m=draft_school01&amp;ps_school=50401" TargetMode="External"/><Relationship Id="rId6612" Type="http://schemas.openxmlformats.org/officeDocument/2006/relationships/hyperlink" Target="https://statiz.sporki.com/add/?m=draft_school02&amp;ps_school=" TargetMode="External"/><Relationship Id="rId16206" Type="http://schemas.openxmlformats.org/officeDocument/2006/relationships/hyperlink" Target="https://statiz.sporki.com/add/?m=draft_school01&amp;ps_school=50502" TargetMode="External"/><Relationship Id="rId4163" Type="http://schemas.openxmlformats.org/officeDocument/2006/relationships/hyperlink" Target="https://statiz.sporki.com/add/?m=draft_school01&amp;ps_school=50102" TargetMode="External"/><Relationship Id="rId9835" Type="http://schemas.openxmlformats.org/officeDocument/2006/relationships/hyperlink" Target="https://statiz.sporki.com/player/?m=playerinfo&amp;p_no=1691" TargetMode="External"/><Relationship Id="rId19429" Type="http://schemas.openxmlformats.org/officeDocument/2006/relationships/hyperlink" Target="https://statiz.sporki.com/add/?m=draft_school01&amp;ps_school=50209" TargetMode="External"/><Relationship Id="rId49" Type="http://schemas.openxmlformats.org/officeDocument/2006/relationships/hyperlink" Target="https://statiz.sporki.com/player/?m=playerinfo&amp;p_no=15485" TargetMode="External"/><Relationship Id="rId7386" Type="http://schemas.openxmlformats.org/officeDocument/2006/relationships/hyperlink" Target="https://statiz.sporki.com/add/?m=draft_school02&amp;ps_school=" TargetMode="External"/><Relationship Id="rId10367" Type="http://schemas.openxmlformats.org/officeDocument/2006/relationships/hyperlink" Target="https://statiz.sporki.com/add/?m=draft_school01&amp;ps_school=" TargetMode="External"/><Relationship Id="rId12816" Type="http://schemas.openxmlformats.org/officeDocument/2006/relationships/hyperlink" Target="https://statiz.sporki.com/player/?m=playerinfo&amp;p_no=14209" TargetMode="External"/><Relationship Id="rId7039" Type="http://schemas.openxmlformats.org/officeDocument/2006/relationships/hyperlink" Target="https://statiz.sporki.com/player/?m=playerinfo&amp;p_no=10776" TargetMode="External"/><Relationship Id="rId3996" Type="http://schemas.openxmlformats.org/officeDocument/2006/relationships/hyperlink" Target="https://statiz.sporki.com/add/?m=draft_school02&amp;ps_school=" TargetMode="External"/><Relationship Id="rId16063" Type="http://schemas.openxmlformats.org/officeDocument/2006/relationships/hyperlink" Target="https://statiz.sporki.com/player/?m=playerinfo&amp;p_no=1109" TargetMode="External"/><Relationship Id="rId18512" Type="http://schemas.openxmlformats.org/officeDocument/2006/relationships/hyperlink" Target="https://statiz.sporki.com/add/?m=draft_school01&amp;ps_school=50602" TargetMode="External"/><Relationship Id="rId3649" Type="http://schemas.openxmlformats.org/officeDocument/2006/relationships/hyperlink" Target="https://statiz.sporki.com/player/?m=playerinfo&amp;p_no=11319" TargetMode="External"/><Relationship Id="rId6122" Type="http://schemas.openxmlformats.org/officeDocument/2006/relationships/hyperlink" Target="https://statiz.sporki.com/add/?m=draft_school01&amp;ps_school=50210" TargetMode="External"/><Relationship Id="rId9692" Type="http://schemas.openxmlformats.org/officeDocument/2006/relationships/hyperlink" Target="https://statiz.sporki.com/add/?m=draft_school01&amp;ps_school=50107" TargetMode="External"/><Relationship Id="rId12673" Type="http://schemas.openxmlformats.org/officeDocument/2006/relationships/hyperlink" Target="https://statiz.sporki.com/player/?m=playerinfo&amp;p_no=14604" TargetMode="External"/><Relationship Id="rId19286" Type="http://schemas.openxmlformats.org/officeDocument/2006/relationships/hyperlink" Target="https://statiz.sporki.com/add/?m=draft_school01&amp;ps_school=50802" TargetMode="External"/><Relationship Id="rId2732" Type="http://schemas.openxmlformats.org/officeDocument/2006/relationships/hyperlink" Target="https://statiz.sporki.com/add/?m=draft_school01&amp;ps_school=50103" TargetMode="External"/><Relationship Id="rId9345" Type="http://schemas.openxmlformats.org/officeDocument/2006/relationships/hyperlink" Target="https://statiz.sporki.com/add/?m=draft_school02&amp;ps_school=60111" TargetMode="External"/><Relationship Id="rId12326" Type="http://schemas.openxmlformats.org/officeDocument/2006/relationships/hyperlink" Target="https://statiz.sporki.com/player/?m=playerinfo&amp;p_no=15047" TargetMode="External"/><Relationship Id="rId15896" Type="http://schemas.openxmlformats.org/officeDocument/2006/relationships/hyperlink" Target="https://statiz.sporki.com/player/?m=playerinfo&amp;p_no=1252" TargetMode="External"/><Relationship Id="rId704" Type="http://schemas.openxmlformats.org/officeDocument/2006/relationships/hyperlink" Target="https://statiz.sporki.com/add/?m=draft_school01&amp;ps_school=50210" TargetMode="External"/><Relationship Id="rId5955" Type="http://schemas.openxmlformats.org/officeDocument/2006/relationships/hyperlink" Target="https://statiz.sporki.com/add/?m=draft_school02&amp;ps_school=" TargetMode="External"/><Relationship Id="rId15549" Type="http://schemas.openxmlformats.org/officeDocument/2006/relationships/hyperlink" Target="https://statiz.sporki.com/player/?m=playerinfo&amp;p_no=1822" TargetMode="External"/><Relationship Id="rId5608" Type="http://schemas.openxmlformats.org/officeDocument/2006/relationships/hyperlink" Target="https://statiz.sporki.com/player/?m=playerinfo&amp;p_no=10757" TargetMode="External"/><Relationship Id="rId18022" Type="http://schemas.openxmlformats.org/officeDocument/2006/relationships/hyperlink" Target="https://statiz.sporki.com/add/?m=draft_school01&amp;ps_school=50101" TargetMode="External"/><Relationship Id="rId3159" Type="http://schemas.openxmlformats.org/officeDocument/2006/relationships/hyperlink" Target="https://statiz.sporki.com/add/?m=draft_school02&amp;ps_school=" TargetMode="External"/><Relationship Id="rId14632" Type="http://schemas.openxmlformats.org/officeDocument/2006/relationships/hyperlink" Target="https://statiz.sporki.com/player/?m=playerinfo&amp;p_no=2259" TargetMode="External"/><Relationship Id="rId12183" Type="http://schemas.openxmlformats.org/officeDocument/2006/relationships/hyperlink" Target="https://statiz.sporki.com/player/?m=playerinfo&amp;p_no=15435" TargetMode="External"/><Relationship Id="rId17855" Type="http://schemas.openxmlformats.org/officeDocument/2006/relationships/hyperlink" Target="https://statiz.sporki.com/add/?m=draft_school01&amp;ps_school=50108" TargetMode="External"/><Relationship Id="rId561" Type="http://schemas.openxmlformats.org/officeDocument/2006/relationships/hyperlink" Target="https://statiz.sporki.com/add/?m=draft_school02&amp;ps_school=" TargetMode="External"/><Relationship Id="rId2242" Type="http://schemas.openxmlformats.org/officeDocument/2006/relationships/hyperlink" Target="https://statiz.sporki.com/player/?m=playerinfo&amp;p_no=13939" TargetMode="External"/><Relationship Id="rId7914" Type="http://schemas.openxmlformats.org/officeDocument/2006/relationships/hyperlink" Target="https://statiz.sporki.com/add/?m=draft_school02&amp;ps_school=60114" TargetMode="External"/><Relationship Id="rId17508" Type="http://schemas.openxmlformats.org/officeDocument/2006/relationships/hyperlink" Target="https://statiz.sporki.com/add/?m=draft_school01&amp;ps_school=50106" TargetMode="External"/><Relationship Id="rId214" Type="http://schemas.openxmlformats.org/officeDocument/2006/relationships/hyperlink" Target="https://statiz.sporki.com/player/?m=playerinfo&amp;p_no=15438" TargetMode="External"/><Relationship Id="rId5465" Type="http://schemas.openxmlformats.org/officeDocument/2006/relationships/hyperlink" Target="https://statiz.sporki.com/add/?m=draft_school01&amp;ps_school=50706" TargetMode="External"/><Relationship Id="rId15059" Type="http://schemas.openxmlformats.org/officeDocument/2006/relationships/hyperlink" Target="https://statiz.sporki.com/player/?m=playerinfo&amp;p_no=2190" TargetMode="External"/><Relationship Id="rId5118" Type="http://schemas.openxmlformats.org/officeDocument/2006/relationships/hyperlink" Target="https://statiz.sporki.com/add/?m=draft_school02&amp;ps_school=60108" TargetMode="External"/><Relationship Id="rId8688" Type="http://schemas.openxmlformats.org/officeDocument/2006/relationships/hyperlink" Target="https://statiz.sporki.com/add/?m=draft_school02&amp;ps_school=60102" TargetMode="External"/><Relationship Id="rId11669" Type="http://schemas.openxmlformats.org/officeDocument/2006/relationships/hyperlink" Target="https://statiz.sporki.com/add/?m=draft_school01&amp;ps_school=50701" TargetMode="External"/><Relationship Id="rId1728" Type="http://schemas.openxmlformats.org/officeDocument/2006/relationships/hyperlink" Target="https://statiz.sporki.com/add/?m=draft_school02&amp;ps_school=" TargetMode="External"/><Relationship Id="rId4201" Type="http://schemas.openxmlformats.org/officeDocument/2006/relationships/hyperlink" Target="https://statiz.sporki.com/player/?m=playerinfo&amp;p_no=11260" TargetMode="External"/><Relationship Id="rId14142" Type="http://schemas.openxmlformats.org/officeDocument/2006/relationships/hyperlink" Target="https://statiz.sporki.com/player/?m=playerinfo&amp;p_no=10689" TargetMode="External"/><Relationship Id="rId7771" Type="http://schemas.openxmlformats.org/officeDocument/2006/relationships/hyperlink" Target="https://statiz.sporki.com/player/?m=playerinfo&amp;p_no=2210" TargetMode="External"/><Relationship Id="rId10752" Type="http://schemas.openxmlformats.org/officeDocument/2006/relationships/hyperlink" Target="https://statiz.sporki.com/add/?m=draft_school02&amp;ps_school=" TargetMode="External"/><Relationship Id="rId17365" Type="http://schemas.openxmlformats.org/officeDocument/2006/relationships/hyperlink" Target="https://statiz.sporki.com/add/?m=draft_school01&amp;ps_school=50601" TargetMode="External"/><Relationship Id="rId7424" Type="http://schemas.openxmlformats.org/officeDocument/2006/relationships/hyperlink" Target="https://statiz.sporki.com/add/?m=draft_school01&amp;ps_school=50805" TargetMode="External"/><Relationship Id="rId10405" Type="http://schemas.openxmlformats.org/officeDocument/2006/relationships/hyperlink" Target="https://statiz.sporki.com/player/?m=playerinfo&amp;p_no=1615" TargetMode="External"/><Relationship Id="rId13975" Type="http://schemas.openxmlformats.org/officeDocument/2006/relationships/hyperlink" Target="https://statiz.sporki.com/player/?m=playerinfo&amp;p_no=10358" TargetMode="External"/><Relationship Id="rId17018" Type="http://schemas.openxmlformats.org/officeDocument/2006/relationships/hyperlink" Target="https://statiz.sporki.com/add/?m=draft_school01&amp;ps_school=50701" TargetMode="External"/><Relationship Id="rId13628" Type="http://schemas.openxmlformats.org/officeDocument/2006/relationships/hyperlink" Target="https://statiz.sporki.com/player/?m=playerinfo&amp;p_no=11142" TargetMode="External"/><Relationship Id="rId1585" Type="http://schemas.openxmlformats.org/officeDocument/2006/relationships/hyperlink" Target="https://statiz.sporki.com/player/?m=playerinfo&amp;p_no=14578" TargetMode="External"/><Relationship Id="rId8198" Type="http://schemas.openxmlformats.org/officeDocument/2006/relationships/hyperlink" Target="https://statiz.sporki.com/add/?m=draft_school01&amp;ps_school=50202" TargetMode="External"/><Relationship Id="rId11179" Type="http://schemas.openxmlformats.org/officeDocument/2006/relationships/hyperlink" Target="https://statiz.sporki.com/player/?m=playerinfo&amp;p_no=1280" TargetMode="External"/><Relationship Id="rId16101" Type="http://schemas.openxmlformats.org/officeDocument/2006/relationships/hyperlink" Target="https://statiz.sporki.com/player/?m=playerinfo&amp;p_no=11469" TargetMode="External"/><Relationship Id="rId1238" Type="http://schemas.openxmlformats.org/officeDocument/2006/relationships/hyperlink" Target="https://statiz.sporki.com/add/?m=draft_school01&amp;ps_school=50504" TargetMode="External"/><Relationship Id="rId19671" Type="http://schemas.openxmlformats.org/officeDocument/2006/relationships/printerSettings" Target="../printerSettings/printerSettings1.bin"/><Relationship Id="rId7281" Type="http://schemas.openxmlformats.org/officeDocument/2006/relationships/hyperlink" Target="https://statiz.sporki.com/add/?m=draft_school02&amp;ps_school=60501" TargetMode="External"/><Relationship Id="rId9730" Type="http://schemas.openxmlformats.org/officeDocument/2006/relationships/hyperlink" Target="https://statiz.sporki.com/player/?m=playerinfo&amp;p_no=1765" TargetMode="External"/><Relationship Id="rId12711" Type="http://schemas.openxmlformats.org/officeDocument/2006/relationships/hyperlink" Target="https://statiz.sporki.com/player/?m=playerinfo&amp;p_no=14711" TargetMode="External"/><Relationship Id="rId19324" Type="http://schemas.openxmlformats.org/officeDocument/2006/relationships/hyperlink" Target="https://statiz.sporki.com/add/?m=draft_school01&amp;ps_school=50208" TargetMode="External"/><Relationship Id="rId10262" Type="http://schemas.openxmlformats.org/officeDocument/2006/relationships/hyperlink" Target="https://statiz.sporki.com/add/?m=draft_school01&amp;ps_school=50608" TargetMode="External"/><Relationship Id="rId15934" Type="http://schemas.openxmlformats.org/officeDocument/2006/relationships/hyperlink" Target="https://statiz.sporki.com/player/?m=playerinfo&amp;p_no=1240" TargetMode="External"/><Relationship Id="rId3891" Type="http://schemas.openxmlformats.org/officeDocument/2006/relationships/hyperlink" Target="https://statiz.sporki.com/add/?m=draft_school02&amp;ps_school=60804" TargetMode="External"/><Relationship Id="rId13485" Type="http://schemas.openxmlformats.org/officeDocument/2006/relationships/hyperlink" Target="https://statiz.sporki.com/player/?m=playerinfo&amp;p_no=11203" TargetMode="External"/><Relationship Id="rId3544" Type="http://schemas.openxmlformats.org/officeDocument/2006/relationships/hyperlink" Target="https://statiz.sporki.com/player/?m=playerinfo&amp;p_no=12680" TargetMode="External"/><Relationship Id="rId13138" Type="http://schemas.openxmlformats.org/officeDocument/2006/relationships/hyperlink" Target="https://statiz.sporki.com/player/?m=playerinfo&amp;p_no=12899" TargetMode="External"/><Relationship Id="rId1095" Type="http://schemas.openxmlformats.org/officeDocument/2006/relationships/hyperlink" Target="https://statiz.sporki.com/add/?m=draft_school02&amp;ps_school=" TargetMode="External"/><Relationship Id="rId6767" Type="http://schemas.openxmlformats.org/officeDocument/2006/relationships/hyperlink" Target="https://statiz.sporki.com/add/?m=draft_school01&amp;ps_school=50207" TargetMode="External"/><Relationship Id="rId19181" Type="http://schemas.openxmlformats.org/officeDocument/2006/relationships/hyperlink" Target="https://statiz.sporki.com/add/?m=draft_school01&amp;ps_school=50501" TargetMode="External"/><Relationship Id="rId9240" Type="http://schemas.openxmlformats.org/officeDocument/2006/relationships/hyperlink" Target="https://statiz.sporki.com/add/?m=draft_school02&amp;ps_school=" TargetMode="External"/><Relationship Id="rId12221" Type="http://schemas.openxmlformats.org/officeDocument/2006/relationships/hyperlink" Target="https://statiz.sporki.com/player/?m=playerinfo&amp;p_no=15524" TargetMode="External"/><Relationship Id="rId15791" Type="http://schemas.openxmlformats.org/officeDocument/2006/relationships/hyperlink" Target="https://statiz.sporki.com/player/?m=playerinfo&amp;p_no=1418" TargetMode="External"/><Relationship Id="rId5850" Type="http://schemas.openxmlformats.org/officeDocument/2006/relationships/hyperlink" Target="https://statiz.sporki.com/add/?m=draft_school02&amp;ps_school=" TargetMode="External"/><Relationship Id="rId15444" Type="http://schemas.openxmlformats.org/officeDocument/2006/relationships/hyperlink" Target="https://statiz.sporki.com/player/?m=playerinfo&amp;p_no=1718" TargetMode="External"/><Relationship Id="rId3054" Type="http://schemas.openxmlformats.org/officeDocument/2006/relationships/hyperlink" Target="https://statiz.sporki.com/add/?m=draft_school02&amp;ps_school=" TargetMode="External"/><Relationship Id="rId5503" Type="http://schemas.openxmlformats.org/officeDocument/2006/relationships/hyperlink" Target="https://statiz.sporki.com/player/?m=playerinfo&amp;p_no=10567" TargetMode="External"/><Relationship Id="rId18667" Type="http://schemas.openxmlformats.org/officeDocument/2006/relationships/hyperlink" Target="https://statiz.sporki.com/add/?m=draft_school01&amp;ps_school=50706" TargetMode="External"/><Relationship Id="rId8726" Type="http://schemas.openxmlformats.org/officeDocument/2006/relationships/hyperlink" Target="https://statiz.sporki.com/add/?m=draft_school01&amp;ps_school=50104" TargetMode="External"/><Relationship Id="rId11707" Type="http://schemas.openxmlformats.org/officeDocument/2006/relationships/hyperlink" Target="https://statiz.sporki.com/player/?m=playerinfo&amp;p_no=1187" TargetMode="External"/><Relationship Id="rId6277" Type="http://schemas.openxmlformats.org/officeDocument/2006/relationships/hyperlink" Target="https://statiz.sporki.com/player/?m=playerinfo&amp;p_no=11120" TargetMode="External"/><Relationship Id="rId2887" Type="http://schemas.openxmlformats.org/officeDocument/2006/relationships/hyperlink" Target="https://statiz.sporki.com/player/?m=playerinfo&amp;p_no=12872" TargetMode="External"/><Relationship Id="rId17750" Type="http://schemas.openxmlformats.org/officeDocument/2006/relationships/hyperlink" Target="https://statiz.sporki.com/add/?m=draft_school01&amp;ps_school=50209" TargetMode="External"/><Relationship Id="rId859" Type="http://schemas.openxmlformats.org/officeDocument/2006/relationships/hyperlink" Target="https://statiz.sporki.com/player/?m=playerinfo&amp;p_no=15009" TargetMode="External"/><Relationship Id="rId5360" Type="http://schemas.openxmlformats.org/officeDocument/2006/relationships/hyperlink" Target="https://statiz.sporki.com/add/?m=draft_school01&amp;ps_school=50114" TargetMode="External"/><Relationship Id="rId17403" Type="http://schemas.openxmlformats.org/officeDocument/2006/relationships/hyperlink" Target="https://statiz.sporki.com/add/?m=draft_school01&amp;ps_school=50604" TargetMode="External"/><Relationship Id="rId5013" Type="http://schemas.openxmlformats.org/officeDocument/2006/relationships/hyperlink" Target="https://statiz.sporki.com/add/?m=draft_school02&amp;ps_school=60113" TargetMode="External"/><Relationship Id="rId1970" Type="http://schemas.openxmlformats.org/officeDocument/2006/relationships/hyperlink" Target="https://statiz.sporki.com/add/?m=draft_school01&amp;ps_school=50701" TargetMode="External"/><Relationship Id="rId8583" Type="http://schemas.openxmlformats.org/officeDocument/2006/relationships/hyperlink" Target="https://statiz.sporki.com/add/?m=draft_school02&amp;ps_school=60204" TargetMode="External"/><Relationship Id="rId11564" Type="http://schemas.openxmlformats.org/officeDocument/2006/relationships/hyperlink" Target="https://statiz.sporki.com/add/?m=draft_school01&amp;ps_school=50110" TargetMode="External"/><Relationship Id="rId18177" Type="http://schemas.openxmlformats.org/officeDocument/2006/relationships/hyperlink" Target="https://statiz.sporki.com/add/?m=draft_school01&amp;ps_school=50804" TargetMode="External"/><Relationship Id="rId1623" Type="http://schemas.openxmlformats.org/officeDocument/2006/relationships/hyperlink" Target="https://statiz.sporki.com/add/?m=draft_school02&amp;ps_school=" TargetMode="External"/><Relationship Id="rId8236" Type="http://schemas.openxmlformats.org/officeDocument/2006/relationships/hyperlink" Target="https://statiz.sporki.com/player/?m=playerinfo&amp;p_no=10348" TargetMode="External"/><Relationship Id="rId11217" Type="http://schemas.openxmlformats.org/officeDocument/2006/relationships/hyperlink" Target="https://statiz.sporki.com/add/?m=draft_school02&amp;ps_school=" TargetMode="External"/><Relationship Id="rId14787" Type="http://schemas.openxmlformats.org/officeDocument/2006/relationships/hyperlink" Target="https://statiz.sporki.com/player/?m=playerinfo&amp;p_no=2173" TargetMode="External"/><Relationship Id="rId4846" Type="http://schemas.openxmlformats.org/officeDocument/2006/relationships/hyperlink" Target="https://statiz.sporki.com/player/?m=playerinfo&amp;p_no=10899" TargetMode="External"/><Relationship Id="rId17260" Type="http://schemas.openxmlformats.org/officeDocument/2006/relationships/hyperlink" Target="https://statiz.sporki.com/add/?m=draft_school01&amp;ps_school=50201" TargetMode="External"/><Relationship Id="rId2397" Type="http://schemas.openxmlformats.org/officeDocument/2006/relationships/hyperlink" Target="https://statiz.sporki.com/add/?m=draft_school02&amp;ps_school=" TargetMode="External"/><Relationship Id="rId369" Type="http://schemas.openxmlformats.org/officeDocument/2006/relationships/hyperlink" Target="https://statiz.sporki.com/add/?m=draft_school02&amp;ps_school=" TargetMode="External"/><Relationship Id="rId10300" Type="http://schemas.openxmlformats.org/officeDocument/2006/relationships/hyperlink" Target="https://statiz.sporki.com/player/?m=playerinfo&amp;p_no=1607" TargetMode="External"/><Relationship Id="rId13870" Type="http://schemas.openxmlformats.org/officeDocument/2006/relationships/hyperlink" Target="https://statiz.sporki.com/player/?m=playerinfo&amp;p_no=10692" TargetMode="External"/><Relationship Id="rId1480" Type="http://schemas.openxmlformats.org/officeDocument/2006/relationships/hyperlink" Target="https://statiz.sporki.com/player/?m=playerinfo&amp;p_no=14598" TargetMode="External"/><Relationship Id="rId8093" Type="http://schemas.openxmlformats.org/officeDocument/2006/relationships/hyperlink" Target="https://statiz.sporki.com/add/?m=draft_school01&amp;ps_school=50109" TargetMode="External"/><Relationship Id="rId13523" Type="http://schemas.openxmlformats.org/officeDocument/2006/relationships/hyperlink" Target="https://statiz.sporki.com/player/?m=playerinfo&amp;p_no=11270" TargetMode="External"/><Relationship Id="rId1133" Type="http://schemas.openxmlformats.org/officeDocument/2006/relationships/hyperlink" Target="https://statiz.sporki.com/add/?m=draft_school01&amp;ps_school=50101" TargetMode="External"/><Relationship Id="rId11074" Type="http://schemas.openxmlformats.org/officeDocument/2006/relationships/hyperlink" Target="https://statiz.sporki.com/player/?m=playerinfo&amp;p_no=1319" TargetMode="External"/><Relationship Id="rId16746" Type="http://schemas.openxmlformats.org/officeDocument/2006/relationships/hyperlink" Target="https://statiz.sporki.com/add/?m=draft_school01&amp;ps_school=50805" TargetMode="External"/><Relationship Id="rId6805" Type="http://schemas.openxmlformats.org/officeDocument/2006/relationships/hyperlink" Target="https://statiz.sporki.com/player/?m=playerinfo&amp;p_no=2343" TargetMode="External"/><Relationship Id="rId14297" Type="http://schemas.openxmlformats.org/officeDocument/2006/relationships/hyperlink" Target="https://statiz.sporki.com/player/?m=playerinfo&amp;p_no=2410" TargetMode="External"/><Relationship Id="rId4356" Type="http://schemas.openxmlformats.org/officeDocument/2006/relationships/hyperlink" Target="https://statiz.sporki.com/add/?m=draft_school02&amp;ps_school=" TargetMode="External"/><Relationship Id="rId4009" Type="http://schemas.openxmlformats.org/officeDocument/2006/relationships/hyperlink" Target="https://statiz.sporki.com/player/?m=playerinfo&amp;p_no=11492" TargetMode="External"/><Relationship Id="rId7579" Type="http://schemas.openxmlformats.org/officeDocument/2006/relationships/hyperlink" Target="https://statiz.sporki.com/player/?m=playerinfo&amp;p_no=2203" TargetMode="External"/><Relationship Id="rId13380" Type="http://schemas.openxmlformats.org/officeDocument/2006/relationships/hyperlink" Target="https://statiz.sporki.com/player/?m=playerinfo&amp;p_no=13009" TargetMode="External"/><Relationship Id="rId13033" Type="http://schemas.openxmlformats.org/officeDocument/2006/relationships/hyperlink" Target="https://statiz.sporki.com/player/?m=playerinfo&amp;p_no=13228" TargetMode="External"/><Relationship Id="rId18705" Type="http://schemas.openxmlformats.org/officeDocument/2006/relationships/hyperlink" Target="https://statiz.sporki.com/add/?m=draft_school01&amp;ps_school=50604" TargetMode="External"/><Relationship Id="rId6662" Type="http://schemas.openxmlformats.org/officeDocument/2006/relationships/hyperlink" Target="https://statiz.sporki.com/add/?m=draft_school01&amp;ps_school=" TargetMode="External"/><Relationship Id="rId16256" Type="http://schemas.openxmlformats.org/officeDocument/2006/relationships/hyperlink" Target="https://statiz.sporki.com/add/?m=draft_school01&amp;ps_school=50602" TargetMode="External"/><Relationship Id="rId6315" Type="http://schemas.openxmlformats.org/officeDocument/2006/relationships/hyperlink" Target="https://statiz.sporki.com/add/?m=draft_school02&amp;ps_school=" TargetMode="External"/><Relationship Id="rId9885" Type="http://schemas.openxmlformats.org/officeDocument/2006/relationships/hyperlink" Target="https://statiz.sporki.com/add/?m=draft_school02&amp;ps_school=" TargetMode="External"/><Relationship Id="rId12866" Type="http://schemas.openxmlformats.org/officeDocument/2006/relationships/hyperlink" Target="https://statiz.sporki.com/player/?m=playerinfo&amp;p_no=13924" TargetMode="External"/><Relationship Id="rId19479" Type="http://schemas.openxmlformats.org/officeDocument/2006/relationships/hyperlink" Target="https://statiz.sporki.com/add/?m=draft_school01&amp;ps_school=50703" TargetMode="External"/><Relationship Id="rId99" Type="http://schemas.openxmlformats.org/officeDocument/2006/relationships/hyperlink" Target="https://statiz.sporki.com/add/?m=draft_school02&amp;ps_school=" TargetMode="External"/><Relationship Id="rId2925" Type="http://schemas.openxmlformats.org/officeDocument/2006/relationships/hyperlink" Target="https://statiz.sporki.com/add/?m=draft_school02&amp;ps_school=" TargetMode="External"/><Relationship Id="rId9538" Type="http://schemas.openxmlformats.org/officeDocument/2006/relationships/hyperlink" Target="https://statiz.sporki.com/player/?m=playerinfo&amp;p_no=1937" TargetMode="External"/><Relationship Id="rId12519" Type="http://schemas.openxmlformats.org/officeDocument/2006/relationships/hyperlink" Target="https://statiz.sporki.com/player/?m=playerinfo&amp;p_no=14809" TargetMode="External"/><Relationship Id="rId7089" Type="http://schemas.openxmlformats.org/officeDocument/2006/relationships/hyperlink" Target="https://statiz.sporki.com/add/?m=draft_school02&amp;ps_school=" TargetMode="External"/><Relationship Id="rId18562" Type="http://schemas.openxmlformats.org/officeDocument/2006/relationships/hyperlink" Target="https://statiz.sporki.com/add/?m=draft_school01&amp;ps_school=50602" TargetMode="External"/><Relationship Id="rId3699" Type="http://schemas.openxmlformats.org/officeDocument/2006/relationships/hyperlink" Target="https://statiz.sporki.com/add/?m=draft_school02&amp;ps_school=" TargetMode="External"/><Relationship Id="rId8621" Type="http://schemas.openxmlformats.org/officeDocument/2006/relationships/hyperlink" Target="https://statiz.sporki.com/add/?m=draft_school01&amp;ps_school=50102" TargetMode="External"/><Relationship Id="rId18215" Type="http://schemas.openxmlformats.org/officeDocument/2006/relationships/hyperlink" Target="https://statiz.sporki.com/add/?m=draft_school01&amp;ps_school=50108" TargetMode="External"/><Relationship Id="rId6172" Type="http://schemas.openxmlformats.org/officeDocument/2006/relationships/hyperlink" Target="https://statiz.sporki.com/player/?m=playerinfo&amp;p_no=2428" TargetMode="External"/><Relationship Id="rId11602" Type="http://schemas.openxmlformats.org/officeDocument/2006/relationships/hyperlink" Target="https://statiz.sporki.com/player/?m=playerinfo&amp;p_no=1155" TargetMode="External"/><Relationship Id="rId9395" Type="http://schemas.openxmlformats.org/officeDocument/2006/relationships/hyperlink" Target="https://statiz.sporki.com/add/?m=draft_school01&amp;ps_school=50301" TargetMode="External"/><Relationship Id="rId14825" Type="http://schemas.openxmlformats.org/officeDocument/2006/relationships/hyperlink" Target="https://statiz.sporki.com/player/?m=playerinfo&amp;p_no=10479" TargetMode="External"/><Relationship Id="rId2782" Type="http://schemas.openxmlformats.org/officeDocument/2006/relationships/hyperlink" Target="https://statiz.sporki.com/player/?m=playerinfo&amp;p_no=12918" TargetMode="External"/><Relationship Id="rId9048" Type="http://schemas.openxmlformats.org/officeDocument/2006/relationships/hyperlink" Target="https://statiz.sporki.com/add/?m=draft_school02&amp;ps_school=" TargetMode="External"/><Relationship Id="rId12376" Type="http://schemas.openxmlformats.org/officeDocument/2006/relationships/hyperlink" Target="https://statiz.sporki.com/player/?m=playerinfo&amp;p_no=15645" TargetMode="External"/><Relationship Id="rId754" Type="http://schemas.openxmlformats.org/officeDocument/2006/relationships/hyperlink" Target="https://statiz.sporki.com/player/?m=playerinfo&amp;p_no=15119" TargetMode="External"/><Relationship Id="rId2435" Type="http://schemas.openxmlformats.org/officeDocument/2006/relationships/hyperlink" Target="https://statiz.sporki.com/add/?m=draft_school01&amp;ps_school=50601" TargetMode="External"/><Relationship Id="rId12029" Type="http://schemas.openxmlformats.org/officeDocument/2006/relationships/hyperlink" Target="https://statiz.sporki.com/add/?m=draft_school01&amp;ps_school=50701" TargetMode="External"/><Relationship Id="rId15599" Type="http://schemas.openxmlformats.org/officeDocument/2006/relationships/hyperlink" Target="https://statiz.sporki.com/player/?m=playerinfo&amp;p_no=1510" TargetMode="External"/><Relationship Id="rId407" Type="http://schemas.openxmlformats.org/officeDocument/2006/relationships/hyperlink" Target="https://statiz.sporki.com/add/?m=draft_school01&amp;ps_school=50703" TargetMode="External"/><Relationship Id="rId5658" Type="http://schemas.openxmlformats.org/officeDocument/2006/relationships/hyperlink" Target="https://statiz.sporki.com/add/?m=draft_school02&amp;ps_school=" TargetMode="External"/><Relationship Id="rId18072" Type="http://schemas.openxmlformats.org/officeDocument/2006/relationships/hyperlink" Target="https://statiz.sporki.com/add/?m=draft_school01&amp;ps_school=50303" TargetMode="External"/><Relationship Id="rId8131" Type="http://schemas.openxmlformats.org/officeDocument/2006/relationships/hyperlink" Target="https://statiz.sporki.com/player/?m=playerinfo&amp;p_no=10005" TargetMode="External"/><Relationship Id="rId11112" Type="http://schemas.openxmlformats.org/officeDocument/2006/relationships/hyperlink" Target="https://statiz.sporki.com/add/?m=draft_school02&amp;ps_school=60103" TargetMode="External"/><Relationship Id="rId14682" Type="http://schemas.openxmlformats.org/officeDocument/2006/relationships/hyperlink" Target="https://statiz.sporki.com/player/?m=playerinfo&amp;p_no=2331" TargetMode="External"/><Relationship Id="rId2292" Type="http://schemas.openxmlformats.org/officeDocument/2006/relationships/hyperlink" Target="https://statiz.sporki.com/add/?m=draft_school02&amp;ps_school=" TargetMode="External"/><Relationship Id="rId4741" Type="http://schemas.openxmlformats.org/officeDocument/2006/relationships/hyperlink" Target="https://statiz.sporki.com/player/?m=playerinfo&amp;p_no=12999" TargetMode="External"/><Relationship Id="rId14335" Type="http://schemas.openxmlformats.org/officeDocument/2006/relationships/hyperlink" Target="https://statiz.sporki.com/player/?m=playerinfo&amp;p_no=10770" TargetMode="External"/><Relationship Id="rId264" Type="http://schemas.openxmlformats.org/officeDocument/2006/relationships/hyperlink" Target="https://statiz.sporki.com/add/?m=draft_school02&amp;ps_school=" TargetMode="External"/><Relationship Id="rId7964" Type="http://schemas.openxmlformats.org/officeDocument/2006/relationships/hyperlink" Target="https://statiz.sporki.com/add/?m=draft_school01&amp;ps_school=" TargetMode="External"/><Relationship Id="rId10945" Type="http://schemas.openxmlformats.org/officeDocument/2006/relationships/hyperlink" Target="https://statiz.sporki.com/player/?m=playerinfo&amp;p_no=1466" TargetMode="External"/><Relationship Id="rId17558" Type="http://schemas.openxmlformats.org/officeDocument/2006/relationships/hyperlink" Target="https://statiz.sporki.com/add/?m=draft_school01&amp;ps_school=50302" TargetMode="External"/><Relationship Id="rId7617" Type="http://schemas.openxmlformats.org/officeDocument/2006/relationships/hyperlink" Target="https://statiz.sporki.com/add/?m=draft_school02&amp;ps_school=60101" TargetMode="External"/><Relationship Id="rId5168" Type="http://schemas.openxmlformats.org/officeDocument/2006/relationships/hyperlink" Target="https://statiz.sporki.com/add/?m=draft_school01&amp;ps_school=50114" TargetMode="External"/><Relationship Id="rId16641" Type="http://schemas.openxmlformats.org/officeDocument/2006/relationships/hyperlink" Target="https://statiz.sporki.com/add/?m=draft_school01&amp;ps_school=50111" TargetMode="External"/><Relationship Id="rId1778" Type="http://schemas.openxmlformats.org/officeDocument/2006/relationships/hyperlink" Target="https://statiz.sporki.com/add/?m=draft_school01&amp;ps_school=50217" TargetMode="External"/><Relationship Id="rId6700" Type="http://schemas.openxmlformats.org/officeDocument/2006/relationships/hyperlink" Target="https://statiz.sporki.com/player/?m=playerinfo&amp;p_no=10197" TargetMode="External"/><Relationship Id="rId14192" Type="http://schemas.openxmlformats.org/officeDocument/2006/relationships/hyperlink" Target="https://statiz.sporki.com/player/?m=playerinfo&amp;p_no=10167" TargetMode="External"/><Relationship Id="rId4251" Type="http://schemas.openxmlformats.org/officeDocument/2006/relationships/hyperlink" Target="https://statiz.sporki.com/add/?m=draft_school02&amp;ps_school=" TargetMode="External"/><Relationship Id="rId7474" Type="http://schemas.openxmlformats.org/officeDocument/2006/relationships/hyperlink" Target="https://statiz.sporki.com/player/?m=playerinfo&amp;p_no=10571" TargetMode="External"/><Relationship Id="rId9923" Type="http://schemas.openxmlformats.org/officeDocument/2006/relationships/hyperlink" Target="https://statiz.sporki.com/add/?m=draft_school01&amp;ps_school=" TargetMode="External"/><Relationship Id="rId12904" Type="http://schemas.openxmlformats.org/officeDocument/2006/relationships/hyperlink" Target="https://statiz.sporki.com/player/?m=playerinfo&amp;p_no=14207" TargetMode="External"/><Relationship Id="rId17068" Type="http://schemas.openxmlformats.org/officeDocument/2006/relationships/hyperlink" Target="https://statiz.sporki.com/add/?m=draft_school01&amp;ps_school=50211" TargetMode="External"/><Relationship Id="rId19517" Type="http://schemas.openxmlformats.org/officeDocument/2006/relationships/hyperlink" Target="https://statiz.sporki.com/add/?m=draft_school01&amp;ps_school=50802" TargetMode="External"/><Relationship Id="rId7127" Type="http://schemas.openxmlformats.org/officeDocument/2006/relationships/hyperlink" Target="https://statiz.sporki.com/add/?m=draft_school01&amp;ps_school=50101" TargetMode="External"/><Relationship Id="rId10455" Type="http://schemas.openxmlformats.org/officeDocument/2006/relationships/hyperlink" Target="https://statiz.sporki.com/add/?m=draft_school02&amp;ps_school=" TargetMode="External"/><Relationship Id="rId10108" Type="http://schemas.openxmlformats.org/officeDocument/2006/relationships/hyperlink" Target="https://statiz.sporki.com/player/?m=playerinfo&amp;p_no=1569" TargetMode="External"/><Relationship Id="rId13678" Type="http://schemas.openxmlformats.org/officeDocument/2006/relationships/hyperlink" Target="https://statiz.sporki.com/player/?m=playerinfo&amp;p_no=11141" TargetMode="External"/><Relationship Id="rId18600" Type="http://schemas.openxmlformats.org/officeDocument/2006/relationships/hyperlink" Target="https://statiz.sporki.com/add/?m=draft_school01&amp;ps_school=50105" TargetMode="External"/><Relationship Id="rId3737" Type="http://schemas.openxmlformats.org/officeDocument/2006/relationships/hyperlink" Target="https://statiz.sporki.com/add/?m=draft_school01&amp;ps_school=50403" TargetMode="External"/><Relationship Id="rId16151" Type="http://schemas.openxmlformats.org/officeDocument/2006/relationships/hyperlink" Target="https://statiz.sporki.com/player/?m=playerinfo&amp;p_no=1039" TargetMode="External"/><Relationship Id="rId1288" Type="http://schemas.openxmlformats.org/officeDocument/2006/relationships/hyperlink" Target="https://statiz.sporki.com/player/?m=playerinfo&amp;p_no=14752" TargetMode="External"/><Relationship Id="rId6210" Type="http://schemas.openxmlformats.org/officeDocument/2006/relationships/hyperlink" Target="https://statiz.sporki.com/add/?m=draft_school02&amp;ps_school=" TargetMode="External"/><Relationship Id="rId9780" Type="http://schemas.openxmlformats.org/officeDocument/2006/relationships/hyperlink" Target="https://statiz.sporki.com/add/?m=draft_school02&amp;ps_school=60501" TargetMode="External"/><Relationship Id="rId19374" Type="http://schemas.openxmlformats.org/officeDocument/2006/relationships/hyperlink" Target="https://statiz.sporki.com/add/?m=draft_school01&amp;ps_school=50402" TargetMode="External"/><Relationship Id="rId9433" Type="http://schemas.openxmlformats.org/officeDocument/2006/relationships/hyperlink" Target="https://statiz.sporki.com/player/?m=playerinfo&amp;p_no=1782" TargetMode="External"/><Relationship Id="rId12761" Type="http://schemas.openxmlformats.org/officeDocument/2006/relationships/hyperlink" Target="https://statiz.sporki.com/player/?m=playerinfo&amp;p_no=14145" TargetMode="External"/><Relationship Id="rId19027" Type="http://schemas.openxmlformats.org/officeDocument/2006/relationships/hyperlink" Target="https://statiz.sporki.com/add/?m=draft_school01&amp;ps_school=50807" TargetMode="External"/><Relationship Id="rId2820" Type="http://schemas.openxmlformats.org/officeDocument/2006/relationships/hyperlink" Target="https://statiz.sporki.com/add/?m=draft_school02&amp;ps_school=60802" TargetMode="External"/><Relationship Id="rId12414" Type="http://schemas.openxmlformats.org/officeDocument/2006/relationships/hyperlink" Target="https://statiz.sporki.com/player/?m=playerinfo&amp;p_no=15143" TargetMode="External"/><Relationship Id="rId15984" Type="http://schemas.openxmlformats.org/officeDocument/2006/relationships/hyperlink" Target="https://statiz.sporki.com/player/?m=playerinfo&amp;p_no=1212" TargetMode="External"/><Relationship Id="rId15637" Type="http://schemas.openxmlformats.org/officeDocument/2006/relationships/hyperlink" Target="https://statiz.sporki.com/player/?m=playerinfo&amp;p_no=1547" TargetMode="External"/><Relationship Id="rId3594" Type="http://schemas.openxmlformats.org/officeDocument/2006/relationships/hyperlink" Target="https://statiz.sporki.com/add/?m=draft_school02&amp;ps_school=60703" TargetMode="External"/><Relationship Id="rId13188" Type="http://schemas.openxmlformats.org/officeDocument/2006/relationships/hyperlink" Target="https://statiz.sporki.com/player/?m=playerinfo&amp;p_no=13266" TargetMode="External"/><Relationship Id="rId18110" Type="http://schemas.openxmlformats.org/officeDocument/2006/relationships/hyperlink" Target="https://statiz.sporki.com/add/?m=draft_school01&amp;ps_school=50701" TargetMode="External"/><Relationship Id="rId3247" Type="http://schemas.openxmlformats.org/officeDocument/2006/relationships/hyperlink" Target="https://statiz.sporki.com/player/?m=playerinfo&amp;p_no=12620" TargetMode="External"/><Relationship Id="rId8919" Type="http://schemas.openxmlformats.org/officeDocument/2006/relationships/hyperlink" Target="https://statiz.sporki.com/add/?m=draft_school02&amp;ps_school=60103" TargetMode="External"/><Relationship Id="rId9290" Type="http://schemas.openxmlformats.org/officeDocument/2006/relationships/hyperlink" Target="https://statiz.sporki.com/add/?m=draft_school01&amp;ps_school=50609" TargetMode="External"/><Relationship Id="rId12271" Type="http://schemas.openxmlformats.org/officeDocument/2006/relationships/hyperlink" Target="https://statiz.sporki.com/player/?m=playerinfo&amp;p_no=15540" TargetMode="External"/><Relationship Id="rId14720" Type="http://schemas.openxmlformats.org/officeDocument/2006/relationships/hyperlink" Target="https://statiz.sporki.com/player/?m=playerinfo&amp;p_no=2208" TargetMode="External"/><Relationship Id="rId2330" Type="http://schemas.openxmlformats.org/officeDocument/2006/relationships/hyperlink" Target="https://statiz.sporki.com/add/?m=draft_school01&amp;ps_school=50301" TargetMode="External"/><Relationship Id="rId17943" Type="http://schemas.openxmlformats.org/officeDocument/2006/relationships/hyperlink" Target="https://statiz.sporki.com/add/?m=draft_school01&amp;ps_school=50805" TargetMode="External"/><Relationship Id="rId302" Type="http://schemas.openxmlformats.org/officeDocument/2006/relationships/hyperlink" Target="https://statiz.sporki.com/add/?m=draft_school01&amp;ps_school=50209" TargetMode="External"/><Relationship Id="rId5553" Type="http://schemas.openxmlformats.org/officeDocument/2006/relationships/hyperlink" Target="https://statiz.sporki.com/add/?m=draft_school02&amp;ps_school=60108" TargetMode="External"/><Relationship Id="rId15147" Type="http://schemas.openxmlformats.org/officeDocument/2006/relationships/hyperlink" Target="https://statiz.sporki.com/player/?m=playerinfo&amp;p_no=2040" TargetMode="External"/><Relationship Id="rId15494" Type="http://schemas.openxmlformats.org/officeDocument/2006/relationships/hyperlink" Target="https://statiz.sporki.com/player/?m=playerinfo&amp;p_no=1602" TargetMode="External"/><Relationship Id="rId5206" Type="http://schemas.openxmlformats.org/officeDocument/2006/relationships/hyperlink" Target="https://statiz.sporki.com/player/?m=playerinfo&amp;p_no=10659" TargetMode="External"/><Relationship Id="rId8776" Type="http://schemas.openxmlformats.org/officeDocument/2006/relationships/hyperlink" Target="https://statiz.sporki.com/player/?m=playerinfo&amp;p_no=2107" TargetMode="External"/><Relationship Id="rId11757" Type="http://schemas.openxmlformats.org/officeDocument/2006/relationships/hyperlink" Target="https://statiz.sporki.com/add/?m=draft_school02&amp;ps_school=" TargetMode="External"/><Relationship Id="rId1816" Type="http://schemas.openxmlformats.org/officeDocument/2006/relationships/hyperlink" Target="https://statiz.sporki.com/player/?m=playerinfo&amp;p_no=14735" TargetMode="External"/><Relationship Id="rId8429" Type="http://schemas.openxmlformats.org/officeDocument/2006/relationships/hyperlink" Target="https://statiz.sporki.com/add/?m=draft_school01&amp;ps_school=50401" TargetMode="External"/><Relationship Id="rId14230" Type="http://schemas.openxmlformats.org/officeDocument/2006/relationships/hyperlink" Target="https://statiz.sporki.com/player/?m=playerinfo&amp;p_no=10312" TargetMode="External"/><Relationship Id="rId17453" Type="http://schemas.openxmlformats.org/officeDocument/2006/relationships/hyperlink" Target="https://statiz.sporki.com/add/?m=draft_school01&amp;ps_school=50102" TargetMode="External"/><Relationship Id="rId7512" Type="http://schemas.openxmlformats.org/officeDocument/2006/relationships/hyperlink" Target="https://statiz.sporki.com/add/?m=draft_school02&amp;ps_school=" TargetMode="External"/><Relationship Id="rId10840" Type="http://schemas.openxmlformats.org/officeDocument/2006/relationships/hyperlink" Target="https://statiz.sporki.com/player/?m=playerinfo&amp;p_no=1377" TargetMode="External"/><Relationship Id="rId17106" Type="http://schemas.openxmlformats.org/officeDocument/2006/relationships/hyperlink" Target="https://statiz.sporki.com/add/?m=draft_school01&amp;ps_school=50102" TargetMode="External"/><Relationship Id="rId5063" Type="http://schemas.openxmlformats.org/officeDocument/2006/relationships/hyperlink" Target="https://statiz.sporki.com/add/?m=draft_school01&amp;ps_school=" TargetMode="External"/><Relationship Id="rId8286" Type="http://schemas.openxmlformats.org/officeDocument/2006/relationships/hyperlink" Target="https://statiz.sporki.com/add/?m=draft_school02&amp;ps_school=60103" TargetMode="External"/><Relationship Id="rId13716" Type="http://schemas.openxmlformats.org/officeDocument/2006/relationships/hyperlink" Target="https://statiz.sporki.com/player/?m=playerinfo&amp;p_no=11182" TargetMode="External"/><Relationship Id="rId1673" Type="http://schemas.openxmlformats.org/officeDocument/2006/relationships/hyperlink" Target="https://statiz.sporki.com/add/?m=draft_school01&amp;ps_school=50703" TargetMode="External"/><Relationship Id="rId11267" Type="http://schemas.openxmlformats.org/officeDocument/2006/relationships/hyperlink" Target="https://statiz.sporki.com/add/?m=draft_school01&amp;ps_school=50121" TargetMode="External"/><Relationship Id="rId16939" Type="http://schemas.openxmlformats.org/officeDocument/2006/relationships/hyperlink" Target="https://statiz.sporki.com/add/?m=draft_school01&amp;ps_school=50114" TargetMode="External"/><Relationship Id="rId1326" Type="http://schemas.openxmlformats.org/officeDocument/2006/relationships/hyperlink" Target="https://statiz.sporki.com/add/?m=draft_school02&amp;ps_school=61111" TargetMode="External"/><Relationship Id="rId4896" Type="http://schemas.openxmlformats.org/officeDocument/2006/relationships/hyperlink" Target="https://statiz.sporki.com/add/?m=draft_school02&amp;ps_school=60607" TargetMode="External"/><Relationship Id="rId19412" Type="http://schemas.openxmlformats.org/officeDocument/2006/relationships/hyperlink" Target="https://statiz.sporki.com/add/?m=draft_school01&amp;ps_school=50107" TargetMode="External"/><Relationship Id="rId32" Type="http://schemas.openxmlformats.org/officeDocument/2006/relationships/hyperlink" Target="https://statiz.sporki.com/add/?m=draft_school01&amp;ps_school=50403" TargetMode="External"/><Relationship Id="rId4549" Type="http://schemas.openxmlformats.org/officeDocument/2006/relationships/hyperlink" Target="https://statiz.sporki.com/player/?m=playerinfo&amp;p_no=11094" TargetMode="External"/><Relationship Id="rId10350" Type="http://schemas.openxmlformats.org/officeDocument/2006/relationships/hyperlink" Target="https://statiz.sporki.com/add/?m=draft_school02&amp;ps_school=60101" TargetMode="External"/><Relationship Id="rId7022" Type="http://schemas.openxmlformats.org/officeDocument/2006/relationships/hyperlink" Target="https://statiz.sporki.com/add/?m=draft_school01&amp;ps_school=50602" TargetMode="External"/><Relationship Id="rId10003" Type="http://schemas.openxmlformats.org/officeDocument/2006/relationships/hyperlink" Target="https://statiz.sporki.com/player/?m=playerinfo&amp;p_no=1563" TargetMode="External"/><Relationship Id="rId3632" Type="http://schemas.openxmlformats.org/officeDocument/2006/relationships/hyperlink" Target="https://statiz.sporki.com/add/?m=draft_school01&amp;ps_school=50804" TargetMode="External"/><Relationship Id="rId13226" Type="http://schemas.openxmlformats.org/officeDocument/2006/relationships/hyperlink" Target="https://statiz.sporki.com/player/?m=playerinfo&amp;p_no=12629" TargetMode="External"/><Relationship Id="rId13573" Type="http://schemas.openxmlformats.org/officeDocument/2006/relationships/hyperlink" Target="https://statiz.sporki.com/player/?m=playerinfo&amp;p_no=11269" TargetMode="External"/><Relationship Id="rId1183" Type="http://schemas.openxmlformats.org/officeDocument/2006/relationships/hyperlink" Target="https://statiz.sporki.com/player/?m=playerinfo&amp;p_no=14817" TargetMode="External"/><Relationship Id="rId16796" Type="http://schemas.openxmlformats.org/officeDocument/2006/relationships/hyperlink" Target="https://statiz.sporki.com/add/?m=draft_school01&amp;ps_school=50111" TargetMode="External"/><Relationship Id="rId6855" Type="http://schemas.openxmlformats.org/officeDocument/2006/relationships/hyperlink" Target="https://statiz.sporki.com/add/?m=draft_school02&amp;ps_school=" TargetMode="External"/><Relationship Id="rId16449" Type="http://schemas.openxmlformats.org/officeDocument/2006/relationships/hyperlink" Target="https://statiz.sporki.com/add/?m=draft_school01&amp;ps_school=50804" TargetMode="External"/><Relationship Id="rId4059" Type="http://schemas.openxmlformats.org/officeDocument/2006/relationships/hyperlink" Target="https://statiz.sporki.com/add/?m=draft_school02&amp;ps_school=" TargetMode="External"/><Relationship Id="rId6508" Type="http://schemas.openxmlformats.org/officeDocument/2006/relationships/hyperlink" Target="https://statiz.sporki.com/player/?m=playerinfo&amp;p_no=10793" TargetMode="External"/><Relationship Id="rId15532" Type="http://schemas.openxmlformats.org/officeDocument/2006/relationships/hyperlink" Target="https://statiz.sporki.com/player/?m=playerinfo&amp;p_no=1895" TargetMode="External"/><Relationship Id="rId13083" Type="http://schemas.openxmlformats.org/officeDocument/2006/relationships/hyperlink" Target="https://statiz.sporki.com/player/?m=playerinfo&amp;p_no=12935" TargetMode="External"/><Relationship Id="rId3142" Type="http://schemas.openxmlformats.org/officeDocument/2006/relationships/hyperlink" Target="https://statiz.sporki.com/player/?m=playerinfo&amp;p_no=13277" TargetMode="External"/><Relationship Id="rId18755" Type="http://schemas.openxmlformats.org/officeDocument/2006/relationships/hyperlink" Target="https://statiz.sporki.com/add/?m=draft_school01&amp;ps_school=50114" TargetMode="External"/><Relationship Id="rId6365" Type="http://schemas.openxmlformats.org/officeDocument/2006/relationships/hyperlink" Target="https://statiz.sporki.com/add/?m=draft_school01&amp;ps_school=50602" TargetMode="External"/><Relationship Id="rId8814" Type="http://schemas.openxmlformats.org/officeDocument/2006/relationships/hyperlink" Target="https://statiz.sporki.com/add/?m=draft_school02&amp;ps_school=60101" TargetMode="External"/><Relationship Id="rId18408" Type="http://schemas.openxmlformats.org/officeDocument/2006/relationships/hyperlink" Target="https://statiz.sporki.com/add/?m=draft_school01&amp;ps_school=50112" TargetMode="External"/><Relationship Id="rId6018" Type="http://schemas.openxmlformats.org/officeDocument/2006/relationships/hyperlink" Target="https://statiz.sporki.com/add/?m=draft_school02&amp;ps_school=" TargetMode="External"/><Relationship Id="rId2975" Type="http://schemas.openxmlformats.org/officeDocument/2006/relationships/hyperlink" Target="https://statiz.sporki.com/add/?m=draft_school01&amp;ps_school=50705" TargetMode="External"/><Relationship Id="rId9588" Type="http://schemas.openxmlformats.org/officeDocument/2006/relationships/hyperlink" Target="https://statiz.sporki.com/add/?m=draft_school02&amp;ps_school=60204" TargetMode="External"/><Relationship Id="rId12569" Type="http://schemas.openxmlformats.org/officeDocument/2006/relationships/hyperlink" Target="https://statiz.sporki.com/player/?m=playerinfo&amp;p_no=14755" TargetMode="External"/><Relationship Id="rId947" Type="http://schemas.openxmlformats.org/officeDocument/2006/relationships/hyperlink" Target="https://statiz.sporki.com/add/?m=draft_school01&amp;ps_school=50211" TargetMode="External"/><Relationship Id="rId2628" Type="http://schemas.openxmlformats.org/officeDocument/2006/relationships/hyperlink" Target="https://statiz.sporki.com/add/?m=draft_school02&amp;ps_school=" TargetMode="External"/><Relationship Id="rId15042" Type="http://schemas.openxmlformats.org/officeDocument/2006/relationships/hyperlink" Target="https://statiz.sporki.com/player/?m=playerinfo&amp;p_no=10277" TargetMode="External"/><Relationship Id="rId5101" Type="http://schemas.openxmlformats.org/officeDocument/2006/relationships/hyperlink" Target="https://statiz.sporki.com/player/?m=playerinfo&amp;p_no=10806" TargetMode="External"/><Relationship Id="rId8671" Type="http://schemas.openxmlformats.org/officeDocument/2006/relationships/hyperlink" Target="https://statiz.sporki.com/player/?m=playerinfo&amp;p_no=2226" TargetMode="External"/><Relationship Id="rId18265" Type="http://schemas.openxmlformats.org/officeDocument/2006/relationships/hyperlink" Target="https://statiz.sporki.com/add/?m=draft_school01&amp;ps_school=50802" TargetMode="External"/><Relationship Id="rId1711" Type="http://schemas.openxmlformats.org/officeDocument/2006/relationships/hyperlink" Target="https://statiz.sporki.com/player/?m=playerinfo&amp;p_no=14609" TargetMode="External"/><Relationship Id="rId8324" Type="http://schemas.openxmlformats.org/officeDocument/2006/relationships/hyperlink" Target="https://statiz.sporki.com/add/?m=draft_school01&amp;ps_school=50501" TargetMode="External"/><Relationship Id="rId11652" Type="http://schemas.openxmlformats.org/officeDocument/2006/relationships/hyperlink" Target="https://statiz.sporki.com/add/?m=draft_school02&amp;ps_school=60113" TargetMode="External"/><Relationship Id="rId11305" Type="http://schemas.openxmlformats.org/officeDocument/2006/relationships/hyperlink" Target="https://statiz.sporki.com/player/?m=playerinfo&amp;p_no=1351" TargetMode="External"/><Relationship Id="rId14875" Type="http://schemas.openxmlformats.org/officeDocument/2006/relationships/hyperlink" Target="https://statiz.sporki.com/player/?m=playerinfo&amp;p_no=11442" TargetMode="External"/><Relationship Id="rId2485" Type="http://schemas.openxmlformats.org/officeDocument/2006/relationships/hyperlink" Target="https://statiz.sporki.com/player/?m=playerinfo&amp;p_no=13097" TargetMode="External"/><Relationship Id="rId4934" Type="http://schemas.openxmlformats.org/officeDocument/2006/relationships/hyperlink" Target="https://statiz.sporki.com/add/?m=draft_school01&amp;ps_school=50201" TargetMode="External"/><Relationship Id="rId9098" Type="http://schemas.openxmlformats.org/officeDocument/2006/relationships/hyperlink" Target="https://statiz.sporki.com/add/?m=draft_school01&amp;ps_school=50813" TargetMode="External"/><Relationship Id="rId14528" Type="http://schemas.openxmlformats.org/officeDocument/2006/relationships/hyperlink" Target="https://statiz.sporki.com/player/?m=playerinfo&amp;p_no=2276" TargetMode="External"/><Relationship Id="rId457" Type="http://schemas.openxmlformats.org/officeDocument/2006/relationships/hyperlink" Target="https://statiz.sporki.com/player/?m=playerinfo&amp;p_no=16011" TargetMode="External"/><Relationship Id="rId2138" Type="http://schemas.openxmlformats.org/officeDocument/2006/relationships/hyperlink" Target="https://statiz.sporki.com/add/?m=draft_school01&amp;ps_school=50101" TargetMode="External"/><Relationship Id="rId12079" Type="http://schemas.openxmlformats.org/officeDocument/2006/relationships/hyperlink" Target="https://statiz.sporki.com/player/?m=playerinfo&amp;p_no=1162" TargetMode="External"/><Relationship Id="rId17001" Type="http://schemas.openxmlformats.org/officeDocument/2006/relationships/hyperlink" Target="https://statiz.sporki.com/add/?m=draft_school01&amp;ps_school=50403" TargetMode="External"/><Relationship Id="rId13611" Type="http://schemas.openxmlformats.org/officeDocument/2006/relationships/hyperlink" Target="https://statiz.sporki.com/player/?m=playerinfo&amp;p_no=12528" TargetMode="External"/><Relationship Id="rId8181" Type="http://schemas.openxmlformats.org/officeDocument/2006/relationships/hyperlink" Target="https://statiz.sporki.com/add/?m=draft_school02&amp;ps_school=60104" TargetMode="External"/><Relationship Id="rId11162" Type="http://schemas.openxmlformats.org/officeDocument/2006/relationships/hyperlink" Target="https://statiz.sporki.com/add/?m=draft_school01&amp;ps_school=50608" TargetMode="External"/><Relationship Id="rId1221" Type="http://schemas.openxmlformats.org/officeDocument/2006/relationships/hyperlink" Target="https://statiz.sporki.com/add/?m=draft_school02&amp;ps_school=60502" TargetMode="External"/><Relationship Id="rId4791" Type="http://schemas.openxmlformats.org/officeDocument/2006/relationships/hyperlink" Target="https://statiz.sporki.com/add/?m=draft_school02&amp;ps_school=60109" TargetMode="External"/><Relationship Id="rId14385" Type="http://schemas.openxmlformats.org/officeDocument/2006/relationships/hyperlink" Target="https://statiz.sporki.com/player/?m=playerinfo&amp;p_no=10103" TargetMode="External"/><Relationship Id="rId16834" Type="http://schemas.openxmlformats.org/officeDocument/2006/relationships/hyperlink" Target="https://statiz.sporki.com/add/?m=draft_school01&amp;ps_school=50601" TargetMode="External"/><Relationship Id="rId4444" Type="http://schemas.openxmlformats.org/officeDocument/2006/relationships/hyperlink" Target="https://statiz.sporki.com/player/?m=playerinfo&amp;p_no=11115" TargetMode="External"/><Relationship Id="rId14038" Type="http://schemas.openxmlformats.org/officeDocument/2006/relationships/hyperlink" Target="https://statiz.sporki.com/player/?m=playerinfo&amp;p_no=10619" TargetMode="External"/><Relationship Id="rId10995" Type="http://schemas.openxmlformats.org/officeDocument/2006/relationships/hyperlink" Target="https://statiz.sporki.com/add/?m=draft_school02&amp;ps_school=60113" TargetMode="External"/><Relationship Id="rId7667" Type="http://schemas.openxmlformats.org/officeDocument/2006/relationships/hyperlink" Target="https://statiz.sporki.com/add/?m=draft_school01&amp;ps_school=50902" TargetMode="External"/><Relationship Id="rId10648" Type="http://schemas.openxmlformats.org/officeDocument/2006/relationships/hyperlink" Target="https://statiz.sporki.com/player/?m=playerinfo&amp;p_no=1482" TargetMode="External"/><Relationship Id="rId13121" Type="http://schemas.openxmlformats.org/officeDocument/2006/relationships/hyperlink" Target="https://statiz.sporki.com/player/?m=playerinfo&amp;p_no=12892" TargetMode="External"/><Relationship Id="rId16691" Type="http://schemas.openxmlformats.org/officeDocument/2006/relationships/hyperlink" Target="https://statiz.sporki.com/add/?m=draft_school01&amp;ps_school=50114" TargetMode="External"/><Relationship Id="rId6750" Type="http://schemas.openxmlformats.org/officeDocument/2006/relationships/hyperlink" Target="https://statiz.sporki.com/add/?m=draft_school02&amp;ps_school=" TargetMode="External"/><Relationship Id="rId16344" Type="http://schemas.openxmlformats.org/officeDocument/2006/relationships/hyperlink" Target="https://statiz.sporki.com/add/?m=draft_school01&amp;ps_school=50209" TargetMode="External"/><Relationship Id="rId6403" Type="http://schemas.openxmlformats.org/officeDocument/2006/relationships/hyperlink" Target="https://statiz.sporki.com/player/?m=playerinfo&amp;p_no=10257" TargetMode="External"/><Relationship Id="rId9973" Type="http://schemas.openxmlformats.org/officeDocument/2006/relationships/hyperlink" Target="https://statiz.sporki.com/player/?m=playerinfo&amp;p_no=1697" TargetMode="External"/><Relationship Id="rId19567" Type="http://schemas.openxmlformats.org/officeDocument/2006/relationships/hyperlink" Target="https://statiz.sporki.com/add/?m=draft_school01&amp;ps_school=50904" TargetMode="External"/><Relationship Id="rId9626" Type="http://schemas.openxmlformats.org/officeDocument/2006/relationships/hyperlink" Target="https://statiz.sporki.com/add/?m=draft_school01&amp;ps_school=50802" TargetMode="External"/><Relationship Id="rId12954" Type="http://schemas.openxmlformats.org/officeDocument/2006/relationships/hyperlink" Target="https://statiz.sporki.com/player/?m=playerinfo&amp;p_no=13138" TargetMode="External"/><Relationship Id="rId7177" Type="http://schemas.openxmlformats.org/officeDocument/2006/relationships/hyperlink" Target="https://statiz.sporki.com/player/?m=playerinfo&amp;p_no=2305" TargetMode="External"/><Relationship Id="rId12607" Type="http://schemas.openxmlformats.org/officeDocument/2006/relationships/hyperlink" Target="https://statiz.sporki.com/player/?m=playerinfo&amp;p_no=14572" TargetMode="External"/><Relationship Id="rId10158" Type="http://schemas.openxmlformats.org/officeDocument/2006/relationships/hyperlink" Target="https://statiz.sporki.com/add/?m=draft_school02&amp;ps_school=60705" TargetMode="External"/><Relationship Id="rId18650" Type="http://schemas.openxmlformats.org/officeDocument/2006/relationships/hyperlink" Target="https://statiz.sporki.com/add/?m=draft_school01&amp;ps_school=50202" TargetMode="External"/><Relationship Id="rId3787" Type="http://schemas.openxmlformats.org/officeDocument/2006/relationships/hyperlink" Target="https://statiz.sporki.com/player/?m=playerinfo&amp;p_no=11405" TargetMode="External"/><Relationship Id="rId18303" Type="http://schemas.openxmlformats.org/officeDocument/2006/relationships/hyperlink" Target="https://statiz.sporki.com/add/?m=draft_school01&amp;ps_school=50805" TargetMode="External"/><Relationship Id="rId6260" Type="http://schemas.openxmlformats.org/officeDocument/2006/relationships/hyperlink" Target="https://statiz.sporki.com/add/?m=draft_school01&amp;ps_school=51001" TargetMode="External"/><Relationship Id="rId2870" Type="http://schemas.openxmlformats.org/officeDocument/2006/relationships/hyperlink" Target="https://statiz.sporki.com/add/?m=draft_school01&amp;ps_school=50501" TargetMode="External"/><Relationship Id="rId9483" Type="http://schemas.openxmlformats.org/officeDocument/2006/relationships/hyperlink" Target="https://statiz.sporki.com/add/?m=draft_school02&amp;ps_school=" TargetMode="External"/><Relationship Id="rId12464" Type="http://schemas.openxmlformats.org/officeDocument/2006/relationships/hyperlink" Target="https://statiz.sporki.com/player/?m=playerinfo&amp;p_no=14803" TargetMode="External"/><Relationship Id="rId14913" Type="http://schemas.openxmlformats.org/officeDocument/2006/relationships/hyperlink" Target="https://statiz.sporki.com/player/?m=playerinfo&amp;p_no=10487" TargetMode="External"/><Relationship Id="rId19077" Type="http://schemas.openxmlformats.org/officeDocument/2006/relationships/hyperlink" Target="https://statiz.sporki.com/add/?m=draft_school01&amp;ps_school=50107" TargetMode="External"/><Relationship Id="rId842" Type="http://schemas.openxmlformats.org/officeDocument/2006/relationships/hyperlink" Target="https://statiz.sporki.com/add/?m=draft_school01&amp;ps_school=51127" TargetMode="External"/><Relationship Id="rId2523" Type="http://schemas.openxmlformats.org/officeDocument/2006/relationships/hyperlink" Target="https://statiz.sporki.com/add/?m=draft_school02&amp;ps_school=" TargetMode="External"/><Relationship Id="rId9136" Type="http://schemas.openxmlformats.org/officeDocument/2006/relationships/hyperlink" Target="https://statiz.sporki.com/player/?m=playerinfo&amp;p_no=1884" TargetMode="External"/><Relationship Id="rId12117" Type="http://schemas.openxmlformats.org/officeDocument/2006/relationships/hyperlink" Target="https://statiz.sporki.com/add/?m=draft_school02&amp;ps_school=60113" TargetMode="External"/><Relationship Id="rId15687" Type="http://schemas.openxmlformats.org/officeDocument/2006/relationships/hyperlink" Target="https://statiz.sporki.com/player/?m=playerinfo&amp;p_no=1454" TargetMode="External"/><Relationship Id="rId3297" Type="http://schemas.openxmlformats.org/officeDocument/2006/relationships/hyperlink" Target="https://statiz.sporki.com/add/?m=draft_school02&amp;ps_school=60203" TargetMode="External"/><Relationship Id="rId5746" Type="http://schemas.openxmlformats.org/officeDocument/2006/relationships/hyperlink" Target="https://statiz.sporki.com/player/?m=playerinfo&amp;p_no=10289" TargetMode="External"/><Relationship Id="rId18160" Type="http://schemas.openxmlformats.org/officeDocument/2006/relationships/hyperlink" Target="https://statiz.sporki.com/add/?m=draft_school01&amp;ps_school=50601" TargetMode="External"/><Relationship Id="rId8969" Type="http://schemas.openxmlformats.org/officeDocument/2006/relationships/hyperlink" Target="https://statiz.sporki.com/add/?m=draft_school01&amp;ps_school=50209" TargetMode="External"/><Relationship Id="rId11200" Type="http://schemas.openxmlformats.org/officeDocument/2006/relationships/hyperlink" Target="https://statiz.sporki.com/player/?m=playerinfo&amp;p_no=1283" TargetMode="External"/><Relationship Id="rId14770" Type="http://schemas.openxmlformats.org/officeDocument/2006/relationships/hyperlink" Target="https://statiz.sporki.com/player/?m=playerinfo&amp;p_no=10245" TargetMode="External"/><Relationship Id="rId14423" Type="http://schemas.openxmlformats.org/officeDocument/2006/relationships/hyperlink" Target="https://statiz.sporki.com/player/?m=playerinfo&amp;p_no=2358" TargetMode="External"/><Relationship Id="rId2380" Type="http://schemas.openxmlformats.org/officeDocument/2006/relationships/hyperlink" Target="https://statiz.sporki.com/player/?m=playerinfo&amp;p_no=13116" TargetMode="External"/><Relationship Id="rId17646" Type="http://schemas.openxmlformats.org/officeDocument/2006/relationships/hyperlink" Target="https://statiz.sporki.com/add/?m=draft_school01&amp;ps_school=50103" TargetMode="External"/><Relationship Id="rId17993" Type="http://schemas.openxmlformats.org/officeDocument/2006/relationships/hyperlink" Target="https://statiz.sporki.com/add/?m=draft_school01&amp;ps_school=50206" TargetMode="External"/><Relationship Id="rId352" Type="http://schemas.openxmlformats.org/officeDocument/2006/relationships/hyperlink" Target="https://statiz.sporki.com/player/?m=playerinfo&amp;p_no=15644" TargetMode="External"/><Relationship Id="rId2033" Type="http://schemas.openxmlformats.org/officeDocument/2006/relationships/hyperlink" Target="https://statiz.sporki.com/add/?m=draft_school01&amp;ps_school=50111" TargetMode="External"/><Relationship Id="rId7705" Type="http://schemas.openxmlformats.org/officeDocument/2006/relationships/hyperlink" Target="https://statiz.sporki.com/player/?m=playerinfo&amp;p_no=2174" TargetMode="External"/><Relationship Id="rId15197" Type="http://schemas.openxmlformats.org/officeDocument/2006/relationships/hyperlink" Target="https://statiz.sporki.com/player/?m=playerinfo&amp;p_no=1892" TargetMode="External"/><Relationship Id="rId5256" Type="http://schemas.openxmlformats.org/officeDocument/2006/relationships/hyperlink" Target="https://statiz.sporki.com/add/?m=draft_school02&amp;ps_school=" TargetMode="External"/><Relationship Id="rId8479" Type="http://schemas.openxmlformats.org/officeDocument/2006/relationships/hyperlink" Target="https://statiz.sporki.com/player/?m=playerinfo&amp;p_no=10164" TargetMode="External"/><Relationship Id="rId13909" Type="http://schemas.openxmlformats.org/officeDocument/2006/relationships/hyperlink" Target="https://statiz.sporki.com/player/?m=playerinfo&amp;p_no=10745" TargetMode="External"/><Relationship Id="rId1866" Type="http://schemas.openxmlformats.org/officeDocument/2006/relationships/hyperlink" Target="https://statiz.sporki.com/add/?m=draft_school02&amp;ps_school=" TargetMode="External"/><Relationship Id="rId14280" Type="http://schemas.openxmlformats.org/officeDocument/2006/relationships/hyperlink" Target="https://statiz.sporki.com/player/?m=playerinfo&amp;p_no=10025" TargetMode="External"/><Relationship Id="rId1519" Type="http://schemas.openxmlformats.org/officeDocument/2006/relationships/hyperlink" Target="https://statiz.sporki.com/player/?m=playerinfo&amp;p_no=14628" TargetMode="External"/><Relationship Id="rId10890" Type="http://schemas.openxmlformats.org/officeDocument/2006/relationships/hyperlink" Target="https://statiz.sporki.com/add/?m=draft_school02&amp;ps_school=60203" TargetMode="External"/><Relationship Id="rId19605" Type="http://schemas.openxmlformats.org/officeDocument/2006/relationships/hyperlink" Target="https://statiz.sporki.com/add/?m=draft_school01&amp;ps_school=50812" TargetMode="External"/><Relationship Id="rId7562" Type="http://schemas.openxmlformats.org/officeDocument/2006/relationships/hyperlink" Target="https://statiz.sporki.com/add/?m=draft_school01&amp;ps_school=50101" TargetMode="External"/><Relationship Id="rId10543" Type="http://schemas.openxmlformats.org/officeDocument/2006/relationships/hyperlink" Target="https://statiz.sporki.com/player/?m=playerinfo&amp;p_no=1438" TargetMode="External"/><Relationship Id="rId17156" Type="http://schemas.openxmlformats.org/officeDocument/2006/relationships/hyperlink" Target="https://statiz.sporki.com/add/?m=draft_school01&amp;ps_school=50111" TargetMode="External"/><Relationship Id="rId7215" Type="http://schemas.openxmlformats.org/officeDocument/2006/relationships/hyperlink" Target="https://statiz.sporki.com/add/?m=draft_school02&amp;ps_school=60803" TargetMode="External"/><Relationship Id="rId13766" Type="http://schemas.openxmlformats.org/officeDocument/2006/relationships/hyperlink" Target="https://statiz.sporki.com/player/?m=playerinfo&amp;p_no=10848" TargetMode="External"/><Relationship Id="rId1376" Type="http://schemas.openxmlformats.org/officeDocument/2006/relationships/hyperlink" Target="https://statiz.sporki.com/add/?m=draft_school01&amp;ps_school=50302" TargetMode="External"/><Relationship Id="rId3825" Type="http://schemas.openxmlformats.org/officeDocument/2006/relationships/hyperlink" Target="https://statiz.sporki.com/add/?m=draft_school02&amp;ps_school=" TargetMode="External"/><Relationship Id="rId13419" Type="http://schemas.openxmlformats.org/officeDocument/2006/relationships/hyperlink" Target="https://statiz.sporki.com/player/?m=playerinfo&amp;p_no=11531" TargetMode="External"/><Relationship Id="rId16989" Type="http://schemas.openxmlformats.org/officeDocument/2006/relationships/hyperlink" Target="https://statiz.sporki.com/add/?m=draft_school01&amp;ps_school=50103" TargetMode="External"/><Relationship Id="rId1029" Type="http://schemas.openxmlformats.org/officeDocument/2006/relationships/hyperlink" Target="https://statiz.sporki.com/add/?m=draft_school02&amp;ps_school=" TargetMode="External"/><Relationship Id="rId19462" Type="http://schemas.openxmlformats.org/officeDocument/2006/relationships/hyperlink" Target="https://statiz.sporki.com/add/?m=draft_school01&amp;ps_school=50121" TargetMode="External"/><Relationship Id="rId82" Type="http://schemas.openxmlformats.org/officeDocument/2006/relationships/hyperlink" Target="https://statiz.sporki.com/player/?m=playerinfo&amp;p_no=15499" TargetMode="External"/><Relationship Id="rId4599" Type="http://schemas.openxmlformats.org/officeDocument/2006/relationships/hyperlink" Target="https://statiz.sporki.com/add/?m=draft_school02&amp;ps_school=60603" TargetMode="External"/><Relationship Id="rId7072" Type="http://schemas.openxmlformats.org/officeDocument/2006/relationships/hyperlink" Target="https://statiz.sporki.com/player/?m=playerinfo&amp;p_no=2337" TargetMode="External"/><Relationship Id="rId9521" Type="http://schemas.openxmlformats.org/officeDocument/2006/relationships/hyperlink" Target="https://statiz.sporki.com/add/?m=draft_school01&amp;ps_school=50403" TargetMode="External"/><Relationship Id="rId12502" Type="http://schemas.openxmlformats.org/officeDocument/2006/relationships/hyperlink" Target="https://statiz.sporki.com/player/?m=playerinfo&amp;p_no=14847" TargetMode="External"/><Relationship Id="rId19115" Type="http://schemas.openxmlformats.org/officeDocument/2006/relationships/hyperlink" Target="https://statiz.sporki.com/add/?m=draft_school01&amp;ps_school=507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872C-5E7E-4E9E-B22E-441990CF5953}">
  <sheetPr codeName="Sheet1">
    <pageSetUpPr autoPageBreaks="0"/>
  </sheetPr>
  <dimension ref="A1:L4048"/>
  <sheetViews>
    <sheetView tabSelected="1" zoomScaleNormal="100" workbookViewId="0">
      <pane ySplit="1" topLeftCell="A2" activePane="bottomLeft" state="frozen"/>
      <selection pane="bottomLeft" activeCell="M3" sqref="M3"/>
    </sheetView>
  </sheetViews>
  <sheetFormatPr defaultRowHeight="16.5"/>
  <cols>
    <col min="7" max="7" width="9" style="13"/>
    <col min="9" max="9" width="9" style="13"/>
    <col min="12" max="12" width="9" style="17"/>
  </cols>
  <sheetData>
    <row r="1" spans="1:12" ht="17.25" thickBot="1">
      <c r="A1" s="2" t="s">
        <v>3857</v>
      </c>
      <c r="B1" s="2" t="s">
        <v>3858</v>
      </c>
      <c r="C1" s="2" t="s">
        <v>3859</v>
      </c>
      <c r="D1" s="14" t="s">
        <v>3860</v>
      </c>
      <c r="E1" s="14" t="s">
        <v>3861</v>
      </c>
      <c r="F1" s="2" t="s">
        <v>3862</v>
      </c>
      <c r="G1" s="7" t="s">
        <v>3863</v>
      </c>
      <c r="H1" s="14" t="s">
        <v>3864</v>
      </c>
      <c r="I1" s="15" t="s">
        <v>3865</v>
      </c>
      <c r="J1" s="2" t="s">
        <v>3866</v>
      </c>
      <c r="K1" s="2" t="s">
        <v>3867</v>
      </c>
      <c r="L1" s="16" t="s">
        <v>3868</v>
      </c>
    </row>
    <row r="2" spans="1:12" ht="17.25" thickBot="1">
      <c r="A2" s="3" t="s">
        <v>0</v>
      </c>
      <c r="B2" s="3" t="s">
        <v>1</v>
      </c>
      <c r="C2" s="3"/>
      <c r="D2" s="4" t="s">
        <v>2</v>
      </c>
      <c r="E2" s="4" t="s">
        <v>3</v>
      </c>
      <c r="F2" s="4">
        <v>2023</v>
      </c>
      <c r="G2" s="8">
        <v>-0.2</v>
      </c>
      <c r="H2" s="4" t="s">
        <v>3</v>
      </c>
      <c r="I2" s="8">
        <v>-0.2</v>
      </c>
      <c r="J2" s="3">
        <v>15421</v>
      </c>
      <c r="K2" s="3">
        <v>50107</v>
      </c>
      <c r="L2" s="17" t="str" cm="1">
        <f t="array" ref="L2">_xlfn.IFS(MID(K2,2,2)="01", "서울", MID(K2,2,2)="02","경기",MID(K2,2,2)="03","충청",MID(K2,2,2)="04","충청",MID(K2,2,2)="05","전라",MID(K2,2,2)="06","전라",MID(K2,2,2)="07","경북",MID(K2,2,2)="08","경남",MID(K2,2,2)="09","강원",MID(K2,2,2)="10","제주",TRUE,"국외")</f>
        <v>서울</v>
      </c>
    </row>
    <row r="3" spans="1:12" ht="17.25" thickBot="1">
      <c r="A3" s="3" t="s">
        <v>4</v>
      </c>
      <c r="B3" s="3" t="s">
        <v>5</v>
      </c>
      <c r="C3" s="3"/>
      <c r="D3" s="4" t="s">
        <v>2</v>
      </c>
      <c r="E3" s="4" t="s">
        <v>6</v>
      </c>
      <c r="F3" s="4">
        <v>2023</v>
      </c>
      <c r="G3" s="8">
        <v>2.2999999999999998</v>
      </c>
      <c r="H3" s="4" t="s">
        <v>6</v>
      </c>
      <c r="I3" s="8">
        <v>2.2999999999999998</v>
      </c>
      <c r="J3" s="3">
        <v>15432</v>
      </c>
      <c r="K3" s="3">
        <v>50114</v>
      </c>
      <c r="L3" s="17" t="str" cm="1">
        <f t="array" ref="L3">_xlfn.IFS(MID(K3,2,2)="01", "서울", MID(K3,2,2)="02","경기",MID(K3,2,2)="03","충청",MID(K3,2,2)="04","충청",MID(K3,2,2)="05","전라",MID(K3,2,2)="06","전라",MID(K3,2,2)="07","경북",MID(K3,2,2)="08","경남",MID(K3,2,2)="09","강원",MID(K3,2,2)="10","제주",TRUE,"국외")</f>
        <v>서울</v>
      </c>
    </row>
    <row r="4" spans="1:12" ht="17.25" thickBot="1">
      <c r="A4" s="3" t="s">
        <v>7</v>
      </c>
      <c r="B4" s="3" t="s">
        <v>8</v>
      </c>
      <c r="C4" s="3"/>
      <c r="D4" s="4" t="s">
        <v>2</v>
      </c>
      <c r="E4" s="4" t="s">
        <v>9</v>
      </c>
      <c r="F4" s="4">
        <v>2023</v>
      </c>
      <c r="G4" s="8">
        <v>-0.2</v>
      </c>
      <c r="H4" s="4" t="s">
        <v>9</v>
      </c>
      <c r="I4" s="8">
        <v>-0.2</v>
      </c>
      <c r="J4" s="3">
        <v>15253</v>
      </c>
      <c r="K4" s="3">
        <v>50116</v>
      </c>
      <c r="L4" s="17" t="str" cm="1">
        <f t="array" ref="L4">_xlfn.IFS(MID(K4,2,2)="01", "서울", MID(K4,2,2)="02","경기",MID(K4,2,2)="03","충청",MID(K4,2,2)="04","충청",MID(K4,2,2)="05","전라",MID(K4,2,2)="06","전라",MID(K4,2,2)="07","경북",MID(K4,2,2)="08","경남",MID(K4,2,2)="09","강원",MID(K4,2,2)="10","제주",TRUE,"국외")</f>
        <v>서울</v>
      </c>
    </row>
    <row r="5" spans="1:12" ht="17.25" thickBot="1">
      <c r="A5" s="3" t="s">
        <v>10</v>
      </c>
      <c r="B5" s="3" t="s">
        <v>11</v>
      </c>
      <c r="C5" s="3"/>
      <c r="D5" s="4" t="s">
        <v>2</v>
      </c>
      <c r="E5" s="4" t="s">
        <v>12</v>
      </c>
      <c r="F5" s="4"/>
      <c r="G5" s="9"/>
      <c r="H5" s="4"/>
      <c r="I5" s="9"/>
      <c r="J5" s="3">
        <v>15450</v>
      </c>
      <c r="K5" s="3">
        <v>50802</v>
      </c>
      <c r="L5" s="17" t="str" cm="1">
        <f t="array" ref="L5">_xlfn.IFS(MID(K5,2,2)="01", "서울", MID(K5,2,2)="02","경기",MID(K5,2,2)="03","충청",MID(K5,2,2)="04","충청",MID(K5,2,2)="05","전라",MID(K5,2,2)="06","전라",MID(K5,2,2)="07","경북",MID(K5,2,2)="08","경남",MID(K5,2,2)="09","강원",MID(K5,2,2)="10","제주",TRUE,"국외")</f>
        <v>경남</v>
      </c>
    </row>
    <row r="6" spans="1:12" ht="17.25" thickBot="1">
      <c r="A6" s="3" t="s">
        <v>13</v>
      </c>
      <c r="B6" s="3" t="s">
        <v>14</v>
      </c>
      <c r="C6" s="3"/>
      <c r="D6" s="4" t="s">
        <v>2</v>
      </c>
      <c r="E6" s="4" t="s">
        <v>15</v>
      </c>
      <c r="F6" s="4">
        <v>2023</v>
      </c>
      <c r="G6" s="8">
        <v>-0.1</v>
      </c>
      <c r="H6" s="4" t="s">
        <v>15</v>
      </c>
      <c r="I6" s="8">
        <v>-0.1</v>
      </c>
      <c r="J6" s="3">
        <v>15461</v>
      </c>
      <c r="K6" s="3">
        <v>50703</v>
      </c>
      <c r="L6" s="17" t="str" cm="1">
        <f t="array" ref="L6">_xlfn.IFS(MID(K6,2,2)="01", "서울", MID(K6,2,2)="02","경기",MID(K6,2,2)="03","충청",MID(K6,2,2)="04","충청",MID(K6,2,2)="05","전라",MID(K6,2,2)="06","전라",MID(K6,2,2)="07","경북",MID(K6,2,2)="08","경남",MID(K6,2,2)="09","강원",MID(K6,2,2)="10","제주",TRUE,"국외")</f>
        <v>경북</v>
      </c>
    </row>
    <row r="7" spans="1:12" ht="17.25" thickBot="1">
      <c r="A7" s="3" t="s">
        <v>16</v>
      </c>
      <c r="B7" s="3" t="s">
        <v>17</v>
      </c>
      <c r="C7" s="3"/>
      <c r="D7" s="4" t="s">
        <v>2</v>
      </c>
      <c r="E7" s="4" t="s">
        <v>18</v>
      </c>
      <c r="F7" s="4">
        <v>2023</v>
      </c>
      <c r="G7" s="8">
        <v>-0.2</v>
      </c>
      <c r="H7" s="4" t="s">
        <v>18</v>
      </c>
      <c r="I7" s="8">
        <v>-0.2</v>
      </c>
      <c r="J7" s="3">
        <v>15472</v>
      </c>
      <c r="K7" s="3">
        <v>50903</v>
      </c>
      <c r="L7" s="17" t="str" cm="1">
        <f t="array" ref="L7">_xlfn.IFS(MID(K7,2,2)="01", "서울", MID(K7,2,2)="02","경기",MID(K7,2,2)="03","충청",MID(K7,2,2)="04","충청",MID(K7,2,2)="05","전라",MID(K7,2,2)="06","전라",MID(K7,2,2)="07","경북",MID(K7,2,2)="08","경남",MID(K7,2,2)="09","강원",MID(K7,2,2)="10","제주",TRUE,"국외")</f>
        <v>강원</v>
      </c>
    </row>
    <row r="8" spans="1:12" ht="17.25" thickBot="1">
      <c r="A8" s="3" t="s">
        <v>19</v>
      </c>
      <c r="B8" s="3" t="s">
        <v>11</v>
      </c>
      <c r="C8" s="3"/>
      <c r="D8" s="4" t="s">
        <v>2</v>
      </c>
      <c r="E8" s="4" t="s">
        <v>20</v>
      </c>
      <c r="F8" s="4">
        <v>2023</v>
      </c>
      <c r="G8" s="8">
        <v>-0.4</v>
      </c>
      <c r="H8" s="4" t="s">
        <v>20</v>
      </c>
      <c r="I8" s="8">
        <v>-0.4</v>
      </c>
      <c r="J8" s="3">
        <v>15484</v>
      </c>
      <c r="K8" s="3">
        <v>50802</v>
      </c>
      <c r="L8" s="17" t="str" cm="1">
        <f t="array" ref="L8">_xlfn.IFS(MID(K8,2,2)="01", "서울", MID(K8,2,2)="02","경기",MID(K8,2,2)="03","충청",MID(K8,2,2)="04","충청",MID(K8,2,2)="05","전라",MID(K8,2,2)="06","전라",MID(K8,2,2)="07","경북",MID(K8,2,2)="08","경남",MID(K8,2,2)="09","강원",MID(K8,2,2)="10","제주",TRUE,"국외")</f>
        <v>경남</v>
      </c>
    </row>
    <row r="9" spans="1:12" ht="17.25" thickBot="1">
      <c r="A9" s="3" t="s">
        <v>21</v>
      </c>
      <c r="B9" s="3" t="s">
        <v>22</v>
      </c>
      <c r="C9" s="3"/>
      <c r="D9" s="4" t="s">
        <v>2</v>
      </c>
      <c r="E9" s="4" t="s">
        <v>23</v>
      </c>
      <c r="F9" s="4">
        <v>2023</v>
      </c>
      <c r="G9" s="8">
        <v>0.6</v>
      </c>
      <c r="H9" s="4" t="s">
        <v>23</v>
      </c>
      <c r="I9" s="8">
        <v>0.6</v>
      </c>
      <c r="J9" s="3">
        <v>15496</v>
      </c>
      <c r="K9" s="3">
        <v>50209</v>
      </c>
      <c r="L9" s="17" t="str" cm="1">
        <f t="array" ref="L9">_xlfn.IFS(MID(K9,2,2)="01", "서울", MID(K9,2,2)="02","경기",MID(K9,2,2)="03","충청",MID(K9,2,2)="04","충청",MID(K9,2,2)="05","전라",MID(K9,2,2)="06","전라",MID(K9,2,2)="07","경북",MID(K9,2,2)="08","경남",MID(K9,2,2)="09","강원",MID(K9,2,2)="10","제주",TRUE,"국외")</f>
        <v>경기</v>
      </c>
    </row>
    <row r="10" spans="1:12" ht="17.25" thickBot="1">
      <c r="A10" s="3" t="s">
        <v>24</v>
      </c>
      <c r="B10" s="3" t="s">
        <v>25</v>
      </c>
      <c r="C10" s="3"/>
      <c r="D10" s="4" t="s">
        <v>2</v>
      </c>
      <c r="E10" s="4" t="s">
        <v>26</v>
      </c>
      <c r="F10" s="4"/>
      <c r="G10" s="9"/>
      <c r="H10" s="4"/>
      <c r="I10" s="9"/>
      <c r="J10" s="3">
        <v>15508</v>
      </c>
      <c r="K10" s="3">
        <v>50403</v>
      </c>
      <c r="L10" s="17" t="str" cm="1">
        <f t="array" ref="L10">_xlfn.IFS(MID(K10,2,2)="01", "서울", MID(K10,2,2)="02","경기",MID(K10,2,2)="03","충청",MID(K10,2,2)="04","충청",MID(K10,2,2)="05","전라",MID(K10,2,2)="06","전라",MID(K10,2,2)="07","경북",MID(K10,2,2)="08","경남",MID(K10,2,2)="09","강원",MID(K10,2,2)="10","제주",TRUE,"국외")</f>
        <v>충청</v>
      </c>
    </row>
    <row r="11" spans="1:12" ht="17.25" thickBot="1">
      <c r="A11" s="3" t="s">
        <v>27</v>
      </c>
      <c r="B11" s="3" t="s">
        <v>14</v>
      </c>
      <c r="C11" s="3"/>
      <c r="D11" s="4" t="s">
        <v>2</v>
      </c>
      <c r="E11" s="4" t="s">
        <v>28</v>
      </c>
      <c r="F11" s="4">
        <v>2023</v>
      </c>
      <c r="G11" s="8">
        <v>0</v>
      </c>
      <c r="H11" s="4" t="s">
        <v>28</v>
      </c>
      <c r="I11" s="8">
        <v>0</v>
      </c>
      <c r="J11" s="3">
        <v>15518</v>
      </c>
      <c r="K11" s="3">
        <v>50703</v>
      </c>
      <c r="L11" s="17" t="str" cm="1">
        <f t="array" ref="L11">_xlfn.IFS(MID(K11,2,2)="01", "서울", MID(K11,2,2)="02","경기",MID(K11,2,2)="03","충청",MID(K11,2,2)="04","충청",MID(K11,2,2)="05","전라",MID(K11,2,2)="06","전라",MID(K11,2,2)="07","경북",MID(K11,2,2)="08","경남",MID(K11,2,2)="09","강원",MID(K11,2,2)="10","제주",TRUE,"국외")</f>
        <v>경북</v>
      </c>
    </row>
    <row r="12" spans="1:12" ht="17.25" thickBot="1">
      <c r="A12" s="3" t="s">
        <v>29</v>
      </c>
      <c r="B12" s="3" t="s">
        <v>25</v>
      </c>
      <c r="C12" s="3"/>
      <c r="D12" s="4" t="s">
        <v>2</v>
      </c>
      <c r="E12" s="4" t="s">
        <v>3</v>
      </c>
      <c r="F12" s="4">
        <v>2023</v>
      </c>
      <c r="G12" s="8">
        <v>1.9</v>
      </c>
      <c r="H12" s="4" t="s">
        <v>3</v>
      </c>
      <c r="I12" s="8">
        <v>1.9</v>
      </c>
      <c r="J12" s="3">
        <v>15422</v>
      </c>
      <c r="K12" s="3">
        <v>50403</v>
      </c>
      <c r="L12" s="17" t="str" cm="1">
        <f t="array" ref="L12">_xlfn.IFS(MID(K12,2,2)="01", "서울", MID(K12,2,2)="02","경기",MID(K12,2,2)="03","충청",MID(K12,2,2)="04","충청",MID(K12,2,2)="05","전라",MID(K12,2,2)="06","전라",MID(K12,2,2)="07","경북",MID(K12,2,2)="08","경남",MID(K12,2,2)="09","강원",MID(K12,2,2)="10","제주",TRUE,"국외")</f>
        <v>충청</v>
      </c>
    </row>
    <row r="13" spans="1:12" ht="17.25" thickBot="1">
      <c r="A13" s="3" t="s">
        <v>30</v>
      </c>
      <c r="B13" s="3" t="s">
        <v>5</v>
      </c>
      <c r="C13" s="3"/>
      <c r="D13" s="4" t="s">
        <v>2</v>
      </c>
      <c r="E13" s="4" t="s">
        <v>18</v>
      </c>
      <c r="F13" s="4">
        <v>2023</v>
      </c>
      <c r="G13" s="8">
        <v>0.5</v>
      </c>
      <c r="H13" s="4" t="s">
        <v>18</v>
      </c>
      <c r="I13" s="8">
        <v>0.5</v>
      </c>
      <c r="J13" s="3">
        <v>15473</v>
      </c>
      <c r="K13" s="3">
        <v>50114</v>
      </c>
      <c r="L13" s="17" t="str" cm="1">
        <f t="array" ref="L13">_xlfn.IFS(MID(K13,2,2)="01", "서울", MID(K13,2,2)="02","경기",MID(K13,2,2)="03","충청",MID(K13,2,2)="04","충청",MID(K13,2,2)="05","전라",MID(K13,2,2)="06","전라",MID(K13,2,2)="07","경북",MID(K13,2,2)="08","경남",MID(K13,2,2)="09","강원",MID(K13,2,2)="10","제주",TRUE,"국외")</f>
        <v>서울</v>
      </c>
    </row>
    <row r="14" spans="1:12" ht="17.25" thickBot="1">
      <c r="A14" s="3" t="s">
        <v>31</v>
      </c>
      <c r="B14" s="3" t="s">
        <v>32</v>
      </c>
      <c r="C14" s="3"/>
      <c r="D14" s="4" t="s">
        <v>2</v>
      </c>
      <c r="E14" s="4" t="s">
        <v>9</v>
      </c>
      <c r="F14" s="4">
        <v>2023</v>
      </c>
      <c r="G14" s="8">
        <v>0.2</v>
      </c>
      <c r="H14" s="4" t="s">
        <v>9</v>
      </c>
      <c r="I14" s="8">
        <v>0.2</v>
      </c>
      <c r="J14" s="3">
        <v>15441</v>
      </c>
      <c r="K14" s="3">
        <v>50111</v>
      </c>
      <c r="L14" s="17" t="str" cm="1">
        <f t="array" ref="L14">_xlfn.IFS(MID(K14,2,2)="01", "서울", MID(K14,2,2)="02","경기",MID(K14,2,2)="03","충청",MID(K14,2,2)="04","충청",MID(K14,2,2)="05","전라",MID(K14,2,2)="06","전라",MID(K14,2,2)="07","경북",MID(K14,2,2)="08","경남",MID(K14,2,2)="09","강원",MID(K14,2,2)="10","제주",TRUE,"국외")</f>
        <v>서울</v>
      </c>
    </row>
    <row r="15" spans="1:12" ht="17.25" thickBot="1">
      <c r="A15" s="3" t="s">
        <v>33</v>
      </c>
      <c r="B15" s="3" t="s">
        <v>34</v>
      </c>
      <c r="C15" s="3"/>
      <c r="D15" s="4" t="s">
        <v>2</v>
      </c>
      <c r="E15" s="4" t="s">
        <v>12</v>
      </c>
      <c r="F15" s="4">
        <v>2023</v>
      </c>
      <c r="G15" s="8">
        <v>0.3</v>
      </c>
      <c r="H15" s="4" t="s">
        <v>12</v>
      </c>
      <c r="I15" s="8">
        <v>0.3</v>
      </c>
      <c r="J15" s="3">
        <v>15451</v>
      </c>
      <c r="K15" s="3">
        <v>50701</v>
      </c>
      <c r="L15" s="17" t="str" cm="1">
        <f t="array" ref="L15">_xlfn.IFS(MID(K15,2,2)="01", "서울", MID(K15,2,2)="02","경기",MID(K15,2,2)="03","충청",MID(K15,2,2)="04","충청",MID(K15,2,2)="05","전라",MID(K15,2,2)="06","전라",MID(K15,2,2)="07","경북",MID(K15,2,2)="08","경남",MID(K15,2,2)="09","강원",MID(K15,2,2)="10","제주",TRUE,"국외")</f>
        <v>경북</v>
      </c>
    </row>
    <row r="16" spans="1:12" ht="17.25" thickBot="1">
      <c r="A16" s="3" t="s">
        <v>35</v>
      </c>
      <c r="B16" s="3" t="s">
        <v>36</v>
      </c>
      <c r="C16" s="3"/>
      <c r="D16" s="4" t="s">
        <v>2</v>
      </c>
      <c r="E16" s="4" t="s">
        <v>15</v>
      </c>
      <c r="F16" s="4">
        <v>2023</v>
      </c>
      <c r="G16" s="8">
        <v>0.1</v>
      </c>
      <c r="H16" s="4" t="s">
        <v>15</v>
      </c>
      <c r="I16" s="8">
        <v>0.1</v>
      </c>
      <c r="J16" s="3">
        <v>15462</v>
      </c>
      <c r="K16" s="3">
        <v>50402</v>
      </c>
      <c r="L16" s="17" t="str" cm="1">
        <f t="array" ref="L16">_xlfn.IFS(MID(K16,2,2)="01", "서울", MID(K16,2,2)="02","경기",MID(K16,2,2)="03","충청",MID(K16,2,2)="04","충청",MID(K16,2,2)="05","전라",MID(K16,2,2)="06","전라",MID(K16,2,2)="07","경북",MID(K16,2,2)="08","경남",MID(K16,2,2)="09","강원",MID(K16,2,2)="10","제주",TRUE,"국외")</f>
        <v>충청</v>
      </c>
    </row>
    <row r="17" spans="1:12" ht="17.25" thickBot="1">
      <c r="A17" s="3" t="s">
        <v>37</v>
      </c>
      <c r="B17" s="3" t="s">
        <v>38</v>
      </c>
      <c r="C17" s="3"/>
      <c r="D17" s="4" t="s">
        <v>2</v>
      </c>
      <c r="E17" s="4" t="s">
        <v>18</v>
      </c>
      <c r="F17" s="4">
        <v>2023</v>
      </c>
      <c r="G17" s="8">
        <v>-0.1</v>
      </c>
      <c r="H17" s="4" t="s">
        <v>18</v>
      </c>
      <c r="I17" s="8">
        <v>-0.1</v>
      </c>
      <c r="J17" s="3">
        <v>15474</v>
      </c>
      <c r="K17" s="3">
        <v>50109</v>
      </c>
      <c r="L17" s="17" t="str" cm="1">
        <f t="array" ref="L17">_xlfn.IFS(MID(K17,2,2)="01", "서울", MID(K17,2,2)="02","경기",MID(K17,2,2)="03","충청",MID(K17,2,2)="04","충청",MID(K17,2,2)="05","전라",MID(K17,2,2)="06","전라",MID(K17,2,2)="07","경북",MID(K17,2,2)="08","경남",MID(K17,2,2)="09","강원",MID(K17,2,2)="10","제주",TRUE,"국외")</f>
        <v>서울</v>
      </c>
    </row>
    <row r="18" spans="1:12" ht="17.25" thickBot="1">
      <c r="A18" s="3" t="s">
        <v>39</v>
      </c>
      <c r="B18" s="3" t="s">
        <v>40</v>
      </c>
      <c r="C18" s="3"/>
      <c r="D18" s="4" t="s">
        <v>2</v>
      </c>
      <c r="E18" s="4" t="s">
        <v>20</v>
      </c>
      <c r="F18" s="4">
        <v>2023</v>
      </c>
      <c r="G18" s="8">
        <v>-0.2</v>
      </c>
      <c r="H18" s="4" t="s">
        <v>18</v>
      </c>
      <c r="I18" s="8">
        <v>-0.2</v>
      </c>
      <c r="J18" s="3">
        <v>15485</v>
      </c>
      <c r="K18" s="3">
        <v>50108</v>
      </c>
      <c r="L18" s="17" t="str" cm="1">
        <f t="array" ref="L18">_xlfn.IFS(MID(K18,2,2)="01", "서울", MID(K18,2,2)="02","경기",MID(K18,2,2)="03","충청",MID(K18,2,2)="04","충청",MID(K18,2,2)="05","전라",MID(K18,2,2)="06","전라",MID(K18,2,2)="07","경북",MID(K18,2,2)="08","경남",MID(K18,2,2)="09","강원",MID(K18,2,2)="10","제주",TRUE,"국외")</f>
        <v>서울</v>
      </c>
    </row>
    <row r="19" spans="1:12" ht="17.25" thickBot="1">
      <c r="A19" s="3" t="s">
        <v>41</v>
      </c>
      <c r="B19" s="3" t="s">
        <v>42</v>
      </c>
      <c r="C19" s="3"/>
      <c r="D19" s="4" t="s">
        <v>2</v>
      </c>
      <c r="E19" s="4" t="s">
        <v>23</v>
      </c>
      <c r="F19" s="4">
        <v>2023</v>
      </c>
      <c r="G19" s="8">
        <v>0</v>
      </c>
      <c r="H19" s="4" t="s">
        <v>23</v>
      </c>
      <c r="I19" s="8">
        <v>0</v>
      </c>
      <c r="J19" s="3">
        <v>15497</v>
      </c>
      <c r="K19" s="3">
        <v>50502</v>
      </c>
      <c r="L19" s="17" t="str" cm="1">
        <f t="array" ref="L19">_xlfn.IFS(MID(K19,2,2)="01", "서울", MID(K19,2,2)="02","경기",MID(K19,2,2)="03","충청",MID(K19,2,2)="04","충청",MID(K19,2,2)="05","전라",MID(K19,2,2)="06","전라",MID(K19,2,2)="07","경북",MID(K19,2,2)="08","경남",MID(K19,2,2)="09","강원",MID(K19,2,2)="10","제주",TRUE,"국외")</f>
        <v>전라</v>
      </c>
    </row>
    <row r="20" spans="1:12" ht="17.25" thickBot="1">
      <c r="A20" s="3" t="s">
        <v>43</v>
      </c>
      <c r="B20" s="3" t="s">
        <v>44</v>
      </c>
      <c r="C20" s="3" t="s">
        <v>45</v>
      </c>
      <c r="D20" s="4" t="s">
        <v>2</v>
      </c>
      <c r="E20" s="4" t="s">
        <v>26</v>
      </c>
      <c r="F20" s="4">
        <v>2023</v>
      </c>
      <c r="G20" s="8">
        <v>-0.2</v>
      </c>
      <c r="H20" s="4" t="s">
        <v>26</v>
      </c>
      <c r="I20" s="8">
        <v>-0.2</v>
      </c>
      <c r="J20" s="3">
        <v>15509</v>
      </c>
      <c r="K20" s="3">
        <v>50809</v>
      </c>
      <c r="L20" s="17" t="str" cm="1">
        <f t="array" ref="L20">_xlfn.IFS(MID(K20,2,2)="01", "서울", MID(K20,2,2)="02","경기",MID(K20,2,2)="03","충청",MID(K20,2,2)="04","충청",MID(K20,2,2)="05","전라",MID(K20,2,2)="06","전라",MID(K20,2,2)="07","경북",MID(K20,2,2)="08","경남",MID(K20,2,2)="09","강원",MID(K20,2,2)="10","제주",TRUE,"국외")</f>
        <v>경남</v>
      </c>
    </row>
    <row r="21" spans="1:12" ht="17.25" thickBot="1">
      <c r="A21" s="3" t="s">
        <v>46</v>
      </c>
      <c r="B21" s="3" t="s">
        <v>32</v>
      </c>
      <c r="C21" s="3"/>
      <c r="D21" s="4" t="s">
        <v>2</v>
      </c>
      <c r="E21" s="4" t="s">
        <v>28</v>
      </c>
      <c r="F21" s="4">
        <v>2023</v>
      </c>
      <c r="G21" s="8">
        <v>0.4</v>
      </c>
      <c r="H21" s="4" t="s">
        <v>28</v>
      </c>
      <c r="I21" s="8">
        <v>0.4</v>
      </c>
      <c r="J21" s="3">
        <v>15519</v>
      </c>
      <c r="K21" s="3">
        <v>50111</v>
      </c>
      <c r="L21" s="17" t="str" cm="1">
        <f t="array" ref="L21">_xlfn.IFS(MID(K21,2,2)="01", "서울", MID(K21,2,2)="02","경기",MID(K21,2,2)="03","충청",MID(K21,2,2)="04","충청",MID(K21,2,2)="05","전라",MID(K21,2,2)="06","전라",MID(K21,2,2)="07","경북",MID(K21,2,2)="08","경남",MID(K21,2,2)="09","강원",MID(K21,2,2)="10","제주",TRUE,"국외")</f>
        <v>서울</v>
      </c>
    </row>
    <row r="22" spans="1:12" ht="17.25" thickBot="1">
      <c r="A22" s="3" t="s">
        <v>47</v>
      </c>
      <c r="B22" s="3" t="s">
        <v>32</v>
      </c>
      <c r="C22" s="3"/>
      <c r="D22" s="4" t="s">
        <v>2</v>
      </c>
      <c r="E22" s="4" t="s">
        <v>3</v>
      </c>
      <c r="F22" s="4">
        <v>2023</v>
      </c>
      <c r="G22" s="8">
        <v>0</v>
      </c>
      <c r="H22" s="4" t="s">
        <v>3</v>
      </c>
      <c r="I22" s="8">
        <v>0</v>
      </c>
      <c r="J22" s="3">
        <v>15423</v>
      </c>
      <c r="K22" s="3">
        <v>50111</v>
      </c>
      <c r="L22" s="17" t="str" cm="1">
        <f t="array" ref="L22">_xlfn.IFS(MID(K22,2,2)="01", "서울", MID(K22,2,2)="02","경기",MID(K22,2,2)="03","충청",MID(K22,2,2)="04","충청",MID(K22,2,2)="05","전라",MID(K22,2,2)="06","전라",MID(K22,2,2)="07","경북",MID(K22,2,2)="08","경남",MID(K22,2,2)="09","강원",MID(K22,2,2)="10","제주",TRUE,"국외")</f>
        <v>서울</v>
      </c>
    </row>
    <row r="23" spans="1:12" ht="17.25" thickBot="1">
      <c r="A23" s="3" t="s">
        <v>48</v>
      </c>
      <c r="B23" s="3" t="s">
        <v>8</v>
      </c>
      <c r="C23" s="3"/>
      <c r="D23" s="4" t="s">
        <v>2</v>
      </c>
      <c r="E23" s="4" t="s">
        <v>6</v>
      </c>
      <c r="F23" s="4"/>
      <c r="G23" s="9"/>
      <c r="H23" s="4"/>
      <c r="I23" s="9"/>
      <c r="J23" s="3">
        <v>15433</v>
      </c>
      <c r="K23" s="3">
        <v>50116</v>
      </c>
      <c r="L23" s="17" t="str" cm="1">
        <f t="array" ref="L23">_xlfn.IFS(MID(K23,2,2)="01", "서울", MID(K23,2,2)="02","경기",MID(K23,2,2)="03","충청",MID(K23,2,2)="04","충청",MID(K23,2,2)="05","전라",MID(K23,2,2)="06","전라",MID(K23,2,2)="07","경북",MID(K23,2,2)="08","경남",MID(K23,2,2)="09","강원",MID(K23,2,2)="10","제주",TRUE,"국외")</f>
        <v>서울</v>
      </c>
    </row>
    <row r="24" spans="1:12" ht="17.25" thickBot="1">
      <c r="A24" s="3" t="s">
        <v>49</v>
      </c>
      <c r="B24" s="3" t="s">
        <v>50</v>
      </c>
      <c r="C24" s="3"/>
      <c r="D24" s="4" t="s">
        <v>2</v>
      </c>
      <c r="E24" s="4" t="s">
        <v>23</v>
      </c>
      <c r="F24" s="4"/>
      <c r="G24" s="9"/>
      <c r="H24" s="4"/>
      <c r="I24" s="9"/>
      <c r="J24" s="3">
        <v>15498</v>
      </c>
      <c r="K24" s="3">
        <v>50301</v>
      </c>
      <c r="L24" s="17" t="str" cm="1">
        <f t="array" ref="L24">_xlfn.IFS(MID(K24,2,2)="01", "서울", MID(K24,2,2)="02","경기",MID(K24,2,2)="03","충청",MID(K24,2,2)="04","충청",MID(K24,2,2)="05","전라",MID(K24,2,2)="06","전라",MID(K24,2,2)="07","경북",MID(K24,2,2)="08","경남",MID(K24,2,2)="09","강원",MID(K24,2,2)="10","제주",TRUE,"국외")</f>
        <v>충청</v>
      </c>
    </row>
    <row r="25" spans="1:12" ht="17.25" thickBot="1">
      <c r="A25" s="3" t="s">
        <v>51</v>
      </c>
      <c r="B25" s="3" t="s">
        <v>52</v>
      </c>
      <c r="C25" s="3"/>
      <c r="D25" s="4" t="s">
        <v>2</v>
      </c>
      <c r="E25" s="4" t="s">
        <v>12</v>
      </c>
      <c r="F25" s="4"/>
      <c r="G25" s="9"/>
      <c r="H25" s="4"/>
      <c r="I25" s="9"/>
      <c r="J25" s="3">
        <v>15452</v>
      </c>
      <c r="K25" s="3">
        <v>50803</v>
      </c>
      <c r="L25" s="17" t="str" cm="1">
        <f t="array" ref="L25">_xlfn.IFS(MID(K25,2,2)="01", "서울", MID(K25,2,2)="02","경기",MID(K25,2,2)="03","충청",MID(K25,2,2)="04","충청",MID(K25,2,2)="05","전라",MID(K25,2,2)="06","전라",MID(K25,2,2)="07","경북",MID(K25,2,2)="08","경남",MID(K25,2,2)="09","강원",MID(K25,2,2)="10","제주",TRUE,"국외")</f>
        <v>경남</v>
      </c>
    </row>
    <row r="26" spans="1:12" ht="17.25" thickBot="1">
      <c r="A26" s="3" t="s">
        <v>53</v>
      </c>
      <c r="B26" s="3" t="s">
        <v>11</v>
      </c>
      <c r="C26" s="3"/>
      <c r="D26" s="4" t="s">
        <v>2</v>
      </c>
      <c r="E26" s="4" t="s">
        <v>15</v>
      </c>
      <c r="F26" s="4">
        <v>2023</v>
      </c>
      <c r="G26" s="8">
        <v>0</v>
      </c>
      <c r="H26" s="4" t="s">
        <v>15</v>
      </c>
      <c r="I26" s="8">
        <v>0</v>
      </c>
      <c r="J26" s="3">
        <v>15463</v>
      </c>
      <c r="K26" s="3">
        <v>50802</v>
      </c>
      <c r="L26" s="17" t="str" cm="1">
        <f t="array" ref="L26">_xlfn.IFS(MID(K26,2,2)="01", "서울", MID(K26,2,2)="02","경기",MID(K26,2,2)="03","충청",MID(K26,2,2)="04","충청",MID(K26,2,2)="05","전라",MID(K26,2,2)="06","전라",MID(K26,2,2)="07","경북",MID(K26,2,2)="08","경남",MID(K26,2,2)="09","강원",MID(K26,2,2)="10","제주",TRUE,"국외")</f>
        <v>경남</v>
      </c>
    </row>
    <row r="27" spans="1:12" ht="17.25" thickBot="1">
      <c r="A27" s="3" t="s">
        <v>54</v>
      </c>
      <c r="B27" s="3" t="s">
        <v>11</v>
      </c>
      <c r="C27" s="3"/>
      <c r="D27" s="4" t="s">
        <v>2</v>
      </c>
      <c r="E27" s="4" t="s">
        <v>18</v>
      </c>
      <c r="F27" s="4"/>
      <c r="G27" s="9"/>
      <c r="H27" s="4"/>
      <c r="I27" s="9"/>
      <c r="J27" s="3">
        <v>15475</v>
      </c>
      <c r="K27" s="3">
        <v>50802</v>
      </c>
      <c r="L27" s="17" t="str" cm="1">
        <f t="array" ref="L27">_xlfn.IFS(MID(K27,2,2)="01", "서울", MID(K27,2,2)="02","경기",MID(K27,2,2)="03","충청",MID(K27,2,2)="04","충청",MID(K27,2,2)="05","전라",MID(K27,2,2)="06","전라",MID(K27,2,2)="07","경북",MID(K27,2,2)="08","경남",MID(K27,2,2)="09","강원",MID(K27,2,2)="10","제주",TRUE,"국외")</f>
        <v>경남</v>
      </c>
    </row>
    <row r="28" spans="1:12" ht="17.25" thickBot="1">
      <c r="A28" s="3" t="s">
        <v>55</v>
      </c>
      <c r="B28" s="3" t="s">
        <v>56</v>
      </c>
      <c r="C28" s="3"/>
      <c r="D28" s="4" t="s">
        <v>2</v>
      </c>
      <c r="E28" s="4" t="s">
        <v>20</v>
      </c>
      <c r="F28" s="4">
        <v>2023</v>
      </c>
      <c r="G28" s="8">
        <v>-0.3</v>
      </c>
      <c r="H28" s="4" t="s">
        <v>20</v>
      </c>
      <c r="I28" s="8">
        <v>-0.3</v>
      </c>
      <c r="J28" s="3">
        <v>15486</v>
      </c>
      <c r="K28" s="3">
        <v>50215</v>
      </c>
      <c r="L28" s="17" t="str" cm="1">
        <f t="array" ref="L28">_xlfn.IFS(MID(K28,2,2)="01", "서울", MID(K28,2,2)="02","경기",MID(K28,2,2)="03","충청",MID(K28,2,2)="04","충청",MID(K28,2,2)="05","전라",MID(K28,2,2)="06","전라",MID(K28,2,2)="07","경북",MID(K28,2,2)="08","경남",MID(K28,2,2)="09","강원",MID(K28,2,2)="10","제주",TRUE,"국외")</f>
        <v>경기</v>
      </c>
    </row>
    <row r="29" spans="1:12" ht="17.25" thickBot="1">
      <c r="A29" s="3" t="s">
        <v>57</v>
      </c>
      <c r="B29" s="3" t="s">
        <v>58</v>
      </c>
      <c r="C29" s="3"/>
      <c r="D29" s="4" t="s">
        <v>2</v>
      </c>
      <c r="E29" s="4" t="s">
        <v>23</v>
      </c>
      <c r="F29" s="4">
        <v>2023</v>
      </c>
      <c r="G29" s="8">
        <v>0</v>
      </c>
      <c r="H29" s="4" t="s">
        <v>23</v>
      </c>
      <c r="I29" s="8">
        <v>0</v>
      </c>
      <c r="J29" s="3">
        <v>15499</v>
      </c>
      <c r="K29" s="3">
        <v>50119</v>
      </c>
      <c r="L29" s="17" t="str" cm="1">
        <f t="array" ref="L29">_xlfn.IFS(MID(K29,2,2)="01", "서울", MID(K29,2,2)="02","경기",MID(K29,2,2)="03","충청",MID(K29,2,2)="04","충청",MID(K29,2,2)="05","전라",MID(K29,2,2)="06","전라",MID(K29,2,2)="07","경북",MID(K29,2,2)="08","경남",MID(K29,2,2)="09","강원",MID(K29,2,2)="10","제주",TRUE,"국외")</f>
        <v>서울</v>
      </c>
    </row>
    <row r="30" spans="1:12" ht="17.25" thickBot="1">
      <c r="A30" s="3" t="s">
        <v>59</v>
      </c>
      <c r="B30" s="3" t="s">
        <v>25</v>
      </c>
      <c r="C30" s="3"/>
      <c r="D30" s="4" t="s">
        <v>2</v>
      </c>
      <c r="E30" s="4" t="s">
        <v>26</v>
      </c>
      <c r="F30" s="4"/>
      <c r="G30" s="9"/>
      <c r="H30" s="4"/>
      <c r="I30" s="9"/>
      <c r="J30" s="3">
        <v>15510</v>
      </c>
      <c r="K30" s="3">
        <v>50403</v>
      </c>
      <c r="L30" s="17" t="str" cm="1">
        <f t="array" ref="L30">_xlfn.IFS(MID(K30,2,2)="01", "서울", MID(K30,2,2)="02","경기",MID(K30,2,2)="03","충청",MID(K30,2,2)="04","충청",MID(K30,2,2)="05","전라",MID(K30,2,2)="06","전라",MID(K30,2,2)="07","경북",MID(K30,2,2)="08","경남",MID(K30,2,2)="09","강원",MID(K30,2,2)="10","제주",TRUE,"국외")</f>
        <v>충청</v>
      </c>
    </row>
    <row r="31" spans="1:12" ht="17.25" thickBot="1">
      <c r="A31" s="3" t="s">
        <v>60</v>
      </c>
      <c r="B31" s="3" t="s">
        <v>11</v>
      </c>
      <c r="C31" s="3"/>
      <c r="D31" s="4" t="s">
        <v>2</v>
      </c>
      <c r="E31" s="4" t="s">
        <v>28</v>
      </c>
      <c r="F31" s="4">
        <v>2023</v>
      </c>
      <c r="G31" s="8">
        <v>0</v>
      </c>
      <c r="H31" s="4" t="s">
        <v>28</v>
      </c>
      <c r="I31" s="8">
        <v>0</v>
      </c>
      <c r="J31" s="3">
        <v>15520</v>
      </c>
      <c r="K31" s="3">
        <v>50802</v>
      </c>
      <c r="L31" s="17" t="str" cm="1">
        <f t="array" ref="L31">_xlfn.IFS(MID(K31,2,2)="01", "서울", MID(K31,2,2)="02","경기",MID(K31,2,2)="03","충청",MID(K31,2,2)="04","충청",MID(K31,2,2)="05","전라",MID(K31,2,2)="06","전라",MID(K31,2,2)="07","경북",MID(K31,2,2)="08","경남",MID(K31,2,2)="09","강원",MID(K31,2,2)="10","제주",TRUE,"국외")</f>
        <v>경남</v>
      </c>
    </row>
    <row r="32" spans="1:12" ht="17.25" thickBot="1">
      <c r="A32" s="3" t="s">
        <v>61</v>
      </c>
      <c r="B32" s="3" t="s">
        <v>52</v>
      </c>
      <c r="C32" s="3"/>
      <c r="D32" s="4" t="s">
        <v>2</v>
      </c>
      <c r="E32" s="4" t="s">
        <v>3</v>
      </c>
      <c r="F32" s="4"/>
      <c r="G32" s="9"/>
      <c r="H32" s="4"/>
      <c r="I32" s="9"/>
      <c r="J32" s="3">
        <v>15424</v>
      </c>
      <c r="K32" s="3">
        <v>50803</v>
      </c>
      <c r="L32" s="17" t="str" cm="1">
        <f t="array" ref="L32">_xlfn.IFS(MID(K32,2,2)="01", "서울", MID(K32,2,2)="02","경기",MID(K32,2,2)="03","충청",MID(K32,2,2)="04","충청",MID(K32,2,2)="05","전라",MID(K32,2,2)="06","전라",MID(K32,2,2)="07","경북",MID(K32,2,2)="08","경남",MID(K32,2,2)="09","강원",MID(K32,2,2)="10","제주",TRUE,"국외")</f>
        <v>경남</v>
      </c>
    </row>
    <row r="33" spans="1:12" ht="17.25" thickBot="1">
      <c r="A33" s="3" t="s">
        <v>62</v>
      </c>
      <c r="B33" s="3" t="s">
        <v>63</v>
      </c>
      <c r="C33" s="3"/>
      <c r="D33" s="4" t="s">
        <v>2</v>
      </c>
      <c r="E33" s="4" t="s">
        <v>6</v>
      </c>
      <c r="F33" s="4"/>
      <c r="G33" s="9"/>
      <c r="H33" s="4"/>
      <c r="I33" s="9"/>
      <c r="J33" s="3">
        <v>15434</v>
      </c>
      <c r="K33" s="3">
        <v>50807</v>
      </c>
      <c r="L33" s="17" t="str" cm="1">
        <f t="array" ref="L33">_xlfn.IFS(MID(K33,2,2)="01", "서울", MID(K33,2,2)="02","경기",MID(K33,2,2)="03","충청",MID(K33,2,2)="04","충청",MID(K33,2,2)="05","전라",MID(K33,2,2)="06","전라",MID(K33,2,2)="07","경북",MID(K33,2,2)="08","경남",MID(K33,2,2)="09","강원",MID(K33,2,2)="10","제주",TRUE,"국외")</f>
        <v>경남</v>
      </c>
    </row>
    <row r="34" spans="1:12" ht="17.25" thickBot="1">
      <c r="A34" s="3" t="s">
        <v>64</v>
      </c>
      <c r="B34" s="3" t="s">
        <v>34</v>
      </c>
      <c r="C34" s="3"/>
      <c r="D34" s="4" t="s">
        <v>2</v>
      </c>
      <c r="E34" s="4" t="s">
        <v>9</v>
      </c>
      <c r="F34" s="4"/>
      <c r="G34" s="9"/>
      <c r="H34" s="4"/>
      <c r="I34" s="9"/>
      <c r="J34" s="3">
        <v>15442</v>
      </c>
      <c r="K34" s="3">
        <v>50701</v>
      </c>
      <c r="L34" s="17" t="str" cm="1">
        <f t="array" ref="L34">_xlfn.IFS(MID(K34,2,2)="01", "서울", MID(K34,2,2)="02","경기",MID(K34,2,2)="03","충청",MID(K34,2,2)="04","충청",MID(K34,2,2)="05","전라",MID(K34,2,2)="06","전라",MID(K34,2,2)="07","경북",MID(K34,2,2)="08","경남",MID(K34,2,2)="09","강원",MID(K34,2,2)="10","제주",TRUE,"국외")</f>
        <v>경북</v>
      </c>
    </row>
    <row r="35" spans="1:12" ht="17.25" thickBot="1">
      <c r="A35" s="3" t="s">
        <v>65</v>
      </c>
      <c r="B35" s="3" t="s">
        <v>66</v>
      </c>
      <c r="C35" s="3"/>
      <c r="D35" s="4" t="s">
        <v>2</v>
      </c>
      <c r="E35" s="4" t="s">
        <v>12</v>
      </c>
      <c r="F35" s="4"/>
      <c r="G35" s="9"/>
      <c r="H35" s="4"/>
      <c r="I35" s="9"/>
      <c r="J35" s="3">
        <v>15453</v>
      </c>
      <c r="K35" s="3">
        <v>50110</v>
      </c>
      <c r="L35" s="17" t="str" cm="1">
        <f t="array" ref="L35">_xlfn.IFS(MID(K35,2,2)="01", "서울", MID(K35,2,2)="02","경기",MID(K35,2,2)="03","충청",MID(K35,2,2)="04","충청",MID(K35,2,2)="05","전라",MID(K35,2,2)="06","전라",MID(K35,2,2)="07","경북",MID(K35,2,2)="08","경남",MID(K35,2,2)="09","강원",MID(K35,2,2)="10","제주",TRUE,"국외")</f>
        <v>서울</v>
      </c>
    </row>
    <row r="36" spans="1:12" ht="17.25" thickBot="1">
      <c r="A36" s="3" t="s">
        <v>67</v>
      </c>
      <c r="B36" s="3" t="s">
        <v>68</v>
      </c>
      <c r="C36" s="3"/>
      <c r="D36" s="4" t="s">
        <v>2</v>
      </c>
      <c r="E36" s="4" t="s">
        <v>15</v>
      </c>
      <c r="F36" s="4"/>
      <c r="G36" s="9"/>
      <c r="H36" s="4"/>
      <c r="I36" s="9"/>
      <c r="J36" s="3">
        <v>15464</v>
      </c>
      <c r="K36" s="3">
        <v>50101</v>
      </c>
      <c r="L36" s="17" t="str" cm="1">
        <f t="array" ref="L36">_xlfn.IFS(MID(K36,2,2)="01", "서울", MID(K36,2,2)="02","경기",MID(K36,2,2)="03","충청",MID(K36,2,2)="04","충청",MID(K36,2,2)="05","전라",MID(K36,2,2)="06","전라",MID(K36,2,2)="07","경북",MID(K36,2,2)="08","경남",MID(K36,2,2)="09","강원",MID(K36,2,2)="10","제주",TRUE,"국외")</f>
        <v>서울</v>
      </c>
    </row>
    <row r="37" spans="1:12" ht="17.25" thickBot="1">
      <c r="A37" s="3" t="s">
        <v>69</v>
      </c>
      <c r="B37" s="3" t="s">
        <v>70</v>
      </c>
      <c r="C37" s="3"/>
      <c r="D37" s="4" t="s">
        <v>2</v>
      </c>
      <c r="E37" s="4" t="s">
        <v>18</v>
      </c>
      <c r="F37" s="4">
        <v>2023</v>
      </c>
      <c r="G37" s="8">
        <v>-0.2</v>
      </c>
      <c r="H37" s="4" t="s">
        <v>18</v>
      </c>
      <c r="I37" s="8">
        <v>-0.2</v>
      </c>
      <c r="J37" s="3">
        <v>15476</v>
      </c>
      <c r="K37" s="3">
        <v>50103</v>
      </c>
      <c r="L37" s="17" t="str" cm="1">
        <f t="array" ref="L37">_xlfn.IFS(MID(K37,2,2)="01", "서울", MID(K37,2,2)="02","경기",MID(K37,2,2)="03","충청",MID(K37,2,2)="04","충청",MID(K37,2,2)="05","전라",MID(K37,2,2)="06","전라",MID(K37,2,2)="07","경북",MID(K37,2,2)="08","경남",MID(K37,2,2)="09","강원",MID(K37,2,2)="10","제주",TRUE,"국외")</f>
        <v>서울</v>
      </c>
    </row>
    <row r="38" spans="1:12" ht="17.25" thickBot="1">
      <c r="A38" s="3" t="s">
        <v>71</v>
      </c>
      <c r="B38" s="3" t="s">
        <v>1</v>
      </c>
      <c r="C38" s="3"/>
      <c r="D38" s="4" t="s">
        <v>2</v>
      </c>
      <c r="E38" s="4" t="s">
        <v>20</v>
      </c>
      <c r="F38" s="4"/>
      <c r="G38" s="9"/>
      <c r="H38" s="4"/>
      <c r="I38" s="9"/>
      <c r="J38" s="3">
        <v>15487</v>
      </c>
      <c r="K38" s="3">
        <v>50107</v>
      </c>
      <c r="L38" s="17" t="str" cm="1">
        <f t="array" ref="L38">_xlfn.IFS(MID(K38,2,2)="01", "서울", MID(K38,2,2)="02","경기",MID(K38,2,2)="03","충청",MID(K38,2,2)="04","충청",MID(K38,2,2)="05","전라",MID(K38,2,2)="06","전라",MID(K38,2,2)="07","경북",MID(K38,2,2)="08","경남",MID(K38,2,2)="09","강원",MID(K38,2,2)="10","제주",TRUE,"국외")</f>
        <v>서울</v>
      </c>
    </row>
    <row r="39" spans="1:12" ht="17.25" thickBot="1">
      <c r="A39" s="3" t="s">
        <v>72</v>
      </c>
      <c r="B39" s="3" t="s">
        <v>32</v>
      </c>
      <c r="C39" s="3"/>
      <c r="D39" s="4" t="s">
        <v>2</v>
      </c>
      <c r="E39" s="4" t="s">
        <v>23</v>
      </c>
      <c r="F39" s="4"/>
      <c r="G39" s="9"/>
      <c r="H39" s="4"/>
      <c r="I39" s="9"/>
      <c r="J39" s="3">
        <v>15500</v>
      </c>
      <c r="K39" s="3">
        <v>50111</v>
      </c>
      <c r="L39" s="17" t="str" cm="1">
        <f t="array" ref="L39">_xlfn.IFS(MID(K39,2,2)="01", "서울", MID(K39,2,2)="02","경기",MID(K39,2,2)="03","충청",MID(K39,2,2)="04","충청",MID(K39,2,2)="05","전라",MID(K39,2,2)="06","전라",MID(K39,2,2)="07","경북",MID(K39,2,2)="08","경남",MID(K39,2,2)="09","강원",MID(K39,2,2)="10","제주",TRUE,"국외")</f>
        <v>서울</v>
      </c>
    </row>
    <row r="40" spans="1:12" ht="17.25" thickBot="1">
      <c r="A40" s="3" t="s">
        <v>73</v>
      </c>
      <c r="B40" s="3" t="s">
        <v>74</v>
      </c>
      <c r="C40" s="3"/>
      <c r="D40" s="4" t="s">
        <v>2</v>
      </c>
      <c r="E40" s="4" t="s">
        <v>26</v>
      </c>
      <c r="F40" s="4"/>
      <c r="G40" s="9"/>
      <c r="H40" s="4"/>
      <c r="I40" s="9"/>
      <c r="J40" s="3">
        <v>15511</v>
      </c>
      <c r="K40" s="3">
        <v>50102</v>
      </c>
      <c r="L40" s="17" t="str" cm="1">
        <f t="array" ref="L40">_xlfn.IFS(MID(K40,2,2)="01", "서울", MID(K40,2,2)="02","경기",MID(K40,2,2)="03","충청",MID(K40,2,2)="04","충청",MID(K40,2,2)="05","전라",MID(K40,2,2)="06","전라",MID(K40,2,2)="07","경북",MID(K40,2,2)="08","경남",MID(K40,2,2)="09","강원",MID(K40,2,2)="10","제주",TRUE,"국외")</f>
        <v>서울</v>
      </c>
    </row>
    <row r="41" spans="1:12" ht="17.25" thickBot="1">
      <c r="A41" s="3" t="s">
        <v>75</v>
      </c>
      <c r="B41" s="3" t="s">
        <v>40</v>
      </c>
      <c r="C41" s="3"/>
      <c r="D41" s="4" t="s">
        <v>2</v>
      </c>
      <c r="E41" s="4" t="s">
        <v>28</v>
      </c>
      <c r="F41" s="4"/>
      <c r="G41" s="9"/>
      <c r="H41" s="4"/>
      <c r="I41" s="9"/>
      <c r="J41" s="3">
        <v>15521</v>
      </c>
      <c r="K41" s="3">
        <v>50108</v>
      </c>
      <c r="L41" s="17" t="str" cm="1">
        <f t="array" ref="L41">_xlfn.IFS(MID(K41,2,2)="01", "서울", MID(K41,2,2)="02","경기",MID(K41,2,2)="03","충청",MID(K41,2,2)="04","충청",MID(K41,2,2)="05","전라",MID(K41,2,2)="06","전라",MID(K41,2,2)="07","경북",MID(K41,2,2)="08","경남",MID(K41,2,2)="09","강원",MID(K41,2,2)="10","제주",TRUE,"국외")</f>
        <v>서울</v>
      </c>
    </row>
    <row r="42" spans="1:12" ht="17.25" thickBot="1">
      <c r="A42" s="3" t="s">
        <v>76</v>
      </c>
      <c r="B42" s="3" t="s">
        <v>36</v>
      </c>
      <c r="C42" s="3"/>
      <c r="D42" s="4" t="s">
        <v>2</v>
      </c>
      <c r="E42" s="4" t="s">
        <v>3</v>
      </c>
      <c r="F42" s="4"/>
      <c r="G42" s="9"/>
      <c r="H42" s="4"/>
      <c r="I42" s="9"/>
      <c r="J42" s="3">
        <v>15425</v>
      </c>
      <c r="K42" s="3">
        <v>50402</v>
      </c>
      <c r="L42" s="17" t="str" cm="1">
        <f t="array" ref="L42">_xlfn.IFS(MID(K42,2,2)="01", "서울", MID(K42,2,2)="02","경기",MID(K42,2,2)="03","충청",MID(K42,2,2)="04","충청",MID(K42,2,2)="05","전라",MID(K42,2,2)="06","전라",MID(K42,2,2)="07","경북",MID(K42,2,2)="08","경남",MID(K42,2,2)="09","강원",MID(K42,2,2)="10","제주",TRUE,"국외")</f>
        <v>충청</v>
      </c>
    </row>
    <row r="43" spans="1:12" ht="17.25" thickBot="1">
      <c r="A43" s="3" t="s">
        <v>77</v>
      </c>
      <c r="B43" s="3" t="s">
        <v>78</v>
      </c>
      <c r="C43" s="3"/>
      <c r="D43" s="4" t="s">
        <v>2</v>
      </c>
      <c r="E43" s="4" t="s">
        <v>6</v>
      </c>
      <c r="F43" s="4">
        <v>2023</v>
      </c>
      <c r="G43" s="8">
        <v>-0.2</v>
      </c>
      <c r="H43" s="4" t="s">
        <v>6</v>
      </c>
      <c r="I43" s="8">
        <v>-0.2</v>
      </c>
      <c r="J43" s="3">
        <v>15435</v>
      </c>
      <c r="K43" s="3">
        <v>50401</v>
      </c>
      <c r="L43" s="17" t="str" cm="1">
        <f t="array" ref="L43">_xlfn.IFS(MID(K43,2,2)="01", "서울", MID(K43,2,2)="02","경기",MID(K43,2,2)="03","충청",MID(K43,2,2)="04","충청",MID(K43,2,2)="05","전라",MID(K43,2,2)="06","전라",MID(K43,2,2)="07","경북",MID(K43,2,2)="08","경남",MID(K43,2,2)="09","강원",MID(K43,2,2)="10","제주",TRUE,"국외")</f>
        <v>충청</v>
      </c>
    </row>
    <row r="44" spans="1:12" ht="17.25" thickBot="1">
      <c r="A44" s="3" t="s">
        <v>79</v>
      </c>
      <c r="B44" s="3" t="s">
        <v>50</v>
      </c>
      <c r="C44" s="3"/>
      <c r="D44" s="4" t="s">
        <v>2</v>
      </c>
      <c r="E44" s="4" t="s">
        <v>9</v>
      </c>
      <c r="F44" s="4">
        <v>2023</v>
      </c>
      <c r="G44" s="8">
        <v>-0.4</v>
      </c>
      <c r="H44" s="4" t="s">
        <v>9</v>
      </c>
      <c r="I44" s="8">
        <v>-0.4</v>
      </c>
      <c r="J44" s="3">
        <v>15443</v>
      </c>
      <c r="K44" s="3">
        <v>50301</v>
      </c>
      <c r="L44" s="17" t="str" cm="1">
        <f t="array" ref="L44">_xlfn.IFS(MID(K44,2,2)="01", "서울", MID(K44,2,2)="02","경기",MID(K44,2,2)="03","충청",MID(K44,2,2)="04","충청",MID(K44,2,2)="05","전라",MID(K44,2,2)="06","전라",MID(K44,2,2)="07","경북",MID(K44,2,2)="08","경남",MID(K44,2,2)="09","강원",MID(K44,2,2)="10","제주",TRUE,"국외")</f>
        <v>충청</v>
      </c>
    </row>
    <row r="45" spans="1:12" ht="17.25" thickBot="1">
      <c r="A45" s="3" t="s">
        <v>80</v>
      </c>
      <c r="B45" s="3" t="s">
        <v>81</v>
      </c>
      <c r="C45" s="3"/>
      <c r="D45" s="4" t="s">
        <v>2</v>
      </c>
      <c r="E45" s="4" t="s">
        <v>12</v>
      </c>
      <c r="F45" s="4"/>
      <c r="G45" s="9"/>
      <c r="H45" s="4"/>
      <c r="I45" s="9"/>
      <c r="J45" s="3">
        <v>15454</v>
      </c>
      <c r="K45" s="3">
        <v>50105</v>
      </c>
      <c r="L45" s="17" t="str" cm="1">
        <f t="array" ref="L45">_xlfn.IFS(MID(K45,2,2)="01", "서울", MID(K45,2,2)="02","경기",MID(K45,2,2)="03","충청",MID(K45,2,2)="04","충청",MID(K45,2,2)="05","전라",MID(K45,2,2)="06","전라",MID(K45,2,2)="07","경북",MID(K45,2,2)="08","경남",MID(K45,2,2)="09","강원",MID(K45,2,2)="10","제주",TRUE,"국외")</f>
        <v>서울</v>
      </c>
    </row>
    <row r="46" spans="1:12" ht="17.25" thickBot="1">
      <c r="A46" s="3" t="s">
        <v>75</v>
      </c>
      <c r="B46" s="3" t="s">
        <v>82</v>
      </c>
      <c r="C46" s="3" t="s">
        <v>83</v>
      </c>
      <c r="D46" s="4" t="s">
        <v>2</v>
      </c>
      <c r="E46" s="4" t="s">
        <v>15</v>
      </c>
      <c r="F46" s="4">
        <v>2023</v>
      </c>
      <c r="G46" s="8">
        <v>-0.1</v>
      </c>
      <c r="H46" s="4" t="s">
        <v>15</v>
      </c>
      <c r="I46" s="8">
        <v>-0.1</v>
      </c>
      <c r="J46" s="3">
        <v>15465</v>
      </c>
      <c r="K46" s="3">
        <v>50605</v>
      </c>
      <c r="L46" s="17" t="str" cm="1">
        <f t="array" ref="L46">_xlfn.IFS(MID(K46,2,2)="01", "서울", MID(K46,2,2)="02","경기",MID(K46,2,2)="03","충청",MID(K46,2,2)="04","충청",MID(K46,2,2)="05","전라",MID(K46,2,2)="06","전라",MID(K46,2,2)="07","경북",MID(K46,2,2)="08","경남",MID(K46,2,2)="09","강원",MID(K46,2,2)="10","제주",TRUE,"국외")</f>
        <v>전라</v>
      </c>
    </row>
    <row r="47" spans="1:12" ht="17.25" thickBot="1">
      <c r="A47" s="3" t="s">
        <v>84</v>
      </c>
      <c r="B47" s="3" t="s">
        <v>66</v>
      </c>
      <c r="C47" s="3" t="s">
        <v>85</v>
      </c>
      <c r="D47" s="4" t="s">
        <v>2</v>
      </c>
      <c r="E47" s="4" t="s">
        <v>18</v>
      </c>
      <c r="F47" s="4">
        <v>2023</v>
      </c>
      <c r="G47" s="8">
        <v>-0.1</v>
      </c>
      <c r="H47" s="4" t="s">
        <v>18</v>
      </c>
      <c r="I47" s="8">
        <v>-0.1</v>
      </c>
      <c r="J47" s="3">
        <v>15477</v>
      </c>
      <c r="K47" s="3">
        <v>50110</v>
      </c>
      <c r="L47" s="17" t="str" cm="1">
        <f t="array" ref="L47">_xlfn.IFS(MID(K47,2,2)="01", "서울", MID(K47,2,2)="02","경기",MID(K47,2,2)="03","충청",MID(K47,2,2)="04","충청",MID(K47,2,2)="05","전라",MID(K47,2,2)="06","전라",MID(K47,2,2)="07","경북",MID(K47,2,2)="08","경남",MID(K47,2,2)="09","강원",MID(K47,2,2)="10","제주",TRUE,"국외")</f>
        <v>서울</v>
      </c>
    </row>
    <row r="48" spans="1:12" ht="17.25" thickBot="1">
      <c r="A48" s="3" t="s">
        <v>86</v>
      </c>
      <c r="B48" s="3" t="s">
        <v>87</v>
      </c>
      <c r="C48" s="3"/>
      <c r="D48" s="4" t="s">
        <v>2</v>
      </c>
      <c r="E48" s="4" t="s">
        <v>20</v>
      </c>
      <c r="F48" s="4"/>
      <c r="G48" s="9"/>
      <c r="H48" s="4"/>
      <c r="I48" s="9"/>
      <c r="J48" s="3">
        <v>15488</v>
      </c>
      <c r="K48" s="3">
        <v>50404</v>
      </c>
      <c r="L48" s="17" t="str" cm="1">
        <f t="array" ref="L48">_xlfn.IFS(MID(K48,2,2)="01", "서울", MID(K48,2,2)="02","경기",MID(K48,2,2)="03","충청",MID(K48,2,2)="04","충청",MID(K48,2,2)="05","전라",MID(K48,2,2)="06","전라",MID(K48,2,2)="07","경북",MID(K48,2,2)="08","경남",MID(K48,2,2)="09","강원",MID(K48,2,2)="10","제주",TRUE,"국외")</f>
        <v>충청</v>
      </c>
    </row>
    <row r="49" spans="1:12" ht="17.25" thickBot="1">
      <c r="A49" s="3" t="s">
        <v>88</v>
      </c>
      <c r="B49" s="3" t="s">
        <v>89</v>
      </c>
      <c r="C49" s="3" t="s">
        <v>90</v>
      </c>
      <c r="D49" s="4" t="s">
        <v>2</v>
      </c>
      <c r="E49" s="4" t="s">
        <v>23</v>
      </c>
      <c r="F49" s="4">
        <v>2023</v>
      </c>
      <c r="G49" s="8">
        <v>-0.1</v>
      </c>
      <c r="H49" s="4" t="s">
        <v>23</v>
      </c>
      <c r="I49" s="8">
        <v>-0.1</v>
      </c>
      <c r="J49" s="3">
        <v>15501</v>
      </c>
      <c r="K49" s="3">
        <v>50806</v>
      </c>
      <c r="L49" s="17" t="str" cm="1">
        <f t="array" ref="L49">_xlfn.IFS(MID(K49,2,2)="01", "서울", MID(K49,2,2)="02","경기",MID(K49,2,2)="03","충청",MID(K49,2,2)="04","충청",MID(K49,2,2)="05","전라",MID(K49,2,2)="06","전라",MID(K49,2,2)="07","경북",MID(K49,2,2)="08","경남",MID(K49,2,2)="09","강원",MID(K49,2,2)="10","제주",TRUE,"국외")</f>
        <v>경남</v>
      </c>
    </row>
    <row r="50" spans="1:12" ht="17.25" thickBot="1">
      <c r="A50" s="3" t="s">
        <v>91</v>
      </c>
      <c r="B50" s="3" t="s">
        <v>11</v>
      </c>
      <c r="C50" s="3" t="s">
        <v>90</v>
      </c>
      <c r="D50" s="4" t="s">
        <v>2</v>
      </c>
      <c r="E50" s="4" t="s">
        <v>26</v>
      </c>
      <c r="F50" s="4"/>
      <c r="G50" s="9"/>
      <c r="H50" s="4"/>
      <c r="I50" s="9"/>
      <c r="J50" s="3">
        <v>15512</v>
      </c>
      <c r="K50" s="3">
        <v>50802</v>
      </c>
      <c r="L50" s="17" t="str" cm="1">
        <f t="array" ref="L50">_xlfn.IFS(MID(K50,2,2)="01", "서울", MID(K50,2,2)="02","경기",MID(K50,2,2)="03","충청",MID(K50,2,2)="04","충청",MID(K50,2,2)="05","전라",MID(K50,2,2)="06","전라",MID(K50,2,2)="07","경북",MID(K50,2,2)="08","경남",MID(K50,2,2)="09","강원",MID(K50,2,2)="10","제주",TRUE,"국외")</f>
        <v>경남</v>
      </c>
    </row>
    <row r="51" spans="1:12" ht="17.25" thickBot="1">
      <c r="A51" s="3" t="s">
        <v>92</v>
      </c>
      <c r="B51" s="3" t="s">
        <v>93</v>
      </c>
      <c r="C51" s="3"/>
      <c r="D51" s="4" t="s">
        <v>2</v>
      </c>
      <c r="E51" s="4" t="s">
        <v>20</v>
      </c>
      <c r="F51" s="4"/>
      <c r="G51" s="9"/>
      <c r="H51" s="4"/>
      <c r="I51" s="9"/>
      <c r="J51" s="3">
        <v>15489</v>
      </c>
      <c r="K51" s="3">
        <v>50805</v>
      </c>
      <c r="L51" s="17" t="str" cm="1">
        <f t="array" ref="L51">_xlfn.IFS(MID(K51,2,2)="01", "서울", MID(K51,2,2)="02","경기",MID(K51,2,2)="03","충청",MID(K51,2,2)="04","충청",MID(K51,2,2)="05","전라",MID(K51,2,2)="06","전라",MID(K51,2,2)="07","경북",MID(K51,2,2)="08","경남",MID(K51,2,2)="09","강원",MID(K51,2,2)="10","제주",TRUE,"국외")</f>
        <v>경남</v>
      </c>
    </row>
    <row r="52" spans="1:12" ht="17.25" thickBot="1">
      <c r="A52" s="3" t="s">
        <v>94</v>
      </c>
      <c r="B52" s="3" t="s">
        <v>36</v>
      </c>
      <c r="C52" s="3"/>
      <c r="D52" s="4" t="s">
        <v>2</v>
      </c>
      <c r="E52" s="4" t="s">
        <v>3</v>
      </c>
      <c r="F52" s="4"/>
      <c r="G52" s="9"/>
      <c r="H52" s="4"/>
      <c r="I52" s="9"/>
      <c r="J52" s="3">
        <v>15426</v>
      </c>
      <c r="K52" s="3">
        <v>50402</v>
      </c>
      <c r="L52" s="17" t="str" cm="1">
        <f t="array" ref="L52">_xlfn.IFS(MID(K52,2,2)="01", "서울", MID(K52,2,2)="02","경기",MID(K52,2,2)="03","충청",MID(K52,2,2)="04","충청",MID(K52,2,2)="05","전라",MID(K52,2,2)="06","전라",MID(K52,2,2)="07","경북",MID(K52,2,2)="08","경남",MID(K52,2,2)="09","강원",MID(K52,2,2)="10","제주",TRUE,"국외")</f>
        <v>충청</v>
      </c>
    </row>
    <row r="53" spans="1:12" ht="17.25" thickBot="1">
      <c r="A53" s="3" t="s">
        <v>95</v>
      </c>
      <c r="B53" s="3" t="s">
        <v>96</v>
      </c>
      <c r="C53" s="3"/>
      <c r="D53" s="4" t="s">
        <v>2</v>
      </c>
      <c r="E53" s="4" t="s">
        <v>6</v>
      </c>
      <c r="F53" s="4"/>
      <c r="G53" s="9"/>
      <c r="H53" s="4"/>
      <c r="I53" s="9"/>
      <c r="J53" s="3">
        <v>15436</v>
      </c>
      <c r="K53" s="3">
        <v>50601</v>
      </c>
      <c r="L53" s="17" t="str" cm="1">
        <f t="array" ref="L53">_xlfn.IFS(MID(K53,2,2)="01", "서울", MID(K53,2,2)="02","경기",MID(K53,2,2)="03","충청",MID(K53,2,2)="04","충청",MID(K53,2,2)="05","전라",MID(K53,2,2)="06","전라",MID(K53,2,2)="07","경북",MID(K53,2,2)="08","경남",MID(K53,2,2)="09","강원",MID(K53,2,2)="10","제주",TRUE,"국외")</f>
        <v>전라</v>
      </c>
    </row>
    <row r="54" spans="1:12" ht="17.25" thickBot="1">
      <c r="A54" s="3" t="s">
        <v>97</v>
      </c>
      <c r="B54" s="3" t="s">
        <v>5</v>
      </c>
      <c r="C54" s="3"/>
      <c r="D54" s="4" t="s">
        <v>2</v>
      </c>
      <c r="E54" s="4" t="s">
        <v>9</v>
      </c>
      <c r="F54" s="4">
        <v>2023</v>
      </c>
      <c r="G54" s="8">
        <v>-0.2</v>
      </c>
      <c r="H54" s="4" t="s">
        <v>9</v>
      </c>
      <c r="I54" s="8">
        <v>-0.2</v>
      </c>
      <c r="J54" s="3">
        <v>15444</v>
      </c>
      <c r="K54" s="3">
        <v>50114</v>
      </c>
      <c r="L54" s="17" t="str" cm="1">
        <f t="array" ref="L54">_xlfn.IFS(MID(K54,2,2)="01", "서울", MID(K54,2,2)="02","경기",MID(K54,2,2)="03","충청",MID(K54,2,2)="04","충청",MID(K54,2,2)="05","전라",MID(K54,2,2)="06","전라",MID(K54,2,2)="07","경북",MID(K54,2,2)="08","경남",MID(K54,2,2)="09","강원",MID(K54,2,2)="10","제주",TRUE,"국외")</f>
        <v>서울</v>
      </c>
    </row>
    <row r="55" spans="1:12" ht="17.25" thickBot="1">
      <c r="A55" s="3" t="s">
        <v>98</v>
      </c>
      <c r="B55" s="3" t="s">
        <v>11</v>
      </c>
      <c r="C55" s="3" t="s">
        <v>99</v>
      </c>
      <c r="D55" s="4" t="s">
        <v>2</v>
      </c>
      <c r="E55" s="4" t="s">
        <v>12</v>
      </c>
      <c r="F55" s="4">
        <v>2023</v>
      </c>
      <c r="G55" s="8">
        <v>-0.2</v>
      </c>
      <c r="H55" s="4" t="s">
        <v>12</v>
      </c>
      <c r="I55" s="8">
        <v>-0.2</v>
      </c>
      <c r="J55" s="3">
        <v>15455</v>
      </c>
      <c r="K55" s="3">
        <v>50802</v>
      </c>
      <c r="L55" s="17" t="str" cm="1">
        <f t="array" ref="L55">_xlfn.IFS(MID(K55,2,2)="01", "서울", MID(K55,2,2)="02","경기",MID(K55,2,2)="03","충청",MID(K55,2,2)="04","충청",MID(K55,2,2)="05","전라",MID(K55,2,2)="06","전라",MID(K55,2,2)="07","경북",MID(K55,2,2)="08","경남",MID(K55,2,2)="09","강원",MID(K55,2,2)="10","제주",TRUE,"국외")</f>
        <v>경남</v>
      </c>
    </row>
    <row r="56" spans="1:12" ht="17.25" thickBot="1">
      <c r="A56" s="3" t="s">
        <v>100</v>
      </c>
      <c r="B56" s="3" t="s">
        <v>101</v>
      </c>
      <c r="C56" s="3"/>
      <c r="D56" s="4" t="s">
        <v>2</v>
      </c>
      <c r="E56" s="4" t="s">
        <v>15</v>
      </c>
      <c r="F56" s="4"/>
      <c r="G56" s="9"/>
      <c r="H56" s="4"/>
      <c r="I56" s="9"/>
      <c r="J56" s="3">
        <v>15466</v>
      </c>
      <c r="K56" s="3">
        <v>50207</v>
      </c>
      <c r="L56" s="17" t="str" cm="1">
        <f t="array" ref="L56">_xlfn.IFS(MID(K56,2,2)="01", "서울", MID(K56,2,2)="02","경기",MID(K56,2,2)="03","충청",MID(K56,2,2)="04","충청",MID(K56,2,2)="05","전라",MID(K56,2,2)="06","전라",MID(K56,2,2)="07","경북",MID(K56,2,2)="08","경남",MID(K56,2,2)="09","강원",MID(K56,2,2)="10","제주",TRUE,"국외")</f>
        <v>경기</v>
      </c>
    </row>
    <row r="57" spans="1:12" ht="17.25" thickBot="1">
      <c r="A57" s="3" t="s">
        <v>102</v>
      </c>
      <c r="B57" s="3" t="s">
        <v>5</v>
      </c>
      <c r="C57" s="3"/>
      <c r="D57" s="4" t="s">
        <v>2</v>
      </c>
      <c r="E57" s="4" t="s">
        <v>18</v>
      </c>
      <c r="F57" s="4"/>
      <c r="G57" s="9"/>
      <c r="H57" s="4"/>
      <c r="I57" s="9"/>
      <c r="J57" s="3">
        <v>15478</v>
      </c>
      <c r="K57" s="3">
        <v>50114</v>
      </c>
      <c r="L57" s="17" t="str" cm="1">
        <f t="array" ref="L57">_xlfn.IFS(MID(K57,2,2)="01", "서울", MID(K57,2,2)="02","경기",MID(K57,2,2)="03","충청",MID(K57,2,2)="04","충청",MID(K57,2,2)="05","전라",MID(K57,2,2)="06","전라",MID(K57,2,2)="07","경북",MID(K57,2,2)="08","경남",MID(K57,2,2)="09","강원",MID(K57,2,2)="10","제주",TRUE,"국외")</f>
        <v>서울</v>
      </c>
    </row>
    <row r="58" spans="1:12" ht="17.25" thickBot="1">
      <c r="A58" s="3" t="s">
        <v>103</v>
      </c>
      <c r="B58" s="3" t="s">
        <v>56</v>
      </c>
      <c r="C58" s="3"/>
      <c r="D58" s="4" t="s">
        <v>2</v>
      </c>
      <c r="E58" s="4" t="s">
        <v>20</v>
      </c>
      <c r="F58" s="4"/>
      <c r="G58" s="9"/>
      <c r="H58" s="4"/>
      <c r="I58" s="9"/>
      <c r="J58" s="3">
        <v>15490</v>
      </c>
      <c r="K58" s="3">
        <v>50215</v>
      </c>
      <c r="L58" s="17" t="str" cm="1">
        <f t="array" ref="L58">_xlfn.IFS(MID(K58,2,2)="01", "서울", MID(K58,2,2)="02","경기",MID(K58,2,2)="03","충청",MID(K58,2,2)="04","충청",MID(K58,2,2)="05","전라",MID(K58,2,2)="06","전라",MID(K58,2,2)="07","경북",MID(K58,2,2)="08","경남",MID(K58,2,2)="09","강원",MID(K58,2,2)="10","제주",TRUE,"국외")</f>
        <v>경기</v>
      </c>
    </row>
    <row r="59" spans="1:12" ht="17.25" thickBot="1">
      <c r="A59" s="3" t="s">
        <v>104</v>
      </c>
      <c r="B59" s="3" t="s">
        <v>105</v>
      </c>
      <c r="C59" s="3"/>
      <c r="D59" s="4" t="s">
        <v>2</v>
      </c>
      <c r="E59" s="4" t="s">
        <v>23</v>
      </c>
      <c r="F59" s="4"/>
      <c r="G59" s="9"/>
      <c r="H59" s="4"/>
      <c r="I59" s="9"/>
      <c r="J59" s="3">
        <v>15502</v>
      </c>
      <c r="K59" s="3">
        <v>50212</v>
      </c>
      <c r="L59" s="17" t="str" cm="1">
        <f t="array" ref="L59">_xlfn.IFS(MID(K59,2,2)="01", "서울", MID(K59,2,2)="02","경기",MID(K59,2,2)="03","충청",MID(K59,2,2)="04","충청",MID(K59,2,2)="05","전라",MID(K59,2,2)="06","전라",MID(K59,2,2)="07","경북",MID(K59,2,2)="08","경남",MID(K59,2,2)="09","강원",MID(K59,2,2)="10","제주",TRUE,"국외")</f>
        <v>경기</v>
      </c>
    </row>
    <row r="60" spans="1:12" ht="17.25" thickBot="1">
      <c r="A60" s="3" t="s">
        <v>106</v>
      </c>
      <c r="B60" s="3" t="s">
        <v>107</v>
      </c>
      <c r="C60" s="3"/>
      <c r="D60" s="4" t="s">
        <v>2</v>
      </c>
      <c r="E60" s="4" t="s">
        <v>26</v>
      </c>
      <c r="F60" s="4"/>
      <c r="G60" s="9"/>
      <c r="H60" s="4"/>
      <c r="I60" s="9"/>
      <c r="J60" s="3">
        <v>15513</v>
      </c>
      <c r="K60" s="3">
        <v>50602</v>
      </c>
      <c r="L60" s="17" t="str" cm="1">
        <f t="array" ref="L60">_xlfn.IFS(MID(K60,2,2)="01", "서울", MID(K60,2,2)="02","경기",MID(K60,2,2)="03","충청",MID(K60,2,2)="04","충청",MID(K60,2,2)="05","전라",MID(K60,2,2)="06","전라",MID(K60,2,2)="07","경북",MID(K60,2,2)="08","경남",MID(K60,2,2)="09","강원",MID(K60,2,2)="10","제주",TRUE,"국외")</f>
        <v>전라</v>
      </c>
    </row>
    <row r="61" spans="1:12" ht="17.25" thickBot="1">
      <c r="A61" s="3" t="s">
        <v>108</v>
      </c>
      <c r="B61" s="3" t="s">
        <v>8</v>
      </c>
      <c r="C61" s="3"/>
      <c r="D61" s="4" t="s">
        <v>2</v>
      </c>
      <c r="E61" s="4" t="s">
        <v>28</v>
      </c>
      <c r="F61" s="4"/>
      <c r="G61" s="9"/>
      <c r="H61" s="4"/>
      <c r="I61" s="9"/>
      <c r="J61" s="3">
        <v>15522</v>
      </c>
      <c r="K61" s="3">
        <v>50116</v>
      </c>
      <c r="L61" s="17" t="str" cm="1">
        <f t="array" ref="L61">_xlfn.IFS(MID(K61,2,2)="01", "서울", MID(K61,2,2)="02","경기",MID(K61,2,2)="03","충청",MID(K61,2,2)="04","충청",MID(K61,2,2)="05","전라",MID(K61,2,2)="06","전라",MID(K61,2,2)="07","경북",MID(K61,2,2)="08","경남",MID(K61,2,2)="09","강원",MID(K61,2,2)="10","제주",TRUE,"국외")</f>
        <v>서울</v>
      </c>
    </row>
    <row r="62" spans="1:12" ht="17.25" thickBot="1">
      <c r="A62" s="3" t="s">
        <v>109</v>
      </c>
      <c r="B62" s="3" t="s">
        <v>36</v>
      </c>
      <c r="C62" s="3"/>
      <c r="D62" s="4" t="s">
        <v>2</v>
      </c>
      <c r="E62" s="4" t="s">
        <v>3</v>
      </c>
      <c r="F62" s="4"/>
      <c r="G62" s="9"/>
      <c r="H62" s="4"/>
      <c r="I62" s="9"/>
      <c r="J62" s="3">
        <v>15427</v>
      </c>
      <c r="K62" s="3">
        <v>50402</v>
      </c>
      <c r="L62" s="17" t="str" cm="1">
        <f t="array" ref="L62">_xlfn.IFS(MID(K62,2,2)="01", "서울", MID(K62,2,2)="02","경기",MID(K62,2,2)="03","충청",MID(K62,2,2)="04","충청",MID(K62,2,2)="05","전라",MID(K62,2,2)="06","전라",MID(K62,2,2)="07","경북",MID(K62,2,2)="08","경남",MID(K62,2,2)="09","강원",MID(K62,2,2)="10","제주",TRUE,"국외")</f>
        <v>충청</v>
      </c>
    </row>
    <row r="63" spans="1:12" ht="17.25" thickBot="1">
      <c r="A63" s="3" t="s">
        <v>110</v>
      </c>
      <c r="B63" s="3" t="s">
        <v>8</v>
      </c>
      <c r="C63" s="3"/>
      <c r="D63" s="4" t="s">
        <v>2</v>
      </c>
      <c r="E63" s="4" t="s">
        <v>6</v>
      </c>
      <c r="F63" s="4"/>
      <c r="G63" s="9"/>
      <c r="H63" s="4"/>
      <c r="I63" s="9"/>
      <c r="J63" s="3">
        <v>15437</v>
      </c>
      <c r="K63" s="3">
        <v>50116</v>
      </c>
      <c r="L63" s="17" t="str" cm="1">
        <f t="array" ref="L63">_xlfn.IFS(MID(K63,2,2)="01", "서울", MID(K63,2,2)="02","경기",MID(K63,2,2)="03","충청",MID(K63,2,2)="04","충청",MID(K63,2,2)="05","전라",MID(K63,2,2)="06","전라",MID(K63,2,2)="07","경북",MID(K63,2,2)="08","경남",MID(K63,2,2)="09","강원",MID(K63,2,2)="10","제주",TRUE,"국외")</f>
        <v>서울</v>
      </c>
    </row>
    <row r="64" spans="1:12" ht="17.25" thickBot="1">
      <c r="A64" s="3" t="s">
        <v>111</v>
      </c>
      <c r="B64" s="3" t="s">
        <v>112</v>
      </c>
      <c r="C64" s="3" t="s">
        <v>45</v>
      </c>
      <c r="D64" s="4" t="s">
        <v>2</v>
      </c>
      <c r="E64" s="4" t="s">
        <v>9</v>
      </c>
      <c r="F64" s="4">
        <v>2023</v>
      </c>
      <c r="G64" s="8">
        <v>0.3</v>
      </c>
      <c r="H64" s="4" t="s">
        <v>9</v>
      </c>
      <c r="I64" s="8">
        <v>0.3</v>
      </c>
      <c r="J64" s="3">
        <v>15445</v>
      </c>
      <c r="K64" s="3">
        <v>50113</v>
      </c>
      <c r="L64" s="17" t="str" cm="1">
        <f t="array" ref="L64">_xlfn.IFS(MID(K64,2,2)="01", "서울", MID(K64,2,2)="02","경기",MID(K64,2,2)="03","충청",MID(K64,2,2)="04","충청",MID(K64,2,2)="05","전라",MID(K64,2,2)="06","전라",MID(K64,2,2)="07","경북",MID(K64,2,2)="08","경남",MID(K64,2,2)="09","강원",MID(K64,2,2)="10","제주",TRUE,"국외")</f>
        <v>서울</v>
      </c>
    </row>
    <row r="65" spans="1:12" ht="17.25" thickBot="1">
      <c r="A65" s="3" t="s">
        <v>113</v>
      </c>
      <c r="B65" s="3" t="s">
        <v>52</v>
      </c>
      <c r="C65" s="3"/>
      <c r="D65" s="4" t="s">
        <v>2</v>
      </c>
      <c r="E65" s="4" t="s">
        <v>12</v>
      </c>
      <c r="F65" s="4"/>
      <c r="G65" s="9"/>
      <c r="H65" s="4"/>
      <c r="I65" s="9"/>
      <c r="J65" s="3">
        <v>15456</v>
      </c>
      <c r="K65" s="3">
        <v>50803</v>
      </c>
      <c r="L65" s="17" t="str" cm="1">
        <f t="array" ref="L65">_xlfn.IFS(MID(K65,2,2)="01", "서울", MID(K65,2,2)="02","경기",MID(K65,2,2)="03","충청",MID(K65,2,2)="04","충청",MID(K65,2,2)="05","전라",MID(K65,2,2)="06","전라",MID(K65,2,2)="07","경북",MID(K65,2,2)="08","경남",MID(K65,2,2)="09","강원",MID(K65,2,2)="10","제주",TRUE,"국외")</f>
        <v>경남</v>
      </c>
    </row>
    <row r="66" spans="1:12" ht="17.25" thickBot="1">
      <c r="A66" s="3" t="s">
        <v>114</v>
      </c>
      <c r="B66" s="3" t="s">
        <v>25</v>
      </c>
      <c r="C66" s="3"/>
      <c r="D66" s="4" t="s">
        <v>2</v>
      </c>
      <c r="E66" s="4" t="s">
        <v>15</v>
      </c>
      <c r="F66" s="4"/>
      <c r="G66" s="9"/>
      <c r="H66" s="4"/>
      <c r="I66" s="9"/>
      <c r="J66" s="3">
        <v>15467</v>
      </c>
      <c r="K66" s="3">
        <v>50403</v>
      </c>
      <c r="L66" s="17" t="str" cm="1">
        <f t="array" ref="L66">_xlfn.IFS(MID(K66,2,2)="01", "서울", MID(K66,2,2)="02","경기",MID(K66,2,2)="03","충청",MID(K66,2,2)="04","충청",MID(K66,2,2)="05","전라",MID(K66,2,2)="06","전라",MID(K66,2,2)="07","경북",MID(K66,2,2)="08","경남",MID(K66,2,2)="09","강원",MID(K66,2,2)="10","제주",TRUE,"국외")</f>
        <v>충청</v>
      </c>
    </row>
    <row r="67" spans="1:12" ht="17.25" thickBot="1">
      <c r="A67" s="3" t="s">
        <v>115</v>
      </c>
      <c r="B67" s="3" t="s">
        <v>36</v>
      </c>
      <c r="C67" s="3"/>
      <c r="D67" s="4" t="s">
        <v>2</v>
      </c>
      <c r="E67" s="4" t="s">
        <v>18</v>
      </c>
      <c r="F67" s="4"/>
      <c r="G67" s="9"/>
      <c r="H67" s="4"/>
      <c r="I67" s="9"/>
      <c r="J67" s="3">
        <v>15479</v>
      </c>
      <c r="K67" s="3">
        <v>50402</v>
      </c>
      <c r="L67" s="17" t="str" cm="1">
        <f t="array" ref="L67">_xlfn.IFS(MID(K67,2,2)="01", "서울", MID(K67,2,2)="02","경기",MID(K67,2,2)="03","충청",MID(K67,2,2)="04","충청",MID(K67,2,2)="05","전라",MID(K67,2,2)="06","전라",MID(K67,2,2)="07","경북",MID(K67,2,2)="08","경남",MID(K67,2,2)="09","강원",MID(K67,2,2)="10","제주",TRUE,"국외")</f>
        <v>충청</v>
      </c>
    </row>
    <row r="68" spans="1:12" ht="17.25" thickBot="1">
      <c r="A68" s="3" t="s">
        <v>116</v>
      </c>
      <c r="B68" s="3" t="s">
        <v>63</v>
      </c>
      <c r="C68" s="3"/>
      <c r="D68" s="4" t="s">
        <v>2</v>
      </c>
      <c r="E68" s="4" t="s">
        <v>20</v>
      </c>
      <c r="F68" s="4"/>
      <c r="G68" s="9"/>
      <c r="H68" s="4"/>
      <c r="I68" s="9"/>
      <c r="J68" s="3">
        <v>15491</v>
      </c>
      <c r="K68" s="3">
        <v>50807</v>
      </c>
      <c r="L68" s="17" t="str" cm="1">
        <f t="array" ref="L68">_xlfn.IFS(MID(K68,2,2)="01", "서울", MID(K68,2,2)="02","경기",MID(K68,2,2)="03","충청",MID(K68,2,2)="04","충청",MID(K68,2,2)="05","전라",MID(K68,2,2)="06","전라",MID(K68,2,2)="07","경북",MID(K68,2,2)="08","경남",MID(K68,2,2)="09","강원",MID(K68,2,2)="10","제주",TRUE,"국외")</f>
        <v>경남</v>
      </c>
    </row>
    <row r="69" spans="1:12" ht="17.25" thickBot="1">
      <c r="A69" s="3" t="s">
        <v>117</v>
      </c>
      <c r="B69" s="3" t="s">
        <v>107</v>
      </c>
      <c r="C69" s="3"/>
      <c r="D69" s="4" t="s">
        <v>2</v>
      </c>
      <c r="E69" s="4" t="s">
        <v>23</v>
      </c>
      <c r="F69" s="4">
        <v>2023</v>
      </c>
      <c r="G69" s="8">
        <v>-0.4</v>
      </c>
      <c r="H69" s="4" t="s">
        <v>23</v>
      </c>
      <c r="I69" s="8">
        <v>-0.4</v>
      </c>
      <c r="J69" s="3">
        <v>15503</v>
      </c>
      <c r="K69" s="3">
        <v>50602</v>
      </c>
      <c r="L69" s="17" t="str" cm="1">
        <f t="array" ref="L69">_xlfn.IFS(MID(K69,2,2)="01", "서울", MID(K69,2,2)="02","경기",MID(K69,2,2)="03","충청",MID(K69,2,2)="04","충청",MID(K69,2,2)="05","전라",MID(K69,2,2)="06","전라",MID(K69,2,2)="07","경북",MID(K69,2,2)="08","경남",MID(K69,2,2)="09","강원",MID(K69,2,2)="10","제주",TRUE,"국외")</f>
        <v>전라</v>
      </c>
    </row>
    <row r="70" spans="1:12" ht="17.25" thickBot="1">
      <c r="A70" s="3" t="s">
        <v>118</v>
      </c>
      <c r="B70" s="3" t="s">
        <v>93</v>
      </c>
      <c r="C70" s="3" t="s">
        <v>119</v>
      </c>
      <c r="D70" s="4" t="s">
        <v>2</v>
      </c>
      <c r="E70" s="4" t="s">
        <v>26</v>
      </c>
      <c r="F70" s="4">
        <v>2023</v>
      </c>
      <c r="G70" s="8">
        <v>0.2</v>
      </c>
      <c r="H70" s="4" t="s">
        <v>26</v>
      </c>
      <c r="I70" s="8">
        <v>0.2</v>
      </c>
      <c r="J70" s="3">
        <v>15514</v>
      </c>
      <c r="K70" s="3">
        <v>50805</v>
      </c>
      <c r="L70" s="17" t="str" cm="1">
        <f t="array" ref="L70">_xlfn.IFS(MID(K70,2,2)="01", "서울", MID(K70,2,2)="02","경기",MID(K70,2,2)="03","충청",MID(K70,2,2)="04","충청",MID(K70,2,2)="05","전라",MID(K70,2,2)="06","전라",MID(K70,2,2)="07","경북",MID(K70,2,2)="08","경남",MID(K70,2,2)="09","강원",MID(K70,2,2)="10","제주",TRUE,"국외")</f>
        <v>경남</v>
      </c>
    </row>
    <row r="71" spans="1:12" ht="17.25" thickBot="1">
      <c r="A71" s="3" t="s">
        <v>120</v>
      </c>
      <c r="B71" s="3" t="s">
        <v>121</v>
      </c>
      <c r="C71" s="3" t="s">
        <v>122</v>
      </c>
      <c r="D71" s="4" t="s">
        <v>2</v>
      </c>
      <c r="E71" s="4" t="s">
        <v>28</v>
      </c>
      <c r="F71" s="4">
        <v>2023</v>
      </c>
      <c r="G71" s="8">
        <v>-0.4</v>
      </c>
      <c r="H71" s="4" t="s">
        <v>28</v>
      </c>
      <c r="I71" s="8">
        <v>-0.4</v>
      </c>
      <c r="J71" s="3">
        <v>15523</v>
      </c>
      <c r="K71" s="3">
        <v>50604</v>
      </c>
      <c r="L71" s="17" t="str" cm="1">
        <f t="array" ref="L71">_xlfn.IFS(MID(K71,2,2)="01", "서울", MID(K71,2,2)="02","경기",MID(K71,2,2)="03","충청",MID(K71,2,2)="04","충청",MID(K71,2,2)="05","전라",MID(K71,2,2)="06","전라",MID(K71,2,2)="07","경북",MID(K71,2,2)="08","경남",MID(K71,2,2)="09","강원",MID(K71,2,2)="10","제주",TRUE,"국외")</f>
        <v>전라</v>
      </c>
    </row>
    <row r="72" spans="1:12" ht="17.25" thickBot="1">
      <c r="A72" s="3" t="s">
        <v>123</v>
      </c>
      <c r="B72" s="3" t="s">
        <v>124</v>
      </c>
      <c r="C72" s="3"/>
      <c r="D72" s="4" t="s">
        <v>2</v>
      </c>
      <c r="E72" s="4" t="s">
        <v>3</v>
      </c>
      <c r="F72" s="4"/>
      <c r="G72" s="9"/>
      <c r="H72" s="4"/>
      <c r="I72" s="9"/>
      <c r="J72" s="3">
        <v>15428</v>
      </c>
      <c r="K72" s="3">
        <v>50219</v>
      </c>
      <c r="L72" s="17" t="str" cm="1">
        <f t="array" ref="L72">_xlfn.IFS(MID(K72,2,2)="01", "서울", MID(K72,2,2)="02","경기",MID(K72,2,2)="03","충청",MID(K72,2,2)="04","충청",MID(K72,2,2)="05","전라",MID(K72,2,2)="06","전라",MID(K72,2,2)="07","경북",MID(K72,2,2)="08","경남",MID(K72,2,2)="09","강원",MID(K72,2,2)="10","제주",TRUE,"국외")</f>
        <v>경기</v>
      </c>
    </row>
    <row r="73" spans="1:12" ht="17.25" thickBot="1">
      <c r="A73" s="3" t="s">
        <v>125</v>
      </c>
      <c r="B73" s="3" t="s">
        <v>126</v>
      </c>
      <c r="C73" s="3"/>
      <c r="D73" s="4" t="s">
        <v>2</v>
      </c>
      <c r="E73" s="4" t="s">
        <v>6</v>
      </c>
      <c r="F73" s="4"/>
      <c r="G73" s="9"/>
      <c r="H73" s="4"/>
      <c r="I73" s="9"/>
      <c r="J73" s="3">
        <v>15438</v>
      </c>
      <c r="K73" s="3">
        <v>50206</v>
      </c>
      <c r="L73" s="17" t="str" cm="1">
        <f t="array" ref="L73">_xlfn.IFS(MID(K73,2,2)="01", "서울", MID(K73,2,2)="02","경기",MID(K73,2,2)="03","충청",MID(K73,2,2)="04","충청",MID(K73,2,2)="05","전라",MID(K73,2,2)="06","전라",MID(K73,2,2)="07","경북",MID(K73,2,2)="08","경남",MID(K73,2,2)="09","강원",MID(K73,2,2)="10","제주",TRUE,"국외")</f>
        <v>경기</v>
      </c>
    </row>
    <row r="74" spans="1:12" ht="17.25" thickBot="1">
      <c r="A74" s="3" t="s">
        <v>127</v>
      </c>
      <c r="B74" s="3" t="s">
        <v>128</v>
      </c>
      <c r="C74" s="3"/>
      <c r="D74" s="4" t="s">
        <v>2</v>
      </c>
      <c r="E74" s="4" t="s">
        <v>9</v>
      </c>
      <c r="F74" s="4"/>
      <c r="G74" s="9"/>
      <c r="H74" s="4"/>
      <c r="I74" s="9"/>
      <c r="J74" s="3">
        <v>15446</v>
      </c>
      <c r="K74" s="3">
        <v>50901</v>
      </c>
      <c r="L74" s="17" t="str" cm="1">
        <f t="array" ref="L74">_xlfn.IFS(MID(K74,2,2)="01", "서울", MID(K74,2,2)="02","경기",MID(K74,2,2)="03","충청",MID(K74,2,2)="04","충청",MID(K74,2,2)="05","전라",MID(K74,2,2)="06","전라",MID(K74,2,2)="07","경북",MID(K74,2,2)="08","경남",MID(K74,2,2)="09","강원",MID(K74,2,2)="10","제주",TRUE,"국외")</f>
        <v>강원</v>
      </c>
    </row>
    <row r="75" spans="1:12" ht="17.25" thickBot="1">
      <c r="A75" s="3" t="s">
        <v>129</v>
      </c>
      <c r="B75" s="3" t="s">
        <v>34</v>
      </c>
      <c r="C75" s="3"/>
      <c r="D75" s="4" t="s">
        <v>2</v>
      </c>
      <c r="E75" s="4" t="s">
        <v>12</v>
      </c>
      <c r="F75" s="4"/>
      <c r="G75" s="9"/>
      <c r="H75" s="4"/>
      <c r="I75" s="9"/>
      <c r="J75" s="3">
        <v>15457</v>
      </c>
      <c r="K75" s="3">
        <v>50701</v>
      </c>
      <c r="L75" s="17" t="str" cm="1">
        <f t="array" ref="L75">_xlfn.IFS(MID(K75,2,2)="01", "서울", MID(K75,2,2)="02","경기",MID(K75,2,2)="03","충청",MID(K75,2,2)="04","충청",MID(K75,2,2)="05","전라",MID(K75,2,2)="06","전라",MID(K75,2,2)="07","경북",MID(K75,2,2)="08","경남",MID(K75,2,2)="09","강원",MID(K75,2,2)="10","제주",TRUE,"국외")</f>
        <v>경북</v>
      </c>
    </row>
    <row r="76" spans="1:12" ht="17.25" thickBot="1">
      <c r="A76" s="3" t="s">
        <v>130</v>
      </c>
      <c r="B76" s="3" t="s">
        <v>124</v>
      </c>
      <c r="C76" s="3"/>
      <c r="D76" s="4" t="s">
        <v>2</v>
      </c>
      <c r="E76" s="4" t="s">
        <v>15</v>
      </c>
      <c r="F76" s="4"/>
      <c r="G76" s="9"/>
      <c r="H76" s="4"/>
      <c r="I76" s="9"/>
      <c r="J76" s="3">
        <v>15468</v>
      </c>
      <c r="K76" s="3">
        <v>50219</v>
      </c>
      <c r="L76" s="17" t="str" cm="1">
        <f t="array" ref="L76">_xlfn.IFS(MID(K76,2,2)="01", "서울", MID(K76,2,2)="02","경기",MID(K76,2,2)="03","충청",MID(K76,2,2)="04","충청",MID(K76,2,2)="05","전라",MID(K76,2,2)="06","전라",MID(K76,2,2)="07","경북",MID(K76,2,2)="08","경남",MID(K76,2,2)="09","강원",MID(K76,2,2)="10","제주",TRUE,"국외")</f>
        <v>경기</v>
      </c>
    </row>
    <row r="77" spans="1:12" ht="17.25" thickBot="1">
      <c r="A77" s="3" t="s">
        <v>131</v>
      </c>
      <c r="B77" s="3" t="s">
        <v>56</v>
      </c>
      <c r="C77" s="3"/>
      <c r="D77" s="4" t="s">
        <v>2</v>
      </c>
      <c r="E77" s="4" t="s">
        <v>18</v>
      </c>
      <c r="F77" s="4"/>
      <c r="G77" s="9"/>
      <c r="H77" s="4"/>
      <c r="I77" s="9"/>
      <c r="J77" s="3">
        <v>15480</v>
      </c>
      <c r="K77" s="3">
        <v>50215</v>
      </c>
      <c r="L77" s="17" t="str" cm="1">
        <f t="array" ref="L77">_xlfn.IFS(MID(K77,2,2)="01", "서울", MID(K77,2,2)="02","경기",MID(K77,2,2)="03","충청",MID(K77,2,2)="04","충청",MID(K77,2,2)="05","전라",MID(K77,2,2)="06","전라",MID(K77,2,2)="07","경북",MID(K77,2,2)="08","경남",MID(K77,2,2)="09","강원",MID(K77,2,2)="10","제주",TRUE,"국외")</f>
        <v>경기</v>
      </c>
    </row>
    <row r="78" spans="1:12" ht="17.25" thickBot="1">
      <c r="A78" s="3" t="s">
        <v>132</v>
      </c>
      <c r="B78" s="3" t="s">
        <v>66</v>
      </c>
      <c r="C78" s="3" t="s">
        <v>133</v>
      </c>
      <c r="D78" s="4" t="s">
        <v>2</v>
      </c>
      <c r="E78" s="4" t="s">
        <v>20</v>
      </c>
      <c r="F78" s="4">
        <v>2023</v>
      </c>
      <c r="G78" s="8">
        <v>-0.1</v>
      </c>
      <c r="H78" s="4" t="s">
        <v>20</v>
      </c>
      <c r="I78" s="8">
        <v>-0.1</v>
      </c>
      <c r="J78" s="3">
        <v>15492</v>
      </c>
      <c r="K78" s="3">
        <v>50110</v>
      </c>
      <c r="L78" s="17" t="str" cm="1">
        <f t="array" ref="L78">_xlfn.IFS(MID(K78,2,2)="01", "서울", MID(K78,2,2)="02","경기",MID(K78,2,2)="03","충청",MID(K78,2,2)="04","충청",MID(K78,2,2)="05","전라",MID(K78,2,2)="06","전라",MID(K78,2,2)="07","경북",MID(K78,2,2)="08","경남",MID(K78,2,2)="09","강원",MID(K78,2,2)="10","제주",TRUE,"국외")</f>
        <v>서울</v>
      </c>
    </row>
    <row r="79" spans="1:12" ht="17.25" thickBot="1">
      <c r="A79" s="3" t="s">
        <v>134</v>
      </c>
      <c r="B79" s="3" t="s">
        <v>124</v>
      </c>
      <c r="C79" s="3"/>
      <c r="D79" s="4" t="s">
        <v>2</v>
      </c>
      <c r="E79" s="4" t="s">
        <v>23</v>
      </c>
      <c r="F79" s="4"/>
      <c r="G79" s="9"/>
      <c r="H79" s="4"/>
      <c r="I79" s="9"/>
      <c r="J79" s="3">
        <v>15504</v>
      </c>
      <c r="K79" s="3">
        <v>50219</v>
      </c>
      <c r="L79" s="17" t="str" cm="1">
        <f t="array" ref="L79">_xlfn.IFS(MID(K79,2,2)="01", "서울", MID(K79,2,2)="02","경기",MID(K79,2,2)="03","충청",MID(K79,2,2)="04","충청",MID(K79,2,2)="05","전라",MID(K79,2,2)="06","전라",MID(K79,2,2)="07","경북",MID(K79,2,2)="08","경남",MID(K79,2,2)="09","강원",MID(K79,2,2)="10","제주",TRUE,"국외")</f>
        <v>경기</v>
      </c>
    </row>
    <row r="80" spans="1:12" ht="17.25" thickBot="1">
      <c r="A80" s="3" t="s">
        <v>135</v>
      </c>
      <c r="B80" s="3" t="s">
        <v>63</v>
      </c>
      <c r="C80" s="3" t="s">
        <v>136</v>
      </c>
      <c r="D80" s="4" t="s">
        <v>2</v>
      </c>
      <c r="E80" s="4" t="s">
        <v>26</v>
      </c>
      <c r="F80" s="4"/>
      <c r="G80" s="9"/>
      <c r="H80" s="4"/>
      <c r="I80" s="9"/>
      <c r="J80" s="3">
        <v>15515</v>
      </c>
      <c r="K80" s="3">
        <v>50807</v>
      </c>
      <c r="L80" s="17" t="str" cm="1">
        <f t="array" ref="L80">_xlfn.IFS(MID(K80,2,2)="01", "서울", MID(K80,2,2)="02","경기",MID(K80,2,2)="03","충청",MID(K80,2,2)="04","충청",MID(K80,2,2)="05","전라",MID(K80,2,2)="06","전라",MID(K80,2,2)="07","경북",MID(K80,2,2)="08","경남",MID(K80,2,2)="09","강원",MID(K80,2,2)="10","제주",TRUE,"국외")</f>
        <v>경남</v>
      </c>
    </row>
    <row r="81" spans="1:12" ht="17.25" thickBot="1">
      <c r="A81" s="3" t="s">
        <v>137</v>
      </c>
      <c r="B81" s="3" t="s">
        <v>34</v>
      </c>
      <c r="C81" s="3" t="s">
        <v>138</v>
      </c>
      <c r="D81" s="4" t="s">
        <v>2</v>
      </c>
      <c r="E81" s="4" t="s">
        <v>28</v>
      </c>
      <c r="F81" s="4"/>
      <c r="G81" s="9"/>
      <c r="H81" s="4"/>
      <c r="I81" s="9"/>
      <c r="J81" s="3">
        <v>15524</v>
      </c>
      <c r="K81" s="3">
        <v>50701</v>
      </c>
      <c r="L81" s="17" t="str" cm="1">
        <f t="array" ref="L81">_xlfn.IFS(MID(K81,2,2)="01", "서울", MID(K81,2,2)="02","경기",MID(K81,2,2)="03","충청",MID(K81,2,2)="04","충청",MID(K81,2,2)="05","전라",MID(K81,2,2)="06","전라",MID(K81,2,2)="07","경북",MID(K81,2,2)="08","경남",MID(K81,2,2)="09","강원",MID(K81,2,2)="10","제주",TRUE,"국외")</f>
        <v>경북</v>
      </c>
    </row>
    <row r="82" spans="1:12" ht="17.25" thickBot="1">
      <c r="A82" s="3" t="s">
        <v>139</v>
      </c>
      <c r="B82" s="3" t="s">
        <v>140</v>
      </c>
      <c r="C82" s="3"/>
      <c r="D82" s="4" t="s">
        <v>2</v>
      </c>
      <c r="E82" s="4" t="s">
        <v>3</v>
      </c>
      <c r="F82" s="4"/>
      <c r="G82" s="9"/>
      <c r="H82" s="4"/>
      <c r="I82" s="9"/>
      <c r="J82" s="3">
        <v>15429</v>
      </c>
      <c r="K82" s="3">
        <v>50801</v>
      </c>
      <c r="L82" s="17" t="str" cm="1">
        <f t="array" ref="L82">_xlfn.IFS(MID(K82,2,2)="01", "서울", MID(K82,2,2)="02","경기",MID(K82,2,2)="03","충청",MID(K82,2,2)="04","충청",MID(K82,2,2)="05","전라",MID(K82,2,2)="06","전라",MID(K82,2,2)="07","경북",MID(K82,2,2)="08","경남",MID(K82,2,2)="09","강원",MID(K82,2,2)="10","제주",TRUE,"국외")</f>
        <v>경남</v>
      </c>
    </row>
    <row r="83" spans="1:12" ht="17.25" thickBot="1">
      <c r="A83" s="3" t="s">
        <v>141</v>
      </c>
      <c r="B83" s="3" t="s">
        <v>1</v>
      </c>
      <c r="C83" s="3"/>
      <c r="D83" s="4" t="s">
        <v>2</v>
      </c>
      <c r="E83" s="4" t="s">
        <v>6</v>
      </c>
      <c r="F83" s="4"/>
      <c r="G83" s="9"/>
      <c r="H83" s="4"/>
      <c r="I83" s="9"/>
      <c r="J83" s="3">
        <v>15439</v>
      </c>
      <c r="K83" s="3">
        <v>50107</v>
      </c>
      <c r="L83" s="17" t="str" cm="1">
        <f t="array" ref="L83">_xlfn.IFS(MID(K83,2,2)="01", "서울", MID(K83,2,2)="02","경기",MID(K83,2,2)="03","충청",MID(K83,2,2)="04","충청",MID(K83,2,2)="05","전라",MID(K83,2,2)="06","전라",MID(K83,2,2)="07","경북",MID(K83,2,2)="08","경남",MID(K83,2,2)="09","강원",MID(K83,2,2)="10","제주",TRUE,"국외")</f>
        <v>서울</v>
      </c>
    </row>
    <row r="84" spans="1:12" ht="17.25" thickBot="1">
      <c r="A84" s="3" t="s">
        <v>142</v>
      </c>
      <c r="B84" s="3" t="s">
        <v>93</v>
      </c>
      <c r="C84" s="3"/>
      <c r="D84" s="4" t="s">
        <v>2</v>
      </c>
      <c r="E84" s="4" t="s">
        <v>9</v>
      </c>
      <c r="F84" s="4"/>
      <c r="G84" s="9"/>
      <c r="H84" s="4"/>
      <c r="I84" s="9"/>
      <c r="J84" s="3">
        <v>15447</v>
      </c>
      <c r="K84" s="3">
        <v>50805</v>
      </c>
      <c r="L84" s="17" t="str" cm="1">
        <f t="array" ref="L84">_xlfn.IFS(MID(K84,2,2)="01", "서울", MID(K84,2,2)="02","경기",MID(K84,2,2)="03","충청",MID(K84,2,2)="04","충청",MID(K84,2,2)="05","전라",MID(K84,2,2)="06","전라",MID(K84,2,2)="07","경북",MID(K84,2,2)="08","경남",MID(K84,2,2)="09","강원",MID(K84,2,2)="10","제주",TRUE,"국외")</f>
        <v>경남</v>
      </c>
    </row>
    <row r="85" spans="1:12" ht="17.25" thickBot="1">
      <c r="A85" s="3" t="s">
        <v>143</v>
      </c>
      <c r="B85" s="3" t="s">
        <v>66</v>
      </c>
      <c r="C85" s="3"/>
      <c r="D85" s="4" t="s">
        <v>2</v>
      </c>
      <c r="E85" s="4" t="s">
        <v>12</v>
      </c>
      <c r="F85" s="4"/>
      <c r="G85" s="9"/>
      <c r="H85" s="4"/>
      <c r="I85" s="9"/>
      <c r="J85" s="3">
        <v>15458</v>
      </c>
      <c r="K85" s="3">
        <v>50110</v>
      </c>
      <c r="L85" s="17" t="str" cm="1">
        <f t="array" ref="L85">_xlfn.IFS(MID(K85,2,2)="01", "서울", MID(K85,2,2)="02","경기",MID(K85,2,2)="03","충청",MID(K85,2,2)="04","충청",MID(K85,2,2)="05","전라",MID(K85,2,2)="06","전라",MID(K85,2,2)="07","경북",MID(K85,2,2)="08","경남",MID(K85,2,2)="09","강원",MID(K85,2,2)="10","제주",TRUE,"국외")</f>
        <v>서울</v>
      </c>
    </row>
    <row r="86" spans="1:12" ht="17.25" thickBot="1">
      <c r="A86" s="3" t="s">
        <v>144</v>
      </c>
      <c r="B86" s="3" t="s">
        <v>145</v>
      </c>
      <c r="C86" s="3"/>
      <c r="D86" s="4" t="s">
        <v>2</v>
      </c>
      <c r="E86" s="4" t="s">
        <v>15</v>
      </c>
      <c r="F86" s="4"/>
      <c r="G86" s="9"/>
      <c r="H86" s="4"/>
      <c r="I86" s="9"/>
      <c r="J86" s="3">
        <v>15469</v>
      </c>
      <c r="K86" s="3">
        <v>50106</v>
      </c>
      <c r="L86" s="17" t="str" cm="1">
        <f t="array" ref="L86">_xlfn.IFS(MID(K86,2,2)="01", "서울", MID(K86,2,2)="02","경기",MID(K86,2,2)="03","충청",MID(K86,2,2)="04","충청",MID(K86,2,2)="05","전라",MID(K86,2,2)="06","전라",MID(K86,2,2)="07","경북",MID(K86,2,2)="08","경남",MID(K86,2,2)="09","강원",MID(K86,2,2)="10","제주",TRUE,"국외")</f>
        <v>서울</v>
      </c>
    </row>
    <row r="87" spans="1:12" ht="17.25" thickBot="1">
      <c r="A87" s="3" t="s">
        <v>146</v>
      </c>
      <c r="B87" s="3" t="s">
        <v>147</v>
      </c>
      <c r="C87" s="3"/>
      <c r="D87" s="4" t="s">
        <v>2</v>
      </c>
      <c r="E87" s="4" t="s">
        <v>18</v>
      </c>
      <c r="F87" s="4"/>
      <c r="G87" s="9"/>
      <c r="H87" s="4"/>
      <c r="I87" s="9"/>
      <c r="J87" s="3">
        <v>15481</v>
      </c>
      <c r="K87" s="3">
        <v>50208</v>
      </c>
      <c r="L87" s="17" t="str" cm="1">
        <f t="array" ref="L87">_xlfn.IFS(MID(K87,2,2)="01", "서울", MID(K87,2,2)="02","경기",MID(K87,2,2)="03","충청",MID(K87,2,2)="04","충청",MID(K87,2,2)="05","전라",MID(K87,2,2)="06","전라",MID(K87,2,2)="07","경북",MID(K87,2,2)="08","경남",MID(K87,2,2)="09","강원",MID(K87,2,2)="10","제주",TRUE,"국외")</f>
        <v>경기</v>
      </c>
    </row>
    <row r="88" spans="1:12" ht="17.25" thickBot="1">
      <c r="A88" s="3" t="s">
        <v>148</v>
      </c>
      <c r="B88" s="3" t="s">
        <v>38</v>
      </c>
      <c r="C88" s="3"/>
      <c r="D88" s="4" t="s">
        <v>2</v>
      </c>
      <c r="E88" s="4" t="s">
        <v>20</v>
      </c>
      <c r="F88" s="4"/>
      <c r="G88" s="9"/>
      <c r="H88" s="4"/>
      <c r="I88" s="9"/>
      <c r="J88" s="3">
        <v>15493</v>
      </c>
      <c r="K88" s="3">
        <v>50109</v>
      </c>
      <c r="L88" s="17" t="str" cm="1">
        <f t="array" ref="L88">_xlfn.IFS(MID(K88,2,2)="01", "서울", MID(K88,2,2)="02","경기",MID(K88,2,2)="03","충청",MID(K88,2,2)="04","충청",MID(K88,2,2)="05","전라",MID(K88,2,2)="06","전라",MID(K88,2,2)="07","경북",MID(K88,2,2)="08","경남",MID(K88,2,2)="09","강원",MID(K88,2,2)="10","제주",TRUE,"국외")</f>
        <v>서울</v>
      </c>
    </row>
    <row r="89" spans="1:12" ht="17.25" thickBot="1">
      <c r="A89" s="3" t="s">
        <v>149</v>
      </c>
      <c r="B89" s="3" t="s">
        <v>147</v>
      </c>
      <c r="C89" s="3"/>
      <c r="D89" s="4" t="s">
        <v>2</v>
      </c>
      <c r="E89" s="4" t="s">
        <v>23</v>
      </c>
      <c r="F89" s="4"/>
      <c r="G89" s="9"/>
      <c r="H89" s="4"/>
      <c r="I89" s="9"/>
      <c r="J89" s="3">
        <v>15505</v>
      </c>
      <c r="K89" s="3">
        <v>50208</v>
      </c>
      <c r="L89" s="17" t="str" cm="1">
        <f t="array" ref="L89">_xlfn.IFS(MID(K89,2,2)="01", "서울", MID(K89,2,2)="02","경기",MID(K89,2,2)="03","충청",MID(K89,2,2)="04","충청",MID(K89,2,2)="05","전라",MID(K89,2,2)="06","전라",MID(K89,2,2)="07","경북",MID(K89,2,2)="08","경남",MID(K89,2,2)="09","강원",MID(K89,2,2)="10","제주",TRUE,"국외")</f>
        <v>경기</v>
      </c>
    </row>
    <row r="90" spans="1:12" ht="17.25" thickBot="1">
      <c r="A90" s="3" t="s">
        <v>150</v>
      </c>
      <c r="B90" s="3" t="s">
        <v>68</v>
      </c>
      <c r="C90" s="3"/>
      <c r="D90" s="4" t="s">
        <v>2</v>
      </c>
      <c r="E90" s="4" t="s">
        <v>26</v>
      </c>
      <c r="F90" s="4"/>
      <c r="G90" s="9"/>
      <c r="H90" s="4"/>
      <c r="I90" s="9"/>
      <c r="J90" s="3">
        <v>15516</v>
      </c>
      <c r="K90" s="3">
        <v>50101</v>
      </c>
      <c r="L90" s="17" t="str" cm="1">
        <f t="array" ref="L90">_xlfn.IFS(MID(K90,2,2)="01", "서울", MID(K90,2,2)="02","경기",MID(K90,2,2)="03","충청",MID(K90,2,2)="04","충청",MID(K90,2,2)="05","전라",MID(K90,2,2)="06","전라",MID(K90,2,2)="07","경북",MID(K90,2,2)="08","경남",MID(K90,2,2)="09","강원",MID(K90,2,2)="10","제주",TRUE,"국외")</f>
        <v>서울</v>
      </c>
    </row>
    <row r="91" spans="1:12" ht="17.25" thickBot="1">
      <c r="A91" s="3" t="s">
        <v>151</v>
      </c>
      <c r="B91" s="3" t="s">
        <v>124</v>
      </c>
      <c r="C91" s="3"/>
      <c r="D91" s="4" t="s">
        <v>2</v>
      </c>
      <c r="E91" s="4" t="s">
        <v>28</v>
      </c>
      <c r="F91" s="4"/>
      <c r="G91" s="9"/>
      <c r="H91" s="4"/>
      <c r="I91" s="9"/>
      <c r="J91" s="3">
        <v>15525</v>
      </c>
      <c r="K91" s="3">
        <v>50219</v>
      </c>
      <c r="L91" s="17" t="str" cm="1">
        <f t="array" ref="L91">_xlfn.IFS(MID(K91,2,2)="01", "서울", MID(K91,2,2)="02","경기",MID(K91,2,2)="03","충청",MID(K91,2,2)="04","충청",MID(K91,2,2)="05","전라",MID(K91,2,2)="06","전라",MID(K91,2,2)="07","경북",MID(K91,2,2)="08","경남",MID(K91,2,2)="09","강원",MID(K91,2,2)="10","제주",TRUE,"국외")</f>
        <v>경기</v>
      </c>
    </row>
    <row r="92" spans="1:12" ht="17.25" thickBot="1">
      <c r="A92" s="3" t="s">
        <v>152</v>
      </c>
      <c r="B92" s="3" t="s">
        <v>153</v>
      </c>
      <c r="C92" s="3" t="s">
        <v>154</v>
      </c>
      <c r="D92" s="4" t="s">
        <v>2</v>
      </c>
      <c r="E92" s="4" t="s">
        <v>3</v>
      </c>
      <c r="F92" s="4"/>
      <c r="G92" s="9"/>
      <c r="H92" s="4"/>
      <c r="I92" s="9"/>
      <c r="J92" s="3">
        <v>15430</v>
      </c>
      <c r="K92" s="3">
        <v>50210</v>
      </c>
      <c r="L92" s="17" t="str" cm="1">
        <f t="array" ref="L92">_xlfn.IFS(MID(K92,2,2)="01", "서울", MID(K92,2,2)="02","경기",MID(K92,2,2)="03","충청",MID(K92,2,2)="04","충청",MID(K92,2,2)="05","전라",MID(K92,2,2)="06","전라",MID(K92,2,2)="07","경북",MID(K92,2,2)="08","경남",MID(K92,2,2)="09","강원",MID(K92,2,2)="10","제주",TRUE,"국외")</f>
        <v>경기</v>
      </c>
    </row>
    <row r="93" spans="1:12" ht="17.25" thickBot="1">
      <c r="A93" s="3" t="s">
        <v>155</v>
      </c>
      <c r="B93" s="3" t="s">
        <v>68</v>
      </c>
      <c r="C93" s="3" t="s">
        <v>156</v>
      </c>
      <c r="D93" s="4" t="s">
        <v>2</v>
      </c>
      <c r="E93" s="4" t="s">
        <v>6</v>
      </c>
      <c r="F93" s="4"/>
      <c r="G93" s="9"/>
      <c r="H93" s="4"/>
      <c r="I93" s="9"/>
      <c r="J93" s="3">
        <v>15440</v>
      </c>
      <c r="K93" s="3">
        <v>50101</v>
      </c>
      <c r="L93" s="17" t="str" cm="1">
        <f t="array" ref="L93">_xlfn.IFS(MID(K93,2,2)="01", "서울", MID(K93,2,2)="02","경기",MID(K93,2,2)="03","충청",MID(K93,2,2)="04","충청",MID(K93,2,2)="05","전라",MID(K93,2,2)="06","전라",MID(K93,2,2)="07","경북",MID(K93,2,2)="08","경남",MID(K93,2,2)="09","강원",MID(K93,2,2)="10","제주",TRUE,"국외")</f>
        <v>서울</v>
      </c>
    </row>
    <row r="94" spans="1:12" ht="17.25" thickBot="1">
      <c r="A94" s="3" t="s">
        <v>157</v>
      </c>
      <c r="B94" s="3" t="s">
        <v>158</v>
      </c>
      <c r="C94" s="3"/>
      <c r="D94" s="4" t="s">
        <v>2</v>
      </c>
      <c r="E94" s="4" t="s">
        <v>9</v>
      </c>
      <c r="F94" s="4">
        <v>2023</v>
      </c>
      <c r="G94" s="8">
        <v>0</v>
      </c>
      <c r="H94" s="4" t="s">
        <v>9</v>
      </c>
      <c r="I94" s="8">
        <v>0</v>
      </c>
      <c r="J94" s="3">
        <v>15448</v>
      </c>
      <c r="K94" s="3">
        <v>50501</v>
      </c>
      <c r="L94" s="17" t="str" cm="1">
        <f t="array" ref="L94">_xlfn.IFS(MID(K94,2,2)="01", "서울", MID(K94,2,2)="02","경기",MID(K94,2,2)="03","충청",MID(K94,2,2)="04","충청",MID(K94,2,2)="05","전라",MID(K94,2,2)="06","전라",MID(K94,2,2)="07","경북",MID(K94,2,2)="08","경남",MID(K94,2,2)="09","강원",MID(K94,2,2)="10","제주",TRUE,"국외")</f>
        <v>전라</v>
      </c>
    </row>
    <row r="95" spans="1:12" ht="17.25" thickBot="1">
      <c r="A95" s="3" t="s">
        <v>159</v>
      </c>
      <c r="B95" s="3" t="s">
        <v>34</v>
      </c>
      <c r="C95" s="3"/>
      <c r="D95" s="4" t="s">
        <v>2</v>
      </c>
      <c r="E95" s="4" t="s">
        <v>12</v>
      </c>
      <c r="F95" s="4"/>
      <c r="G95" s="9"/>
      <c r="H95" s="4"/>
      <c r="I95" s="9"/>
      <c r="J95" s="3">
        <v>15459</v>
      </c>
      <c r="K95" s="3">
        <v>50701</v>
      </c>
      <c r="L95" s="17" t="str" cm="1">
        <f t="array" ref="L95">_xlfn.IFS(MID(K95,2,2)="01", "서울", MID(K95,2,2)="02","경기",MID(K95,2,2)="03","충청",MID(K95,2,2)="04","충청",MID(K95,2,2)="05","전라",MID(K95,2,2)="06","전라",MID(K95,2,2)="07","경북",MID(K95,2,2)="08","경남",MID(K95,2,2)="09","강원",MID(K95,2,2)="10","제주",TRUE,"국외")</f>
        <v>경북</v>
      </c>
    </row>
    <row r="96" spans="1:12" ht="17.25" thickBot="1">
      <c r="A96" s="3" t="s">
        <v>160</v>
      </c>
      <c r="B96" s="3" t="s">
        <v>38</v>
      </c>
      <c r="C96" s="3" t="s">
        <v>161</v>
      </c>
      <c r="D96" s="4" t="s">
        <v>2</v>
      </c>
      <c r="E96" s="4" t="s">
        <v>15</v>
      </c>
      <c r="F96" s="4"/>
      <c r="G96" s="9"/>
      <c r="H96" s="4"/>
      <c r="I96" s="9"/>
      <c r="J96" s="3">
        <v>15470</v>
      </c>
      <c r="K96" s="3">
        <v>50109</v>
      </c>
      <c r="L96" s="17" t="str" cm="1">
        <f t="array" ref="L96">_xlfn.IFS(MID(K96,2,2)="01", "서울", MID(K96,2,2)="02","경기",MID(K96,2,2)="03","충청",MID(K96,2,2)="04","충청",MID(K96,2,2)="05","전라",MID(K96,2,2)="06","전라",MID(K96,2,2)="07","경북",MID(K96,2,2)="08","경남",MID(K96,2,2)="09","강원",MID(K96,2,2)="10","제주",TRUE,"국외")</f>
        <v>서울</v>
      </c>
    </row>
    <row r="97" spans="1:12" ht="17.25" thickBot="1">
      <c r="A97" s="3" t="s">
        <v>162</v>
      </c>
      <c r="B97" s="3" t="s">
        <v>145</v>
      </c>
      <c r="C97" s="3"/>
      <c r="D97" s="4" t="s">
        <v>2</v>
      </c>
      <c r="E97" s="4" t="s">
        <v>18</v>
      </c>
      <c r="F97" s="4"/>
      <c r="G97" s="9"/>
      <c r="H97" s="4"/>
      <c r="I97" s="9"/>
      <c r="J97" s="3">
        <v>15482</v>
      </c>
      <c r="K97" s="3">
        <v>50106</v>
      </c>
      <c r="L97" s="17" t="str" cm="1">
        <f t="array" ref="L97">_xlfn.IFS(MID(K97,2,2)="01", "서울", MID(K97,2,2)="02","경기",MID(K97,2,2)="03","충청",MID(K97,2,2)="04","충청",MID(K97,2,2)="05","전라",MID(K97,2,2)="06","전라",MID(K97,2,2)="07","경북",MID(K97,2,2)="08","경남",MID(K97,2,2)="09","강원",MID(K97,2,2)="10","제주",TRUE,"국외")</f>
        <v>서울</v>
      </c>
    </row>
    <row r="98" spans="1:12" ht="17.25" thickBot="1">
      <c r="A98" s="3" t="s">
        <v>163</v>
      </c>
      <c r="B98" s="3" t="s">
        <v>81</v>
      </c>
      <c r="C98" s="3"/>
      <c r="D98" s="4" t="s">
        <v>2</v>
      </c>
      <c r="E98" s="4" t="s">
        <v>20</v>
      </c>
      <c r="F98" s="4"/>
      <c r="G98" s="9"/>
      <c r="H98" s="4"/>
      <c r="I98" s="9"/>
      <c r="J98" s="3">
        <v>15494</v>
      </c>
      <c r="K98" s="3">
        <v>50105</v>
      </c>
      <c r="L98" s="17" t="str" cm="1">
        <f t="array" ref="L98">_xlfn.IFS(MID(K98,2,2)="01", "서울", MID(K98,2,2)="02","경기",MID(K98,2,2)="03","충청",MID(K98,2,2)="04","충청",MID(K98,2,2)="05","전라",MID(K98,2,2)="06","전라",MID(K98,2,2)="07","경북",MID(K98,2,2)="08","경남",MID(K98,2,2)="09","강원",MID(K98,2,2)="10","제주",TRUE,"국외")</f>
        <v>서울</v>
      </c>
    </row>
    <row r="99" spans="1:12" ht="17.25" thickBot="1">
      <c r="A99" s="3" t="s">
        <v>164</v>
      </c>
      <c r="B99" s="3" t="s">
        <v>14</v>
      </c>
      <c r="C99" s="3"/>
      <c r="D99" s="4" t="s">
        <v>2</v>
      </c>
      <c r="E99" s="4" t="s">
        <v>23</v>
      </c>
      <c r="F99" s="4"/>
      <c r="G99" s="9"/>
      <c r="H99" s="4"/>
      <c r="I99" s="9"/>
      <c r="J99" s="3">
        <v>15506</v>
      </c>
      <c r="K99" s="3">
        <v>50703</v>
      </c>
      <c r="L99" s="17" t="str" cm="1">
        <f t="array" ref="L99">_xlfn.IFS(MID(K99,2,2)="01", "서울", MID(K99,2,2)="02","경기",MID(K99,2,2)="03","충청",MID(K99,2,2)="04","충청",MID(K99,2,2)="05","전라",MID(K99,2,2)="06","전라",MID(K99,2,2)="07","경북",MID(K99,2,2)="08","경남",MID(K99,2,2)="09","강원",MID(K99,2,2)="10","제주",TRUE,"국외")</f>
        <v>경북</v>
      </c>
    </row>
    <row r="100" spans="1:12" ht="17.25" thickBot="1">
      <c r="A100" s="3" t="s">
        <v>165</v>
      </c>
      <c r="B100" s="3" t="s">
        <v>40</v>
      </c>
      <c r="C100" s="3" t="s">
        <v>90</v>
      </c>
      <c r="D100" s="4" t="s">
        <v>2</v>
      </c>
      <c r="E100" s="4" t="s">
        <v>28</v>
      </c>
      <c r="F100" s="4"/>
      <c r="G100" s="9"/>
      <c r="H100" s="4"/>
      <c r="I100" s="9"/>
      <c r="J100" s="3">
        <v>15526</v>
      </c>
      <c r="K100" s="3">
        <v>50108</v>
      </c>
      <c r="L100" s="17" t="str" cm="1">
        <f t="array" ref="L100">_xlfn.IFS(MID(K100,2,2)="01", "서울", MID(K100,2,2)="02","경기",MID(K100,2,2)="03","충청",MID(K100,2,2)="04","충청",MID(K100,2,2)="05","전라",MID(K100,2,2)="06","전라",MID(K100,2,2)="07","경북",MID(K100,2,2)="08","경남",MID(K100,2,2)="09","강원",MID(K100,2,2)="10","제주",TRUE,"국외")</f>
        <v>서울</v>
      </c>
    </row>
    <row r="101" spans="1:12" ht="17.25" thickBot="1">
      <c r="A101" s="3" t="s">
        <v>166</v>
      </c>
      <c r="B101" s="3" t="s">
        <v>128</v>
      </c>
      <c r="C101" s="3"/>
      <c r="D101" s="4" t="s">
        <v>2</v>
      </c>
      <c r="E101" s="4" t="s">
        <v>3</v>
      </c>
      <c r="F101" s="4"/>
      <c r="G101" s="9"/>
      <c r="H101" s="4"/>
      <c r="I101" s="9"/>
      <c r="J101" s="3">
        <v>15431</v>
      </c>
      <c r="K101" s="3">
        <v>50901</v>
      </c>
      <c r="L101" s="17" t="str" cm="1">
        <f t="array" ref="L101">_xlfn.IFS(MID(K101,2,2)="01", "서울", MID(K101,2,2)="02","경기",MID(K101,2,2)="03","충청",MID(K101,2,2)="04","충청",MID(K101,2,2)="05","전라",MID(K101,2,2)="06","전라",MID(K101,2,2)="07","경북",MID(K101,2,2)="08","경남",MID(K101,2,2)="09","강원",MID(K101,2,2)="10","제주",TRUE,"국외")</f>
        <v>강원</v>
      </c>
    </row>
    <row r="102" spans="1:12" ht="17.25" thickBot="1">
      <c r="A102" s="3" t="s">
        <v>167</v>
      </c>
      <c r="B102" s="3" t="s">
        <v>22</v>
      </c>
      <c r="C102" s="3"/>
      <c r="D102" s="4" t="s">
        <v>2</v>
      </c>
      <c r="E102" s="4" t="s">
        <v>9</v>
      </c>
      <c r="F102" s="4"/>
      <c r="G102" s="9"/>
      <c r="H102" s="4"/>
      <c r="I102" s="9"/>
      <c r="J102" s="3">
        <v>15449</v>
      </c>
      <c r="K102" s="3">
        <v>50209</v>
      </c>
      <c r="L102" s="17" t="str" cm="1">
        <f t="array" ref="L102">_xlfn.IFS(MID(K102,2,2)="01", "서울", MID(K102,2,2)="02","경기",MID(K102,2,2)="03","충청",MID(K102,2,2)="04","충청",MID(K102,2,2)="05","전라",MID(K102,2,2)="06","전라",MID(K102,2,2)="07","경북",MID(K102,2,2)="08","경남",MID(K102,2,2)="09","강원",MID(K102,2,2)="10","제주",TRUE,"국외")</f>
        <v>경기</v>
      </c>
    </row>
    <row r="103" spans="1:12" ht="17.25" thickBot="1">
      <c r="A103" s="3" t="s">
        <v>168</v>
      </c>
      <c r="B103" s="3" t="s">
        <v>169</v>
      </c>
      <c r="C103" s="3"/>
      <c r="D103" s="4" t="s">
        <v>2</v>
      </c>
      <c r="E103" s="4" t="s">
        <v>12</v>
      </c>
      <c r="F103" s="4"/>
      <c r="G103" s="9"/>
      <c r="H103" s="4"/>
      <c r="I103" s="9"/>
      <c r="J103" s="3">
        <v>15460</v>
      </c>
      <c r="K103" s="3">
        <v>50606</v>
      </c>
      <c r="L103" s="17" t="str" cm="1">
        <f t="array" ref="L103">_xlfn.IFS(MID(K103,2,2)="01", "서울", MID(K103,2,2)="02","경기",MID(K103,2,2)="03","충청",MID(K103,2,2)="04","충청",MID(K103,2,2)="05","전라",MID(K103,2,2)="06","전라",MID(K103,2,2)="07","경북",MID(K103,2,2)="08","경남",MID(K103,2,2)="09","강원",MID(K103,2,2)="10","제주",TRUE,"국외")</f>
        <v>전라</v>
      </c>
    </row>
    <row r="104" spans="1:12" ht="17.25" thickBot="1">
      <c r="A104" s="3" t="s">
        <v>170</v>
      </c>
      <c r="B104" s="3" t="s">
        <v>50</v>
      </c>
      <c r="C104" s="3"/>
      <c r="D104" s="4" t="s">
        <v>2</v>
      </c>
      <c r="E104" s="4" t="s">
        <v>15</v>
      </c>
      <c r="F104" s="4"/>
      <c r="G104" s="9"/>
      <c r="H104" s="4"/>
      <c r="I104" s="9"/>
      <c r="J104" s="3">
        <v>15471</v>
      </c>
      <c r="K104" s="3">
        <v>50301</v>
      </c>
      <c r="L104" s="17" t="str" cm="1">
        <f t="array" ref="L104">_xlfn.IFS(MID(K104,2,2)="01", "서울", MID(K104,2,2)="02","경기",MID(K104,2,2)="03","충청",MID(K104,2,2)="04","충청",MID(K104,2,2)="05","전라",MID(K104,2,2)="06","전라",MID(K104,2,2)="07","경북",MID(K104,2,2)="08","경남",MID(K104,2,2)="09","강원",MID(K104,2,2)="10","제주",TRUE,"국외")</f>
        <v>충청</v>
      </c>
    </row>
    <row r="105" spans="1:12" ht="17.25" thickBot="1">
      <c r="A105" s="3" t="s">
        <v>171</v>
      </c>
      <c r="B105" s="3" t="s">
        <v>82</v>
      </c>
      <c r="C105" s="3" t="s">
        <v>172</v>
      </c>
      <c r="D105" s="4" t="s">
        <v>2</v>
      </c>
      <c r="E105" s="4" t="s">
        <v>18</v>
      </c>
      <c r="F105" s="4"/>
      <c r="G105" s="9"/>
      <c r="H105" s="4"/>
      <c r="I105" s="9"/>
      <c r="J105" s="3">
        <v>15483</v>
      </c>
      <c r="K105" s="3">
        <v>50605</v>
      </c>
      <c r="L105" s="17" t="str" cm="1">
        <f t="array" ref="L105">_xlfn.IFS(MID(K105,2,2)="01", "서울", MID(K105,2,2)="02","경기",MID(K105,2,2)="03","충청",MID(K105,2,2)="04","충청",MID(K105,2,2)="05","전라",MID(K105,2,2)="06","전라",MID(K105,2,2)="07","경북",MID(K105,2,2)="08","경남",MID(K105,2,2)="09","강원",MID(K105,2,2)="10","제주",TRUE,"국외")</f>
        <v>전라</v>
      </c>
    </row>
    <row r="106" spans="1:12" ht="17.25" thickBot="1">
      <c r="A106" s="3" t="s">
        <v>173</v>
      </c>
      <c r="B106" s="3" t="s">
        <v>70</v>
      </c>
      <c r="C106" s="3" t="s">
        <v>174</v>
      </c>
      <c r="D106" s="4" t="s">
        <v>2</v>
      </c>
      <c r="E106" s="4" t="s">
        <v>20</v>
      </c>
      <c r="F106" s="4"/>
      <c r="G106" s="9"/>
      <c r="H106" s="4"/>
      <c r="I106" s="9"/>
      <c r="J106" s="3">
        <v>15495</v>
      </c>
      <c r="K106" s="3">
        <v>50103</v>
      </c>
      <c r="L106" s="17" t="str" cm="1">
        <f t="array" ref="L106">_xlfn.IFS(MID(K106,2,2)="01", "서울", MID(K106,2,2)="02","경기",MID(K106,2,2)="03","충청",MID(K106,2,2)="04","충청",MID(K106,2,2)="05","전라",MID(K106,2,2)="06","전라",MID(K106,2,2)="07","경북",MID(K106,2,2)="08","경남",MID(K106,2,2)="09","강원",MID(K106,2,2)="10","제주",TRUE,"국외")</f>
        <v>서울</v>
      </c>
    </row>
    <row r="107" spans="1:12" ht="17.25" thickBot="1">
      <c r="A107" s="3" t="s">
        <v>175</v>
      </c>
      <c r="B107" s="3" t="s">
        <v>176</v>
      </c>
      <c r="C107" s="3"/>
      <c r="D107" s="4" t="s">
        <v>2</v>
      </c>
      <c r="E107" s="4" t="s">
        <v>23</v>
      </c>
      <c r="F107" s="4"/>
      <c r="G107" s="9"/>
      <c r="H107" s="4"/>
      <c r="I107" s="9"/>
      <c r="J107" s="3">
        <v>15507</v>
      </c>
      <c r="K107" s="3">
        <v>50302</v>
      </c>
      <c r="L107" s="17" t="str" cm="1">
        <f t="array" ref="L107">_xlfn.IFS(MID(K107,2,2)="01", "서울", MID(K107,2,2)="02","경기",MID(K107,2,2)="03","충청",MID(K107,2,2)="04","충청",MID(K107,2,2)="05","전라",MID(K107,2,2)="06","전라",MID(K107,2,2)="07","경북",MID(K107,2,2)="08","경남",MID(K107,2,2)="09","강원",MID(K107,2,2)="10","제주",TRUE,"국외")</f>
        <v>충청</v>
      </c>
    </row>
    <row r="108" spans="1:12" ht="17.25" thickBot="1">
      <c r="A108" s="3" t="s">
        <v>177</v>
      </c>
      <c r="B108" s="3" t="s">
        <v>8</v>
      </c>
      <c r="C108" s="3"/>
      <c r="D108" s="4" t="s">
        <v>2</v>
      </c>
      <c r="E108" s="4" t="s">
        <v>26</v>
      </c>
      <c r="F108" s="4"/>
      <c r="G108" s="9"/>
      <c r="H108" s="4"/>
      <c r="I108" s="9"/>
      <c r="J108" s="3">
        <v>15517</v>
      </c>
      <c r="K108" s="3">
        <v>50116</v>
      </c>
      <c r="L108" s="17" t="str" cm="1">
        <f t="array" ref="L108">_xlfn.IFS(MID(K108,2,2)="01", "서울", MID(K108,2,2)="02","경기",MID(K108,2,2)="03","충청",MID(K108,2,2)="04","충청",MID(K108,2,2)="05","전라",MID(K108,2,2)="06","전라",MID(K108,2,2)="07","경북",MID(K108,2,2)="08","경남",MID(K108,2,2)="09","강원",MID(K108,2,2)="10","제주",TRUE,"국외")</f>
        <v>서울</v>
      </c>
    </row>
    <row r="109" spans="1:12" ht="17.25" thickBot="1">
      <c r="A109" s="3" t="s">
        <v>178</v>
      </c>
      <c r="B109" s="3" t="s">
        <v>179</v>
      </c>
      <c r="C109" s="3"/>
      <c r="D109" s="4" t="s">
        <v>2</v>
      </c>
      <c r="E109" s="4" t="s">
        <v>28</v>
      </c>
      <c r="F109" s="4">
        <v>2023</v>
      </c>
      <c r="G109" s="8">
        <v>0.2</v>
      </c>
      <c r="H109" s="4" t="s">
        <v>28</v>
      </c>
      <c r="I109" s="8">
        <v>0.2</v>
      </c>
      <c r="J109" s="3">
        <v>15527</v>
      </c>
      <c r="K109" s="3">
        <v>50211</v>
      </c>
      <c r="L109" s="17" t="str" cm="1">
        <f t="array" ref="L109">_xlfn.IFS(MID(K109,2,2)="01", "서울", MID(K109,2,2)="02","경기",MID(K109,2,2)="03","충청",MID(K109,2,2)="04","충청",MID(K109,2,2)="05","전라",MID(K109,2,2)="06","전라",MID(K109,2,2)="07","경북",MID(K109,2,2)="08","경남",MID(K109,2,2)="09","강원",MID(K109,2,2)="10","제주",TRUE,"국외")</f>
        <v>경기</v>
      </c>
    </row>
    <row r="110" spans="1:12" ht="17.25" thickBot="1">
      <c r="A110" s="3" t="s">
        <v>180</v>
      </c>
      <c r="B110" s="3"/>
      <c r="C110" s="3"/>
      <c r="D110" s="4" t="s">
        <v>181</v>
      </c>
      <c r="E110" s="4" t="s">
        <v>6</v>
      </c>
      <c r="F110" s="4">
        <v>2023</v>
      </c>
      <c r="G110" s="8">
        <v>0.1</v>
      </c>
      <c r="H110" s="4" t="s">
        <v>6</v>
      </c>
      <c r="I110" s="8">
        <v>0.1</v>
      </c>
      <c r="J110" s="3">
        <v>15648</v>
      </c>
      <c r="K110" s="3"/>
      <c r="L110" s="17" t="str" cm="1">
        <f t="array" ref="L110">_xlfn.IFS(MID(K110,2,2)="01", "서울", MID(K110,2,2)="02","경기",MID(K110,2,2)="03","충청",MID(K110,2,2)="04","충청",MID(K110,2,2)="05","전라",MID(K110,2,2)="06","전라",MID(K110,2,2)="07","경북",MID(K110,2,2)="08","경남",MID(K110,2,2)="09","강원",MID(K110,2,2)="10","제주",TRUE,"국외")</f>
        <v>국외</v>
      </c>
    </row>
    <row r="111" spans="1:12" ht="17.25" thickBot="1">
      <c r="A111" s="3" t="s">
        <v>182</v>
      </c>
      <c r="B111" s="3"/>
      <c r="C111" s="3"/>
      <c r="D111" s="4" t="s">
        <v>181</v>
      </c>
      <c r="E111" s="4" t="s">
        <v>6</v>
      </c>
      <c r="F111" s="4">
        <v>2023</v>
      </c>
      <c r="G111" s="8">
        <v>1.3</v>
      </c>
      <c r="H111" s="4" t="s">
        <v>6</v>
      </c>
      <c r="I111" s="8">
        <v>1.3</v>
      </c>
      <c r="J111" s="3">
        <v>15533</v>
      </c>
      <c r="K111" s="3"/>
      <c r="L111" s="17" t="str" cm="1">
        <f t="array" ref="L111">_xlfn.IFS(MID(K111,2,2)="01", "서울", MID(K111,2,2)="02","경기",MID(K111,2,2)="03","충청",MID(K111,2,2)="04","충청",MID(K111,2,2)="05","전라",MID(K111,2,2)="06","전라",MID(K111,2,2)="07","경북",MID(K111,2,2)="08","경남",MID(K111,2,2)="09","강원",MID(K111,2,2)="10","제주",TRUE,"국외")</f>
        <v>국외</v>
      </c>
    </row>
    <row r="112" spans="1:12" ht="17.25" thickBot="1">
      <c r="A112" s="3" t="s">
        <v>183</v>
      </c>
      <c r="B112" s="3"/>
      <c r="C112" s="3"/>
      <c r="D112" s="4" t="s">
        <v>181</v>
      </c>
      <c r="E112" s="4" t="s">
        <v>6</v>
      </c>
      <c r="F112" s="4">
        <v>2023</v>
      </c>
      <c r="G112" s="8">
        <v>-0.1</v>
      </c>
      <c r="H112" s="4" t="s">
        <v>6</v>
      </c>
      <c r="I112" s="8">
        <v>-0.1</v>
      </c>
      <c r="J112" s="3">
        <v>15534</v>
      </c>
      <c r="K112" s="3"/>
      <c r="L112" s="17" t="str" cm="1">
        <f t="array" ref="L112">_xlfn.IFS(MID(K112,2,2)="01", "서울", MID(K112,2,2)="02","경기",MID(K112,2,2)="03","충청",MID(K112,2,2)="04","충청",MID(K112,2,2)="05","전라",MID(K112,2,2)="06","전라",MID(K112,2,2)="07","경북",MID(K112,2,2)="08","경남",MID(K112,2,2)="09","강원",MID(K112,2,2)="10","제주",TRUE,"국외")</f>
        <v>국외</v>
      </c>
    </row>
    <row r="113" spans="1:12" ht="17.25" thickBot="1">
      <c r="A113" s="3" t="s">
        <v>184</v>
      </c>
      <c r="B113" s="3"/>
      <c r="C113" s="3"/>
      <c r="D113" s="4" t="s">
        <v>181</v>
      </c>
      <c r="E113" s="4" t="s">
        <v>28</v>
      </c>
      <c r="F113" s="4">
        <v>2023</v>
      </c>
      <c r="G113" s="8">
        <v>0.3</v>
      </c>
      <c r="H113" s="4" t="s">
        <v>28</v>
      </c>
      <c r="I113" s="8">
        <v>0.3</v>
      </c>
      <c r="J113" s="3">
        <v>15542</v>
      </c>
      <c r="K113" s="3"/>
      <c r="L113" s="17" t="str" cm="1">
        <f t="array" ref="L113">_xlfn.IFS(MID(K113,2,2)="01", "서울", MID(K113,2,2)="02","경기",MID(K113,2,2)="03","충청",MID(K113,2,2)="04","충청",MID(K113,2,2)="05","전라",MID(K113,2,2)="06","전라",MID(K113,2,2)="07","경북",MID(K113,2,2)="08","경남",MID(K113,2,2)="09","강원",MID(K113,2,2)="10","제주",TRUE,"국외")</f>
        <v>국외</v>
      </c>
    </row>
    <row r="114" spans="1:12" ht="17.25" thickBot="1">
      <c r="A114" s="3" t="s">
        <v>185</v>
      </c>
      <c r="B114" s="3"/>
      <c r="C114" s="3"/>
      <c r="D114" s="4" t="s">
        <v>181</v>
      </c>
      <c r="E114" s="4" t="s">
        <v>20</v>
      </c>
      <c r="F114" s="4">
        <v>2023</v>
      </c>
      <c r="G114" s="8">
        <v>5.7</v>
      </c>
      <c r="H114" s="4" t="s">
        <v>20</v>
      </c>
      <c r="I114" s="8">
        <v>5.7</v>
      </c>
      <c r="J114" s="3">
        <v>15532</v>
      </c>
      <c r="K114" s="3"/>
      <c r="L114" s="17" t="str" cm="1">
        <f t="array" ref="L114">_xlfn.IFS(MID(K114,2,2)="01", "서울", MID(K114,2,2)="02","경기",MID(K114,2,2)="03","충청",MID(K114,2,2)="04","충청",MID(K114,2,2)="05","전라",MID(K114,2,2)="06","전라",MID(K114,2,2)="07","경북",MID(K114,2,2)="08","경남",MID(K114,2,2)="09","강원",MID(K114,2,2)="10","제주",TRUE,"국외")</f>
        <v>국외</v>
      </c>
    </row>
    <row r="115" spans="1:12" ht="17.25" thickBot="1">
      <c r="A115" s="3" t="s">
        <v>186</v>
      </c>
      <c r="B115" s="3"/>
      <c r="C115" s="3"/>
      <c r="D115" s="4" t="s">
        <v>181</v>
      </c>
      <c r="E115" s="4" t="s">
        <v>12</v>
      </c>
      <c r="F115" s="4">
        <v>2023</v>
      </c>
      <c r="G115" s="8">
        <v>1.9</v>
      </c>
      <c r="H115" s="4" t="s">
        <v>12</v>
      </c>
      <c r="I115" s="8">
        <v>1.9</v>
      </c>
      <c r="J115" s="3">
        <v>15653</v>
      </c>
      <c r="K115" s="3"/>
      <c r="L115" s="17" t="str" cm="1">
        <f t="array" ref="L115">_xlfn.IFS(MID(K115,2,2)="01", "서울", MID(K115,2,2)="02","경기",MID(K115,2,2)="03","충청",MID(K115,2,2)="04","충청",MID(K115,2,2)="05","전라",MID(K115,2,2)="06","전라",MID(K115,2,2)="07","경북",MID(K115,2,2)="08","경남",MID(K115,2,2)="09","강원",MID(K115,2,2)="10","제주",TRUE,"국외")</f>
        <v>국외</v>
      </c>
    </row>
    <row r="116" spans="1:12" ht="17.25" thickBot="1">
      <c r="A116" s="3" t="s">
        <v>187</v>
      </c>
      <c r="B116" s="3"/>
      <c r="C116" s="3"/>
      <c r="D116" s="4" t="s">
        <v>181</v>
      </c>
      <c r="E116" s="4" t="s">
        <v>12</v>
      </c>
      <c r="F116" s="4">
        <v>2023</v>
      </c>
      <c r="G116" s="8">
        <v>3.3</v>
      </c>
      <c r="H116" s="4" t="s">
        <v>12</v>
      </c>
      <c r="I116" s="8">
        <v>3.3</v>
      </c>
      <c r="J116" s="3">
        <v>15537</v>
      </c>
      <c r="K116" s="3"/>
      <c r="L116" s="17" t="str" cm="1">
        <f t="array" ref="L116">_xlfn.IFS(MID(K116,2,2)="01", "서울", MID(K116,2,2)="02","경기",MID(K116,2,2)="03","충청",MID(K116,2,2)="04","충청",MID(K116,2,2)="05","전라",MID(K116,2,2)="06","전라",MID(K116,2,2)="07","경북",MID(K116,2,2)="08","경남",MID(K116,2,2)="09","강원",MID(K116,2,2)="10","제주",TRUE,"국외")</f>
        <v>국외</v>
      </c>
    </row>
    <row r="117" spans="1:12" ht="17.25" thickBot="1">
      <c r="A117" s="3" t="s">
        <v>188</v>
      </c>
      <c r="B117" s="3"/>
      <c r="C117" s="3"/>
      <c r="D117" s="4" t="s">
        <v>181</v>
      </c>
      <c r="E117" s="4" t="s">
        <v>12</v>
      </c>
      <c r="F117" s="4">
        <v>2023</v>
      </c>
      <c r="G117" s="8">
        <v>8</v>
      </c>
      <c r="H117" s="4" t="s">
        <v>12</v>
      </c>
      <c r="I117" s="8">
        <v>8</v>
      </c>
      <c r="J117" s="3">
        <v>15535</v>
      </c>
      <c r="K117" s="3"/>
      <c r="L117" s="17" t="str" cm="1">
        <f t="array" ref="L117">_xlfn.IFS(MID(K117,2,2)="01", "서울", MID(K117,2,2)="02","경기",MID(K117,2,2)="03","충청",MID(K117,2,2)="04","충청",MID(K117,2,2)="05","전라",MID(K117,2,2)="06","전라",MID(K117,2,2)="07","경북",MID(K117,2,2)="08","경남",MID(K117,2,2)="09","강원",MID(K117,2,2)="10","제주",TRUE,"국외")</f>
        <v>국외</v>
      </c>
    </row>
    <row r="118" spans="1:12" ht="17.25" thickBot="1">
      <c r="A118" s="3" t="s">
        <v>189</v>
      </c>
      <c r="B118" s="3"/>
      <c r="C118" s="3"/>
      <c r="D118" s="4" t="s">
        <v>181</v>
      </c>
      <c r="E118" s="4" t="s">
        <v>12</v>
      </c>
      <c r="F118" s="4">
        <v>2023</v>
      </c>
      <c r="G118" s="8">
        <v>1.7</v>
      </c>
      <c r="H118" s="4" t="s">
        <v>12</v>
      </c>
      <c r="I118" s="8">
        <v>1.7</v>
      </c>
      <c r="J118" s="3">
        <v>15536</v>
      </c>
      <c r="K118" s="3"/>
      <c r="L118" s="17" t="str" cm="1">
        <f t="array" ref="L118">_xlfn.IFS(MID(K118,2,2)="01", "서울", MID(K118,2,2)="02","경기",MID(K118,2,2)="03","충청",MID(K118,2,2)="04","충청",MID(K118,2,2)="05","전라",MID(K118,2,2)="06","전라",MID(K118,2,2)="07","경북",MID(K118,2,2)="08","경남",MID(K118,2,2)="09","강원",MID(K118,2,2)="10","제주",TRUE,"국외")</f>
        <v>국외</v>
      </c>
    </row>
    <row r="119" spans="1:12" ht="17.25" thickBot="1">
      <c r="A119" s="3" t="s">
        <v>190</v>
      </c>
      <c r="B119" s="3"/>
      <c r="C119" s="3"/>
      <c r="D119" s="4" t="s">
        <v>181</v>
      </c>
      <c r="E119" s="4" t="s">
        <v>15</v>
      </c>
      <c r="F119" s="4">
        <v>2023</v>
      </c>
      <c r="G119" s="8">
        <v>3.5</v>
      </c>
      <c r="H119" s="4" t="s">
        <v>15</v>
      </c>
      <c r="I119" s="8">
        <v>3.5</v>
      </c>
      <c r="J119" s="3">
        <v>15644</v>
      </c>
      <c r="K119" s="3"/>
      <c r="L119" s="17" t="str" cm="1">
        <f t="array" ref="L119">_xlfn.IFS(MID(K119,2,2)="01", "서울", MID(K119,2,2)="02","경기",MID(K119,2,2)="03","충청",MID(K119,2,2)="04","충청",MID(K119,2,2)="05","전라",MID(K119,2,2)="06","전라",MID(K119,2,2)="07","경북",MID(K119,2,2)="08","경남",MID(K119,2,2)="09","강원",MID(K119,2,2)="10","제주",TRUE,"국외")</f>
        <v>국외</v>
      </c>
    </row>
    <row r="120" spans="1:12" ht="17.25" thickBot="1">
      <c r="A120" s="3" t="s">
        <v>191</v>
      </c>
      <c r="B120" s="3"/>
      <c r="C120" s="3"/>
      <c r="D120" s="4" t="s">
        <v>181</v>
      </c>
      <c r="E120" s="4" t="s">
        <v>15</v>
      </c>
      <c r="F120" s="4"/>
      <c r="G120" s="9"/>
      <c r="H120" s="4"/>
      <c r="I120" s="9"/>
      <c r="J120" s="3">
        <v>15529</v>
      </c>
      <c r="K120" s="3"/>
      <c r="L120" s="17" t="str" cm="1">
        <f t="array" ref="L120">_xlfn.IFS(MID(K120,2,2)="01", "서울", MID(K120,2,2)="02","경기",MID(K120,2,2)="03","충청",MID(K120,2,2)="04","충청",MID(K120,2,2)="05","전라",MID(K120,2,2)="06","전라",MID(K120,2,2)="07","경북",MID(K120,2,2)="08","경남",MID(K120,2,2)="09","강원",MID(K120,2,2)="10","제주",TRUE,"국외")</f>
        <v>국외</v>
      </c>
    </row>
    <row r="121" spans="1:12" ht="17.25" thickBot="1">
      <c r="A121" s="3" t="s">
        <v>192</v>
      </c>
      <c r="B121" s="3"/>
      <c r="C121" s="3"/>
      <c r="D121" s="4" t="s">
        <v>181</v>
      </c>
      <c r="E121" s="4" t="s">
        <v>15</v>
      </c>
      <c r="F121" s="4">
        <v>2023</v>
      </c>
      <c r="G121" s="8">
        <v>4.0999999999999996</v>
      </c>
      <c r="H121" s="4" t="s">
        <v>15</v>
      </c>
      <c r="I121" s="8">
        <v>4.0999999999999996</v>
      </c>
      <c r="J121" s="3">
        <v>15530</v>
      </c>
      <c r="K121" s="3"/>
      <c r="L121" s="17" t="str" cm="1">
        <f t="array" ref="L121">_xlfn.IFS(MID(K121,2,2)="01", "서울", MID(K121,2,2)="02","경기",MID(K121,2,2)="03","충청",MID(K121,2,2)="04","충청",MID(K121,2,2)="05","전라",MID(K121,2,2)="06","전라",MID(K121,2,2)="07","경북",MID(K121,2,2)="08","경남",MID(K121,2,2)="09","강원",MID(K121,2,2)="10","제주",TRUE,"국외")</f>
        <v>국외</v>
      </c>
    </row>
    <row r="122" spans="1:12" ht="17.25" thickBot="1">
      <c r="A122" s="3" t="s">
        <v>193</v>
      </c>
      <c r="B122" s="3"/>
      <c r="C122" s="3"/>
      <c r="D122" s="4" t="s">
        <v>181</v>
      </c>
      <c r="E122" s="4" t="s">
        <v>15</v>
      </c>
      <c r="F122" s="4">
        <v>2023</v>
      </c>
      <c r="G122" s="8">
        <v>3.4</v>
      </c>
      <c r="H122" s="4" t="s">
        <v>15</v>
      </c>
      <c r="I122" s="8">
        <v>3.4</v>
      </c>
      <c r="J122" s="3">
        <v>15528</v>
      </c>
      <c r="K122" s="3"/>
      <c r="L122" s="17" t="str" cm="1">
        <f t="array" ref="L122">_xlfn.IFS(MID(K122,2,2)="01", "서울", MID(K122,2,2)="02","경기",MID(K122,2,2)="03","충청",MID(K122,2,2)="04","충청",MID(K122,2,2)="05","전라",MID(K122,2,2)="06","전라",MID(K122,2,2)="07","경북",MID(K122,2,2)="08","경남",MID(K122,2,2)="09","강원",MID(K122,2,2)="10","제주",TRUE,"국외")</f>
        <v>국외</v>
      </c>
    </row>
    <row r="123" spans="1:12" ht="17.25" thickBot="1">
      <c r="A123" s="3" t="s">
        <v>194</v>
      </c>
      <c r="B123" s="3"/>
      <c r="C123" s="3"/>
      <c r="D123" s="4" t="s">
        <v>181</v>
      </c>
      <c r="E123" s="4" t="s">
        <v>26</v>
      </c>
      <c r="F123" s="4">
        <v>2023</v>
      </c>
      <c r="G123" s="8">
        <v>2.4</v>
      </c>
      <c r="H123" s="4" t="s">
        <v>26</v>
      </c>
      <c r="I123" s="8">
        <v>2.4</v>
      </c>
      <c r="J123" s="3">
        <v>15539</v>
      </c>
      <c r="K123" s="3"/>
      <c r="L123" s="17" t="str" cm="1">
        <f t="array" ref="L123">_xlfn.IFS(MID(K123,2,2)="01", "서울", MID(K123,2,2)="02","경기",MID(K123,2,2)="03","충청",MID(K123,2,2)="04","충청",MID(K123,2,2)="05","전라",MID(K123,2,2)="06","전라",MID(K123,2,2)="07","경북",MID(K123,2,2)="08","경남",MID(K123,2,2)="09","강원",MID(K123,2,2)="10","제주",TRUE,"국외")</f>
        <v>국외</v>
      </c>
    </row>
    <row r="124" spans="1:12" ht="17.25" thickBot="1">
      <c r="A124" s="3" t="s">
        <v>195</v>
      </c>
      <c r="B124" s="3"/>
      <c r="C124" s="3"/>
      <c r="D124" s="4" t="s">
        <v>181</v>
      </c>
      <c r="E124" s="4" t="s">
        <v>26</v>
      </c>
      <c r="F124" s="4">
        <v>2023</v>
      </c>
      <c r="G124" s="8">
        <v>-0.1</v>
      </c>
      <c r="H124" s="4" t="s">
        <v>26</v>
      </c>
      <c r="I124" s="8">
        <v>-0.1</v>
      </c>
      <c r="J124" s="3">
        <v>15538</v>
      </c>
      <c r="K124" s="3"/>
      <c r="L124" s="17" t="str" cm="1">
        <f t="array" ref="L124">_xlfn.IFS(MID(K124,2,2)="01", "서울", MID(K124,2,2)="02","경기",MID(K124,2,2)="03","충청",MID(K124,2,2)="04","충청",MID(K124,2,2)="05","전라",MID(K124,2,2)="06","전라",MID(K124,2,2)="07","경북",MID(K124,2,2)="08","경남",MID(K124,2,2)="09","강원",MID(K124,2,2)="10","제주",TRUE,"국외")</f>
        <v>국외</v>
      </c>
    </row>
    <row r="125" spans="1:12" ht="17.25" thickBot="1">
      <c r="A125" s="3" t="s">
        <v>196</v>
      </c>
      <c r="B125" s="3"/>
      <c r="C125" s="3"/>
      <c r="D125" s="4" t="s">
        <v>181</v>
      </c>
      <c r="E125" s="4" t="s">
        <v>9</v>
      </c>
      <c r="F125" s="4">
        <v>2023</v>
      </c>
      <c r="G125" s="8">
        <v>3</v>
      </c>
      <c r="H125" s="4" t="s">
        <v>9</v>
      </c>
      <c r="I125" s="8">
        <v>3</v>
      </c>
      <c r="J125" s="3">
        <v>12295</v>
      </c>
      <c r="K125" s="3"/>
      <c r="L125" s="17" t="str" cm="1">
        <f t="array" ref="L125">_xlfn.IFS(MID(K125,2,2)="01", "서울", MID(K125,2,2)="02","경기",MID(K125,2,2)="03","충청",MID(K125,2,2)="04","충청",MID(K125,2,2)="05","전라",MID(K125,2,2)="06","전라",MID(K125,2,2)="07","경북",MID(K125,2,2)="08","경남",MID(K125,2,2)="09","강원",MID(K125,2,2)="10","제주",TRUE,"국외")</f>
        <v>국외</v>
      </c>
    </row>
    <row r="126" spans="1:12" ht="17.25" thickBot="1">
      <c r="A126" s="3" t="s">
        <v>197</v>
      </c>
      <c r="B126" s="3"/>
      <c r="C126" s="3"/>
      <c r="D126" s="4" t="s">
        <v>181</v>
      </c>
      <c r="E126" s="4" t="s">
        <v>9</v>
      </c>
      <c r="F126" s="4">
        <v>2023</v>
      </c>
      <c r="G126" s="8">
        <v>0.1</v>
      </c>
      <c r="H126" s="4" t="s">
        <v>9</v>
      </c>
      <c r="I126" s="8">
        <v>0.1</v>
      </c>
      <c r="J126" s="3">
        <v>15651</v>
      </c>
      <c r="K126" s="3"/>
      <c r="L126" s="17" t="str" cm="1">
        <f t="array" ref="L126">_xlfn.IFS(MID(K126,2,2)="01", "서울", MID(K126,2,2)="02","경기",MID(K126,2,2)="03","충청",MID(K126,2,2)="04","충청",MID(K126,2,2)="05","전라",MID(K126,2,2)="06","전라",MID(K126,2,2)="07","경북",MID(K126,2,2)="08","경남",MID(K126,2,2)="09","강원",MID(K126,2,2)="10","제주",TRUE,"국외")</f>
        <v>국외</v>
      </c>
    </row>
    <row r="127" spans="1:12" ht="17.25" thickBot="1">
      <c r="A127" s="3" t="s">
        <v>198</v>
      </c>
      <c r="B127" s="3"/>
      <c r="C127" s="3"/>
      <c r="D127" s="4" t="s">
        <v>181</v>
      </c>
      <c r="E127" s="4" t="s">
        <v>18</v>
      </c>
      <c r="F127" s="4">
        <v>2023</v>
      </c>
      <c r="G127" s="8">
        <v>0.1</v>
      </c>
      <c r="H127" s="4" t="s">
        <v>18</v>
      </c>
      <c r="I127" s="8">
        <v>0.1</v>
      </c>
      <c r="J127" s="3">
        <v>15646</v>
      </c>
      <c r="K127" s="3"/>
      <c r="L127" s="17" t="str" cm="1">
        <f t="array" ref="L127">_xlfn.IFS(MID(K127,2,2)="01", "서울", MID(K127,2,2)="02","경기",MID(K127,2,2)="03","충청",MID(K127,2,2)="04","충청",MID(K127,2,2)="05","전라",MID(K127,2,2)="06","전라",MID(K127,2,2)="07","경북",MID(K127,2,2)="08","경남",MID(K127,2,2)="09","강원",MID(K127,2,2)="10","제주",TRUE,"국외")</f>
        <v>국외</v>
      </c>
    </row>
    <row r="128" spans="1:12" ht="17.25" thickBot="1">
      <c r="A128" s="3" t="s">
        <v>199</v>
      </c>
      <c r="B128" s="3"/>
      <c r="C128" s="3"/>
      <c r="D128" s="4" t="s">
        <v>181</v>
      </c>
      <c r="E128" s="4" t="s">
        <v>18</v>
      </c>
      <c r="F128" s="4">
        <v>2023</v>
      </c>
      <c r="G128" s="8">
        <v>1.8</v>
      </c>
      <c r="H128" s="4" t="s">
        <v>18</v>
      </c>
      <c r="I128" s="8">
        <v>1.8</v>
      </c>
      <c r="J128" s="3">
        <v>15652</v>
      </c>
      <c r="K128" s="3"/>
      <c r="L128" s="17" t="str" cm="1">
        <f t="array" ref="L128">_xlfn.IFS(MID(K128,2,2)="01", "서울", MID(K128,2,2)="02","경기",MID(K128,2,2)="03","충청",MID(K128,2,2)="04","충청",MID(K128,2,2)="05","전라",MID(K128,2,2)="06","전라",MID(K128,2,2)="07","경북",MID(K128,2,2)="08","경남",MID(K128,2,2)="09","강원",MID(K128,2,2)="10","제주",TRUE,"국외")</f>
        <v>국외</v>
      </c>
    </row>
    <row r="129" spans="1:12" ht="17.25" thickBot="1">
      <c r="A129" s="3" t="s">
        <v>200</v>
      </c>
      <c r="B129" s="3"/>
      <c r="C129" s="3"/>
      <c r="D129" s="4" t="s">
        <v>181</v>
      </c>
      <c r="E129" s="4" t="s">
        <v>18</v>
      </c>
      <c r="F129" s="4">
        <v>2023</v>
      </c>
      <c r="G129" s="8">
        <v>7.1</v>
      </c>
      <c r="H129" s="4" t="s">
        <v>18</v>
      </c>
      <c r="I129" s="8">
        <v>7.1</v>
      </c>
      <c r="J129" s="3">
        <v>15531</v>
      </c>
      <c r="K129" s="3"/>
      <c r="L129" s="17" t="str" cm="1">
        <f t="array" ref="L129">_xlfn.IFS(MID(K129,2,2)="01", "서울", MID(K129,2,2)="02","경기",MID(K129,2,2)="03","충청",MID(K129,2,2)="04","충청",MID(K129,2,2)="05","전라",MID(K129,2,2)="06","전라",MID(K129,2,2)="07","경북",MID(K129,2,2)="08","경남",MID(K129,2,2)="09","강원",MID(K129,2,2)="10","제주",TRUE,"국외")</f>
        <v>국외</v>
      </c>
    </row>
    <row r="130" spans="1:12" ht="17.25" thickBot="1">
      <c r="A130" s="3" t="s">
        <v>201</v>
      </c>
      <c r="B130" s="3"/>
      <c r="C130" s="3"/>
      <c r="D130" s="4" t="s">
        <v>181</v>
      </c>
      <c r="E130" s="4" t="s">
        <v>3</v>
      </c>
      <c r="F130" s="4">
        <v>2023</v>
      </c>
      <c r="G130" s="8">
        <v>-0.8</v>
      </c>
      <c r="H130" s="4" t="s">
        <v>3</v>
      </c>
      <c r="I130" s="8">
        <v>-0.8</v>
      </c>
      <c r="J130" s="3">
        <v>15647</v>
      </c>
      <c r="K130" s="3"/>
      <c r="L130" s="17" t="str" cm="1">
        <f t="array" ref="L130">_xlfn.IFS(MID(K130,2,2)="01", "서울", MID(K130,2,2)="02","경기",MID(K130,2,2)="03","충청",MID(K130,2,2)="04","충청",MID(K130,2,2)="05","전라",MID(K130,2,2)="06","전라",MID(K130,2,2)="07","경북",MID(K130,2,2)="08","경남",MID(K130,2,2)="09","강원",MID(K130,2,2)="10","제주",TRUE,"국외")</f>
        <v>국외</v>
      </c>
    </row>
    <row r="131" spans="1:12" ht="17.25" thickBot="1">
      <c r="A131" s="3" t="s">
        <v>202</v>
      </c>
      <c r="B131" s="3"/>
      <c r="C131" s="3"/>
      <c r="D131" s="4" t="s">
        <v>181</v>
      </c>
      <c r="E131" s="4" t="s">
        <v>3</v>
      </c>
      <c r="F131" s="4">
        <v>2023</v>
      </c>
      <c r="G131" s="8">
        <v>0.1</v>
      </c>
      <c r="H131" s="4" t="s">
        <v>3</v>
      </c>
      <c r="I131" s="8">
        <v>0.1</v>
      </c>
      <c r="J131" s="3">
        <v>15540</v>
      </c>
      <c r="K131" s="3"/>
      <c r="L131" s="17" t="str" cm="1">
        <f t="array" ref="L131">_xlfn.IFS(MID(K131,2,2)="01", "서울", MID(K131,2,2)="02","경기",MID(K131,2,2)="03","충청",MID(K131,2,2)="04","충청",MID(K131,2,2)="05","전라",MID(K131,2,2)="06","전라",MID(K131,2,2)="07","경북",MID(K131,2,2)="08","경남",MID(K131,2,2)="09","강원",MID(K131,2,2)="10","제주",TRUE,"국외")</f>
        <v>국외</v>
      </c>
    </row>
    <row r="132" spans="1:12" ht="17.25" thickBot="1">
      <c r="A132" s="3" t="s">
        <v>180</v>
      </c>
      <c r="B132" s="3"/>
      <c r="C132" s="3"/>
      <c r="D132" s="4" t="s">
        <v>181</v>
      </c>
      <c r="E132" s="4" t="s">
        <v>3</v>
      </c>
      <c r="F132" s="4">
        <v>2023</v>
      </c>
      <c r="G132" s="8">
        <v>2.5</v>
      </c>
      <c r="H132" s="4" t="s">
        <v>3</v>
      </c>
      <c r="I132" s="8">
        <v>2.5</v>
      </c>
      <c r="J132" s="3">
        <v>15643</v>
      </c>
      <c r="K132" s="3"/>
      <c r="L132" s="17" t="str" cm="1">
        <f t="array" ref="L132">_xlfn.IFS(MID(K132,2,2)="01", "서울", MID(K132,2,2)="02","경기",MID(K132,2,2)="03","충청",MID(K132,2,2)="04","충청",MID(K132,2,2)="05","전라",MID(K132,2,2)="06","전라",MID(K132,2,2)="07","경북",MID(K132,2,2)="08","경남",MID(K132,2,2)="09","강원",MID(K132,2,2)="10","제주",TRUE,"국외")</f>
        <v>국외</v>
      </c>
    </row>
    <row r="133" spans="1:12" ht="17.25" thickBot="1">
      <c r="A133" s="3" t="s">
        <v>203</v>
      </c>
      <c r="B133" s="3"/>
      <c r="C133" s="3"/>
      <c r="D133" s="4" t="s">
        <v>181</v>
      </c>
      <c r="E133" s="4" t="s">
        <v>3</v>
      </c>
      <c r="F133" s="4">
        <v>2023</v>
      </c>
      <c r="G133" s="8">
        <v>-0.9</v>
      </c>
      <c r="H133" s="4" t="s">
        <v>3</v>
      </c>
      <c r="I133" s="8">
        <v>-0.9</v>
      </c>
      <c r="J133" s="3">
        <v>15541</v>
      </c>
      <c r="K133" s="3"/>
      <c r="L133" s="17" t="str" cm="1">
        <f t="array" ref="L133">_xlfn.IFS(MID(K133,2,2)="01", "서울", MID(K133,2,2)="02","경기",MID(K133,2,2)="03","충청",MID(K133,2,2)="04","충청",MID(K133,2,2)="05","전라",MID(K133,2,2)="06","전라",MID(K133,2,2)="07","경북",MID(K133,2,2)="08","경남",MID(K133,2,2)="09","강원",MID(K133,2,2)="10","제주",TRUE,"국외")</f>
        <v>국외</v>
      </c>
    </row>
    <row r="134" spans="1:12" ht="17.25" thickBot="1">
      <c r="A134" s="3" t="s">
        <v>204</v>
      </c>
      <c r="B134" s="3" t="s">
        <v>56</v>
      </c>
      <c r="C134" s="3" t="s">
        <v>122</v>
      </c>
      <c r="D134" s="4" t="s">
        <v>205</v>
      </c>
      <c r="E134" s="4" t="s">
        <v>6</v>
      </c>
      <c r="F134" s="4"/>
      <c r="G134" s="9"/>
      <c r="H134" s="4"/>
      <c r="I134" s="9"/>
      <c r="J134" s="3">
        <v>15642</v>
      </c>
      <c r="K134" s="3">
        <v>50215</v>
      </c>
      <c r="L134" s="17" t="str" cm="1">
        <f t="array" ref="L134">_xlfn.IFS(MID(K134,2,2)="01", "서울", MID(K134,2,2)="02","경기",MID(K134,2,2)="03","충청",MID(K134,2,2)="04","충청",MID(K134,2,2)="05","전라",MID(K134,2,2)="06","전라",MID(K134,2,2)="07","경북",MID(K134,2,2)="08","경남",MID(K134,2,2)="09","강원",MID(K134,2,2)="10","제주",TRUE,"국외")</f>
        <v>경기</v>
      </c>
    </row>
    <row r="135" spans="1:12" ht="17.25" thickBot="1">
      <c r="A135" s="3" t="s">
        <v>206</v>
      </c>
      <c r="B135" s="3" t="s">
        <v>1</v>
      </c>
      <c r="C135" s="3" t="s">
        <v>83</v>
      </c>
      <c r="D135" s="4" t="s">
        <v>205</v>
      </c>
      <c r="E135" s="4" t="s">
        <v>6</v>
      </c>
      <c r="F135" s="4"/>
      <c r="G135" s="9"/>
      <c r="H135" s="4"/>
      <c r="I135" s="9"/>
      <c r="J135" s="3">
        <v>15641</v>
      </c>
      <c r="K135" s="3">
        <v>50107</v>
      </c>
      <c r="L135" s="17" t="str" cm="1">
        <f t="array" ref="L135">_xlfn.IFS(MID(K135,2,2)="01", "서울", MID(K135,2,2)="02","경기",MID(K135,2,2)="03","충청",MID(K135,2,2)="04","충청",MID(K135,2,2)="05","전라",MID(K135,2,2)="06","전라",MID(K135,2,2)="07","경북",MID(K135,2,2)="08","경남",MID(K135,2,2)="09","강원",MID(K135,2,2)="10","제주",TRUE,"국외")</f>
        <v>서울</v>
      </c>
    </row>
    <row r="136" spans="1:12" ht="17.25" thickBot="1">
      <c r="A136" s="3" t="s">
        <v>207</v>
      </c>
      <c r="B136" s="3" t="s">
        <v>101</v>
      </c>
      <c r="C136" s="3" t="s">
        <v>208</v>
      </c>
      <c r="D136" s="4" t="s">
        <v>205</v>
      </c>
      <c r="E136" s="4" t="s">
        <v>6</v>
      </c>
      <c r="F136" s="4"/>
      <c r="G136" s="9"/>
      <c r="H136" s="4"/>
      <c r="I136" s="9"/>
      <c r="J136" s="3">
        <v>15737</v>
      </c>
      <c r="K136" s="3">
        <v>50207</v>
      </c>
      <c r="L136" s="17" t="str" cm="1">
        <f t="array" ref="L136">_xlfn.IFS(MID(K136,2,2)="01", "서울", MID(K136,2,2)="02","경기",MID(K136,2,2)="03","충청",MID(K136,2,2)="04","충청",MID(K136,2,2)="05","전라",MID(K136,2,2)="06","전라",MID(K136,2,2)="07","경북",MID(K136,2,2)="08","경남",MID(K136,2,2)="09","강원",MID(K136,2,2)="10","제주",TRUE,"국외")</f>
        <v>경기</v>
      </c>
    </row>
    <row r="137" spans="1:12" ht="17.25" thickBot="1">
      <c r="A137" s="3" t="s">
        <v>209</v>
      </c>
      <c r="B137" s="3" t="s">
        <v>14</v>
      </c>
      <c r="C137" s="3" t="s">
        <v>45</v>
      </c>
      <c r="D137" s="4" t="s">
        <v>205</v>
      </c>
      <c r="E137" s="4" t="s">
        <v>6</v>
      </c>
      <c r="F137" s="4"/>
      <c r="G137" s="9"/>
      <c r="H137" s="4"/>
      <c r="I137" s="9"/>
      <c r="J137" s="3">
        <v>15620</v>
      </c>
      <c r="K137" s="3">
        <v>50703</v>
      </c>
      <c r="L137" s="17" t="str" cm="1">
        <f t="array" ref="L137">_xlfn.IFS(MID(K137,2,2)="01", "서울", MID(K137,2,2)="02","경기",MID(K137,2,2)="03","충청",MID(K137,2,2)="04","충청",MID(K137,2,2)="05","전라",MID(K137,2,2)="06","전라",MID(K137,2,2)="07","경북",MID(K137,2,2)="08","경남",MID(K137,2,2)="09","강원",MID(K137,2,2)="10","제주",TRUE,"국외")</f>
        <v>경북</v>
      </c>
    </row>
    <row r="138" spans="1:12" ht="17.25" thickBot="1">
      <c r="A138" s="3" t="s">
        <v>210</v>
      </c>
      <c r="B138" s="3" t="s">
        <v>8</v>
      </c>
      <c r="C138" s="3" t="s">
        <v>211</v>
      </c>
      <c r="D138" s="4" t="s">
        <v>205</v>
      </c>
      <c r="E138" s="4" t="s">
        <v>28</v>
      </c>
      <c r="F138" s="4"/>
      <c r="G138" s="9"/>
      <c r="H138" s="4"/>
      <c r="I138" s="9"/>
      <c r="J138" s="3">
        <v>15619</v>
      </c>
      <c r="K138" s="3">
        <v>50116</v>
      </c>
      <c r="L138" s="17" t="str" cm="1">
        <f t="array" ref="L138">_xlfn.IFS(MID(K138,2,2)="01", "서울", MID(K138,2,2)="02","경기",MID(K138,2,2)="03","충청",MID(K138,2,2)="04","충청",MID(K138,2,2)="05","전라",MID(K138,2,2)="06","전라",MID(K138,2,2)="07","경북",MID(K138,2,2)="08","경남",MID(K138,2,2)="09","강원",MID(K138,2,2)="10","제주",TRUE,"국외")</f>
        <v>서울</v>
      </c>
    </row>
    <row r="139" spans="1:12" ht="17.25" thickBot="1">
      <c r="A139" s="3" t="s">
        <v>212</v>
      </c>
      <c r="B139" s="3" t="s">
        <v>11</v>
      </c>
      <c r="C139" s="3"/>
      <c r="D139" s="4" t="s">
        <v>205</v>
      </c>
      <c r="E139" s="4" t="s">
        <v>28</v>
      </c>
      <c r="F139" s="4"/>
      <c r="G139" s="9"/>
      <c r="H139" s="4"/>
      <c r="I139" s="9"/>
      <c r="J139" s="3">
        <v>16144</v>
      </c>
      <c r="K139" s="3">
        <v>50802</v>
      </c>
      <c r="L139" s="17" t="str" cm="1">
        <f t="array" ref="L139">_xlfn.IFS(MID(K139,2,2)="01", "서울", MID(K139,2,2)="02","경기",MID(K139,2,2)="03","충청",MID(K139,2,2)="04","충청",MID(K139,2,2)="05","전라",MID(K139,2,2)="06","전라",MID(K139,2,2)="07","경북",MID(K139,2,2)="08","경남",MID(K139,2,2)="09","강원",MID(K139,2,2)="10","제주",TRUE,"국외")</f>
        <v>경남</v>
      </c>
    </row>
    <row r="140" spans="1:12" ht="17.25" thickBot="1">
      <c r="A140" s="3" t="s">
        <v>213</v>
      </c>
      <c r="B140" s="3" t="s">
        <v>179</v>
      </c>
      <c r="C140" s="3" t="s">
        <v>172</v>
      </c>
      <c r="D140" s="4" t="s">
        <v>205</v>
      </c>
      <c r="E140" s="4" t="s">
        <v>28</v>
      </c>
      <c r="F140" s="4"/>
      <c r="G140" s="9"/>
      <c r="H140" s="4"/>
      <c r="I140" s="9"/>
      <c r="J140" s="3">
        <v>15617</v>
      </c>
      <c r="K140" s="3">
        <v>50211</v>
      </c>
      <c r="L140" s="17" t="str" cm="1">
        <f t="array" ref="L140">_xlfn.IFS(MID(K140,2,2)="01", "서울", MID(K140,2,2)="02","경기",MID(K140,2,2)="03","충청",MID(K140,2,2)="04","충청",MID(K140,2,2)="05","전라",MID(K140,2,2)="06","전라",MID(K140,2,2)="07","경북",MID(K140,2,2)="08","경남",MID(K140,2,2)="09","강원",MID(K140,2,2)="10","제주",TRUE,"국외")</f>
        <v>경기</v>
      </c>
    </row>
    <row r="141" spans="1:12" ht="17.25" thickBot="1">
      <c r="A141" s="3" t="s">
        <v>214</v>
      </c>
      <c r="B141" s="3" t="s">
        <v>215</v>
      </c>
      <c r="C141" s="3" t="s">
        <v>216</v>
      </c>
      <c r="D141" s="4" t="s">
        <v>205</v>
      </c>
      <c r="E141" s="4" t="s">
        <v>12</v>
      </c>
      <c r="F141" s="4"/>
      <c r="G141" s="9"/>
      <c r="H141" s="4"/>
      <c r="I141" s="9"/>
      <c r="J141" s="3">
        <v>15618</v>
      </c>
      <c r="K141" s="3">
        <v>50710</v>
      </c>
      <c r="L141" s="17" t="str" cm="1">
        <f t="array" ref="L141">_xlfn.IFS(MID(K141,2,2)="01", "서울", MID(K141,2,2)="02","경기",MID(K141,2,2)="03","충청",MID(K141,2,2)="04","충청",MID(K141,2,2)="05","전라",MID(K141,2,2)="06","전라",MID(K141,2,2)="07","경북",MID(K141,2,2)="08","경남",MID(K141,2,2)="09","강원",MID(K141,2,2)="10","제주",TRUE,"국외")</f>
        <v>경북</v>
      </c>
    </row>
    <row r="142" spans="1:12" ht="17.25" thickBot="1">
      <c r="A142" s="3" t="s">
        <v>217</v>
      </c>
      <c r="B142" s="3" t="s">
        <v>14</v>
      </c>
      <c r="C142" s="3" t="s">
        <v>218</v>
      </c>
      <c r="D142" s="4" t="s">
        <v>205</v>
      </c>
      <c r="E142" s="4" t="s">
        <v>28</v>
      </c>
      <c r="F142" s="4"/>
      <c r="G142" s="9"/>
      <c r="H142" s="4"/>
      <c r="I142" s="9"/>
      <c r="J142" s="3">
        <v>15616</v>
      </c>
      <c r="K142" s="3">
        <v>50703</v>
      </c>
      <c r="L142" s="17" t="str" cm="1">
        <f t="array" ref="L142">_xlfn.IFS(MID(K142,2,2)="01", "서울", MID(K142,2,2)="02","경기",MID(K142,2,2)="03","충청",MID(K142,2,2)="04","충청",MID(K142,2,2)="05","전라",MID(K142,2,2)="06","전라",MID(K142,2,2)="07","경북",MID(K142,2,2)="08","경남",MID(K142,2,2)="09","강원",MID(K142,2,2)="10","제주",TRUE,"국외")</f>
        <v>경북</v>
      </c>
    </row>
    <row r="143" spans="1:12" ht="17.25" thickBot="1">
      <c r="A143" s="3" t="s">
        <v>219</v>
      </c>
      <c r="B143" s="3" t="s">
        <v>81</v>
      </c>
      <c r="C143" s="3"/>
      <c r="D143" s="4" t="s">
        <v>205</v>
      </c>
      <c r="E143" s="4" t="s">
        <v>12</v>
      </c>
      <c r="F143" s="4"/>
      <c r="G143" s="9"/>
      <c r="H143" s="4"/>
      <c r="I143" s="9"/>
      <c r="J143" s="3">
        <v>16012</v>
      </c>
      <c r="K143" s="3">
        <v>50105</v>
      </c>
      <c r="L143" s="17" t="str" cm="1">
        <f t="array" ref="L143">_xlfn.IFS(MID(K143,2,2)="01", "서울", MID(K143,2,2)="02","경기",MID(K143,2,2)="03","충청",MID(K143,2,2)="04","충청",MID(K143,2,2)="05","전라",MID(K143,2,2)="06","전라",MID(K143,2,2)="07","경북",MID(K143,2,2)="08","경남",MID(K143,2,2)="09","강원",MID(K143,2,2)="10","제주",TRUE,"국외")</f>
        <v>서울</v>
      </c>
    </row>
    <row r="144" spans="1:12" ht="17.25" thickBot="1">
      <c r="A144" s="3" t="s">
        <v>220</v>
      </c>
      <c r="B144" s="3" t="s">
        <v>112</v>
      </c>
      <c r="C144" s="3" t="s">
        <v>221</v>
      </c>
      <c r="D144" s="4" t="s">
        <v>205</v>
      </c>
      <c r="E144" s="4" t="s">
        <v>12</v>
      </c>
      <c r="F144" s="4"/>
      <c r="G144" s="9"/>
      <c r="H144" s="4"/>
      <c r="I144" s="9"/>
      <c r="J144" s="3">
        <v>15621</v>
      </c>
      <c r="K144" s="3">
        <v>50113</v>
      </c>
      <c r="L144" s="17" t="str" cm="1">
        <f t="array" ref="L144">_xlfn.IFS(MID(K144,2,2)="01", "서울", MID(K144,2,2)="02","경기",MID(K144,2,2)="03","충청",MID(K144,2,2)="04","충청",MID(K144,2,2)="05","전라",MID(K144,2,2)="06","전라",MID(K144,2,2)="07","경북",MID(K144,2,2)="08","경남",MID(K144,2,2)="09","강원",MID(K144,2,2)="10","제주",TRUE,"국외")</f>
        <v>서울</v>
      </c>
    </row>
    <row r="145" spans="1:12" ht="17.25" thickBot="1">
      <c r="A145" s="3" t="s">
        <v>222</v>
      </c>
      <c r="B145" s="3" t="s">
        <v>147</v>
      </c>
      <c r="C145" s="3" t="s">
        <v>83</v>
      </c>
      <c r="D145" s="4" t="s">
        <v>205</v>
      </c>
      <c r="E145" s="4" t="s">
        <v>12</v>
      </c>
      <c r="F145" s="4"/>
      <c r="G145" s="9"/>
      <c r="H145" s="4"/>
      <c r="I145" s="9"/>
      <c r="J145" s="3">
        <v>15622</v>
      </c>
      <c r="K145" s="3">
        <v>50208</v>
      </c>
      <c r="L145" s="17" t="str" cm="1">
        <f t="array" ref="L145">_xlfn.IFS(MID(K145,2,2)="01", "서울", MID(K145,2,2)="02","경기",MID(K145,2,2)="03","충청",MID(K145,2,2)="04","충청",MID(K145,2,2)="05","전라",MID(K145,2,2)="06","전라",MID(K145,2,2)="07","경북",MID(K145,2,2)="08","경남",MID(K145,2,2)="09","강원",MID(K145,2,2)="10","제주",TRUE,"국외")</f>
        <v>경기</v>
      </c>
    </row>
    <row r="146" spans="1:12" ht="17.25" thickBot="1">
      <c r="A146" s="3" t="s">
        <v>223</v>
      </c>
      <c r="B146" s="3" t="s">
        <v>224</v>
      </c>
      <c r="C146" s="3" t="s">
        <v>83</v>
      </c>
      <c r="D146" s="4" t="s">
        <v>205</v>
      </c>
      <c r="E146" s="4" t="s">
        <v>15</v>
      </c>
      <c r="F146" s="4"/>
      <c r="G146" s="9"/>
      <c r="H146" s="4"/>
      <c r="I146" s="9"/>
      <c r="J146" s="3">
        <v>15615</v>
      </c>
      <c r="K146" s="3">
        <v>50216</v>
      </c>
      <c r="L146" s="17" t="str" cm="1">
        <f t="array" ref="L146">_xlfn.IFS(MID(K146,2,2)="01", "서울", MID(K146,2,2)="02","경기",MID(K146,2,2)="03","충청",MID(K146,2,2)="04","충청",MID(K146,2,2)="05","전라",MID(K146,2,2)="06","전라",MID(K146,2,2)="07","경북",MID(K146,2,2)="08","경남",MID(K146,2,2)="09","강원",MID(K146,2,2)="10","제주",TRUE,"국외")</f>
        <v>경기</v>
      </c>
    </row>
    <row r="147" spans="1:12" ht="17.25" thickBot="1">
      <c r="A147" s="3" t="s">
        <v>225</v>
      </c>
      <c r="B147" s="3" t="s">
        <v>17</v>
      </c>
      <c r="C147" s="3" t="s">
        <v>226</v>
      </c>
      <c r="D147" s="4" t="s">
        <v>205</v>
      </c>
      <c r="E147" s="4" t="s">
        <v>26</v>
      </c>
      <c r="F147" s="4"/>
      <c r="G147" s="9"/>
      <c r="H147" s="4"/>
      <c r="I147" s="9"/>
      <c r="J147" s="3">
        <v>15613</v>
      </c>
      <c r="K147" s="3">
        <v>50903</v>
      </c>
      <c r="L147" s="17" t="str" cm="1">
        <f t="array" ref="L147">_xlfn.IFS(MID(K147,2,2)="01", "서울", MID(K147,2,2)="02","경기",MID(K147,2,2)="03","충청",MID(K147,2,2)="04","충청",MID(K147,2,2)="05","전라",MID(K147,2,2)="06","전라",MID(K147,2,2)="07","경북",MID(K147,2,2)="08","경남",MID(K147,2,2)="09","강원",MID(K147,2,2)="10","제주",TRUE,"국외")</f>
        <v>강원</v>
      </c>
    </row>
    <row r="148" spans="1:12" ht="17.25" thickBot="1">
      <c r="A148" s="3" t="s">
        <v>227</v>
      </c>
      <c r="B148" s="3" t="s">
        <v>228</v>
      </c>
      <c r="C148" s="3" t="s">
        <v>83</v>
      </c>
      <c r="D148" s="4" t="s">
        <v>205</v>
      </c>
      <c r="E148" s="4" t="s">
        <v>26</v>
      </c>
      <c r="F148" s="4"/>
      <c r="G148" s="9"/>
      <c r="H148" s="4"/>
      <c r="I148" s="9"/>
      <c r="J148" s="3">
        <v>15611</v>
      </c>
      <c r="K148" s="3">
        <v>50702</v>
      </c>
      <c r="L148" s="17" t="str" cm="1">
        <f t="array" ref="L148">_xlfn.IFS(MID(K148,2,2)="01", "서울", MID(K148,2,2)="02","경기",MID(K148,2,2)="03","충청",MID(K148,2,2)="04","충청",MID(K148,2,2)="05","전라",MID(K148,2,2)="06","전라",MID(K148,2,2)="07","경북",MID(K148,2,2)="08","경남",MID(K148,2,2)="09","강원",MID(K148,2,2)="10","제주",TRUE,"국외")</f>
        <v>경북</v>
      </c>
    </row>
    <row r="149" spans="1:12" ht="17.25" thickBot="1">
      <c r="A149" s="3" t="s">
        <v>229</v>
      </c>
      <c r="B149" s="3" t="s">
        <v>1</v>
      </c>
      <c r="C149" s="3" t="s">
        <v>174</v>
      </c>
      <c r="D149" s="4" t="s">
        <v>205</v>
      </c>
      <c r="E149" s="4" t="s">
        <v>9</v>
      </c>
      <c r="F149" s="4">
        <v>2023</v>
      </c>
      <c r="G149" s="8">
        <v>0.3</v>
      </c>
      <c r="H149" s="4" t="s">
        <v>9</v>
      </c>
      <c r="I149" s="8">
        <v>0.3</v>
      </c>
      <c r="J149" s="3">
        <v>15625</v>
      </c>
      <c r="K149" s="3">
        <v>50107</v>
      </c>
      <c r="L149" s="17" t="str" cm="1">
        <f t="array" ref="L149">_xlfn.IFS(MID(K149,2,2)="01", "서울", MID(K149,2,2)="02","경기",MID(K149,2,2)="03","충청",MID(K149,2,2)="04","충청",MID(K149,2,2)="05","전라",MID(K149,2,2)="06","전라",MID(K149,2,2)="07","경북",MID(K149,2,2)="08","경남",MID(K149,2,2)="09","강원",MID(K149,2,2)="10","제주",TRUE,"국외")</f>
        <v>서울</v>
      </c>
    </row>
    <row r="150" spans="1:12" ht="17.25" thickBot="1">
      <c r="A150" s="3" t="s">
        <v>230</v>
      </c>
      <c r="B150" s="3" t="s">
        <v>36</v>
      </c>
      <c r="C150" s="3" t="s">
        <v>83</v>
      </c>
      <c r="D150" s="4" t="s">
        <v>205</v>
      </c>
      <c r="E150" s="4" t="s">
        <v>9</v>
      </c>
      <c r="F150" s="4">
        <v>2023</v>
      </c>
      <c r="G150" s="8">
        <v>-0.1</v>
      </c>
      <c r="H150" s="4" t="s">
        <v>9</v>
      </c>
      <c r="I150" s="8">
        <v>-0.1</v>
      </c>
      <c r="J150" s="3">
        <v>15627</v>
      </c>
      <c r="K150" s="3">
        <v>50402</v>
      </c>
      <c r="L150" s="17" t="str" cm="1">
        <f t="array" ref="L150">_xlfn.IFS(MID(K150,2,2)="01", "서울", MID(K150,2,2)="02","경기",MID(K150,2,2)="03","충청",MID(K150,2,2)="04","충청",MID(K150,2,2)="05","전라",MID(K150,2,2)="06","전라",MID(K150,2,2)="07","경북",MID(K150,2,2)="08","경남",MID(K150,2,2)="09","강원",MID(K150,2,2)="10","제주",TRUE,"국외")</f>
        <v>충청</v>
      </c>
    </row>
    <row r="151" spans="1:12" ht="17.25" thickBot="1">
      <c r="A151" s="3" t="s">
        <v>143</v>
      </c>
      <c r="B151" s="3" t="s">
        <v>169</v>
      </c>
      <c r="C151" s="3" t="s">
        <v>174</v>
      </c>
      <c r="D151" s="4" t="s">
        <v>205</v>
      </c>
      <c r="E151" s="4" t="s">
        <v>9</v>
      </c>
      <c r="F151" s="4">
        <v>2023</v>
      </c>
      <c r="G151" s="8">
        <v>-0.1</v>
      </c>
      <c r="H151" s="4" t="s">
        <v>9</v>
      </c>
      <c r="I151" s="8">
        <v>-0.1</v>
      </c>
      <c r="J151" s="3">
        <v>15624</v>
      </c>
      <c r="K151" s="3">
        <v>50606</v>
      </c>
      <c r="L151" s="17" t="str" cm="1">
        <f t="array" ref="L151">_xlfn.IFS(MID(K151,2,2)="01", "서울", MID(K151,2,2)="02","경기",MID(K151,2,2)="03","충청",MID(K151,2,2)="04","충청",MID(K151,2,2)="05","전라",MID(K151,2,2)="06","전라",MID(K151,2,2)="07","경북",MID(K151,2,2)="08","경남",MID(K151,2,2)="09","강원",MID(K151,2,2)="10","제주",TRUE,"국외")</f>
        <v>전라</v>
      </c>
    </row>
    <row r="152" spans="1:12" ht="17.25" thickBot="1">
      <c r="A152" s="3" t="s">
        <v>231</v>
      </c>
      <c r="B152" s="3" t="s">
        <v>107</v>
      </c>
      <c r="C152" s="3" t="s">
        <v>221</v>
      </c>
      <c r="D152" s="4" t="s">
        <v>205</v>
      </c>
      <c r="E152" s="4" t="s">
        <v>9</v>
      </c>
      <c r="F152" s="4"/>
      <c r="G152" s="9"/>
      <c r="H152" s="4"/>
      <c r="I152" s="9"/>
      <c r="J152" s="3">
        <v>15623</v>
      </c>
      <c r="K152" s="3">
        <v>50602</v>
      </c>
      <c r="L152" s="17" t="str" cm="1">
        <f t="array" ref="L152">_xlfn.IFS(MID(K152,2,2)="01", "서울", MID(K152,2,2)="02","경기",MID(K152,2,2)="03","충청",MID(K152,2,2)="04","충청",MID(K152,2,2)="05","전라",MID(K152,2,2)="06","전라",MID(K152,2,2)="07","경북",MID(K152,2,2)="08","경남",MID(K152,2,2)="09","강원",MID(K152,2,2)="10","제주",TRUE,"국외")</f>
        <v>전라</v>
      </c>
    </row>
    <row r="153" spans="1:12" ht="17.25" thickBot="1">
      <c r="A153" s="3" t="s">
        <v>232</v>
      </c>
      <c r="B153" s="3" t="s">
        <v>96</v>
      </c>
      <c r="C153" s="3" t="s">
        <v>226</v>
      </c>
      <c r="D153" s="4" t="s">
        <v>205</v>
      </c>
      <c r="E153" s="4" t="s">
        <v>9</v>
      </c>
      <c r="F153" s="4"/>
      <c r="G153" s="9"/>
      <c r="H153" s="4"/>
      <c r="I153" s="9"/>
      <c r="J153" s="3">
        <v>15626</v>
      </c>
      <c r="K153" s="3">
        <v>50601</v>
      </c>
      <c r="L153" s="17" t="str" cm="1">
        <f t="array" ref="L153">_xlfn.IFS(MID(K153,2,2)="01", "서울", MID(K153,2,2)="02","경기",MID(K153,2,2)="03","충청",MID(K153,2,2)="04","충청",MID(K153,2,2)="05","전라",MID(K153,2,2)="06","전라",MID(K153,2,2)="07","경북",MID(K153,2,2)="08","경남",MID(K153,2,2)="09","강원",MID(K153,2,2)="10","제주",TRUE,"국외")</f>
        <v>전라</v>
      </c>
    </row>
    <row r="154" spans="1:12" ht="17.25" thickBot="1">
      <c r="A154" s="3" t="s">
        <v>233</v>
      </c>
      <c r="B154" s="3" t="s">
        <v>50</v>
      </c>
      <c r="C154" s="3" t="s">
        <v>234</v>
      </c>
      <c r="D154" s="4" t="s">
        <v>205</v>
      </c>
      <c r="E154" s="4" t="s">
        <v>3</v>
      </c>
      <c r="F154" s="4"/>
      <c r="G154" s="9"/>
      <c r="H154" s="4"/>
      <c r="I154" s="9"/>
      <c r="J154" s="3">
        <v>16011</v>
      </c>
      <c r="K154" s="3">
        <v>50301</v>
      </c>
      <c r="L154" s="17" t="str" cm="1">
        <f t="array" ref="L154">_xlfn.IFS(MID(K154,2,2)="01", "서울", MID(K154,2,2)="02","경기",MID(K154,2,2)="03","충청",MID(K154,2,2)="04","충청",MID(K154,2,2)="05","전라",MID(K154,2,2)="06","전라",MID(K154,2,2)="07","경북",MID(K154,2,2)="08","경남",MID(K154,2,2)="09","강원",MID(K154,2,2)="10","제주",TRUE,"국외")</f>
        <v>충청</v>
      </c>
    </row>
    <row r="155" spans="1:12" ht="17.25" thickBot="1">
      <c r="A155" s="3" t="s">
        <v>235</v>
      </c>
      <c r="B155" s="3" t="s">
        <v>176</v>
      </c>
      <c r="C155" s="3" t="s">
        <v>161</v>
      </c>
      <c r="D155" s="4" t="s">
        <v>205</v>
      </c>
      <c r="E155" s="4" t="s">
        <v>3</v>
      </c>
      <c r="F155" s="4"/>
      <c r="G155" s="9"/>
      <c r="H155" s="4"/>
      <c r="I155" s="9"/>
      <c r="J155" s="3">
        <v>15632</v>
      </c>
      <c r="K155" s="3">
        <v>50302</v>
      </c>
      <c r="L155" s="17" t="str" cm="1">
        <f t="array" ref="L155">_xlfn.IFS(MID(K155,2,2)="01", "서울", MID(K155,2,2)="02","경기",MID(K155,2,2)="03","충청",MID(K155,2,2)="04","충청",MID(K155,2,2)="05","전라",MID(K155,2,2)="06","전라",MID(K155,2,2)="07","경북",MID(K155,2,2)="08","경남",MID(K155,2,2)="09","강원",MID(K155,2,2)="10","제주",TRUE,"국외")</f>
        <v>충청</v>
      </c>
    </row>
    <row r="156" spans="1:12" ht="17.25" thickBot="1">
      <c r="A156" s="3" t="s">
        <v>236</v>
      </c>
      <c r="B156" s="3" t="s">
        <v>81</v>
      </c>
      <c r="C156" s="3" t="s">
        <v>237</v>
      </c>
      <c r="D156" s="4" t="s">
        <v>205</v>
      </c>
      <c r="E156" s="4" t="s">
        <v>3</v>
      </c>
      <c r="F156" s="4"/>
      <c r="G156" s="9"/>
      <c r="H156" s="4"/>
      <c r="I156" s="9"/>
      <c r="J156" s="3">
        <v>15629</v>
      </c>
      <c r="K156" s="3">
        <v>50105</v>
      </c>
      <c r="L156" s="17" t="str" cm="1">
        <f t="array" ref="L156">_xlfn.IFS(MID(K156,2,2)="01", "서울", MID(K156,2,2)="02","경기",MID(K156,2,2)="03","충청",MID(K156,2,2)="04","충청",MID(K156,2,2)="05","전라",MID(K156,2,2)="06","전라",MID(K156,2,2)="07","경북",MID(K156,2,2)="08","경남",MID(K156,2,2)="09","강원",MID(K156,2,2)="10","제주",TRUE,"국외")</f>
        <v>서울</v>
      </c>
    </row>
    <row r="157" spans="1:12" ht="17.25" thickBot="1">
      <c r="A157" s="3" t="s">
        <v>238</v>
      </c>
      <c r="B157" s="3" t="s">
        <v>32</v>
      </c>
      <c r="C157" s="3" t="s">
        <v>45</v>
      </c>
      <c r="D157" s="4" t="s">
        <v>205</v>
      </c>
      <c r="E157" s="4" t="s">
        <v>3</v>
      </c>
      <c r="F157" s="4"/>
      <c r="G157" s="9"/>
      <c r="H157" s="4"/>
      <c r="I157" s="9"/>
      <c r="J157" s="3">
        <v>15630</v>
      </c>
      <c r="K157" s="3">
        <v>50111</v>
      </c>
      <c r="L157" s="17" t="str" cm="1">
        <f t="array" ref="L157">_xlfn.IFS(MID(K157,2,2)="01", "서울", MID(K157,2,2)="02","경기",MID(K157,2,2)="03","충청",MID(K157,2,2)="04","충청",MID(K157,2,2)="05","전라",MID(K157,2,2)="06","전라",MID(K157,2,2)="07","경북",MID(K157,2,2)="08","경남",MID(K157,2,2)="09","강원",MID(K157,2,2)="10","제주",TRUE,"국외")</f>
        <v>서울</v>
      </c>
    </row>
    <row r="158" spans="1:12" ht="17.25" thickBot="1">
      <c r="A158" s="3" t="s">
        <v>239</v>
      </c>
      <c r="B158" s="3" t="s">
        <v>107</v>
      </c>
      <c r="C158" s="3" t="s">
        <v>119</v>
      </c>
      <c r="D158" s="4" t="s">
        <v>205</v>
      </c>
      <c r="E158" s="4" t="s">
        <v>3</v>
      </c>
      <c r="F158" s="4"/>
      <c r="G158" s="9"/>
      <c r="H158" s="4"/>
      <c r="I158" s="9"/>
      <c r="J158" s="3">
        <v>15631</v>
      </c>
      <c r="K158" s="3">
        <v>50602</v>
      </c>
      <c r="L158" s="17" t="str" cm="1">
        <f t="array" ref="L158">_xlfn.IFS(MID(K158,2,2)="01", "서울", MID(K158,2,2)="02","경기",MID(K158,2,2)="03","충청",MID(K158,2,2)="04","충청",MID(K158,2,2)="05","전라",MID(K158,2,2)="06","전라",MID(K158,2,2)="07","경북",MID(K158,2,2)="08","경남",MID(K158,2,2)="09","강원",MID(K158,2,2)="10","제주",TRUE,"국외")</f>
        <v>전라</v>
      </c>
    </row>
    <row r="159" spans="1:12" ht="17.25" thickBot="1">
      <c r="A159" s="3" t="s">
        <v>240</v>
      </c>
      <c r="B159" s="3" t="s">
        <v>241</v>
      </c>
      <c r="C159" s="3"/>
      <c r="D159" s="4" t="s">
        <v>205</v>
      </c>
      <c r="E159" s="4" t="s">
        <v>3</v>
      </c>
      <c r="F159" s="4"/>
      <c r="G159" s="9"/>
      <c r="H159" s="4"/>
      <c r="I159" s="10"/>
      <c r="J159" s="3">
        <v>15628</v>
      </c>
      <c r="K159" s="3">
        <v>50202</v>
      </c>
      <c r="L159" s="17" t="str" cm="1">
        <f t="array" ref="L159">_xlfn.IFS(MID(K159,2,2)="01", "서울", MID(K159,2,2)="02","경기",MID(K159,2,2)="03","충청",MID(K159,2,2)="04","충청",MID(K159,2,2)="05","전라",MID(K159,2,2)="06","전라",MID(K159,2,2)="07","경북",MID(K159,2,2)="08","경남",MID(K159,2,2)="09","강원",MID(K159,2,2)="10","제주",TRUE,"국외")</f>
        <v>경기</v>
      </c>
    </row>
    <row r="160" spans="1:12" ht="17.25" thickBot="1">
      <c r="A160" s="3" t="s">
        <v>242</v>
      </c>
      <c r="B160" s="3" t="s">
        <v>96</v>
      </c>
      <c r="C160" s="3"/>
      <c r="D160" s="4" t="s">
        <v>243</v>
      </c>
      <c r="E160" s="4" t="s">
        <v>6</v>
      </c>
      <c r="F160" s="4">
        <v>2022</v>
      </c>
      <c r="G160" s="8">
        <v>2.2000000000000002</v>
      </c>
      <c r="H160" s="4" t="s">
        <v>6</v>
      </c>
      <c r="I160" s="8">
        <v>6</v>
      </c>
      <c r="J160" s="3">
        <v>15056</v>
      </c>
      <c r="K160" s="3">
        <v>50601</v>
      </c>
      <c r="L160" s="17" t="str" cm="1">
        <f t="array" ref="L160">_xlfn.IFS(MID(K160,2,2)="01", "서울", MID(K160,2,2)="02","경기",MID(K160,2,2)="03","충청",MID(K160,2,2)="04","충청",MID(K160,2,2)="05","전라",MID(K160,2,2)="06","전라",MID(K160,2,2)="07","경북",MID(K160,2,2)="08","경남",MID(K160,2,2)="09","강원",MID(K160,2,2)="10","제주",TRUE,"국외")</f>
        <v>전라</v>
      </c>
    </row>
    <row r="161" spans="1:12" ht="17.25" thickBot="1">
      <c r="A161" s="3" t="s">
        <v>244</v>
      </c>
      <c r="B161" s="3" t="s">
        <v>147</v>
      </c>
      <c r="C161" s="3"/>
      <c r="D161" s="4" t="s">
        <v>243</v>
      </c>
      <c r="E161" s="4" t="s">
        <v>28</v>
      </c>
      <c r="F161" s="4">
        <v>2022</v>
      </c>
      <c r="G161" s="8">
        <v>0.6</v>
      </c>
      <c r="H161" s="4" t="s">
        <v>28</v>
      </c>
      <c r="I161" s="8">
        <v>2.6</v>
      </c>
      <c r="J161" s="3">
        <v>15089</v>
      </c>
      <c r="K161" s="3">
        <v>50208</v>
      </c>
      <c r="L161" s="17" t="str" cm="1">
        <f t="array" ref="L161">_xlfn.IFS(MID(K161,2,2)="01", "서울", MID(K161,2,2)="02","경기",MID(K161,2,2)="03","충청",MID(K161,2,2)="04","충청",MID(K161,2,2)="05","전라",MID(K161,2,2)="06","전라",MID(K161,2,2)="07","경북",MID(K161,2,2)="08","경남",MID(K161,2,2)="09","강원",MID(K161,2,2)="10","제주",TRUE,"국외")</f>
        <v>경기</v>
      </c>
    </row>
    <row r="162" spans="1:12" ht="17.25" thickBot="1">
      <c r="A162" s="3" t="s">
        <v>245</v>
      </c>
      <c r="B162" s="3" t="s">
        <v>38</v>
      </c>
      <c r="C162" s="3"/>
      <c r="D162" s="4" t="s">
        <v>243</v>
      </c>
      <c r="E162" s="4" t="s">
        <v>20</v>
      </c>
      <c r="F162" s="4">
        <v>2022</v>
      </c>
      <c r="G162" s="8">
        <v>0.2</v>
      </c>
      <c r="H162" s="4" t="s">
        <v>20</v>
      </c>
      <c r="I162" s="8">
        <v>0.2</v>
      </c>
      <c r="J162" s="3">
        <v>15078</v>
      </c>
      <c r="K162" s="3">
        <v>50109</v>
      </c>
      <c r="L162" s="17" t="str" cm="1">
        <f t="array" ref="L162">_xlfn.IFS(MID(K162,2,2)="01", "서울", MID(K162,2,2)="02","경기",MID(K162,2,2)="03","충청",MID(K162,2,2)="04","충청",MID(K162,2,2)="05","전라",MID(K162,2,2)="06","전라",MID(K162,2,2)="07","경북",MID(K162,2,2)="08","경남",MID(K162,2,2)="09","강원",MID(K162,2,2)="10","제주",TRUE,"국외")</f>
        <v>서울</v>
      </c>
    </row>
    <row r="163" spans="1:12" ht="17.25" thickBot="1">
      <c r="A163" s="3" t="s">
        <v>246</v>
      </c>
      <c r="B163" s="3" t="s">
        <v>63</v>
      </c>
      <c r="C163" s="3"/>
      <c r="D163" s="4" t="s">
        <v>243</v>
      </c>
      <c r="E163" s="4" t="s">
        <v>12</v>
      </c>
      <c r="F163" s="4"/>
      <c r="G163" s="9"/>
      <c r="H163" s="4"/>
      <c r="I163" s="9"/>
      <c r="J163" s="3">
        <v>15110</v>
      </c>
      <c r="K163" s="3">
        <v>50807</v>
      </c>
      <c r="L163" s="17" t="str" cm="1">
        <f t="array" ref="L163">_xlfn.IFS(MID(K163,2,2)="01", "서울", MID(K163,2,2)="02","경기",MID(K163,2,2)="03","충청",MID(K163,2,2)="04","충청",MID(K163,2,2)="05","전라",MID(K163,2,2)="06","전라",MID(K163,2,2)="07","경북",MID(K163,2,2)="08","경남",MID(K163,2,2)="09","강원",MID(K163,2,2)="10","제주",TRUE,"국외")</f>
        <v>경남</v>
      </c>
    </row>
    <row r="164" spans="1:12" ht="17.25" thickBot="1">
      <c r="A164" s="3" t="s">
        <v>247</v>
      </c>
      <c r="B164" s="3" t="s">
        <v>22</v>
      </c>
      <c r="C164" s="3"/>
      <c r="D164" s="4" t="s">
        <v>243</v>
      </c>
      <c r="E164" s="4" t="s">
        <v>15</v>
      </c>
      <c r="F164" s="4">
        <v>2022</v>
      </c>
      <c r="G164" s="8">
        <v>-0.1</v>
      </c>
      <c r="H164" s="4" t="s">
        <v>15</v>
      </c>
      <c r="I164" s="8">
        <v>-0.1</v>
      </c>
      <c r="J164" s="3">
        <v>15023</v>
      </c>
      <c r="K164" s="3">
        <v>50209</v>
      </c>
      <c r="L164" s="17" t="str" cm="1">
        <f t="array" ref="L164">_xlfn.IFS(MID(K164,2,2)="01", "서울", MID(K164,2,2)="02","경기",MID(K164,2,2)="03","충청",MID(K164,2,2)="04","충청",MID(K164,2,2)="05","전라",MID(K164,2,2)="06","전라",MID(K164,2,2)="07","경북",MID(K164,2,2)="08","경남",MID(K164,2,2)="09","강원",MID(K164,2,2)="10","제주",TRUE,"국외")</f>
        <v>경기</v>
      </c>
    </row>
    <row r="165" spans="1:12" ht="17.25" thickBot="1">
      <c r="A165" s="3" t="s">
        <v>248</v>
      </c>
      <c r="B165" s="3" t="s">
        <v>1</v>
      </c>
      <c r="C165" s="3"/>
      <c r="D165" s="4" t="s">
        <v>243</v>
      </c>
      <c r="E165" s="4" t="s">
        <v>26</v>
      </c>
      <c r="F165" s="4">
        <v>2022</v>
      </c>
      <c r="G165" s="8">
        <v>0.1</v>
      </c>
      <c r="H165" s="4" t="s">
        <v>26</v>
      </c>
      <c r="I165" s="8">
        <v>0</v>
      </c>
      <c r="J165" s="3">
        <v>15099</v>
      </c>
      <c r="K165" s="3">
        <v>50107</v>
      </c>
      <c r="L165" s="17" t="str" cm="1">
        <f t="array" ref="L165">_xlfn.IFS(MID(K165,2,2)="01", "서울", MID(K165,2,2)="02","경기",MID(K165,2,2)="03","충청",MID(K165,2,2)="04","충청",MID(K165,2,2)="05","전라",MID(K165,2,2)="06","전라",MID(K165,2,2)="07","경북",MID(K165,2,2)="08","경남",MID(K165,2,2)="09","강원",MID(K165,2,2)="10","제주",TRUE,"국외")</f>
        <v>서울</v>
      </c>
    </row>
    <row r="166" spans="1:12" ht="17.25" thickBot="1">
      <c r="A166" s="3" t="s">
        <v>249</v>
      </c>
      <c r="B166" s="3" t="s">
        <v>140</v>
      </c>
      <c r="C166" s="3"/>
      <c r="D166" s="4" t="s">
        <v>243</v>
      </c>
      <c r="E166" s="4" t="s">
        <v>9</v>
      </c>
      <c r="F166" s="4">
        <v>2022</v>
      </c>
      <c r="G166" s="8">
        <v>-0.2</v>
      </c>
      <c r="H166" s="4" t="s">
        <v>9</v>
      </c>
      <c r="I166" s="8">
        <v>-0.1</v>
      </c>
      <c r="J166" s="3">
        <v>15045</v>
      </c>
      <c r="K166" s="3">
        <v>50801</v>
      </c>
      <c r="L166" s="17" t="str" cm="1">
        <f t="array" ref="L166">_xlfn.IFS(MID(K166,2,2)="01", "서울", MID(K166,2,2)="02","경기",MID(K166,2,2)="03","충청",MID(K166,2,2)="04","충청",MID(K166,2,2)="05","전라",MID(K166,2,2)="06","전라",MID(K166,2,2)="07","경북",MID(K166,2,2)="08","경남",MID(K166,2,2)="09","강원",MID(K166,2,2)="10","제주",TRUE,"국외")</f>
        <v>경남</v>
      </c>
    </row>
    <row r="167" spans="1:12" ht="17.25" thickBot="1">
      <c r="A167" s="3" t="s">
        <v>250</v>
      </c>
      <c r="B167" s="3" t="s">
        <v>1</v>
      </c>
      <c r="C167" s="3"/>
      <c r="D167" s="4" t="s">
        <v>243</v>
      </c>
      <c r="E167" s="4" t="s">
        <v>23</v>
      </c>
      <c r="F167" s="4">
        <v>2022</v>
      </c>
      <c r="G167" s="8">
        <v>0.1</v>
      </c>
      <c r="H167" s="4" t="s">
        <v>23</v>
      </c>
      <c r="I167" s="8">
        <v>3</v>
      </c>
      <c r="J167" s="3">
        <v>15034</v>
      </c>
      <c r="K167" s="3">
        <v>50107</v>
      </c>
      <c r="L167" s="17" t="str" cm="1">
        <f t="array" ref="L167">_xlfn.IFS(MID(K167,2,2)="01", "서울", MID(K167,2,2)="02","경기",MID(K167,2,2)="03","충청",MID(K167,2,2)="04","충청",MID(K167,2,2)="05","전라",MID(K167,2,2)="06","전라",MID(K167,2,2)="07","경북",MID(K167,2,2)="08","경남",MID(K167,2,2)="09","강원",MID(K167,2,2)="10","제주",TRUE,"국외")</f>
        <v>서울</v>
      </c>
    </row>
    <row r="168" spans="1:12" ht="17.25" thickBot="1">
      <c r="A168" s="3" t="s">
        <v>251</v>
      </c>
      <c r="B168" s="3" t="s">
        <v>1</v>
      </c>
      <c r="C168" s="3" t="s">
        <v>99</v>
      </c>
      <c r="D168" s="4" t="s">
        <v>243</v>
      </c>
      <c r="E168" s="4" t="s">
        <v>18</v>
      </c>
      <c r="F168" s="4">
        <v>2022</v>
      </c>
      <c r="G168" s="8">
        <v>0</v>
      </c>
      <c r="H168" s="4" t="s">
        <v>18</v>
      </c>
      <c r="I168" s="8">
        <v>-0.2</v>
      </c>
      <c r="J168" s="3">
        <v>15067</v>
      </c>
      <c r="K168" s="3">
        <v>50107</v>
      </c>
      <c r="L168" s="17" t="str" cm="1">
        <f t="array" ref="L168">_xlfn.IFS(MID(K168,2,2)="01", "서울", MID(K168,2,2)="02","경기",MID(K168,2,2)="03","충청",MID(K168,2,2)="04","충청",MID(K168,2,2)="05","전라",MID(K168,2,2)="06","전라",MID(K168,2,2)="07","경북",MID(K168,2,2)="08","경남",MID(K168,2,2)="09","강원",MID(K168,2,2)="10","제주",TRUE,"국외")</f>
        <v>서울</v>
      </c>
    </row>
    <row r="169" spans="1:12" ht="17.25" thickBot="1">
      <c r="A169" s="3" t="s">
        <v>252</v>
      </c>
      <c r="B169" s="3" t="s">
        <v>121</v>
      </c>
      <c r="C169" s="3"/>
      <c r="D169" s="4" t="s">
        <v>243</v>
      </c>
      <c r="E169" s="4" t="s">
        <v>3</v>
      </c>
      <c r="F169" s="4">
        <v>2022</v>
      </c>
      <c r="G169" s="8">
        <v>0.2</v>
      </c>
      <c r="H169" s="4" t="s">
        <v>3</v>
      </c>
      <c r="I169" s="8">
        <v>3.1</v>
      </c>
      <c r="J169" s="3">
        <v>15013</v>
      </c>
      <c r="K169" s="3">
        <v>50604</v>
      </c>
      <c r="L169" s="17" t="str" cm="1">
        <f t="array" ref="L169">_xlfn.IFS(MID(K169,2,2)="01", "서울", MID(K169,2,2)="02","경기",MID(K169,2,2)="03","충청",MID(K169,2,2)="04","충청",MID(K169,2,2)="05","전라",MID(K169,2,2)="06","전라",MID(K169,2,2)="07","경북",MID(K169,2,2)="08","경남",MID(K169,2,2)="09","강원",MID(K169,2,2)="10","제주",TRUE,"국외")</f>
        <v>전라</v>
      </c>
    </row>
    <row r="170" spans="1:12" ht="17.25" thickBot="1">
      <c r="A170" s="3" t="s">
        <v>253</v>
      </c>
      <c r="B170" s="3" t="s">
        <v>128</v>
      </c>
      <c r="C170" s="3"/>
      <c r="D170" s="4" t="s">
        <v>254</v>
      </c>
      <c r="E170" s="4" t="s">
        <v>6</v>
      </c>
      <c r="F170" s="4">
        <v>2022</v>
      </c>
      <c r="G170" s="8">
        <v>-0.1</v>
      </c>
      <c r="H170" s="4" t="s">
        <v>6</v>
      </c>
      <c r="I170" s="8">
        <v>0.2</v>
      </c>
      <c r="J170" s="3">
        <v>15057</v>
      </c>
      <c r="K170" s="3">
        <v>50901</v>
      </c>
      <c r="L170" s="17" t="str" cm="1">
        <f t="array" ref="L170">_xlfn.IFS(MID(K170,2,2)="01", "서울", MID(K170,2,2)="02","경기",MID(K170,2,2)="03","충청",MID(K170,2,2)="04","충청",MID(K170,2,2)="05","전라",MID(K170,2,2)="06","전라",MID(K170,2,2)="07","경북",MID(K170,2,2)="08","경남",MID(K170,2,2)="09","강원",MID(K170,2,2)="10","제주",TRUE,"국외")</f>
        <v>강원</v>
      </c>
    </row>
    <row r="171" spans="1:12" ht="17.25" thickBot="1">
      <c r="A171" s="3" t="s">
        <v>255</v>
      </c>
      <c r="B171" s="3" t="s">
        <v>147</v>
      </c>
      <c r="C171" s="3"/>
      <c r="D171" s="4" t="s">
        <v>254</v>
      </c>
      <c r="E171" s="4" t="s">
        <v>28</v>
      </c>
      <c r="F171" s="4">
        <v>2022</v>
      </c>
      <c r="G171" s="8">
        <v>0</v>
      </c>
      <c r="H171" s="4" t="s">
        <v>28</v>
      </c>
      <c r="I171" s="8">
        <v>0</v>
      </c>
      <c r="J171" s="3">
        <v>15090</v>
      </c>
      <c r="K171" s="3">
        <v>50208</v>
      </c>
      <c r="L171" s="17" t="str" cm="1">
        <f t="array" ref="L171">_xlfn.IFS(MID(K171,2,2)="01", "서울", MID(K171,2,2)="02","경기",MID(K171,2,2)="03","충청",MID(K171,2,2)="04","충청",MID(K171,2,2)="05","전라",MID(K171,2,2)="06","전라",MID(K171,2,2)="07","경북",MID(K171,2,2)="08","경남",MID(K171,2,2)="09","강원",MID(K171,2,2)="10","제주",TRUE,"국외")</f>
        <v>경기</v>
      </c>
    </row>
    <row r="172" spans="1:12" ht="17.25" thickBot="1">
      <c r="A172" s="3" t="s">
        <v>256</v>
      </c>
      <c r="B172" s="3" t="s">
        <v>11</v>
      </c>
      <c r="C172" s="3"/>
      <c r="D172" s="4" t="s">
        <v>254</v>
      </c>
      <c r="E172" s="4" t="s">
        <v>20</v>
      </c>
      <c r="F172" s="4">
        <v>2022</v>
      </c>
      <c r="G172" s="8">
        <v>0.1</v>
      </c>
      <c r="H172" s="4" t="s">
        <v>20</v>
      </c>
      <c r="I172" s="8">
        <v>0.1</v>
      </c>
      <c r="J172" s="3">
        <v>15079</v>
      </c>
      <c r="K172" s="3">
        <v>50802</v>
      </c>
      <c r="L172" s="17" t="str" cm="1">
        <f t="array" ref="L172">_xlfn.IFS(MID(K172,2,2)="01", "서울", MID(K172,2,2)="02","경기",MID(K172,2,2)="03","충청",MID(K172,2,2)="04","충청",MID(K172,2,2)="05","전라",MID(K172,2,2)="06","전라",MID(K172,2,2)="07","경북",MID(K172,2,2)="08","경남",MID(K172,2,2)="09","강원",MID(K172,2,2)="10","제주",TRUE,"국외")</f>
        <v>경남</v>
      </c>
    </row>
    <row r="173" spans="1:12" ht="17.25" thickBot="1">
      <c r="A173" s="3" t="s">
        <v>257</v>
      </c>
      <c r="B173" s="3" t="s">
        <v>105</v>
      </c>
      <c r="C173" s="3"/>
      <c r="D173" s="4" t="s">
        <v>254</v>
      </c>
      <c r="E173" s="4" t="s">
        <v>12</v>
      </c>
      <c r="F173" s="4"/>
      <c r="G173" s="9"/>
      <c r="H173" s="4"/>
      <c r="I173" s="9"/>
      <c r="J173" s="3">
        <v>15111</v>
      </c>
      <c r="K173" s="3">
        <v>50212</v>
      </c>
      <c r="L173" s="17" t="str" cm="1">
        <f t="array" ref="L173">_xlfn.IFS(MID(K173,2,2)="01", "서울", MID(K173,2,2)="02","경기",MID(K173,2,2)="03","충청",MID(K173,2,2)="04","충청",MID(K173,2,2)="05","전라",MID(K173,2,2)="06","전라",MID(K173,2,2)="07","경북",MID(K173,2,2)="08","경남",MID(K173,2,2)="09","강원",MID(K173,2,2)="10","제주",TRUE,"국외")</f>
        <v>경기</v>
      </c>
    </row>
    <row r="174" spans="1:12" ht="17.25" thickBot="1">
      <c r="A174" s="3" t="s">
        <v>258</v>
      </c>
      <c r="B174" s="3" t="s">
        <v>96</v>
      </c>
      <c r="C174" s="3"/>
      <c r="D174" s="4" t="s">
        <v>254</v>
      </c>
      <c r="E174" s="4" t="s">
        <v>15</v>
      </c>
      <c r="F174" s="4">
        <v>2022</v>
      </c>
      <c r="G174" s="8">
        <v>0</v>
      </c>
      <c r="H174" s="4" t="s">
        <v>15</v>
      </c>
      <c r="I174" s="8">
        <v>-0.1</v>
      </c>
      <c r="J174" s="3">
        <v>15024</v>
      </c>
      <c r="K174" s="3">
        <v>50601</v>
      </c>
      <c r="L174" s="17" t="str" cm="1">
        <f t="array" ref="L174">_xlfn.IFS(MID(K174,2,2)="01", "서울", MID(K174,2,2)="02","경기",MID(K174,2,2)="03","충청",MID(K174,2,2)="04","충청",MID(K174,2,2)="05","전라",MID(K174,2,2)="06","전라",MID(K174,2,2)="07","경북",MID(K174,2,2)="08","경남",MID(K174,2,2)="09","강원",MID(K174,2,2)="10","제주",TRUE,"국외")</f>
        <v>전라</v>
      </c>
    </row>
    <row r="175" spans="1:12" ht="17.25" thickBot="1">
      <c r="A175" s="3" t="s">
        <v>259</v>
      </c>
      <c r="B175" s="3" t="s">
        <v>158</v>
      </c>
      <c r="C175" s="3"/>
      <c r="D175" s="4" t="s">
        <v>254</v>
      </c>
      <c r="E175" s="4" t="s">
        <v>26</v>
      </c>
      <c r="F175" s="4"/>
      <c r="G175" s="9"/>
      <c r="H175" s="4"/>
      <c r="I175" s="9"/>
      <c r="J175" s="3">
        <v>15100</v>
      </c>
      <c r="K175" s="3">
        <v>50501</v>
      </c>
      <c r="L175" s="17" t="str" cm="1">
        <f t="array" ref="L175">_xlfn.IFS(MID(K175,2,2)="01", "서울", MID(K175,2,2)="02","경기",MID(K175,2,2)="03","충청",MID(K175,2,2)="04","충청",MID(K175,2,2)="05","전라",MID(K175,2,2)="06","전라",MID(K175,2,2)="07","경북",MID(K175,2,2)="08","경남",MID(K175,2,2)="09","강원",MID(K175,2,2)="10","제주",TRUE,"국외")</f>
        <v>전라</v>
      </c>
    </row>
    <row r="176" spans="1:12" ht="17.25" thickBot="1">
      <c r="A176" s="3" t="s">
        <v>260</v>
      </c>
      <c r="B176" s="3" t="s">
        <v>1</v>
      </c>
      <c r="C176" s="3"/>
      <c r="D176" s="4" t="s">
        <v>254</v>
      </c>
      <c r="E176" s="4" t="s">
        <v>9</v>
      </c>
      <c r="F176" s="4">
        <v>2022</v>
      </c>
      <c r="G176" s="8">
        <v>-0.6</v>
      </c>
      <c r="H176" s="4" t="s">
        <v>9</v>
      </c>
      <c r="I176" s="8">
        <v>-0.6</v>
      </c>
      <c r="J176" s="3">
        <v>15046</v>
      </c>
      <c r="K176" s="3">
        <v>50107</v>
      </c>
      <c r="L176" s="17" t="str" cm="1">
        <f t="array" ref="L176">_xlfn.IFS(MID(K176,2,2)="01", "서울", MID(K176,2,2)="02","경기",MID(K176,2,2)="03","충청",MID(K176,2,2)="04","충청",MID(K176,2,2)="05","전라",MID(K176,2,2)="06","전라",MID(K176,2,2)="07","경북",MID(K176,2,2)="08","경남",MID(K176,2,2)="09","강원",MID(K176,2,2)="10","제주",TRUE,"국외")</f>
        <v>서울</v>
      </c>
    </row>
    <row r="177" spans="1:12" ht="17.25" thickBot="1">
      <c r="A177" s="3" t="s">
        <v>261</v>
      </c>
      <c r="B177" s="3" t="s">
        <v>262</v>
      </c>
      <c r="C177" s="3"/>
      <c r="D177" s="4" t="s">
        <v>254</v>
      </c>
      <c r="E177" s="4" t="s">
        <v>23</v>
      </c>
      <c r="F177" s="4">
        <v>2022</v>
      </c>
      <c r="G177" s="8">
        <v>0</v>
      </c>
      <c r="H177" s="4" t="s">
        <v>23</v>
      </c>
      <c r="I177" s="8">
        <v>0.2</v>
      </c>
      <c r="J177" s="3">
        <v>15035</v>
      </c>
      <c r="K177" s="3">
        <v>50811</v>
      </c>
      <c r="L177" s="17" t="str" cm="1">
        <f t="array" ref="L177">_xlfn.IFS(MID(K177,2,2)="01", "서울", MID(K177,2,2)="02","경기",MID(K177,2,2)="03","충청",MID(K177,2,2)="04","충청",MID(K177,2,2)="05","전라",MID(K177,2,2)="06","전라",MID(K177,2,2)="07","경북",MID(K177,2,2)="08","경남",MID(K177,2,2)="09","강원",MID(K177,2,2)="10","제주",TRUE,"국외")</f>
        <v>경남</v>
      </c>
    </row>
    <row r="178" spans="1:12" ht="17.25" thickBot="1">
      <c r="A178" s="3" t="s">
        <v>263</v>
      </c>
      <c r="B178" s="3" t="s">
        <v>25</v>
      </c>
      <c r="C178" s="3"/>
      <c r="D178" s="4" t="s">
        <v>254</v>
      </c>
      <c r="E178" s="4" t="s">
        <v>18</v>
      </c>
      <c r="F178" s="4">
        <v>2022</v>
      </c>
      <c r="G178" s="8">
        <v>-0.7</v>
      </c>
      <c r="H178" s="4" t="s">
        <v>18</v>
      </c>
      <c r="I178" s="8">
        <v>-1.2</v>
      </c>
      <c r="J178" s="3">
        <v>15068</v>
      </c>
      <c r="K178" s="3">
        <v>50403</v>
      </c>
      <c r="L178" s="17" t="str" cm="1">
        <f t="array" ref="L178">_xlfn.IFS(MID(K178,2,2)="01", "서울", MID(K178,2,2)="02","경기",MID(K178,2,2)="03","충청",MID(K178,2,2)="04","충청",MID(K178,2,2)="05","전라",MID(K178,2,2)="06","전라",MID(K178,2,2)="07","경북",MID(K178,2,2)="08","경남",MID(K178,2,2)="09","강원",MID(K178,2,2)="10","제주",TRUE,"국외")</f>
        <v>충청</v>
      </c>
    </row>
    <row r="179" spans="1:12" ht="17.25" thickBot="1">
      <c r="A179" s="3" t="s">
        <v>264</v>
      </c>
      <c r="B179" s="3" t="s">
        <v>50</v>
      </c>
      <c r="C179" s="3"/>
      <c r="D179" s="4" t="s">
        <v>254</v>
      </c>
      <c r="E179" s="4" t="s">
        <v>3</v>
      </c>
      <c r="F179" s="4">
        <v>2022</v>
      </c>
      <c r="G179" s="8">
        <v>-0.2</v>
      </c>
      <c r="H179" s="4" t="s">
        <v>3</v>
      </c>
      <c r="I179" s="8">
        <v>-0.3</v>
      </c>
      <c r="J179" s="3">
        <v>15014</v>
      </c>
      <c r="K179" s="3">
        <v>50301</v>
      </c>
      <c r="L179" s="17" t="str" cm="1">
        <f t="array" ref="L179">_xlfn.IFS(MID(K179,2,2)="01", "서울", MID(K179,2,2)="02","경기",MID(K179,2,2)="03","충청",MID(K179,2,2)="04","충청",MID(K179,2,2)="05","전라",MID(K179,2,2)="06","전라",MID(K179,2,2)="07","경북",MID(K179,2,2)="08","경남",MID(K179,2,2)="09","강원",MID(K179,2,2)="10","제주",TRUE,"국외")</f>
        <v>충청</v>
      </c>
    </row>
    <row r="180" spans="1:12" ht="17.25" thickBot="1">
      <c r="A180" s="3" t="s">
        <v>265</v>
      </c>
      <c r="B180" s="3" t="s">
        <v>107</v>
      </c>
      <c r="C180" s="3"/>
      <c r="D180" s="4" t="s">
        <v>254</v>
      </c>
      <c r="E180" s="4" t="s">
        <v>6</v>
      </c>
      <c r="F180" s="4">
        <v>2023</v>
      </c>
      <c r="G180" s="9"/>
      <c r="H180" s="4" t="s">
        <v>6</v>
      </c>
      <c r="I180" s="8">
        <v>-0.1</v>
      </c>
      <c r="J180" s="3">
        <v>15058</v>
      </c>
      <c r="K180" s="3">
        <v>50602</v>
      </c>
      <c r="L180" s="17" t="str" cm="1">
        <f t="array" ref="L180">_xlfn.IFS(MID(K180,2,2)="01", "서울", MID(K180,2,2)="02","경기",MID(K180,2,2)="03","충청",MID(K180,2,2)="04","충청",MID(K180,2,2)="05","전라",MID(K180,2,2)="06","전라",MID(K180,2,2)="07","경북",MID(K180,2,2)="08","경남",MID(K180,2,2)="09","강원",MID(K180,2,2)="10","제주",TRUE,"국외")</f>
        <v>전라</v>
      </c>
    </row>
    <row r="181" spans="1:12" ht="17.25" thickBot="1">
      <c r="A181" s="3" t="s">
        <v>266</v>
      </c>
      <c r="B181" s="3" t="s">
        <v>22</v>
      </c>
      <c r="C181" s="3"/>
      <c r="D181" s="4" t="s">
        <v>254</v>
      </c>
      <c r="E181" s="4" t="s">
        <v>28</v>
      </c>
      <c r="F181" s="4"/>
      <c r="G181" s="9"/>
      <c r="H181" s="4"/>
      <c r="I181" s="9"/>
      <c r="J181" s="3">
        <v>15091</v>
      </c>
      <c r="K181" s="3">
        <v>50209</v>
      </c>
      <c r="L181" s="17" t="str" cm="1">
        <f t="array" ref="L181">_xlfn.IFS(MID(K181,2,2)="01", "서울", MID(K181,2,2)="02","경기",MID(K181,2,2)="03","충청",MID(K181,2,2)="04","충청",MID(K181,2,2)="05","전라",MID(K181,2,2)="06","전라",MID(K181,2,2)="07","경북",MID(K181,2,2)="08","경남",MID(K181,2,2)="09","강원",MID(K181,2,2)="10","제주",TRUE,"국외")</f>
        <v>경기</v>
      </c>
    </row>
    <row r="182" spans="1:12" ht="17.25" thickBot="1">
      <c r="A182" s="3" t="s">
        <v>267</v>
      </c>
      <c r="B182" s="3" t="s">
        <v>268</v>
      </c>
      <c r="C182" s="3"/>
      <c r="D182" s="4" t="s">
        <v>254</v>
      </c>
      <c r="E182" s="4" t="s">
        <v>20</v>
      </c>
      <c r="F182" s="4"/>
      <c r="G182" s="9"/>
      <c r="H182" s="4"/>
      <c r="I182" s="9"/>
      <c r="J182" s="3">
        <v>15080</v>
      </c>
      <c r="K182" s="3">
        <v>50117</v>
      </c>
      <c r="L182" s="17" t="str" cm="1">
        <f t="array" ref="L182">_xlfn.IFS(MID(K182,2,2)="01", "서울", MID(K182,2,2)="02","경기",MID(K182,2,2)="03","충청",MID(K182,2,2)="04","충청",MID(K182,2,2)="05","전라",MID(K182,2,2)="06","전라",MID(K182,2,2)="07","경북",MID(K182,2,2)="08","경남",MID(K182,2,2)="09","강원",MID(K182,2,2)="10","제주",TRUE,"국외")</f>
        <v>서울</v>
      </c>
    </row>
    <row r="183" spans="1:12" ht="17.25" thickBot="1">
      <c r="A183" s="3" t="s">
        <v>269</v>
      </c>
      <c r="B183" s="3" t="s">
        <v>70</v>
      </c>
      <c r="C183" s="3" t="s">
        <v>45</v>
      </c>
      <c r="D183" s="4" t="s">
        <v>254</v>
      </c>
      <c r="E183" s="4" t="s">
        <v>12</v>
      </c>
      <c r="F183" s="4">
        <v>2022</v>
      </c>
      <c r="G183" s="8">
        <v>0</v>
      </c>
      <c r="H183" s="4" t="s">
        <v>12</v>
      </c>
      <c r="I183" s="8">
        <v>0</v>
      </c>
      <c r="J183" s="3">
        <v>15112</v>
      </c>
      <c r="K183" s="3">
        <v>50103</v>
      </c>
      <c r="L183" s="17" t="str" cm="1">
        <f t="array" ref="L183">_xlfn.IFS(MID(K183,2,2)="01", "서울", MID(K183,2,2)="02","경기",MID(K183,2,2)="03","충청",MID(K183,2,2)="04","충청",MID(K183,2,2)="05","전라",MID(K183,2,2)="06","전라",MID(K183,2,2)="07","경북",MID(K183,2,2)="08","경남",MID(K183,2,2)="09","강원",MID(K183,2,2)="10","제주",TRUE,"국외")</f>
        <v>서울</v>
      </c>
    </row>
    <row r="184" spans="1:12" ht="17.25" thickBot="1">
      <c r="A184" s="3" t="s">
        <v>270</v>
      </c>
      <c r="B184" s="3" t="s">
        <v>271</v>
      </c>
      <c r="C184" s="3"/>
      <c r="D184" s="4" t="s">
        <v>254</v>
      </c>
      <c r="E184" s="4" t="s">
        <v>15</v>
      </c>
      <c r="F184" s="4"/>
      <c r="G184" s="9"/>
      <c r="H184" s="4"/>
      <c r="I184" s="9"/>
      <c r="J184" s="3">
        <v>15025</v>
      </c>
      <c r="K184" s="3">
        <v>50213</v>
      </c>
      <c r="L184" s="17" t="str" cm="1">
        <f t="array" ref="L184">_xlfn.IFS(MID(K184,2,2)="01", "서울", MID(K184,2,2)="02","경기",MID(K184,2,2)="03","충청",MID(K184,2,2)="04","충청",MID(K184,2,2)="05","전라",MID(K184,2,2)="06","전라",MID(K184,2,2)="07","경북",MID(K184,2,2)="08","경남",MID(K184,2,2)="09","강원",MID(K184,2,2)="10","제주",TRUE,"국외")</f>
        <v>경기</v>
      </c>
    </row>
    <row r="185" spans="1:12" ht="17.25" thickBot="1">
      <c r="A185" s="3" t="s">
        <v>272</v>
      </c>
      <c r="B185" s="3" t="s">
        <v>11</v>
      </c>
      <c r="C185" s="3"/>
      <c r="D185" s="4" t="s">
        <v>254</v>
      </c>
      <c r="E185" s="4" t="s">
        <v>26</v>
      </c>
      <c r="F185" s="4">
        <v>2023</v>
      </c>
      <c r="G185" s="9"/>
      <c r="H185" s="4" t="s">
        <v>26</v>
      </c>
      <c r="I185" s="8">
        <v>-0.1</v>
      </c>
      <c r="J185" s="3">
        <v>15101</v>
      </c>
      <c r="K185" s="3">
        <v>50802</v>
      </c>
      <c r="L185" s="17" t="str" cm="1">
        <f t="array" ref="L185">_xlfn.IFS(MID(K185,2,2)="01", "서울", MID(K185,2,2)="02","경기",MID(K185,2,2)="03","충청",MID(K185,2,2)="04","충청",MID(K185,2,2)="05","전라",MID(K185,2,2)="06","전라",MID(K185,2,2)="07","경북",MID(K185,2,2)="08","경남",MID(K185,2,2)="09","강원",MID(K185,2,2)="10","제주",TRUE,"국외")</f>
        <v>경남</v>
      </c>
    </row>
    <row r="186" spans="1:12" ht="17.25" thickBot="1">
      <c r="A186" s="3" t="s">
        <v>273</v>
      </c>
      <c r="B186" s="3" t="s">
        <v>34</v>
      </c>
      <c r="C186" s="3"/>
      <c r="D186" s="4" t="s">
        <v>254</v>
      </c>
      <c r="E186" s="4" t="s">
        <v>9</v>
      </c>
      <c r="F186" s="4">
        <v>2022</v>
      </c>
      <c r="G186" s="8">
        <v>-0.1</v>
      </c>
      <c r="H186" s="4" t="s">
        <v>9</v>
      </c>
      <c r="I186" s="8">
        <v>-0.1</v>
      </c>
      <c r="J186" s="3">
        <v>15047</v>
      </c>
      <c r="K186" s="3">
        <v>50701</v>
      </c>
      <c r="L186" s="17" t="str" cm="1">
        <f t="array" ref="L186">_xlfn.IFS(MID(K186,2,2)="01", "서울", MID(K186,2,2)="02","경기",MID(K186,2,2)="03","충청",MID(K186,2,2)="04","충청",MID(K186,2,2)="05","전라",MID(K186,2,2)="06","전라",MID(K186,2,2)="07","경북",MID(K186,2,2)="08","경남",MID(K186,2,2)="09","강원",MID(K186,2,2)="10","제주",TRUE,"국외")</f>
        <v>경북</v>
      </c>
    </row>
    <row r="187" spans="1:12" ht="17.25" thickBot="1">
      <c r="A187" s="3" t="s">
        <v>274</v>
      </c>
      <c r="B187" s="3" t="s">
        <v>275</v>
      </c>
      <c r="C187" s="3" t="s">
        <v>119</v>
      </c>
      <c r="D187" s="4" t="s">
        <v>254</v>
      </c>
      <c r="E187" s="4" t="s">
        <v>23</v>
      </c>
      <c r="F187" s="4">
        <v>2022</v>
      </c>
      <c r="G187" s="8">
        <v>0.3</v>
      </c>
      <c r="H187" s="4" t="s">
        <v>23</v>
      </c>
      <c r="I187" s="8">
        <v>0.3</v>
      </c>
      <c r="J187" s="3">
        <v>15036</v>
      </c>
      <c r="K187" s="3">
        <v>51001</v>
      </c>
      <c r="L187" s="17" t="str" cm="1">
        <f t="array" ref="L187">_xlfn.IFS(MID(K187,2,2)="01", "서울", MID(K187,2,2)="02","경기",MID(K187,2,2)="03","충청",MID(K187,2,2)="04","충청",MID(K187,2,2)="05","전라",MID(K187,2,2)="06","전라",MID(K187,2,2)="07","경북",MID(K187,2,2)="08","경남",MID(K187,2,2)="09","강원",MID(K187,2,2)="10","제주",TRUE,"국외")</f>
        <v>제주</v>
      </c>
    </row>
    <row r="188" spans="1:12" ht="17.25" thickBot="1">
      <c r="A188" s="3" t="s">
        <v>276</v>
      </c>
      <c r="B188" s="3" t="s">
        <v>101</v>
      </c>
      <c r="C188" s="3"/>
      <c r="D188" s="4" t="s">
        <v>254</v>
      </c>
      <c r="E188" s="4" t="s">
        <v>18</v>
      </c>
      <c r="F188" s="4">
        <v>2022</v>
      </c>
      <c r="G188" s="8">
        <v>-0.1</v>
      </c>
      <c r="H188" s="4" t="s">
        <v>18</v>
      </c>
      <c r="I188" s="8">
        <v>-0.1</v>
      </c>
      <c r="J188" s="3">
        <v>15069</v>
      </c>
      <c r="K188" s="3">
        <v>50207</v>
      </c>
      <c r="L188" s="17" t="str" cm="1">
        <f t="array" ref="L188">_xlfn.IFS(MID(K188,2,2)="01", "서울", MID(K188,2,2)="02","경기",MID(K188,2,2)="03","충청",MID(K188,2,2)="04","충청",MID(K188,2,2)="05","전라",MID(K188,2,2)="06","전라",MID(K188,2,2)="07","경북",MID(K188,2,2)="08","경남",MID(K188,2,2)="09","강원",MID(K188,2,2)="10","제주",TRUE,"국외")</f>
        <v>경기</v>
      </c>
    </row>
    <row r="189" spans="1:12" ht="17.25" thickBot="1">
      <c r="A189" s="3" t="s">
        <v>277</v>
      </c>
      <c r="B189" s="3" t="s">
        <v>169</v>
      </c>
      <c r="C189" s="3"/>
      <c r="D189" s="4" t="s">
        <v>254</v>
      </c>
      <c r="E189" s="4" t="s">
        <v>3</v>
      </c>
      <c r="F189" s="4">
        <v>2022</v>
      </c>
      <c r="G189" s="8">
        <v>-0.2</v>
      </c>
      <c r="H189" s="4" t="s">
        <v>3</v>
      </c>
      <c r="I189" s="8">
        <v>-0.2</v>
      </c>
      <c r="J189" s="3">
        <v>15015</v>
      </c>
      <c r="K189" s="3">
        <v>50606</v>
      </c>
      <c r="L189" s="17" t="str" cm="1">
        <f t="array" ref="L189">_xlfn.IFS(MID(K189,2,2)="01", "서울", MID(K189,2,2)="02","경기",MID(K189,2,2)="03","충청",MID(K189,2,2)="04","충청",MID(K189,2,2)="05","전라",MID(K189,2,2)="06","전라",MID(K189,2,2)="07","경북",MID(K189,2,2)="08","경남",MID(K189,2,2)="09","강원",MID(K189,2,2)="10","제주",TRUE,"국외")</f>
        <v>전라</v>
      </c>
    </row>
    <row r="190" spans="1:12" ht="17.25" thickBot="1">
      <c r="A190" s="3" t="s">
        <v>278</v>
      </c>
      <c r="B190" s="3" t="s">
        <v>81</v>
      </c>
      <c r="C190" s="3"/>
      <c r="D190" s="4" t="s">
        <v>254</v>
      </c>
      <c r="E190" s="4" t="s">
        <v>6</v>
      </c>
      <c r="F190" s="4"/>
      <c r="G190" s="9"/>
      <c r="H190" s="4"/>
      <c r="I190" s="9"/>
      <c r="J190" s="3">
        <v>15059</v>
      </c>
      <c r="K190" s="3">
        <v>50105</v>
      </c>
      <c r="L190" s="17" t="str" cm="1">
        <f t="array" ref="L190">_xlfn.IFS(MID(K190,2,2)="01", "서울", MID(K190,2,2)="02","경기",MID(K190,2,2)="03","충청",MID(K190,2,2)="04","충청",MID(K190,2,2)="05","전라",MID(K190,2,2)="06","전라",MID(K190,2,2)="07","경북",MID(K190,2,2)="08","경남",MID(K190,2,2)="09","강원",MID(K190,2,2)="10","제주",TRUE,"국외")</f>
        <v>서울</v>
      </c>
    </row>
    <row r="191" spans="1:12" ht="17.25" thickBot="1">
      <c r="A191" s="3" t="s">
        <v>279</v>
      </c>
      <c r="B191" s="3" t="s">
        <v>40</v>
      </c>
      <c r="C191" s="3"/>
      <c r="D191" s="4" t="s">
        <v>254</v>
      </c>
      <c r="E191" s="4" t="s">
        <v>20</v>
      </c>
      <c r="F191" s="4"/>
      <c r="G191" s="9"/>
      <c r="H191" s="4"/>
      <c r="I191" s="9"/>
      <c r="J191" s="3">
        <v>15081</v>
      </c>
      <c r="K191" s="3">
        <v>50108</v>
      </c>
      <c r="L191" s="17" t="str" cm="1">
        <f t="array" ref="L191">_xlfn.IFS(MID(K191,2,2)="01", "서울", MID(K191,2,2)="02","경기",MID(K191,2,2)="03","충청",MID(K191,2,2)="04","충청",MID(K191,2,2)="05","전라",MID(K191,2,2)="06","전라",MID(K191,2,2)="07","경북",MID(K191,2,2)="08","경남",MID(K191,2,2)="09","강원",MID(K191,2,2)="10","제주",TRUE,"국외")</f>
        <v>서울</v>
      </c>
    </row>
    <row r="192" spans="1:12" ht="17.25" thickBot="1">
      <c r="A192" s="3" t="s">
        <v>280</v>
      </c>
      <c r="B192" s="3" t="s">
        <v>107</v>
      </c>
      <c r="C192" s="3"/>
      <c r="D192" s="4" t="s">
        <v>254</v>
      </c>
      <c r="E192" s="4" t="s">
        <v>12</v>
      </c>
      <c r="F192" s="4"/>
      <c r="G192" s="9"/>
      <c r="H192" s="4"/>
      <c r="I192" s="9"/>
      <c r="J192" s="3">
        <v>15113</v>
      </c>
      <c r="K192" s="3">
        <v>50602</v>
      </c>
      <c r="L192" s="17" t="str" cm="1">
        <f t="array" ref="L192">_xlfn.IFS(MID(K192,2,2)="01", "서울", MID(K192,2,2)="02","경기",MID(K192,2,2)="03","충청",MID(K192,2,2)="04","충청",MID(K192,2,2)="05","전라",MID(K192,2,2)="06","전라",MID(K192,2,2)="07","경북",MID(K192,2,2)="08","경남",MID(K192,2,2)="09","강원",MID(K192,2,2)="10","제주",TRUE,"국외")</f>
        <v>전라</v>
      </c>
    </row>
    <row r="193" spans="1:12" ht="17.25" thickBot="1">
      <c r="A193" s="3" t="s">
        <v>281</v>
      </c>
      <c r="B193" s="3" t="s">
        <v>34</v>
      </c>
      <c r="C193" s="3"/>
      <c r="D193" s="4" t="s">
        <v>254</v>
      </c>
      <c r="E193" s="4" t="s">
        <v>15</v>
      </c>
      <c r="F193" s="4"/>
      <c r="G193" s="9"/>
      <c r="H193" s="4"/>
      <c r="I193" s="9"/>
      <c r="J193" s="3">
        <v>15026</v>
      </c>
      <c r="K193" s="3">
        <v>50701</v>
      </c>
      <c r="L193" s="17" t="str" cm="1">
        <f t="array" ref="L193">_xlfn.IFS(MID(K193,2,2)="01", "서울", MID(K193,2,2)="02","경기",MID(K193,2,2)="03","충청",MID(K193,2,2)="04","충청",MID(K193,2,2)="05","전라",MID(K193,2,2)="06","전라",MID(K193,2,2)="07","경북",MID(K193,2,2)="08","경남",MID(K193,2,2)="09","강원",MID(K193,2,2)="10","제주",TRUE,"국외")</f>
        <v>경북</v>
      </c>
    </row>
    <row r="194" spans="1:12" ht="17.25" thickBot="1">
      <c r="A194" s="3" t="s">
        <v>282</v>
      </c>
      <c r="B194" s="3" t="s">
        <v>8</v>
      </c>
      <c r="C194" s="3"/>
      <c r="D194" s="4" t="s">
        <v>254</v>
      </c>
      <c r="E194" s="4" t="s">
        <v>26</v>
      </c>
      <c r="F194" s="4"/>
      <c r="G194" s="9"/>
      <c r="H194" s="4"/>
      <c r="I194" s="9"/>
      <c r="J194" s="3">
        <v>15102</v>
      </c>
      <c r="K194" s="3">
        <v>50116</v>
      </c>
      <c r="L194" s="17" t="str" cm="1">
        <f t="array" ref="L194">_xlfn.IFS(MID(K194,2,2)="01", "서울", MID(K194,2,2)="02","경기",MID(K194,2,2)="03","충청",MID(K194,2,2)="04","충청",MID(K194,2,2)="05","전라",MID(K194,2,2)="06","전라",MID(K194,2,2)="07","경북",MID(K194,2,2)="08","경남",MID(K194,2,2)="09","강원",MID(K194,2,2)="10","제주",TRUE,"국외")</f>
        <v>서울</v>
      </c>
    </row>
    <row r="195" spans="1:12" ht="17.25" thickBot="1">
      <c r="A195" s="3" t="s">
        <v>283</v>
      </c>
      <c r="B195" s="3" t="s">
        <v>101</v>
      </c>
      <c r="C195" s="3"/>
      <c r="D195" s="4" t="s">
        <v>254</v>
      </c>
      <c r="E195" s="4" t="s">
        <v>9</v>
      </c>
      <c r="F195" s="4">
        <v>2022</v>
      </c>
      <c r="G195" s="8">
        <v>-0.4</v>
      </c>
      <c r="H195" s="4" t="s">
        <v>9</v>
      </c>
      <c r="I195" s="8">
        <v>0.5</v>
      </c>
      <c r="J195" s="3">
        <v>15048</v>
      </c>
      <c r="K195" s="3">
        <v>50207</v>
      </c>
      <c r="L195" s="17" t="str" cm="1">
        <f t="array" ref="L195">_xlfn.IFS(MID(K195,2,2)="01", "서울", MID(K195,2,2)="02","경기",MID(K195,2,2)="03","충청",MID(K195,2,2)="04","충청",MID(K195,2,2)="05","전라",MID(K195,2,2)="06","전라",MID(K195,2,2)="07","경북",MID(K195,2,2)="08","경남",MID(K195,2,2)="09","강원",MID(K195,2,2)="10","제주",TRUE,"국외")</f>
        <v>경기</v>
      </c>
    </row>
    <row r="196" spans="1:12" ht="17.25" thickBot="1">
      <c r="A196" s="3" t="s">
        <v>284</v>
      </c>
      <c r="B196" s="3" t="s">
        <v>128</v>
      </c>
      <c r="C196" s="3"/>
      <c r="D196" s="4" t="s">
        <v>254</v>
      </c>
      <c r="E196" s="4" t="s">
        <v>9</v>
      </c>
      <c r="F196" s="4">
        <v>2022</v>
      </c>
      <c r="G196" s="8">
        <v>0</v>
      </c>
      <c r="H196" s="4" t="s">
        <v>9</v>
      </c>
      <c r="I196" s="8">
        <v>0</v>
      </c>
      <c r="J196" s="3">
        <v>15049</v>
      </c>
      <c r="K196" s="3">
        <v>50901</v>
      </c>
      <c r="L196" s="17" t="str" cm="1">
        <f t="array" ref="L196">_xlfn.IFS(MID(K196,2,2)="01", "서울", MID(K196,2,2)="02","경기",MID(K196,2,2)="03","충청",MID(K196,2,2)="04","충청",MID(K196,2,2)="05","전라",MID(K196,2,2)="06","전라",MID(K196,2,2)="07","경북",MID(K196,2,2)="08","경남",MID(K196,2,2)="09","강원",MID(K196,2,2)="10","제주",TRUE,"국외")</f>
        <v>강원</v>
      </c>
    </row>
    <row r="197" spans="1:12" ht="17.25" thickBot="1">
      <c r="A197" s="3" t="s">
        <v>285</v>
      </c>
      <c r="B197" s="3" t="s">
        <v>128</v>
      </c>
      <c r="C197" s="3"/>
      <c r="D197" s="4" t="s">
        <v>254</v>
      </c>
      <c r="E197" s="4" t="s">
        <v>23</v>
      </c>
      <c r="F197" s="4"/>
      <c r="G197" s="9"/>
      <c r="H197" s="4"/>
      <c r="I197" s="9"/>
      <c r="J197" s="3">
        <v>15037</v>
      </c>
      <c r="K197" s="3">
        <v>50901</v>
      </c>
      <c r="L197" s="17" t="str" cm="1">
        <f t="array" ref="L197">_xlfn.IFS(MID(K197,2,2)="01", "서울", MID(K197,2,2)="02","경기",MID(K197,2,2)="03","충청",MID(K197,2,2)="04","충청",MID(K197,2,2)="05","전라",MID(K197,2,2)="06","전라",MID(K197,2,2)="07","경북",MID(K197,2,2)="08","경남",MID(K197,2,2)="09","강원",MID(K197,2,2)="10","제주",TRUE,"국외")</f>
        <v>강원</v>
      </c>
    </row>
    <row r="198" spans="1:12" ht="17.25" thickBot="1">
      <c r="A198" s="3" t="s">
        <v>286</v>
      </c>
      <c r="B198" s="3" t="s">
        <v>107</v>
      </c>
      <c r="C198" s="3"/>
      <c r="D198" s="4" t="s">
        <v>254</v>
      </c>
      <c r="E198" s="4" t="s">
        <v>18</v>
      </c>
      <c r="F198" s="4"/>
      <c r="G198" s="9"/>
      <c r="H198" s="4"/>
      <c r="I198" s="9"/>
      <c r="J198" s="3">
        <v>15070</v>
      </c>
      <c r="K198" s="3">
        <v>50602</v>
      </c>
      <c r="L198" s="17" t="str" cm="1">
        <f t="array" ref="L198">_xlfn.IFS(MID(K198,2,2)="01", "서울", MID(K198,2,2)="02","경기",MID(K198,2,2)="03","충청",MID(K198,2,2)="04","충청",MID(K198,2,2)="05","전라",MID(K198,2,2)="06","전라",MID(K198,2,2)="07","경북",MID(K198,2,2)="08","경남",MID(K198,2,2)="09","강원",MID(K198,2,2)="10","제주",TRUE,"국외")</f>
        <v>전라</v>
      </c>
    </row>
    <row r="199" spans="1:12" ht="17.25" thickBot="1">
      <c r="A199" s="3" t="s">
        <v>287</v>
      </c>
      <c r="B199" s="3" t="s">
        <v>81</v>
      </c>
      <c r="C199" s="3"/>
      <c r="D199" s="4" t="s">
        <v>254</v>
      </c>
      <c r="E199" s="4" t="s">
        <v>3</v>
      </c>
      <c r="F199" s="4"/>
      <c r="G199" s="9"/>
      <c r="H199" s="4"/>
      <c r="I199" s="9"/>
      <c r="J199" s="3">
        <v>15016</v>
      </c>
      <c r="K199" s="3">
        <v>50105</v>
      </c>
      <c r="L199" s="17" t="str" cm="1">
        <f t="array" ref="L199">_xlfn.IFS(MID(K199,2,2)="01", "서울", MID(K199,2,2)="02","경기",MID(K199,2,2)="03","충청",MID(K199,2,2)="04","충청",MID(K199,2,2)="05","전라",MID(K199,2,2)="06","전라",MID(K199,2,2)="07","경북",MID(K199,2,2)="08","경남",MID(K199,2,2)="09","강원",MID(K199,2,2)="10","제주",TRUE,"국외")</f>
        <v>서울</v>
      </c>
    </row>
    <row r="200" spans="1:12" ht="17.25" thickBot="1">
      <c r="A200" s="3" t="s">
        <v>288</v>
      </c>
      <c r="B200" s="3" t="s">
        <v>42</v>
      </c>
      <c r="C200" s="3"/>
      <c r="D200" s="4" t="s">
        <v>254</v>
      </c>
      <c r="E200" s="4" t="s">
        <v>6</v>
      </c>
      <c r="F200" s="4"/>
      <c r="G200" s="9"/>
      <c r="H200" s="4"/>
      <c r="I200" s="9"/>
      <c r="J200" s="3">
        <v>15060</v>
      </c>
      <c r="K200" s="3">
        <v>50502</v>
      </c>
      <c r="L200" s="17" t="str" cm="1">
        <f t="array" ref="L200">_xlfn.IFS(MID(K200,2,2)="01", "서울", MID(K200,2,2)="02","경기",MID(K200,2,2)="03","충청",MID(K200,2,2)="04","충청",MID(K200,2,2)="05","전라",MID(K200,2,2)="06","전라",MID(K200,2,2)="07","경북",MID(K200,2,2)="08","경남",MID(K200,2,2)="09","강원",MID(K200,2,2)="10","제주",TRUE,"국외")</f>
        <v>전라</v>
      </c>
    </row>
    <row r="201" spans="1:12" ht="17.25" thickBot="1">
      <c r="A201" s="3" t="s">
        <v>289</v>
      </c>
      <c r="B201" s="3" t="s">
        <v>52</v>
      </c>
      <c r="C201" s="3"/>
      <c r="D201" s="4" t="s">
        <v>254</v>
      </c>
      <c r="E201" s="4" t="s">
        <v>28</v>
      </c>
      <c r="F201" s="4"/>
      <c r="G201" s="9"/>
      <c r="H201" s="4"/>
      <c r="I201" s="9"/>
      <c r="J201" s="3">
        <v>15092</v>
      </c>
      <c r="K201" s="3">
        <v>50803</v>
      </c>
      <c r="L201" s="17" t="str" cm="1">
        <f t="array" ref="L201">_xlfn.IFS(MID(K201,2,2)="01", "서울", MID(K201,2,2)="02","경기",MID(K201,2,2)="03","충청",MID(K201,2,2)="04","충청",MID(K201,2,2)="05","전라",MID(K201,2,2)="06","전라",MID(K201,2,2)="07","경북",MID(K201,2,2)="08","경남",MID(K201,2,2)="09","강원",MID(K201,2,2)="10","제주",TRUE,"국외")</f>
        <v>경남</v>
      </c>
    </row>
    <row r="202" spans="1:12" ht="17.25" thickBot="1">
      <c r="A202" s="3" t="s">
        <v>290</v>
      </c>
      <c r="B202" s="3" t="s">
        <v>101</v>
      </c>
      <c r="C202" s="3"/>
      <c r="D202" s="4" t="s">
        <v>254</v>
      </c>
      <c r="E202" s="4" t="s">
        <v>20</v>
      </c>
      <c r="F202" s="4"/>
      <c r="G202" s="9"/>
      <c r="H202" s="4"/>
      <c r="I202" s="9"/>
      <c r="J202" s="3">
        <v>15082</v>
      </c>
      <c r="K202" s="3">
        <v>50207</v>
      </c>
      <c r="L202" s="17" t="str" cm="1">
        <f t="array" ref="L202">_xlfn.IFS(MID(K202,2,2)="01", "서울", MID(K202,2,2)="02","경기",MID(K202,2,2)="03","충청",MID(K202,2,2)="04","충청",MID(K202,2,2)="05","전라",MID(K202,2,2)="06","전라",MID(K202,2,2)="07","경북",MID(K202,2,2)="08","경남",MID(K202,2,2)="09","강원",MID(K202,2,2)="10","제주",TRUE,"국외")</f>
        <v>경기</v>
      </c>
    </row>
    <row r="203" spans="1:12" ht="17.25" thickBot="1">
      <c r="A203" s="3" t="s">
        <v>291</v>
      </c>
      <c r="B203" s="3" t="s">
        <v>78</v>
      </c>
      <c r="C203" s="3" t="s">
        <v>172</v>
      </c>
      <c r="D203" s="4" t="s">
        <v>254</v>
      </c>
      <c r="E203" s="4" t="s">
        <v>12</v>
      </c>
      <c r="F203" s="4"/>
      <c r="G203" s="9"/>
      <c r="H203" s="4"/>
      <c r="I203" s="9"/>
      <c r="J203" s="3">
        <v>15055</v>
      </c>
      <c r="K203" s="3">
        <v>50401</v>
      </c>
      <c r="L203" s="17" t="str" cm="1">
        <f t="array" ref="L203">_xlfn.IFS(MID(K203,2,2)="01", "서울", MID(K203,2,2)="02","경기",MID(K203,2,2)="03","충청",MID(K203,2,2)="04","충청",MID(K203,2,2)="05","전라",MID(K203,2,2)="06","전라",MID(K203,2,2)="07","경북",MID(K203,2,2)="08","경남",MID(K203,2,2)="09","강원",MID(K203,2,2)="10","제주",TRUE,"국외")</f>
        <v>충청</v>
      </c>
    </row>
    <row r="204" spans="1:12" ht="17.25" thickBot="1">
      <c r="A204" s="3" t="s">
        <v>292</v>
      </c>
      <c r="B204" s="3" t="s">
        <v>147</v>
      </c>
      <c r="C204" s="3"/>
      <c r="D204" s="4" t="s">
        <v>254</v>
      </c>
      <c r="E204" s="4" t="s">
        <v>12</v>
      </c>
      <c r="F204" s="4"/>
      <c r="G204" s="9"/>
      <c r="H204" s="4"/>
      <c r="I204" s="9"/>
      <c r="J204" s="3">
        <v>15114</v>
      </c>
      <c r="K204" s="3">
        <v>50208</v>
      </c>
      <c r="L204" s="17" t="str" cm="1">
        <f t="array" ref="L204">_xlfn.IFS(MID(K204,2,2)="01", "서울", MID(K204,2,2)="02","경기",MID(K204,2,2)="03","충청",MID(K204,2,2)="04","충청",MID(K204,2,2)="05","전라",MID(K204,2,2)="06","전라",MID(K204,2,2)="07","경북",MID(K204,2,2)="08","경남",MID(K204,2,2)="09","강원",MID(K204,2,2)="10","제주",TRUE,"국외")</f>
        <v>경기</v>
      </c>
    </row>
    <row r="205" spans="1:12" ht="17.25" thickBot="1">
      <c r="A205" s="3" t="s">
        <v>293</v>
      </c>
      <c r="B205" s="3" t="s">
        <v>294</v>
      </c>
      <c r="C205" s="3"/>
      <c r="D205" s="4" t="s">
        <v>254</v>
      </c>
      <c r="E205" s="4" t="s">
        <v>26</v>
      </c>
      <c r="F205" s="4"/>
      <c r="G205" s="9"/>
      <c r="H205" s="4"/>
      <c r="I205" s="9"/>
      <c r="J205" s="3">
        <v>15103</v>
      </c>
      <c r="K205" s="3">
        <v>50504</v>
      </c>
      <c r="L205" s="17" t="str" cm="1">
        <f t="array" ref="L205">_xlfn.IFS(MID(K205,2,2)="01", "서울", MID(K205,2,2)="02","경기",MID(K205,2,2)="03","충청",MID(K205,2,2)="04","충청",MID(K205,2,2)="05","전라",MID(K205,2,2)="06","전라",MID(K205,2,2)="07","경북",MID(K205,2,2)="08","경남",MID(K205,2,2)="09","강원",MID(K205,2,2)="10","제주",TRUE,"국외")</f>
        <v>전라</v>
      </c>
    </row>
    <row r="206" spans="1:12" ht="17.25" thickBot="1">
      <c r="A206" s="3" t="s">
        <v>295</v>
      </c>
      <c r="B206" s="3" t="s">
        <v>296</v>
      </c>
      <c r="C206" s="3"/>
      <c r="D206" s="4" t="s">
        <v>254</v>
      </c>
      <c r="E206" s="4" t="s">
        <v>23</v>
      </c>
      <c r="F206" s="4"/>
      <c r="G206" s="9"/>
      <c r="H206" s="4"/>
      <c r="I206" s="9"/>
      <c r="J206" s="3">
        <v>15038</v>
      </c>
      <c r="K206" s="3">
        <v>50217</v>
      </c>
      <c r="L206" s="17" t="str" cm="1">
        <f t="array" ref="L206">_xlfn.IFS(MID(K206,2,2)="01", "서울", MID(K206,2,2)="02","경기",MID(K206,2,2)="03","충청",MID(K206,2,2)="04","충청",MID(K206,2,2)="05","전라",MID(K206,2,2)="06","전라",MID(K206,2,2)="07","경북",MID(K206,2,2)="08","경남",MID(K206,2,2)="09","강원",MID(K206,2,2)="10","제주",TRUE,"국외")</f>
        <v>경기</v>
      </c>
    </row>
    <row r="207" spans="1:12" ht="17.25" thickBot="1">
      <c r="A207" s="3" t="s">
        <v>297</v>
      </c>
      <c r="B207" s="3" t="s">
        <v>11</v>
      </c>
      <c r="C207" s="3"/>
      <c r="D207" s="4" t="s">
        <v>254</v>
      </c>
      <c r="E207" s="4" t="s">
        <v>18</v>
      </c>
      <c r="F207" s="4">
        <v>2022</v>
      </c>
      <c r="G207" s="8">
        <v>-0.1</v>
      </c>
      <c r="H207" s="4" t="s">
        <v>18</v>
      </c>
      <c r="I207" s="8">
        <v>-0.1</v>
      </c>
      <c r="J207" s="3">
        <v>15027</v>
      </c>
      <c r="K207" s="3">
        <v>50802</v>
      </c>
      <c r="L207" s="17" t="str" cm="1">
        <f t="array" ref="L207">_xlfn.IFS(MID(K207,2,2)="01", "서울", MID(K207,2,2)="02","경기",MID(K207,2,2)="03","충청",MID(K207,2,2)="04","충청",MID(K207,2,2)="05","전라",MID(K207,2,2)="06","전라",MID(K207,2,2)="07","경북",MID(K207,2,2)="08","경남",MID(K207,2,2)="09","강원",MID(K207,2,2)="10","제주",TRUE,"국외")</f>
        <v>경남</v>
      </c>
    </row>
    <row r="208" spans="1:12" ht="17.25" thickBot="1">
      <c r="A208" s="3" t="s">
        <v>298</v>
      </c>
      <c r="B208" s="3" t="s">
        <v>93</v>
      </c>
      <c r="C208" s="3"/>
      <c r="D208" s="4" t="s">
        <v>254</v>
      </c>
      <c r="E208" s="4" t="s">
        <v>18</v>
      </c>
      <c r="F208" s="4">
        <v>2023</v>
      </c>
      <c r="G208" s="9"/>
      <c r="H208" s="4" t="s">
        <v>18</v>
      </c>
      <c r="I208" s="8">
        <v>-0.2</v>
      </c>
      <c r="J208" s="3">
        <v>15071</v>
      </c>
      <c r="K208" s="3">
        <v>50805</v>
      </c>
      <c r="L208" s="17" t="str" cm="1">
        <f t="array" ref="L208">_xlfn.IFS(MID(K208,2,2)="01", "서울", MID(K208,2,2)="02","경기",MID(K208,2,2)="03","충청",MID(K208,2,2)="04","충청",MID(K208,2,2)="05","전라",MID(K208,2,2)="06","전라",MID(K208,2,2)="07","경북",MID(K208,2,2)="08","경남",MID(K208,2,2)="09","강원",MID(K208,2,2)="10","제주",TRUE,"국외")</f>
        <v>경남</v>
      </c>
    </row>
    <row r="209" spans="1:12" ht="17.25" thickBot="1">
      <c r="A209" s="3" t="s">
        <v>299</v>
      </c>
      <c r="B209" s="3" t="s">
        <v>25</v>
      </c>
      <c r="C209" s="3"/>
      <c r="D209" s="4" t="s">
        <v>254</v>
      </c>
      <c r="E209" s="4" t="s">
        <v>3</v>
      </c>
      <c r="F209" s="4"/>
      <c r="G209" s="9"/>
      <c r="H209" s="4"/>
      <c r="I209" s="9"/>
      <c r="J209" s="3">
        <v>15017</v>
      </c>
      <c r="K209" s="3">
        <v>50403</v>
      </c>
      <c r="L209" s="17" t="str" cm="1">
        <f t="array" ref="L209">_xlfn.IFS(MID(K209,2,2)="01", "서울", MID(K209,2,2)="02","경기",MID(K209,2,2)="03","충청",MID(K209,2,2)="04","충청",MID(K209,2,2)="05","전라",MID(K209,2,2)="06","전라",MID(K209,2,2)="07","경북",MID(K209,2,2)="08","경남",MID(K209,2,2)="09","강원",MID(K209,2,2)="10","제주",TRUE,"국외")</f>
        <v>충청</v>
      </c>
    </row>
    <row r="210" spans="1:12" ht="17.25" thickBot="1">
      <c r="A210" s="3" t="s">
        <v>300</v>
      </c>
      <c r="B210" s="3" t="s">
        <v>68</v>
      </c>
      <c r="C210" s="3"/>
      <c r="D210" s="4" t="s">
        <v>254</v>
      </c>
      <c r="E210" s="4" t="s">
        <v>6</v>
      </c>
      <c r="F210" s="4"/>
      <c r="G210" s="9"/>
      <c r="H210" s="4"/>
      <c r="I210" s="9"/>
      <c r="J210" s="3">
        <v>15061</v>
      </c>
      <c r="K210" s="3">
        <v>50101</v>
      </c>
      <c r="L210" s="17" t="str" cm="1">
        <f t="array" ref="L210">_xlfn.IFS(MID(K210,2,2)="01", "서울", MID(K210,2,2)="02","경기",MID(K210,2,2)="03","충청",MID(K210,2,2)="04","충청",MID(K210,2,2)="05","전라",MID(K210,2,2)="06","전라",MID(K210,2,2)="07","경북",MID(K210,2,2)="08","경남",MID(K210,2,2)="09","강원",MID(K210,2,2)="10","제주",TRUE,"국외")</f>
        <v>서울</v>
      </c>
    </row>
    <row r="211" spans="1:12" ht="17.25" thickBot="1">
      <c r="A211" s="3" t="s">
        <v>301</v>
      </c>
      <c r="B211" s="3" t="s">
        <v>8</v>
      </c>
      <c r="C211" s="3"/>
      <c r="D211" s="4" t="s">
        <v>254</v>
      </c>
      <c r="E211" s="4" t="s">
        <v>28</v>
      </c>
      <c r="F211" s="4"/>
      <c r="G211" s="9"/>
      <c r="H211" s="4"/>
      <c r="I211" s="9"/>
      <c r="J211" s="3">
        <v>15093</v>
      </c>
      <c r="K211" s="3">
        <v>50116</v>
      </c>
      <c r="L211" s="17" t="str" cm="1">
        <f t="array" ref="L211">_xlfn.IFS(MID(K211,2,2)="01", "서울", MID(K211,2,2)="02","경기",MID(K211,2,2)="03","충청",MID(K211,2,2)="04","충청",MID(K211,2,2)="05","전라",MID(K211,2,2)="06","전라",MID(K211,2,2)="07","경북",MID(K211,2,2)="08","경남",MID(K211,2,2)="09","강원",MID(K211,2,2)="10","제주",TRUE,"국외")</f>
        <v>서울</v>
      </c>
    </row>
    <row r="212" spans="1:12" ht="17.25" thickBot="1">
      <c r="A212" s="3" t="s">
        <v>302</v>
      </c>
      <c r="B212" s="3" t="s">
        <v>68</v>
      </c>
      <c r="C212" s="3" t="s">
        <v>85</v>
      </c>
      <c r="D212" s="4" t="s">
        <v>254</v>
      </c>
      <c r="E212" s="4" t="s">
        <v>20</v>
      </c>
      <c r="F212" s="4">
        <v>2022</v>
      </c>
      <c r="G212" s="8">
        <v>-0.1</v>
      </c>
      <c r="H212" s="4" t="s">
        <v>20</v>
      </c>
      <c r="I212" s="8">
        <v>-0.1</v>
      </c>
      <c r="J212" s="3">
        <v>15083</v>
      </c>
      <c r="K212" s="3">
        <v>50101</v>
      </c>
      <c r="L212" s="17" t="str" cm="1">
        <f t="array" ref="L212">_xlfn.IFS(MID(K212,2,2)="01", "서울", MID(K212,2,2)="02","경기",MID(K212,2,2)="03","충청",MID(K212,2,2)="04","충청",MID(K212,2,2)="05","전라",MID(K212,2,2)="06","전라",MID(K212,2,2)="07","경북",MID(K212,2,2)="08","경남",MID(K212,2,2)="09","강원",MID(K212,2,2)="10","제주",TRUE,"국외")</f>
        <v>서울</v>
      </c>
    </row>
    <row r="213" spans="1:12" ht="17.25" thickBot="1">
      <c r="A213" s="3" t="s">
        <v>303</v>
      </c>
      <c r="B213" s="3" t="s">
        <v>304</v>
      </c>
      <c r="C213" s="3"/>
      <c r="D213" s="4" t="s">
        <v>254</v>
      </c>
      <c r="E213" s="4" t="s">
        <v>12</v>
      </c>
      <c r="F213" s="4">
        <v>2022</v>
      </c>
      <c r="G213" s="9"/>
      <c r="H213" s="4" t="s">
        <v>12</v>
      </c>
      <c r="I213" s="8">
        <v>0</v>
      </c>
      <c r="J213" s="3">
        <v>15115</v>
      </c>
      <c r="K213" s="3">
        <v>50905</v>
      </c>
      <c r="L213" s="17" t="str" cm="1">
        <f t="array" ref="L213">_xlfn.IFS(MID(K213,2,2)="01", "서울", MID(K213,2,2)="02","경기",MID(K213,2,2)="03","충청",MID(K213,2,2)="04","충청",MID(K213,2,2)="05","전라",MID(K213,2,2)="06","전라",MID(K213,2,2)="07","경북",MID(K213,2,2)="08","경남",MID(K213,2,2)="09","강원",MID(K213,2,2)="10","제주",TRUE,"국외")</f>
        <v>강원</v>
      </c>
    </row>
    <row r="214" spans="1:12" ht="17.25" thickBot="1">
      <c r="A214" s="3" t="s">
        <v>305</v>
      </c>
      <c r="B214" s="3" t="s">
        <v>241</v>
      </c>
      <c r="C214" s="3"/>
      <c r="D214" s="4" t="s">
        <v>254</v>
      </c>
      <c r="E214" s="4" t="s">
        <v>15</v>
      </c>
      <c r="F214" s="4">
        <v>2023</v>
      </c>
      <c r="G214" s="9"/>
      <c r="H214" s="4" t="s">
        <v>15</v>
      </c>
      <c r="I214" s="8">
        <v>0</v>
      </c>
      <c r="J214" s="3">
        <v>15028</v>
      </c>
      <c r="K214" s="3">
        <v>50202</v>
      </c>
      <c r="L214" s="17" t="str" cm="1">
        <f t="array" ref="L214">_xlfn.IFS(MID(K214,2,2)="01", "서울", MID(K214,2,2)="02","경기",MID(K214,2,2)="03","충청",MID(K214,2,2)="04","충청",MID(K214,2,2)="05","전라",MID(K214,2,2)="06","전라",MID(K214,2,2)="07","경북",MID(K214,2,2)="08","경남",MID(K214,2,2)="09","강원",MID(K214,2,2)="10","제주",TRUE,"국외")</f>
        <v>경기</v>
      </c>
    </row>
    <row r="215" spans="1:12" ht="17.25" thickBot="1">
      <c r="A215" s="3" t="s">
        <v>306</v>
      </c>
      <c r="B215" s="3" t="s">
        <v>22</v>
      </c>
      <c r="C215" s="3"/>
      <c r="D215" s="4" t="s">
        <v>254</v>
      </c>
      <c r="E215" s="4" t="s">
        <v>26</v>
      </c>
      <c r="F215" s="4"/>
      <c r="G215" s="9"/>
      <c r="H215" s="4"/>
      <c r="I215" s="9"/>
      <c r="J215" s="3">
        <v>15104</v>
      </c>
      <c r="K215" s="3">
        <v>50209</v>
      </c>
      <c r="L215" s="17" t="str" cm="1">
        <f t="array" ref="L215">_xlfn.IFS(MID(K215,2,2)="01", "서울", MID(K215,2,2)="02","경기",MID(K215,2,2)="03","충청",MID(K215,2,2)="04","충청",MID(K215,2,2)="05","전라",MID(K215,2,2)="06","전라",MID(K215,2,2)="07","경북",MID(K215,2,2)="08","경남",MID(K215,2,2)="09","강원",MID(K215,2,2)="10","제주",TRUE,"국외")</f>
        <v>경기</v>
      </c>
    </row>
    <row r="216" spans="1:12" ht="17.25" thickBot="1">
      <c r="A216" s="3" t="s">
        <v>307</v>
      </c>
      <c r="B216" s="3" t="s">
        <v>70</v>
      </c>
      <c r="C216" s="3"/>
      <c r="D216" s="4" t="s">
        <v>254</v>
      </c>
      <c r="E216" s="4" t="s">
        <v>9</v>
      </c>
      <c r="F216" s="4"/>
      <c r="G216" s="9"/>
      <c r="H216" s="4"/>
      <c r="I216" s="9"/>
      <c r="J216" s="3">
        <v>15050</v>
      </c>
      <c r="K216" s="3">
        <v>50103</v>
      </c>
      <c r="L216" s="17" t="str" cm="1">
        <f t="array" ref="L216">_xlfn.IFS(MID(K216,2,2)="01", "서울", MID(K216,2,2)="02","경기",MID(K216,2,2)="03","충청",MID(K216,2,2)="04","충청",MID(K216,2,2)="05","전라",MID(K216,2,2)="06","전라",MID(K216,2,2)="07","경북",MID(K216,2,2)="08","경남",MID(K216,2,2)="09","강원",MID(K216,2,2)="10","제주",TRUE,"국외")</f>
        <v>서울</v>
      </c>
    </row>
    <row r="217" spans="1:12" ht="17.25" thickBot="1">
      <c r="A217" s="3" t="s">
        <v>308</v>
      </c>
      <c r="B217" s="3" t="s">
        <v>309</v>
      </c>
      <c r="C217" s="3"/>
      <c r="D217" s="4" t="s">
        <v>254</v>
      </c>
      <c r="E217" s="4" t="s">
        <v>23</v>
      </c>
      <c r="F217" s="4">
        <v>2022</v>
      </c>
      <c r="G217" s="8">
        <v>0</v>
      </c>
      <c r="H217" s="4" t="s">
        <v>23</v>
      </c>
      <c r="I217" s="8">
        <v>-0.1</v>
      </c>
      <c r="J217" s="3">
        <v>15039</v>
      </c>
      <c r="K217" s="3">
        <v>50221</v>
      </c>
      <c r="L217" s="17" t="str" cm="1">
        <f t="array" ref="L217">_xlfn.IFS(MID(K217,2,2)="01", "서울", MID(K217,2,2)="02","경기",MID(K217,2,2)="03","충청",MID(K217,2,2)="04","충청",MID(K217,2,2)="05","전라",MID(K217,2,2)="06","전라",MID(K217,2,2)="07","경북",MID(K217,2,2)="08","경남",MID(K217,2,2)="09","강원",MID(K217,2,2)="10","제주",TRUE,"국외")</f>
        <v>경기</v>
      </c>
    </row>
    <row r="218" spans="1:12" ht="17.25" thickBot="1">
      <c r="A218" s="3" t="s">
        <v>310</v>
      </c>
      <c r="B218" s="3" t="s">
        <v>1</v>
      </c>
      <c r="C218" s="3"/>
      <c r="D218" s="4" t="s">
        <v>254</v>
      </c>
      <c r="E218" s="4" t="s">
        <v>18</v>
      </c>
      <c r="F218" s="4"/>
      <c r="G218" s="9"/>
      <c r="H218" s="4"/>
      <c r="I218" s="9"/>
      <c r="J218" s="3">
        <v>15072</v>
      </c>
      <c r="K218" s="3">
        <v>50107</v>
      </c>
      <c r="L218" s="17" t="str" cm="1">
        <f t="array" ref="L218">_xlfn.IFS(MID(K218,2,2)="01", "서울", MID(K218,2,2)="02","경기",MID(K218,2,2)="03","충청",MID(K218,2,2)="04","충청",MID(K218,2,2)="05","전라",MID(K218,2,2)="06","전라",MID(K218,2,2)="07","경북",MID(K218,2,2)="08","경남",MID(K218,2,2)="09","강원",MID(K218,2,2)="10","제주",TRUE,"국외")</f>
        <v>서울</v>
      </c>
    </row>
    <row r="219" spans="1:12" ht="17.25" thickBot="1">
      <c r="A219" s="3" t="s">
        <v>311</v>
      </c>
      <c r="B219" s="3" t="s">
        <v>32</v>
      </c>
      <c r="C219" s="3"/>
      <c r="D219" s="4" t="s">
        <v>254</v>
      </c>
      <c r="E219" s="4" t="s">
        <v>3</v>
      </c>
      <c r="F219" s="4">
        <v>2022</v>
      </c>
      <c r="G219" s="8">
        <v>0</v>
      </c>
      <c r="H219" s="4" t="s">
        <v>3</v>
      </c>
      <c r="I219" s="8">
        <v>-1</v>
      </c>
      <c r="J219" s="3">
        <v>13676</v>
      </c>
      <c r="K219" s="3">
        <v>50111</v>
      </c>
      <c r="L219" s="17" t="str" cm="1">
        <f t="array" ref="L219">_xlfn.IFS(MID(K219,2,2)="01", "서울", MID(K219,2,2)="02","경기",MID(K219,2,2)="03","충청",MID(K219,2,2)="04","충청",MID(K219,2,2)="05","전라",MID(K219,2,2)="06","전라",MID(K219,2,2)="07","경북",MID(K219,2,2)="08","경남",MID(K219,2,2)="09","강원",MID(K219,2,2)="10","제주",TRUE,"국외")</f>
        <v>서울</v>
      </c>
    </row>
    <row r="220" spans="1:12" ht="17.25" thickBot="1">
      <c r="A220" s="3" t="s">
        <v>312</v>
      </c>
      <c r="B220" s="3" t="s">
        <v>145</v>
      </c>
      <c r="C220" s="3" t="s">
        <v>83</v>
      </c>
      <c r="D220" s="4" t="s">
        <v>254</v>
      </c>
      <c r="E220" s="4" t="s">
        <v>6</v>
      </c>
      <c r="F220" s="4"/>
      <c r="G220" s="9"/>
      <c r="H220" s="4"/>
      <c r="I220" s="9"/>
      <c r="J220" s="3">
        <v>15062</v>
      </c>
      <c r="K220" s="3">
        <v>50106</v>
      </c>
      <c r="L220" s="17" t="str" cm="1">
        <f t="array" ref="L220">_xlfn.IFS(MID(K220,2,2)="01", "서울", MID(K220,2,2)="02","경기",MID(K220,2,2)="03","충청",MID(K220,2,2)="04","충청",MID(K220,2,2)="05","전라",MID(K220,2,2)="06","전라",MID(K220,2,2)="07","경북",MID(K220,2,2)="08","경남",MID(K220,2,2)="09","강원",MID(K220,2,2)="10","제주",TRUE,"국외")</f>
        <v>서울</v>
      </c>
    </row>
    <row r="221" spans="1:12" ht="17.25" thickBot="1">
      <c r="A221" s="3" t="s">
        <v>313</v>
      </c>
      <c r="B221" s="3" t="s">
        <v>32</v>
      </c>
      <c r="C221" s="3"/>
      <c r="D221" s="4" t="s">
        <v>254</v>
      </c>
      <c r="E221" s="4" t="s">
        <v>28</v>
      </c>
      <c r="F221" s="4"/>
      <c r="G221" s="9"/>
      <c r="H221" s="4"/>
      <c r="I221" s="9"/>
      <c r="J221" s="3">
        <v>15094</v>
      </c>
      <c r="K221" s="3">
        <v>50111</v>
      </c>
      <c r="L221" s="17" t="str" cm="1">
        <f t="array" ref="L221">_xlfn.IFS(MID(K221,2,2)="01", "서울", MID(K221,2,2)="02","경기",MID(K221,2,2)="03","충청",MID(K221,2,2)="04","충청",MID(K221,2,2)="05","전라",MID(K221,2,2)="06","전라",MID(K221,2,2)="07","경북",MID(K221,2,2)="08","경남",MID(K221,2,2)="09","강원",MID(K221,2,2)="10","제주",TRUE,"국외")</f>
        <v>서울</v>
      </c>
    </row>
    <row r="222" spans="1:12" ht="17.25" thickBot="1">
      <c r="A222" s="3" t="s">
        <v>314</v>
      </c>
      <c r="B222" s="3" t="s">
        <v>93</v>
      </c>
      <c r="C222" s="3"/>
      <c r="D222" s="4" t="s">
        <v>254</v>
      </c>
      <c r="E222" s="4" t="s">
        <v>20</v>
      </c>
      <c r="F222" s="4"/>
      <c r="G222" s="9"/>
      <c r="H222" s="4"/>
      <c r="I222" s="9"/>
      <c r="J222" s="3">
        <v>15084</v>
      </c>
      <c r="K222" s="3">
        <v>50805</v>
      </c>
      <c r="L222" s="17" t="str" cm="1">
        <f t="array" ref="L222">_xlfn.IFS(MID(K222,2,2)="01", "서울", MID(K222,2,2)="02","경기",MID(K222,2,2)="03","충청",MID(K222,2,2)="04","충청",MID(K222,2,2)="05","전라",MID(K222,2,2)="06","전라",MID(K222,2,2)="07","경북",MID(K222,2,2)="08","경남",MID(K222,2,2)="09","강원",MID(K222,2,2)="10","제주",TRUE,"국외")</f>
        <v>경남</v>
      </c>
    </row>
    <row r="223" spans="1:12" ht="17.25" thickBot="1">
      <c r="A223" s="3" t="s">
        <v>315</v>
      </c>
      <c r="B223" s="3" t="s">
        <v>5</v>
      </c>
      <c r="C223" s="3"/>
      <c r="D223" s="4" t="s">
        <v>254</v>
      </c>
      <c r="E223" s="4" t="s">
        <v>12</v>
      </c>
      <c r="F223" s="4"/>
      <c r="G223" s="9"/>
      <c r="H223" s="4"/>
      <c r="I223" s="9"/>
      <c r="J223" s="3">
        <v>15116</v>
      </c>
      <c r="K223" s="3">
        <v>50114</v>
      </c>
      <c r="L223" s="17" t="str" cm="1">
        <f t="array" ref="L223">_xlfn.IFS(MID(K223,2,2)="01", "서울", MID(K223,2,2)="02","경기",MID(K223,2,2)="03","충청",MID(K223,2,2)="04","충청",MID(K223,2,2)="05","전라",MID(K223,2,2)="06","전라",MID(K223,2,2)="07","경북",MID(K223,2,2)="08","경남",MID(K223,2,2)="09","강원",MID(K223,2,2)="10","제주",TRUE,"국외")</f>
        <v>서울</v>
      </c>
    </row>
    <row r="224" spans="1:12" ht="17.25" thickBot="1">
      <c r="A224" s="3" t="s">
        <v>316</v>
      </c>
      <c r="B224" s="3" t="s">
        <v>78</v>
      </c>
      <c r="C224" s="3"/>
      <c r="D224" s="4" t="s">
        <v>254</v>
      </c>
      <c r="E224" s="4" t="s">
        <v>15</v>
      </c>
      <c r="F224" s="4"/>
      <c r="G224" s="9"/>
      <c r="H224" s="4"/>
      <c r="I224" s="9"/>
      <c r="J224" s="3">
        <v>15029</v>
      </c>
      <c r="K224" s="3">
        <v>50401</v>
      </c>
      <c r="L224" s="17" t="str" cm="1">
        <f t="array" ref="L224">_xlfn.IFS(MID(K224,2,2)="01", "서울", MID(K224,2,2)="02","경기",MID(K224,2,2)="03","충청",MID(K224,2,2)="04","충청",MID(K224,2,2)="05","전라",MID(K224,2,2)="06","전라",MID(K224,2,2)="07","경북",MID(K224,2,2)="08","경남",MID(K224,2,2)="09","강원",MID(K224,2,2)="10","제주",TRUE,"국외")</f>
        <v>충청</v>
      </c>
    </row>
    <row r="225" spans="1:12" ht="17.25" thickBot="1">
      <c r="A225" s="3" t="s">
        <v>317</v>
      </c>
      <c r="B225" s="3" t="s">
        <v>63</v>
      </c>
      <c r="C225" s="3"/>
      <c r="D225" s="4" t="s">
        <v>254</v>
      </c>
      <c r="E225" s="4" t="s">
        <v>26</v>
      </c>
      <c r="F225" s="4"/>
      <c r="G225" s="9"/>
      <c r="H225" s="4"/>
      <c r="I225" s="9"/>
      <c r="J225" s="3">
        <v>15105</v>
      </c>
      <c r="K225" s="3">
        <v>50807</v>
      </c>
      <c r="L225" s="17" t="str" cm="1">
        <f t="array" ref="L225">_xlfn.IFS(MID(K225,2,2)="01", "서울", MID(K225,2,2)="02","경기",MID(K225,2,2)="03","충청",MID(K225,2,2)="04","충청",MID(K225,2,2)="05","전라",MID(K225,2,2)="06","전라",MID(K225,2,2)="07","경북",MID(K225,2,2)="08","경남",MID(K225,2,2)="09","강원",MID(K225,2,2)="10","제주",TRUE,"국외")</f>
        <v>경남</v>
      </c>
    </row>
    <row r="226" spans="1:12" ht="17.25" thickBot="1">
      <c r="A226" s="3" t="s">
        <v>318</v>
      </c>
      <c r="B226" s="3" t="s">
        <v>70</v>
      </c>
      <c r="C226" s="3"/>
      <c r="D226" s="4" t="s">
        <v>254</v>
      </c>
      <c r="E226" s="4" t="s">
        <v>9</v>
      </c>
      <c r="F226" s="4">
        <v>2022</v>
      </c>
      <c r="G226" s="8">
        <v>-0.4</v>
      </c>
      <c r="H226" s="4" t="s">
        <v>9</v>
      </c>
      <c r="I226" s="8">
        <v>-0.4</v>
      </c>
      <c r="J226" s="3">
        <v>15051</v>
      </c>
      <c r="K226" s="3">
        <v>50103</v>
      </c>
      <c r="L226" s="17" t="str" cm="1">
        <f t="array" ref="L226">_xlfn.IFS(MID(K226,2,2)="01", "서울", MID(K226,2,2)="02","경기",MID(K226,2,2)="03","충청",MID(K226,2,2)="04","충청",MID(K226,2,2)="05","전라",MID(K226,2,2)="06","전라",MID(K226,2,2)="07","경북",MID(K226,2,2)="08","경남",MID(K226,2,2)="09","강원",MID(K226,2,2)="10","제주",TRUE,"국외")</f>
        <v>서울</v>
      </c>
    </row>
    <row r="227" spans="1:12" ht="17.25" thickBot="1">
      <c r="A227" s="3" t="s">
        <v>319</v>
      </c>
      <c r="B227" s="3" t="s">
        <v>8</v>
      </c>
      <c r="C227" s="3"/>
      <c r="D227" s="4" t="s">
        <v>254</v>
      </c>
      <c r="E227" s="4" t="s">
        <v>23</v>
      </c>
      <c r="F227" s="4">
        <v>2022</v>
      </c>
      <c r="G227" s="8">
        <v>0.1</v>
      </c>
      <c r="H227" s="4" t="s">
        <v>23</v>
      </c>
      <c r="I227" s="8">
        <v>-0.2</v>
      </c>
      <c r="J227" s="3">
        <v>15040</v>
      </c>
      <c r="K227" s="3">
        <v>50116</v>
      </c>
      <c r="L227" s="17" t="str" cm="1">
        <f t="array" ref="L227">_xlfn.IFS(MID(K227,2,2)="01", "서울", MID(K227,2,2)="02","경기",MID(K227,2,2)="03","충청",MID(K227,2,2)="04","충청",MID(K227,2,2)="05","전라",MID(K227,2,2)="06","전라",MID(K227,2,2)="07","경북",MID(K227,2,2)="08","경남",MID(K227,2,2)="09","강원",MID(K227,2,2)="10","제주",TRUE,"국외")</f>
        <v>서울</v>
      </c>
    </row>
    <row r="228" spans="1:12" ht="17.25" thickBot="1">
      <c r="A228" s="3" t="s">
        <v>320</v>
      </c>
      <c r="B228" s="3" t="s">
        <v>50</v>
      </c>
      <c r="C228" s="3"/>
      <c r="D228" s="4" t="s">
        <v>254</v>
      </c>
      <c r="E228" s="4" t="s">
        <v>18</v>
      </c>
      <c r="F228" s="4">
        <v>2022</v>
      </c>
      <c r="G228" s="8">
        <v>0</v>
      </c>
      <c r="H228" s="4" t="s">
        <v>18</v>
      </c>
      <c r="I228" s="8">
        <v>0.2</v>
      </c>
      <c r="J228" s="3">
        <v>15073</v>
      </c>
      <c r="K228" s="3">
        <v>50301</v>
      </c>
      <c r="L228" s="17" t="str" cm="1">
        <f t="array" ref="L228">_xlfn.IFS(MID(K228,2,2)="01", "서울", MID(K228,2,2)="02","경기",MID(K228,2,2)="03","충청",MID(K228,2,2)="04","충청",MID(K228,2,2)="05","전라",MID(K228,2,2)="06","전라",MID(K228,2,2)="07","경북",MID(K228,2,2)="08","경남",MID(K228,2,2)="09","강원",MID(K228,2,2)="10","제주",TRUE,"국외")</f>
        <v>충청</v>
      </c>
    </row>
    <row r="229" spans="1:12" ht="17.25" thickBot="1">
      <c r="A229" s="3" t="s">
        <v>321</v>
      </c>
      <c r="B229" s="3" t="s">
        <v>322</v>
      </c>
      <c r="C229" s="3" t="s">
        <v>122</v>
      </c>
      <c r="D229" s="4" t="s">
        <v>254</v>
      </c>
      <c r="E229" s="4" t="s">
        <v>3</v>
      </c>
      <c r="F229" s="4"/>
      <c r="G229" s="9"/>
      <c r="H229" s="4"/>
      <c r="I229" s="9"/>
      <c r="J229" s="3">
        <v>15018</v>
      </c>
      <c r="K229" s="3">
        <v>50810</v>
      </c>
      <c r="L229" s="17" t="str" cm="1">
        <f t="array" ref="L229">_xlfn.IFS(MID(K229,2,2)="01", "서울", MID(K229,2,2)="02","경기",MID(K229,2,2)="03","충청",MID(K229,2,2)="04","충청",MID(K229,2,2)="05","전라",MID(K229,2,2)="06","전라",MID(K229,2,2)="07","경북",MID(K229,2,2)="08","경남",MID(K229,2,2)="09","강원",MID(K229,2,2)="10","제주",TRUE,"국외")</f>
        <v>경남</v>
      </c>
    </row>
    <row r="230" spans="1:12" ht="17.25" thickBot="1">
      <c r="A230" s="3" t="s">
        <v>323</v>
      </c>
      <c r="B230" s="3" t="s">
        <v>294</v>
      </c>
      <c r="C230" s="3"/>
      <c r="D230" s="4" t="s">
        <v>254</v>
      </c>
      <c r="E230" s="4" t="s">
        <v>6</v>
      </c>
      <c r="F230" s="4">
        <v>2023</v>
      </c>
      <c r="G230" s="9"/>
      <c r="H230" s="4" t="s">
        <v>6</v>
      </c>
      <c r="I230" s="8">
        <v>-0.1</v>
      </c>
      <c r="J230" s="3">
        <v>15063</v>
      </c>
      <c r="K230" s="3">
        <v>50504</v>
      </c>
      <c r="L230" s="17" t="str" cm="1">
        <f t="array" ref="L230">_xlfn.IFS(MID(K230,2,2)="01", "서울", MID(K230,2,2)="02","경기",MID(K230,2,2)="03","충청",MID(K230,2,2)="04","충청",MID(K230,2,2)="05","전라",MID(K230,2,2)="06","전라",MID(K230,2,2)="07","경북",MID(K230,2,2)="08","경남",MID(K230,2,2)="09","강원",MID(K230,2,2)="10","제주",TRUE,"국외")</f>
        <v>전라</v>
      </c>
    </row>
    <row r="231" spans="1:12" ht="17.25" thickBot="1">
      <c r="A231" s="3" t="s">
        <v>324</v>
      </c>
      <c r="B231" s="3" t="s">
        <v>63</v>
      </c>
      <c r="C231" s="3"/>
      <c r="D231" s="4" t="s">
        <v>254</v>
      </c>
      <c r="E231" s="4" t="s">
        <v>28</v>
      </c>
      <c r="F231" s="4"/>
      <c r="G231" s="9"/>
      <c r="H231" s="4"/>
      <c r="I231" s="9"/>
      <c r="J231" s="3">
        <v>15095</v>
      </c>
      <c r="K231" s="3">
        <v>50807</v>
      </c>
      <c r="L231" s="17" t="str" cm="1">
        <f t="array" ref="L231">_xlfn.IFS(MID(K231,2,2)="01", "서울", MID(K231,2,2)="02","경기",MID(K231,2,2)="03","충청",MID(K231,2,2)="04","충청",MID(K231,2,2)="05","전라",MID(K231,2,2)="06","전라",MID(K231,2,2)="07","경북",MID(K231,2,2)="08","경남",MID(K231,2,2)="09","강원",MID(K231,2,2)="10","제주",TRUE,"국외")</f>
        <v>경남</v>
      </c>
    </row>
    <row r="232" spans="1:12" ht="17.25" thickBot="1">
      <c r="A232" s="3" t="s">
        <v>325</v>
      </c>
      <c r="B232" s="3" t="s">
        <v>145</v>
      </c>
      <c r="C232" s="3"/>
      <c r="D232" s="4" t="s">
        <v>254</v>
      </c>
      <c r="E232" s="4" t="s">
        <v>20</v>
      </c>
      <c r="F232" s="4"/>
      <c r="G232" s="9"/>
      <c r="H232" s="4"/>
      <c r="I232" s="9"/>
      <c r="J232" s="3">
        <v>15085</v>
      </c>
      <c r="K232" s="3">
        <v>50106</v>
      </c>
      <c r="L232" s="17" t="str" cm="1">
        <f t="array" ref="L232">_xlfn.IFS(MID(K232,2,2)="01", "서울", MID(K232,2,2)="02","경기",MID(K232,2,2)="03","충청",MID(K232,2,2)="04","충청",MID(K232,2,2)="05","전라",MID(K232,2,2)="06","전라",MID(K232,2,2)="07","경북",MID(K232,2,2)="08","경남",MID(K232,2,2)="09","강원",MID(K232,2,2)="10","제주",TRUE,"국외")</f>
        <v>서울</v>
      </c>
    </row>
    <row r="233" spans="1:12" ht="17.25" thickBot="1">
      <c r="A233" s="3" t="s">
        <v>326</v>
      </c>
      <c r="B233" s="3" t="s">
        <v>81</v>
      </c>
      <c r="C233" s="3"/>
      <c r="D233" s="4" t="s">
        <v>254</v>
      </c>
      <c r="E233" s="4" t="s">
        <v>12</v>
      </c>
      <c r="F233" s="4"/>
      <c r="G233" s="9"/>
      <c r="H233" s="4"/>
      <c r="I233" s="9"/>
      <c r="J233" s="3">
        <v>15117</v>
      </c>
      <c r="K233" s="3">
        <v>50105</v>
      </c>
      <c r="L233" s="17" t="str" cm="1">
        <f t="array" ref="L233">_xlfn.IFS(MID(K233,2,2)="01", "서울", MID(K233,2,2)="02","경기",MID(K233,2,2)="03","충청",MID(K233,2,2)="04","충청",MID(K233,2,2)="05","전라",MID(K233,2,2)="06","전라",MID(K233,2,2)="07","경북",MID(K233,2,2)="08","경남",MID(K233,2,2)="09","강원",MID(K233,2,2)="10","제주",TRUE,"국외")</f>
        <v>서울</v>
      </c>
    </row>
    <row r="234" spans="1:12" ht="17.25" thickBot="1">
      <c r="A234" s="3" t="s">
        <v>327</v>
      </c>
      <c r="B234" s="3" t="s">
        <v>81</v>
      </c>
      <c r="C234" s="3"/>
      <c r="D234" s="4" t="s">
        <v>254</v>
      </c>
      <c r="E234" s="4" t="s">
        <v>15</v>
      </c>
      <c r="F234" s="4"/>
      <c r="G234" s="9"/>
      <c r="H234" s="4"/>
      <c r="I234" s="9"/>
      <c r="J234" s="3">
        <v>15030</v>
      </c>
      <c r="K234" s="3">
        <v>50105</v>
      </c>
      <c r="L234" s="17" t="str" cm="1">
        <f t="array" ref="L234">_xlfn.IFS(MID(K234,2,2)="01", "서울", MID(K234,2,2)="02","경기",MID(K234,2,2)="03","충청",MID(K234,2,2)="04","충청",MID(K234,2,2)="05","전라",MID(K234,2,2)="06","전라",MID(K234,2,2)="07","경북",MID(K234,2,2)="08","경남",MID(K234,2,2)="09","강원",MID(K234,2,2)="10","제주",TRUE,"국외")</f>
        <v>서울</v>
      </c>
    </row>
    <row r="235" spans="1:12" ht="17.25" thickBot="1">
      <c r="A235" s="3" t="s">
        <v>328</v>
      </c>
      <c r="B235" s="3" t="s">
        <v>81</v>
      </c>
      <c r="C235" s="3" t="s">
        <v>329</v>
      </c>
      <c r="D235" s="4" t="s">
        <v>254</v>
      </c>
      <c r="E235" s="4" t="s">
        <v>26</v>
      </c>
      <c r="F235" s="4"/>
      <c r="G235" s="9"/>
      <c r="H235" s="4"/>
      <c r="I235" s="9"/>
      <c r="J235" s="3">
        <v>15106</v>
      </c>
      <c r="K235" s="3">
        <v>50105</v>
      </c>
      <c r="L235" s="17" t="str" cm="1">
        <f t="array" ref="L235">_xlfn.IFS(MID(K235,2,2)="01", "서울", MID(K235,2,2)="02","경기",MID(K235,2,2)="03","충청",MID(K235,2,2)="04","충청",MID(K235,2,2)="05","전라",MID(K235,2,2)="06","전라",MID(K235,2,2)="07","경북",MID(K235,2,2)="08","경남",MID(K235,2,2)="09","강원",MID(K235,2,2)="10","제주",TRUE,"국외")</f>
        <v>서울</v>
      </c>
    </row>
    <row r="236" spans="1:12" ht="17.25" thickBot="1">
      <c r="A236" s="3" t="s">
        <v>330</v>
      </c>
      <c r="B236" s="3" t="s">
        <v>153</v>
      </c>
      <c r="C236" s="3" t="s">
        <v>161</v>
      </c>
      <c r="D236" s="4" t="s">
        <v>254</v>
      </c>
      <c r="E236" s="4" t="s">
        <v>9</v>
      </c>
      <c r="F236" s="4">
        <v>2023</v>
      </c>
      <c r="G236" s="9"/>
      <c r="H236" s="4" t="s">
        <v>9</v>
      </c>
      <c r="I236" s="8">
        <v>0</v>
      </c>
      <c r="J236" s="3">
        <v>15645</v>
      </c>
      <c r="K236" s="3">
        <v>50210</v>
      </c>
      <c r="L236" s="17" t="str" cm="1">
        <f t="array" ref="L236">_xlfn.IFS(MID(K236,2,2)="01", "서울", MID(K236,2,2)="02","경기",MID(K236,2,2)="03","충청",MID(K236,2,2)="04","충청",MID(K236,2,2)="05","전라",MID(K236,2,2)="06","전라",MID(K236,2,2)="07","경북",MID(K236,2,2)="08","경남",MID(K236,2,2)="09","강원",MID(K236,2,2)="10","제주",TRUE,"국외")</f>
        <v>경기</v>
      </c>
    </row>
    <row r="237" spans="1:12" ht="17.25" thickBot="1">
      <c r="A237" s="3" t="s">
        <v>331</v>
      </c>
      <c r="B237" s="3" t="s">
        <v>332</v>
      </c>
      <c r="C237" s="3"/>
      <c r="D237" s="4" t="s">
        <v>254</v>
      </c>
      <c r="E237" s="4" t="s">
        <v>23</v>
      </c>
      <c r="F237" s="4"/>
      <c r="G237" s="9"/>
      <c r="H237" s="4"/>
      <c r="I237" s="9"/>
      <c r="J237" s="3">
        <v>15041</v>
      </c>
      <c r="K237" s="3">
        <v>50705</v>
      </c>
      <c r="L237" s="17" t="str" cm="1">
        <f t="array" ref="L237">_xlfn.IFS(MID(K237,2,2)="01", "서울", MID(K237,2,2)="02","경기",MID(K237,2,2)="03","충청",MID(K237,2,2)="04","충청",MID(K237,2,2)="05","전라",MID(K237,2,2)="06","전라",MID(K237,2,2)="07","경북",MID(K237,2,2)="08","경남",MID(K237,2,2)="09","강원",MID(K237,2,2)="10","제주",TRUE,"국외")</f>
        <v>경북</v>
      </c>
    </row>
    <row r="238" spans="1:12" ht="17.25" thickBot="1">
      <c r="A238" s="3" t="s">
        <v>333</v>
      </c>
      <c r="B238" s="3" t="s">
        <v>8</v>
      </c>
      <c r="C238" s="3"/>
      <c r="D238" s="4" t="s">
        <v>254</v>
      </c>
      <c r="E238" s="4" t="s">
        <v>18</v>
      </c>
      <c r="F238" s="4"/>
      <c r="G238" s="9"/>
      <c r="H238" s="4"/>
      <c r="I238" s="9"/>
      <c r="J238" s="3">
        <v>15074</v>
      </c>
      <c r="K238" s="3">
        <v>50116</v>
      </c>
      <c r="L238" s="17" t="str" cm="1">
        <f t="array" ref="L238">_xlfn.IFS(MID(K238,2,2)="01", "서울", MID(K238,2,2)="02","경기",MID(K238,2,2)="03","충청",MID(K238,2,2)="04","충청",MID(K238,2,2)="05","전라",MID(K238,2,2)="06","전라",MID(K238,2,2)="07","경북",MID(K238,2,2)="08","경남",MID(K238,2,2)="09","강원",MID(K238,2,2)="10","제주",TRUE,"국외")</f>
        <v>서울</v>
      </c>
    </row>
    <row r="239" spans="1:12" ht="17.25" thickBot="1">
      <c r="A239" s="3" t="s">
        <v>334</v>
      </c>
      <c r="B239" s="3" t="s">
        <v>335</v>
      </c>
      <c r="C239" s="3"/>
      <c r="D239" s="4" t="s">
        <v>254</v>
      </c>
      <c r="E239" s="4" t="s">
        <v>3</v>
      </c>
      <c r="F239" s="4"/>
      <c r="G239" s="9"/>
      <c r="H239" s="4"/>
      <c r="I239" s="9"/>
      <c r="J239" s="3">
        <v>15019</v>
      </c>
      <c r="K239" s="3">
        <v>50804</v>
      </c>
      <c r="L239" s="17" t="str" cm="1">
        <f t="array" ref="L239">_xlfn.IFS(MID(K239,2,2)="01", "서울", MID(K239,2,2)="02","경기",MID(K239,2,2)="03","충청",MID(K239,2,2)="04","충청",MID(K239,2,2)="05","전라",MID(K239,2,2)="06","전라",MID(K239,2,2)="07","경북",MID(K239,2,2)="08","경남",MID(K239,2,2)="09","강원",MID(K239,2,2)="10","제주",TRUE,"국외")</f>
        <v>경남</v>
      </c>
    </row>
    <row r="240" spans="1:12" ht="17.25" thickBot="1">
      <c r="A240" s="3" t="s">
        <v>336</v>
      </c>
      <c r="B240" s="3" t="s">
        <v>42</v>
      </c>
      <c r="C240" s="3"/>
      <c r="D240" s="4" t="s">
        <v>254</v>
      </c>
      <c r="E240" s="4" t="s">
        <v>6</v>
      </c>
      <c r="F240" s="4"/>
      <c r="G240" s="9"/>
      <c r="H240" s="4"/>
      <c r="I240" s="9"/>
      <c r="J240" s="3">
        <v>15064</v>
      </c>
      <c r="K240" s="3">
        <v>50502</v>
      </c>
      <c r="L240" s="17" t="str" cm="1">
        <f t="array" ref="L240">_xlfn.IFS(MID(K240,2,2)="01", "서울", MID(K240,2,2)="02","경기",MID(K240,2,2)="03","충청",MID(K240,2,2)="04","충청",MID(K240,2,2)="05","전라",MID(K240,2,2)="06","전라",MID(K240,2,2)="07","경북",MID(K240,2,2)="08","경남",MID(K240,2,2)="09","강원",MID(K240,2,2)="10","제주",TRUE,"국외")</f>
        <v>전라</v>
      </c>
    </row>
    <row r="241" spans="1:12" ht="17.25" thickBot="1">
      <c r="A241" s="3" t="s">
        <v>337</v>
      </c>
      <c r="B241" s="3" t="s">
        <v>34</v>
      </c>
      <c r="C241" s="3"/>
      <c r="D241" s="4" t="s">
        <v>254</v>
      </c>
      <c r="E241" s="4" t="s">
        <v>28</v>
      </c>
      <c r="F241" s="4">
        <v>2022</v>
      </c>
      <c r="G241" s="9"/>
      <c r="H241" s="4"/>
      <c r="I241" s="9"/>
      <c r="J241" s="3">
        <v>15096</v>
      </c>
      <c r="K241" s="3">
        <v>50701</v>
      </c>
      <c r="L241" s="17" t="str" cm="1">
        <f t="array" ref="L241">_xlfn.IFS(MID(K241,2,2)="01", "서울", MID(K241,2,2)="02","경기",MID(K241,2,2)="03","충청",MID(K241,2,2)="04","충청",MID(K241,2,2)="05","전라",MID(K241,2,2)="06","전라",MID(K241,2,2)="07","경북",MID(K241,2,2)="08","경남",MID(K241,2,2)="09","강원",MID(K241,2,2)="10","제주",TRUE,"국외")</f>
        <v>경북</v>
      </c>
    </row>
    <row r="242" spans="1:12" ht="17.25" thickBot="1">
      <c r="A242" s="3" t="s">
        <v>338</v>
      </c>
      <c r="B242" s="3" t="s">
        <v>1</v>
      </c>
      <c r="C242" s="3"/>
      <c r="D242" s="4" t="s">
        <v>254</v>
      </c>
      <c r="E242" s="4" t="s">
        <v>20</v>
      </c>
      <c r="F242" s="4"/>
      <c r="G242" s="9"/>
      <c r="H242" s="4"/>
      <c r="I242" s="9"/>
      <c r="J242" s="3">
        <v>15086</v>
      </c>
      <c r="K242" s="3">
        <v>50107</v>
      </c>
      <c r="L242" s="17" t="str" cm="1">
        <f t="array" ref="L242">_xlfn.IFS(MID(K242,2,2)="01", "서울", MID(K242,2,2)="02","경기",MID(K242,2,2)="03","충청",MID(K242,2,2)="04","충청",MID(K242,2,2)="05","전라",MID(K242,2,2)="06","전라",MID(K242,2,2)="07","경북",MID(K242,2,2)="08","경남",MID(K242,2,2)="09","강원",MID(K242,2,2)="10","제주",TRUE,"국외")</f>
        <v>서울</v>
      </c>
    </row>
    <row r="243" spans="1:12" ht="17.25" thickBot="1">
      <c r="A243" s="3" t="s">
        <v>339</v>
      </c>
      <c r="B243" s="3" t="s">
        <v>332</v>
      </c>
      <c r="C243" s="3" t="s">
        <v>119</v>
      </c>
      <c r="D243" s="4" t="s">
        <v>254</v>
      </c>
      <c r="E243" s="4" t="s">
        <v>12</v>
      </c>
      <c r="F243" s="4"/>
      <c r="G243" s="9"/>
      <c r="H243" s="4"/>
      <c r="I243" s="9"/>
      <c r="J243" s="3">
        <v>15118</v>
      </c>
      <c r="K243" s="3">
        <v>50705</v>
      </c>
      <c r="L243" s="17" t="str" cm="1">
        <f t="array" ref="L243">_xlfn.IFS(MID(K243,2,2)="01", "서울", MID(K243,2,2)="02","경기",MID(K243,2,2)="03","충청",MID(K243,2,2)="04","충청",MID(K243,2,2)="05","전라",MID(K243,2,2)="06","전라",MID(K243,2,2)="07","경북",MID(K243,2,2)="08","경남",MID(K243,2,2)="09","강원",MID(K243,2,2)="10","제주",TRUE,"국외")</f>
        <v>경북</v>
      </c>
    </row>
    <row r="244" spans="1:12" ht="17.25" thickBot="1">
      <c r="A244" s="3" t="s">
        <v>340</v>
      </c>
      <c r="B244" s="3" t="s">
        <v>128</v>
      </c>
      <c r="C244" s="3" t="s">
        <v>161</v>
      </c>
      <c r="D244" s="4" t="s">
        <v>254</v>
      </c>
      <c r="E244" s="4" t="s">
        <v>15</v>
      </c>
      <c r="F244" s="4"/>
      <c r="G244" s="9"/>
      <c r="H244" s="4"/>
      <c r="I244" s="9"/>
      <c r="J244" s="3">
        <v>15031</v>
      </c>
      <c r="K244" s="3">
        <v>50901</v>
      </c>
      <c r="L244" s="17" t="str" cm="1">
        <f t="array" ref="L244">_xlfn.IFS(MID(K244,2,2)="01", "서울", MID(K244,2,2)="02","경기",MID(K244,2,2)="03","충청",MID(K244,2,2)="04","충청",MID(K244,2,2)="05","전라",MID(K244,2,2)="06","전라",MID(K244,2,2)="07","경북",MID(K244,2,2)="08","경남",MID(K244,2,2)="09","강원",MID(K244,2,2)="10","제주",TRUE,"국외")</f>
        <v>강원</v>
      </c>
    </row>
    <row r="245" spans="1:12" ht="17.25" thickBot="1">
      <c r="A245" s="3" t="s">
        <v>341</v>
      </c>
      <c r="B245" s="3" t="s">
        <v>101</v>
      </c>
      <c r="C245" s="3"/>
      <c r="D245" s="4" t="s">
        <v>254</v>
      </c>
      <c r="E245" s="4" t="s">
        <v>26</v>
      </c>
      <c r="F245" s="4"/>
      <c r="G245" s="9"/>
      <c r="H245" s="4"/>
      <c r="I245" s="9"/>
      <c r="J245" s="3">
        <v>15107</v>
      </c>
      <c r="K245" s="3">
        <v>50207</v>
      </c>
      <c r="L245" s="17" t="str" cm="1">
        <f t="array" ref="L245">_xlfn.IFS(MID(K245,2,2)="01", "서울", MID(K245,2,2)="02","경기",MID(K245,2,2)="03","충청",MID(K245,2,2)="04","충청",MID(K245,2,2)="05","전라",MID(K245,2,2)="06","전라",MID(K245,2,2)="07","경북",MID(K245,2,2)="08","경남",MID(K245,2,2)="09","강원",MID(K245,2,2)="10","제주",TRUE,"국외")</f>
        <v>경기</v>
      </c>
    </row>
    <row r="246" spans="1:12" ht="17.25" thickBot="1">
      <c r="A246" s="3" t="s">
        <v>342</v>
      </c>
      <c r="B246" s="3" t="s">
        <v>335</v>
      </c>
      <c r="C246" s="3"/>
      <c r="D246" s="4" t="s">
        <v>254</v>
      </c>
      <c r="E246" s="4" t="s">
        <v>9</v>
      </c>
      <c r="F246" s="4"/>
      <c r="G246" s="9"/>
      <c r="H246" s="4"/>
      <c r="I246" s="9"/>
      <c r="J246" s="3">
        <v>15052</v>
      </c>
      <c r="K246" s="3">
        <v>50804</v>
      </c>
      <c r="L246" s="17" t="str" cm="1">
        <f t="array" ref="L246">_xlfn.IFS(MID(K246,2,2)="01", "서울", MID(K246,2,2)="02","경기",MID(K246,2,2)="03","충청",MID(K246,2,2)="04","충청",MID(K246,2,2)="05","전라",MID(K246,2,2)="06","전라",MID(K246,2,2)="07","경북",MID(K246,2,2)="08","경남",MID(K246,2,2)="09","강원",MID(K246,2,2)="10","제주",TRUE,"국외")</f>
        <v>경남</v>
      </c>
    </row>
    <row r="247" spans="1:12" ht="17.25" thickBot="1">
      <c r="A247" s="3" t="s">
        <v>343</v>
      </c>
      <c r="B247" s="3" t="s">
        <v>93</v>
      </c>
      <c r="C247" s="3"/>
      <c r="D247" s="4" t="s">
        <v>254</v>
      </c>
      <c r="E247" s="4" t="s">
        <v>23</v>
      </c>
      <c r="F247" s="4">
        <v>2023</v>
      </c>
      <c r="G247" s="9"/>
      <c r="H247" s="4" t="s">
        <v>23</v>
      </c>
      <c r="I247" s="8">
        <v>-0.4</v>
      </c>
      <c r="J247" s="3">
        <v>15042</v>
      </c>
      <c r="K247" s="3">
        <v>50805</v>
      </c>
      <c r="L247" s="17" t="str" cm="1">
        <f t="array" ref="L247">_xlfn.IFS(MID(K247,2,2)="01", "서울", MID(K247,2,2)="02","경기",MID(K247,2,2)="03","충청",MID(K247,2,2)="04","충청",MID(K247,2,2)="05","전라",MID(K247,2,2)="06","전라",MID(K247,2,2)="07","경북",MID(K247,2,2)="08","경남",MID(K247,2,2)="09","강원",MID(K247,2,2)="10","제주",TRUE,"국외")</f>
        <v>경남</v>
      </c>
    </row>
    <row r="248" spans="1:12" ht="17.25" thickBot="1">
      <c r="A248" s="3" t="s">
        <v>344</v>
      </c>
      <c r="B248" s="3" t="s">
        <v>228</v>
      </c>
      <c r="C248" s="3" t="s">
        <v>119</v>
      </c>
      <c r="D248" s="4" t="s">
        <v>254</v>
      </c>
      <c r="E248" s="4" t="s">
        <v>18</v>
      </c>
      <c r="F248" s="4"/>
      <c r="G248" s="9"/>
      <c r="H248" s="4"/>
      <c r="I248" s="9"/>
      <c r="J248" s="3">
        <v>15075</v>
      </c>
      <c r="K248" s="3">
        <v>50702</v>
      </c>
      <c r="L248" s="17" t="str" cm="1">
        <f t="array" ref="L248">_xlfn.IFS(MID(K248,2,2)="01", "서울", MID(K248,2,2)="02","경기",MID(K248,2,2)="03","충청",MID(K248,2,2)="04","충청",MID(K248,2,2)="05","전라",MID(K248,2,2)="06","전라",MID(K248,2,2)="07","경북",MID(K248,2,2)="08","경남",MID(K248,2,2)="09","강원",MID(K248,2,2)="10","제주",TRUE,"국외")</f>
        <v>경북</v>
      </c>
    </row>
    <row r="249" spans="1:12" ht="17.25" thickBot="1">
      <c r="A249" s="3" t="s">
        <v>345</v>
      </c>
      <c r="B249" s="3" t="s">
        <v>296</v>
      </c>
      <c r="C249" s="3" t="s">
        <v>346</v>
      </c>
      <c r="D249" s="4" t="s">
        <v>254</v>
      </c>
      <c r="E249" s="4" t="s">
        <v>3</v>
      </c>
      <c r="F249" s="4">
        <v>2022</v>
      </c>
      <c r="G249" s="8">
        <v>-0.1</v>
      </c>
      <c r="H249" s="4" t="s">
        <v>3</v>
      </c>
      <c r="I249" s="8">
        <v>-0.1</v>
      </c>
      <c r="J249" s="3">
        <v>15020</v>
      </c>
      <c r="K249" s="3">
        <v>50217</v>
      </c>
      <c r="L249" s="17" t="str" cm="1">
        <f t="array" ref="L249">_xlfn.IFS(MID(K249,2,2)="01", "서울", MID(K249,2,2)="02","경기",MID(K249,2,2)="03","충청",MID(K249,2,2)="04","충청",MID(K249,2,2)="05","전라",MID(K249,2,2)="06","전라",MID(K249,2,2)="07","경북",MID(K249,2,2)="08","경남",MID(K249,2,2)="09","강원",MID(K249,2,2)="10","제주",TRUE,"국외")</f>
        <v>경기</v>
      </c>
    </row>
    <row r="250" spans="1:12" ht="17.25" thickBot="1">
      <c r="A250" s="3" t="s">
        <v>347</v>
      </c>
      <c r="B250" s="3" t="s">
        <v>121</v>
      </c>
      <c r="C250" s="3"/>
      <c r="D250" s="4" t="s">
        <v>254</v>
      </c>
      <c r="E250" s="4" t="s">
        <v>6</v>
      </c>
      <c r="F250" s="4"/>
      <c r="G250" s="9"/>
      <c r="H250" s="4"/>
      <c r="I250" s="9"/>
      <c r="J250" s="3">
        <v>15065</v>
      </c>
      <c r="K250" s="3">
        <v>50604</v>
      </c>
      <c r="L250" s="17" t="str" cm="1">
        <f t="array" ref="L250">_xlfn.IFS(MID(K250,2,2)="01", "서울", MID(K250,2,2)="02","경기",MID(K250,2,2)="03","충청",MID(K250,2,2)="04","충청",MID(K250,2,2)="05","전라",MID(K250,2,2)="06","전라",MID(K250,2,2)="07","경북",MID(K250,2,2)="08","경남",MID(K250,2,2)="09","강원",MID(K250,2,2)="10","제주",TRUE,"국외")</f>
        <v>전라</v>
      </c>
    </row>
    <row r="251" spans="1:12" ht="17.25" thickBot="1">
      <c r="A251" s="3" t="s">
        <v>348</v>
      </c>
      <c r="B251" s="3" t="s">
        <v>147</v>
      </c>
      <c r="C251" s="3"/>
      <c r="D251" s="4" t="s">
        <v>254</v>
      </c>
      <c r="E251" s="4" t="s">
        <v>28</v>
      </c>
      <c r="F251" s="4">
        <v>2023</v>
      </c>
      <c r="G251" s="9"/>
      <c r="H251" s="4" t="s">
        <v>28</v>
      </c>
      <c r="I251" s="8">
        <v>0</v>
      </c>
      <c r="J251" s="3">
        <v>15097</v>
      </c>
      <c r="K251" s="3">
        <v>50208</v>
      </c>
      <c r="L251" s="17" t="str" cm="1">
        <f t="array" ref="L251">_xlfn.IFS(MID(K251,2,2)="01", "서울", MID(K251,2,2)="02","경기",MID(K251,2,2)="03","충청",MID(K251,2,2)="04","충청",MID(K251,2,2)="05","전라",MID(K251,2,2)="06","전라",MID(K251,2,2)="07","경북",MID(K251,2,2)="08","경남",MID(K251,2,2)="09","강원",MID(K251,2,2)="10","제주",TRUE,"국외")</f>
        <v>경기</v>
      </c>
    </row>
    <row r="252" spans="1:12" ht="17.25" thickBot="1">
      <c r="A252" s="3" t="s">
        <v>349</v>
      </c>
      <c r="B252" s="3" t="s">
        <v>40</v>
      </c>
      <c r="C252" s="3"/>
      <c r="D252" s="4" t="s">
        <v>254</v>
      </c>
      <c r="E252" s="4" t="s">
        <v>20</v>
      </c>
      <c r="F252" s="4"/>
      <c r="G252" s="9"/>
      <c r="H252" s="4"/>
      <c r="I252" s="9"/>
      <c r="J252" s="3">
        <v>15087</v>
      </c>
      <c r="K252" s="3">
        <v>50108</v>
      </c>
      <c r="L252" s="17" t="str" cm="1">
        <f t="array" ref="L252">_xlfn.IFS(MID(K252,2,2)="01", "서울", MID(K252,2,2)="02","경기",MID(K252,2,2)="03","충청",MID(K252,2,2)="04","충청",MID(K252,2,2)="05","전라",MID(K252,2,2)="06","전라",MID(K252,2,2)="07","경북",MID(K252,2,2)="08","경남",MID(K252,2,2)="09","강원",MID(K252,2,2)="10","제주",TRUE,"국외")</f>
        <v>서울</v>
      </c>
    </row>
    <row r="253" spans="1:12" ht="17.25" thickBot="1">
      <c r="A253" s="3" t="s">
        <v>350</v>
      </c>
      <c r="B253" s="3" t="s">
        <v>351</v>
      </c>
      <c r="C253" s="3" t="s">
        <v>172</v>
      </c>
      <c r="D253" s="4" t="s">
        <v>254</v>
      </c>
      <c r="E253" s="4" t="s">
        <v>12</v>
      </c>
      <c r="F253" s="4">
        <v>2022</v>
      </c>
      <c r="G253" s="8">
        <v>-0.1</v>
      </c>
      <c r="H253" s="4" t="s">
        <v>12</v>
      </c>
      <c r="I253" s="8">
        <v>0</v>
      </c>
      <c r="J253" s="3">
        <v>15119</v>
      </c>
      <c r="K253" s="3">
        <v>50203</v>
      </c>
      <c r="L253" s="17" t="str" cm="1">
        <f t="array" ref="L253">_xlfn.IFS(MID(K253,2,2)="01", "서울", MID(K253,2,2)="02","경기",MID(K253,2,2)="03","충청",MID(K253,2,2)="04","충청",MID(K253,2,2)="05","전라",MID(K253,2,2)="06","전라",MID(K253,2,2)="07","경북",MID(K253,2,2)="08","경남",MID(K253,2,2)="09","강원",MID(K253,2,2)="10","제주",TRUE,"국외")</f>
        <v>경기</v>
      </c>
    </row>
    <row r="254" spans="1:12" ht="17.25" thickBot="1">
      <c r="A254" s="3" t="s">
        <v>352</v>
      </c>
      <c r="B254" s="3" t="s">
        <v>14</v>
      </c>
      <c r="C254" s="3"/>
      <c r="D254" s="4" t="s">
        <v>254</v>
      </c>
      <c r="E254" s="4" t="s">
        <v>15</v>
      </c>
      <c r="F254" s="4">
        <v>2022</v>
      </c>
      <c r="G254" s="8">
        <v>0</v>
      </c>
      <c r="H254" s="4" t="s">
        <v>15</v>
      </c>
      <c r="I254" s="8">
        <v>0</v>
      </c>
      <c r="J254" s="3">
        <v>15032</v>
      </c>
      <c r="K254" s="3">
        <v>50703</v>
      </c>
      <c r="L254" s="17" t="str" cm="1">
        <f t="array" ref="L254">_xlfn.IFS(MID(K254,2,2)="01", "서울", MID(K254,2,2)="02","경기",MID(K254,2,2)="03","충청",MID(K254,2,2)="04","충청",MID(K254,2,2)="05","전라",MID(K254,2,2)="06","전라",MID(K254,2,2)="07","경북",MID(K254,2,2)="08","경남",MID(K254,2,2)="09","강원",MID(K254,2,2)="10","제주",TRUE,"국외")</f>
        <v>경북</v>
      </c>
    </row>
    <row r="255" spans="1:12" ht="17.25" thickBot="1">
      <c r="A255" s="3" t="s">
        <v>353</v>
      </c>
      <c r="B255" s="3" t="s">
        <v>74</v>
      </c>
      <c r="C255" s="3"/>
      <c r="D255" s="4" t="s">
        <v>254</v>
      </c>
      <c r="E255" s="4" t="s">
        <v>26</v>
      </c>
      <c r="F255" s="4"/>
      <c r="G255" s="9"/>
      <c r="H255" s="4"/>
      <c r="I255" s="9"/>
      <c r="J255" s="3">
        <v>15108</v>
      </c>
      <c r="K255" s="3">
        <v>50102</v>
      </c>
      <c r="L255" s="17" t="str" cm="1">
        <f t="array" ref="L255">_xlfn.IFS(MID(K255,2,2)="01", "서울", MID(K255,2,2)="02","경기",MID(K255,2,2)="03","충청",MID(K255,2,2)="04","충청",MID(K255,2,2)="05","전라",MID(K255,2,2)="06","전라",MID(K255,2,2)="07","경북",MID(K255,2,2)="08","경남",MID(K255,2,2)="09","강원",MID(K255,2,2)="10","제주",TRUE,"국외")</f>
        <v>서울</v>
      </c>
    </row>
    <row r="256" spans="1:12" ht="17.25" thickBot="1">
      <c r="A256" s="3" t="s">
        <v>354</v>
      </c>
      <c r="B256" s="3"/>
      <c r="C256" s="3"/>
      <c r="D256" s="4" t="s">
        <v>254</v>
      </c>
      <c r="E256" s="4" t="s">
        <v>9</v>
      </c>
      <c r="F256" s="4"/>
      <c r="G256" s="9"/>
      <c r="H256" s="4"/>
      <c r="I256" s="9"/>
      <c r="J256" s="3">
        <v>15053</v>
      </c>
      <c r="K256" s="3"/>
      <c r="L256" s="17" t="str" cm="1">
        <f t="array" ref="L256">_xlfn.IFS(MID(K256,2,2)="01", "서울", MID(K256,2,2)="02","경기",MID(K256,2,2)="03","충청",MID(K256,2,2)="04","충청",MID(K256,2,2)="05","전라",MID(K256,2,2)="06","전라",MID(K256,2,2)="07","경북",MID(K256,2,2)="08","경남",MID(K256,2,2)="09","강원",MID(K256,2,2)="10","제주",TRUE,"국외")</f>
        <v>국외</v>
      </c>
    </row>
    <row r="257" spans="1:12" ht="17.25" thickBot="1">
      <c r="A257" s="3" t="s">
        <v>355</v>
      </c>
      <c r="B257" s="3" t="s">
        <v>34</v>
      </c>
      <c r="C257" s="3"/>
      <c r="D257" s="4" t="s">
        <v>254</v>
      </c>
      <c r="E257" s="4" t="s">
        <v>23</v>
      </c>
      <c r="F257" s="4"/>
      <c r="G257" s="9"/>
      <c r="H257" s="4"/>
      <c r="I257" s="9"/>
      <c r="J257" s="3">
        <v>15043</v>
      </c>
      <c r="K257" s="3">
        <v>50701</v>
      </c>
      <c r="L257" s="17" t="str" cm="1">
        <f t="array" ref="L257">_xlfn.IFS(MID(K257,2,2)="01", "서울", MID(K257,2,2)="02","경기",MID(K257,2,2)="03","충청",MID(K257,2,2)="04","충청",MID(K257,2,2)="05","전라",MID(K257,2,2)="06","전라",MID(K257,2,2)="07","경북",MID(K257,2,2)="08","경남",MID(K257,2,2)="09","강원",MID(K257,2,2)="10","제주",TRUE,"국외")</f>
        <v>경북</v>
      </c>
    </row>
    <row r="258" spans="1:12" ht="17.25" thickBot="1">
      <c r="A258" s="3" t="s">
        <v>356</v>
      </c>
      <c r="B258" s="3" t="s">
        <v>140</v>
      </c>
      <c r="C258" s="3"/>
      <c r="D258" s="4" t="s">
        <v>254</v>
      </c>
      <c r="E258" s="4" t="s">
        <v>18</v>
      </c>
      <c r="F258" s="4"/>
      <c r="G258" s="9"/>
      <c r="H258" s="4"/>
      <c r="I258" s="9"/>
      <c r="J258" s="3">
        <v>15076</v>
      </c>
      <c r="K258" s="3">
        <v>50801</v>
      </c>
      <c r="L258" s="17" t="str" cm="1">
        <f t="array" ref="L258">_xlfn.IFS(MID(K258,2,2)="01", "서울", MID(K258,2,2)="02","경기",MID(K258,2,2)="03","충청",MID(K258,2,2)="04","충청",MID(K258,2,2)="05","전라",MID(K258,2,2)="06","전라",MID(K258,2,2)="07","경북",MID(K258,2,2)="08","경남",MID(K258,2,2)="09","강원",MID(K258,2,2)="10","제주",TRUE,"국외")</f>
        <v>경남</v>
      </c>
    </row>
    <row r="259" spans="1:12" ht="17.25" thickBot="1">
      <c r="A259" s="3" t="s">
        <v>357</v>
      </c>
      <c r="B259" s="3" t="s">
        <v>358</v>
      </c>
      <c r="C259" s="3"/>
      <c r="D259" s="4" t="s">
        <v>254</v>
      </c>
      <c r="E259" s="4" t="s">
        <v>3</v>
      </c>
      <c r="F259" s="4"/>
      <c r="G259" s="9"/>
      <c r="H259" s="4"/>
      <c r="I259" s="9"/>
      <c r="J259" s="3">
        <v>15021</v>
      </c>
      <c r="K259" s="3">
        <v>50902</v>
      </c>
      <c r="L259" s="17" t="str" cm="1">
        <f t="array" ref="L259">_xlfn.IFS(MID(K259,2,2)="01", "서울", MID(K259,2,2)="02","경기",MID(K259,2,2)="03","충청",MID(K259,2,2)="04","충청",MID(K259,2,2)="05","전라",MID(K259,2,2)="06","전라",MID(K259,2,2)="07","경북",MID(K259,2,2)="08","경남",MID(K259,2,2)="09","강원",MID(K259,2,2)="10","제주",TRUE,"국외")</f>
        <v>강원</v>
      </c>
    </row>
    <row r="260" spans="1:12" ht="17.25" thickBot="1">
      <c r="A260" s="3" t="s">
        <v>359</v>
      </c>
      <c r="B260" s="3" t="s">
        <v>179</v>
      </c>
      <c r="C260" s="3" t="s">
        <v>156</v>
      </c>
      <c r="D260" s="4" t="s">
        <v>254</v>
      </c>
      <c r="E260" s="4" t="s">
        <v>6</v>
      </c>
      <c r="F260" s="4"/>
      <c r="G260" s="9"/>
      <c r="H260" s="4"/>
      <c r="I260" s="9"/>
      <c r="J260" s="3">
        <v>15066</v>
      </c>
      <c r="K260" s="3">
        <v>50211</v>
      </c>
      <c r="L260" s="17" t="str" cm="1">
        <f t="array" ref="L260">_xlfn.IFS(MID(K260,2,2)="01", "서울", MID(K260,2,2)="02","경기",MID(K260,2,2)="03","충청",MID(K260,2,2)="04","충청",MID(K260,2,2)="05","전라",MID(K260,2,2)="06","전라",MID(K260,2,2)="07","경북",MID(K260,2,2)="08","경남",MID(K260,2,2)="09","강원",MID(K260,2,2)="10","제주",TRUE,"국외")</f>
        <v>경기</v>
      </c>
    </row>
    <row r="261" spans="1:12" ht="17.25" thickBot="1">
      <c r="A261" s="3" t="s">
        <v>360</v>
      </c>
      <c r="B261" s="3" t="s">
        <v>361</v>
      </c>
      <c r="C261" s="3" t="s">
        <v>45</v>
      </c>
      <c r="D261" s="4" t="s">
        <v>254</v>
      </c>
      <c r="E261" s="4" t="s">
        <v>28</v>
      </c>
      <c r="F261" s="4"/>
      <c r="G261" s="9"/>
      <c r="H261" s="4"/>
      <c r="I261" s="9"/>
      <c r="J261" s="3">
        <v>15098</v>
      </c>
      <c r="K261" s="3">
        <v>50121</v>
      </c>
      <c r="L261" s="17" t="str" cm="1">
        <f t="array" ref="L261">_xlfn.IFS(MID(K261,2,2)="01", "서울", MID(K261,2,2)="02","경기",MID(K261,2,2)="03","충청",MID(K261,2,2)="04","충청",MID(K261,2,2)="05","전라",MID(K261,2,2)="06","전라",MID(K261,2,2)="07","경북",MID(K261,2,2)="08","경남",MID(K261,2,2)="09","강원",MID(K261,2,2)="10","제주",TRUE,"국외")</f>
        <v>서울</v>
      </c>
    </row>
    <row r="262" spans="1:12" ht="17.25" thickBot="1">
      <c r="A262" s="3" t="s">
        <v>362</v>
      </c>
      <c r="B262" s="3" t="s">
        <v>8</v>
      </c>
      <c r="C262" s="3"/>
      <c r="D262" s="4" t="s">
        <v>254</v>
      </c>
      <c r="E262" s="4" t="s">
        <v>20</v>
      </c>
      <c r="F262" s="4"/>
      <c r="G262" s="9"/>
      <c r="H262" s="4"/>
      <c r="I262" s="9"/>
      <c r="J262" s="3">
        <v>15088</v>
      </c>
      <c r="K262" s="3">
        <v>50116</v>
      </c>
      <c r="L262" s="17" t="str" cm="1">
        <f t="array" ref="L262">_xlfn.IFS(MID(K262,2,2)="01", "서울", MID(K262,2,2)="02","경기",MID(K262,2,2)="03","충청",MID(K262,2,2)="04","충청",MID(K262,2,2)="05","전라",MID(K262,2,2)="06","전라",MID(K262,2,2)="07","경북",MID(K262,2,2)="08","경남",MID(K262,2,2)="09","강원",MID(K262,2,2)="10","제주",TRUE,"국외")</f>
        <v>서울</v>
      </c>
    </row>
    <row r="263" spans="1:12" ht="17.25" thickBot="1">
      <c r="A263" s="3" t="s">
        <v>363</v>
      </c>
      <c r="B263" s="3" t="s">
        <v>44</v>
      </c>
      <c r="C263" s="3"/>
      <c r="D263" s="4" t="s">
        <v>254</v>
      </c>
      <c r="E263" s="4" t="s">
        <v>12</v>
      </c>
      <c r="F263" s="4"/>
      <c r="G263" s="9"/>
      <c r="H263" s="4"/>
      <c r="I263" s="9"/>
      <c r="J263" s="3">
        <v>15120</v>
      </c>
      <c r="K263" s="3">
        <v>50809</v>
      </c>
      <c r="L263" s="17" t="str" cm="1">
        <f t="array" ref="L263">_xlfn.IFS(MID(K263,2,2)="01", "서울", MID(K263,2,2)="02","경기",MID(K263,2,2)="03","충청",MID(K263,2,2)="04","충청",MID(K263,2,2)="05","전라",MID(K263,2,2)="06","전라",MID(K263,2,2)="07","경북",MID(K263,2,2)="08","경남",MID(K263,2,2)="09","강원",MID(K263,2,2)="10","제주",TRUE,"국외")</f>
        <v>경남</v>
      </c>
    </row>
    <row r="264" spans="1:12" ht="17.25" thickBot="1">
      <c r="A264" s="3" t="s">
        <v>364</v>
      </c>
      <c r="B264" s="3" t="s">
        <v>32</v>
      </c>
      <c r="C264" s="3"/>
      <c r="D264" s="4" t="s">
        <v>254</v>
      </c>
      <c r="E264" s="4" t="s">
        <v>15</v>
      </c>
      <c r="F264" s="4"/>
      <c r="G264" s="9"/>
      <c r="H264" s="4"/>
      <c r="I264" s="9"/>
      <c r="J264" s="3">
        <v>15033</v>
      </c>
      <c r="K264" s="3">
        <v>50111</v>
      </c>
      <c r="L264" s="17" t="str" cm="1">
        <f t="array" ref="L264">_xlfn.IFS(MID(K264,2,2)="01", "서울", MID(K264,2,2)="02","경기",MID(K264,2,2)="03","충청",MID(K264,2,2)="04","충청",MID(K264,2,2)="05","전라",MID(K264,2,2)="06","전라",MID(K264,2,2)="07","경북",MID(K264,2,2)="08","경남",MID(K264,2,2)="09","강원",MID(K264,2,2)="10","제주",TRUE,"국외")</f>
        <v>서울</v>
      </c>
    </row>
    <row r="265" spans="1:12" ht="17.25" thickBot="1">
      <c r="A265" s="3" t="s">
        <v>365</v>
      </c>
      <c r="B265" s="3" t="s">
        <v>366</v>
      </c>
      <c r="C265" s="3"/>
      <c r="D265" s="4" t="s">
        <v>254</v>
      </c>
      <c r="E265" s="4" t="s">
        <v>26</v>
      </c>
      <c r="F265" s="4"/>
      <c r="G265" s="9"/>
      <c r="H265" s="4"/>
      <c r="I265" s="9"/>
      <c r="J265" s="3">
        <v>15109</v>
      </c>
      <c r="K265" s="3">
        <v>50120</v>
      </c>
      <c r="L265" s="17" t="str" cm="1">
        <f t="array" ref="L265">_xlfn.IFS(MID(K265,2,2)="01", "서울", MID(K265,2,2)="02","경기",MID(K265,2,2)="03","충청",MID(K265,2,2)="04","충청",MID(K265,2,2)="05","전라",MID(K265,2,2)="06","전라",MID(K265,2,2)="07","경북",MID(K265,2,2)="08","경남",MID(K265,2,2)="09","강원",MID(K265,2,2)="10","제주",TRUE,"국외")</f>
        <v>서울</v>
      </c>
    </row>
    <row r="266" spans="1:12" ht="17.25" thickBot="1">
      <c r="A266" s="3" t="s">
        <v>367</v>
      </c>
      <c r="B266" s="3" t="s">
        <v>126</v>
      </c>
      <c r="C266" s="3"/>
      <c r="D266" s="4" t="s">
        <v>254</v>
      </c>
      <c r="E266" s="4" t="s">
        <v>9</v>
      </c>
      <c r="F266" s="4"/>
      <c r="G266" s="9"/>
      <c r="H266" s="4"/>
      <c r="I266" s="9"/>
      <c r="J266" s="3">
        <v>15054</v>
      </c>
      <c r="K266" s="3">
        <v>50206</v>
      </c>
      <c r="L266" s="17" t="str" cm="1">
        <f t="array" ref="L266">_xlfn.IFS(MID(K266,2,2)="01", "서울", MID(K266,2,2)="02","경기",MID(K266,2,2)="03","충청",MID(K266,2,2)="04","충청",MID(K266,2,2)="05","전라",MID(K266,2,2)="06","전라",MID(K266,2,2)="07","경북",MID(K266,2,2)="08","경남",MID(K266,2,2)="09","강원",MID(K266,2,2)="10","제주",TRUE,"국외")</f>
        <v>경기</v>
      </c>
    </row>
    <row r="267" spans="1:12" ht="17.25" thickBot="1">
      <c r="A267" s="3" t="s">
        <v>368</v>
      </c>
      <c r="B267" s="3" t="s">
        <v>366</v>
      </c>
      <c r="C267" s="3"/>
      <c r="D267" s="4" t="s">
        <v>254</v>
      </c>
      <c r="E267" s="4" t="s">
        <v>23</v>
      </c>
      <c r="F267" s="4"/>
      <c r="G267" s="9"/>
      <c r="H267" s="4"/>
      <c r="I267" s="9"/>
      <c r="J267" s="3">
        <v>15044</v>
      </c>
      <c r="K267" s="3">
        <v>50120</v>
      </c>
      <c r="L267" s="17" t="str" cm="1">
        <f t="array" ref="L267">_xlfn.IFS(MID(K267,2,2)="01", "서울", MID(K267,2,2)="02","경기",MID(K267,2,2)="03","충청",MID(K267,2,2)="04","충청",MID(K267,2,2)="05","전라",MID(K267,2,2)="06","전라",MID(K267,2,2)="07","경북",MID(K267,2,2)="08","경남",MID(K267,2,2)="09","강원",MID(K267,2,2)="10","제주",TRUE,"국외")</f>
        <v>서울</v>
      </c>
    </row>
    <row r="268" spans="1:12" ht="17.25" thickBot="1">
      <c r="A268" s="3" t="s">
        <v>369</v>
      </c>
      <c r="B268" s="3" t="s">
        <v>158</v>
      </c>
      <c r="C268" s="3" t="s">
        <v>83</v>
      </c>
      <c r="D268" s="4" t="s">
        <v>254</v>
      </c>
      <c r="E268" s="4" t="s">
        <v>18</v>
      </c>
      <c r="F268" s="4"/>
      <c r="G268" s="9"/>
      <c r="H268" s="4"/>
      <c r="I268" s="9"/>
      <c r="J268" s="3">
        <v>15077</v>
      </c>
      <c r="K268" s="3">
        <v>50501</v>
      </c>
      <c r="L268" s="17" t="str" cm="1">
        <f t="array" ref="L268">_xlfn.IFS(MID(K268,2,2)="01", "서울", MID(K268,2,2)="02","경기",MID(K268,2,2)="03","충청",MID(K268,2,2)="04","충청",MID(K268,2,2)="05","전라",MID(K268,2,2)="06","전라",MID(K268,2,2)="07","경북",MID(K268,2,2)="08","경남",MID(K268,2,2)="09","강원",MID(K268,2,2)="10","제주",TRUE,"국외")</f>
        <v>전라</v>
      </c>
    </row>
    <row r="269" spans="1:12" ht="17.25" thickBot="1">
      <c r="A269" s="3" t="s">
        <v>370</v>
      </c>
      <c r="B269" s="3" t="s">
        <v>50</v>
      </c>
      <c r="C269" s="3"/>
      <c r="D269" s="4" t="s">
        <v>254</v>
      </c>
      <c r="E269" s="4" t="s">
        <v>3</v>
      </c>
      <c r="F269" s="4"/>
      <c r="G269" s="9"/>
      <c r="H269" s="4"/>
      <c r="I269" s="9"/>
      <c r="J269" s="3">
        <v>15022</v>
      </c>
      <c r="K269" s="3">
        <v>50301</v>
      </c>
      <c r="L269" s="17" t="str" cm="1">
        <f t="array" ref="L269">_xlfn.IFS(MID(K269,2,2)="01", "서울", MID(K269,2,2)="02","경기",MID(K269,2,2)="03","충청",MID(K269,2,2)="04","충청",MID(K269,2,2)="05","전라",MID(K269,2,2)="06","전라",MID(K269,2,2)="07","경북",MID(K269,2,2)="08","경남",MID(K269,2,2)="09","강원",MID(K269,2,2)="10","제주",TRUE,"국외")</f>
        <v>충청</v>
      </c>
    </row>
    <row r="270" spans="1:12" ht="17.25" thickBot="1">
      <c r="A270" s="3" t="s">
        <v>371</v>
      </c>
      <c r="B270" s="3"/>
      <c r="C270" s="3"/>
      <c r="D270" s="4" t="s">
        <v>181</v>
      </c>
      <c r="E270" s="4" t="s">
        <v>6</v>
      </c>
      <c r="F270" s="4">
        <v>2022</v>
      </c>
      <c r="G270" s="8">
        <v>2.6</v>
      </c>
      <c r="H270" s="4" t="s">
        <v>6</v>
      </c>
      <c r="I270" s="8">
        <v>4.4000000000000004</v>
      </c>
      <c r="J270" s="3">
        <v>15147</v>
      </c>
      <c r="K270" s="3"/>
      <c r="L270" s="17" t="str" cm="1">
        <f t="array" ref="L270">_xlfn.IFS(MID(K270,2,2)="01", "서울", MID(K270,2,2)="02","경기",MID(K270,2,2)="03","충청",MID(K270,2,2)="04","충청",MID(K270,2,2)="05","전라",MID(K270,2,2)="06","전라",MID(K270,2,2)="07","경북",MID(K270,2,2)="08","경남",MID(K270,2,2)="09","강원",MID(K270,2,2)="10","제주",TRUE,"국외")</f>
        <v>국외</v>
      </c>
    </row>
    <row r="271" spans="1:12" ht="17.25" thickBot="1">
      <c r="A271" s="3" t="s">
        <v>372</v>
      </c>
      <c r="B271" s="3" t="s">
        <v>373</v>
      </c>
      <c r="C271" s="3"/>
      <c r="D271" s="4" t="s">
        <v>181</v>
      </c>
      <c r="E271" s="4" t="s">
        <v>6</v>
      </c>
      <c r="F271" s="4">
        <v>2022</v>
      </c>
      <c r="G271" s="8">
        <v>4.5</v>
      </c>
      <c r="H271" s="4" t="s">
        <v>6</v>
      </c>
      <c r="I271" s="8">
        <v>9.1</v>
      </c>
      <c r="J271" s="3">
        <v>14996</v>
      </c>
      <c r="K271" s="3">
        <v>51124</v>
      </c>
      <c r="L271" s="17" t="str" cm="1">
        <f t="array" ref="L271">_xlfn.IFS(MID(K271,2,2)="01", "서울", MID(K271,2,2)="02","경기",MID(K271,2,2)="03","충청",MID(K271,2,2)="04","충청",MID(K271,2,2)="05","전라",MID(K271,2,2)="06","전라",MID(K271,2,2)="07","경북",MID(K271,2,2)="08","경남",MID(K271,2,2)="09","강원",MID(K271,2,2)="10","제주",TRUE,"국외")</f>
        <v>국외</v>
      </c>
    </row>
    <row r="272" spans="1:12" ht="17.25" thickBot="1">
      <c r="A272" s="3" t="s">
        <v>374</v>
      </c>
      <c r="B272" s="3" t="s">
        <v>375</v>
      </c>
      <c r="C272" s="3" t="s">
        <v>376</v>
      </c>
      <c r="D272" s="4" t="s">
        <v>181</v>
      </c>
      <c r="E272" s="4" t="s">
        <v>6</v>
      </c>
      <c r="F272" s="4">
        <v>2022</v>
      </c>
      <c r="G272" s="8">
        <v>4.3</v>
      </c>
      <c r="H272" s="4" t="s">
        <v>6</v>
      </c>
      <c r="I272" s="8">
        <v>4.3</v>
      </c>
      <c r="J272" s="3">
        <v>14998</v>
      </c>
      <c r="K272" s="3">
        <v>51123</v>
      </c>
      <c r="L272" s="17" t="str" cm="1">
        <f t="array" ref="L272">_xlfn.IFS(MID(K272,2,2)="01", "서울", MID(K272,2,2)="02","경기",MID(K272,2,2)="03","충청",MID(K272,2,2)="04","충청",MID(K272,2,2)="05","전라",MID(K272,2,2)="06","전라",MID(K272,2,2)="07","경북",MID(K272,2,2)="08","경남",MID(K272,2,2)="09","강원",MID(K272,2,2)="10","제주",TRUE,"국외")</f>
        <v>국외</v>
      </c>
    </row>
    <row r="273" spans="1:12" ht="17.25" thickBot="1">
      <c r="A273" s="3" t="s">
        <v>377</v>
      </c>
      <c r="B273" s="3" t="s">
        <v>378</v>
      </c>
      <c r="C273" s="3"/>
      <c r="D273" s="4" t="s">
        <v>181</v>
      </c>
      <c r="E273" s="4" t="s">
        <v>6</v>
      </c>
      <c r="F273" s="4">
        <v>2022</v>
      </c>
      <c r="G273" s="8">
        <v>0</v>
      </c>
      <c r="H273" s="4" t="s">
        <v>6</v>
      </c>
      <c r="I273" s="8">
        <v>0</v>
      </c>
      <c r="J273" s="3">
        <v>14997</v>
      </c>
      <c r="K273" s="3">
        <v>51122</v>
      </c>
      <c r="L273" s="17" t="str" cm="1">
        <f t="array" ref="L273">_xlfn.IFS(MID(K273,2,2)="01", "서울", MID(K273,2,2)="02","경기",MID(K273,2,2)="03","충청",MID(K273,2,2)="04","충청",MID(K273,2,2)="05","전라",MID(K273,2,2)="06","전라",MID(K273,2,2)="07","경북",MID(K273,2,2)="08","경남",MID(K273,2,2)="09","강원",MID(K273,2,2)="10","제주",TRUE,"국외")</f>
        <v>국외</v>
      </c>
    </row>
    <row r="274" spans="1:12" ht="17.25" thickBot="1">
      <c r="A274" s="3" t="s">
        <v>379</v>
      </c>
      <c r="B274" s="3"/>
      <c r="C274" s="3"/>
      <c r="D274" s="4" t="s">
        <v>181</v>
      </c>
      <c r="E274" s="4" t="s">
        <v>28</v>
      </c>
      <c r="F274" s="4">
        <v>2022</v>
      </c>
      <c r="G274" s="8">
        <v>3.1</v>
      </c>
      <c r="H274" s="4" t="s">
        <v>28</v>
      </c>
      <c r="I274" s="8">
        <v>6</v>
      </c>
      <c r="J274" s="3">
        <v>15143</v>
      </c>
      <c r="K274" s="3"/>
      <c r="L274" s="17" t="str" cm="1">
        <f t="array" ref="L274">_xlfn.IFS(MID(K274,2,2)="01", "서울", MID(K274,2,2)="02","경기",MID(K274,2,2)="03","충청",MID(K274,2,2)="04","충청",MID(K274,2,2)="05","전라",MID(K274,2,2)="06","전라",MID(K274,2,2)="07","경북",MID(K274,2,2)="08","경남",MID(K274,2,2)="09","강원",MID(K274,2,2)="10","제주",TRUE,"국외")</f>
        <v>국외</v>
      </c>
    </row>
    <row r="275" spans="1:12" ht="17.25" thickBot="1">
      <c r="A275" s="3" t="s">
        <v>380</v>
      </c>
      <c r="B275" s="3"/>
      <c r="C275" s="3"/>
      <c r="D275" s="4" t="s">
        <v>181</v>
      </c>
      <c r="E275" s="4" t="s">
        <v>28</v>
      </c>
      <c r="F275" s="4">
        <v>2022</v>
      </c>
      <c r="G275" s="8">
        <v>2.4</v>
      </c>
      <c r="H275" s="4" t="s">
        <v>28</v>
      </c>
      <c r="I275" s="8">
        <v>7.2</v>
      </c>
      <c r="J275" s="3">
        <v>15144</v>
      </c>
      <c r="K275" s="3"/>
      <c r="L275" s="17" t="str" cm="1">
        <f t="array" ref="L275">_xlfn.IFS(MID(K275,2,2)="01", "서울", MID(K275,2,2)="02","경기",MID(K275,2,2)="03","충청",MID(K275,2,2)="04","충청",MID(K275,2,2)="05","전라",MID(K275,2,2)="06","전라",MID(K275,2,2)="07","경북",MID(K275,2,2)="08","경남",MID(K275,2,2)="09","강원",MID(K275,2,2)="10","제주",TRUE,"국외")</f>
        <v>국외</v>
      </c>
    </row>
    <row r="276" spans="1:12" ht="17.25" thickBot="1">
      <c r="A276" s="3" t="s">
        <v>381</v>
      </c>
      <c r="B276" s="3" t="s">
        <v>382</v>
      </c>
      <c r="C276" s="3"/>
      <c r="D276" s="4" t="s">
        <v>181</v>
      </c>
      <c r="E276" s="4" t="s">
        <v>28</v>
      </c>
      <c r="F276" s="4">
        <v>2022</v>
      </c>
      <c r="G276" s="8">
        <v>0.4</v>
      </c>
      <c r="H276" s="4" t="s">
        <v>28</v>
      </c>
      <c r="I276" s="8">
        <v>0.4</v>
      </c>
      <c r="J276" s="3">
        <v>15000</v>
      </c>
      <c r="K276" s="3">
        <v>51125</v>
      </c>
      <c r="L276" s="17" t="str" cm="1">
        <f t="array" ref="L276">_xlfn.IFS(MID(K276,2,2)="01", "서울", MID(K276,2,2)="02","경기",MID(K276,2,2)="03","충청",MID(K276,2,2)="04","충청",MID(K276,2,2)="05","전라",MID(K276,2,2)="06","전라",MID(K276,2,2)="07","경북",MID(K276,2,2)="08","경남",MID(K276,2,2)="09","강원",MID(K276,2,2)="10","제주",TRUE,"국외")</f>
        <v>국외</v>
      </c>
    </row>
    <row r="277" spans="1:12" ht="17.25" thickBot="1">
      <c r="A277" s="3" t="s">
        <v>383</v>
      </c>
      <c r="B277" s="3"/>
      <c r="C277" s="3" t="s">
        <v>384</v>
      </c>
      <c r="D277" s="4" t="s">
        <v>181</v>
      </c>
      <c r="E277" s="4" t="s">
        <v>20</v>
      </c>
      <c r="F277" s="4">
        <v>2022</v>
      </c>
      <c r="G277" s="8">
        <v>5.3</v>
      </c>
      <c r="H277" s="4" t="s">
        <v>20</v>
      </c>
      <c r="I277" s="8">
        <v>9.8000000000000007</v>
      </c>
      <c r="J277" s="3">
        <v>15003</v>
      </c>
      <c r="K277" s="3"/>
      <c r="L277" s="17" t="str" cm="1">
        <f t="array" ref="L277">_xlfn.IFS(MID(K277,2,2)="01", "서울", MID(K277,2,2)="02","경기",MID(K277,2,2)="03","충청",MID(K277,2,2)="04","충청",MID(K277,2,2)="05","전라",MID(K277,2,2)="06","전라",MID(K277,2,2)="07","경북",MID(K277,2,2)="08","경남",MID(K277,2,2)="09","강원",MID(K277,2,2)="10","제주",TRUE,"국외")</f>
        <v>국외</v>
      </c>
    </row>
    <row r="278" spans="1:12" ht="17.25" thickBot="1">
      <c r="A278" s="3" t="s">
        <v>385</v>
      </c>
      <c r="B278" s="3"/>
      <c r="C278" s="3"/>
      <c r="D278" s="4" t="s">
        <v>181</v>
      </c>
      <c r="E278" s="4" t="s">
        <v>20</v>
      </c>
      <c r="F278" s="4">
        <v>2022</v>
      </c>
      <c r="G278" s="8">
        <v>0.3</v>
      </c>
      <c r="H278" s="4" t="s">
        <v>20</v>
      </c>
      <c r="I278" s="8">
        <v>0.3</v>
      </c>
      <c r="J278" s="3">
        <v>15150</v>
      </c>
      <c r="K278" s="3"/>
      <c r="L278" s="17" t="str" cm="1">
        <f t="array" ref="L278">_xlfn.IFS(MID(K278,2,2)="01", "서울", MID(K278,2,2)="02","경기",MID(K278,2,2)="03","충청",MID(K278,2,2)="04","충청",MID(K278,2,2)="05","전라",MID(K278,2,2)="06","전라",MID(K278,2,2)="07","경북",MID(K278,2,2)="08","경남",MID(K278,2,2)="09","강원",MID(K278,2,2)="10","제주",TRUE,"국외")</f>
        <v>국외</v>
      </c>
    </row>
    <row r="279" spans="1:12" ht="17.25" thickBot="1">
      <c r="A279" s="3" t="s">
        <v>386</v>
      </c>
      <c r="B279" s="3" t="s">
        <v>387</v>
      </c>
      <c r="C279" s="3"/>
      <c r="D279" s="4" t="s">
        <v>181</v>
      </c>
      <c r="E279" s="4" t="s">
        <v>20</v>
      </c>
      <c r="F279" s="4">
        <v>2022</v>
      </c>
      <c r="G279" s="8">
        <v>-0.2</v>
      </c>
      <c r="H279" s="4" t="s">
        <v>20</v>
      </c>
      <c r="I279" s="8">
        <v>-0.2</v>
      </c>
      <c r="J279" s="3">
        <v>15002</v>
      </c>
      <c r="K279" s="3">
        <v>51121</v>
      </c>
      <c r="L279" s="17" t="str" cm="1">
        <f t="array" ref="L279">_xlfn.IFS(MID(K279,2,2)="01", "서울", MID(K279,2,2)="02","경기",MID(K279,2,2)="03","충청",MID(K279,2,2)="04","충청",MID(K279,2,2)="05","전라",MID(K279,2,2)="06","전라",MID(K279,2,2)="07","경북",MID(K279,2,2)="08","경남",MID(K279,2,2)="09","강원",MID(K279,2,2)="10","제주",TRUE,"국외")</f>
        <v>국외</v>
      </c>
    </row>
    <row r="280" spans="1:12" ht="17.25" thickBot="1">
      <c r="A280" s="3" t="s">
        <v>388</v>
      </c>
      <c r="B280" s="3"/>
      <c r="C280" s="3"/>
      <c r="D280" s="4" t="s">
        <v>181</v>
      </c>
      <c r="E280" s="4" t="s">
        <v>12</v>
      </c>
      <c r="F280" s="4">
        <v>2022</v>
      </c>
      <c r="G280" s="8">
        <v>0.2</v>
      </c>
      <c r="H280" s="4" t="s">
        <v>12</v>
      </c>
      <c r="I280" s="8">
        <v>0.2</v>
      </c>
      <c r="J280" s="3">
        <v>15154</v>
      </c>
      <c r="K280" s="3"/>
      <c r="L280" s="17" t="str" cm="1">
        <f t="array" ref="L280">_xlfn.IFS(MID(K280,2,2)="01", "서울", MID(K280,2,2)="02","경기",MID(K280,2,2)="03","충청",MID(K280,2,2)="04","충청",MID(K280,2,2)="05","전라",MID(K280,2,2)="06","전라",MID(K280,2,2)="07","경북",MID(K280,2,2)="08","경남",MID(K280,2,2)="09","강원",MID(K280,2,2)="10","제주",TRUE,"국외")</f>
        <v>국외</v>
      </c>
    </row>
    <row r="281" spans="1:12" ht="17.25" thickBot="1">
      <c r="A281" s="3" t="s">
        <v>389</v>
      </c>
      <c r="B281" s="3" t="s">
        <v>390</v>
      </c>
      <c r="C281" s="3" t="s">
        <v>391</v>
      </c>
      <c r="D281" s="4" t="s">
        <v>181</v>
      </c>
      <c r="E281" s="4" t="s">
        <v>12</v>
      </c>
      <c r="F281" s="4">
        <v>2022</v>
      </c>
      <c r="G281" s="8">
        <v>2.2999999999999998</v>
      </c>
      <c r="H281" s="4" t="s">
        <v>12</v>
      </c>
      <c r="I281" s="8">
        <v>2.2999999999999998</v>
      </c>
      <c r="J281" s="3">
        <v>15008</v>
      </c>
      <c r="K281" s="3">
        <v>51129</v>
      </c>
      <c r="L281" s="17" t="str" cm="1">
        <f t="array" ref="L281">_xlfn.IFS(MID(K281,2,2)="01", "서울", MID(K281,2,2)="02","경기",MID(K281,2,2)="03","충청",MID(K281,2,2)="04","충청",MID(K281,2,2)="05","전라",MID(K281,2,2)="06","전라",MID(K281,2,2)="07","경북",MID(K281,2,2)="08","경남",MID(K281,2,2)="09","강원",MID(K281,2,2)="10","제주",TRUE,"국외")</f>
        <v>국외</v>
      </c>
    </row>
    <row r="282" spans="1:12" ht="17.25" thickBot="1">
      <c r="A282" s="3" t="s">
        <v>392</v>
      </c>
      <c r="B282" s="3" t="s">
        <v>393</v>
      </c>
      <c r="C282" s="3" t="s">
        <v>394</v>
      </c>
      <c r="D282" s="4" t="s">
        <v>181</v>
      </c>
      <c r="E282" s="4" t="s">
        <v>15</v>
      </c>
      <c r="F282" s="4">
        <v>2022</v>
      </c>
      <c r="G282" s="8">
        <v>-0.1</v>
      </c>
      <c r="H282" s="4" t="s">
        <v>15</v>
      </c>
      <c r="I282" s="8">
        <v>-0.1</v>
      </c>
      <c r="J282" s="3">
        <v>15006</v>
      </c>
      <c r="K282" s="3">
        <v>51127</v>
      </c>
      <c r="L282" s="17" t="str" cm="1">
        <f t="array" ref="L282">_xlfn.IFS(MID(K282,2,2)="01", "서울", MID(K282,2,2)="02","경기",MID(K282,2,2)="03","충청",MID(K282,2,2)="04","충청",MID(K282,2,2)="05","전라",MID(K282,2,2)="06","전라",MID(K282,2,2)="07","경북",MID(K282,2,2)="08","경남",MID(K282,2,2)="09","강원",MID(K282,2,2)="10","제주",TRUE,"국외")</f>
        <v>국외</v>
      </c>
    </row>
    <row r="283" spans="1:12" ht="17.25" thickBot="1">
      <c r="A283" s="3" t="s">
        <v>395</v>
      </c>
      <c r="B283" s="3"/>
      <c r="C283" s="3"/>
      <c r="D283" s="4" t="s">
        <v>181</v>
      </c>
      <c r="E283" s="4" t="s">
        <v>15</v>
      </c>
      <c r="F283" s="4">
        <v>2022</v>
      </c>
      <c r="G283" s="8">
        <v>3.1</v>
      </c>
      <c r="H283" s="4" t="s">
        <v>15</v>
      </c>
      <c r="I283" s="8">
        <v>3.1</v>
      </c>
      <c r="J283" s="3">
        <v>15149</v>
      </c>
      <c r="K283" s="3"/>
      <c r="L283" s="17" t="str" cm="1">
        <f t="array" ref="L283">_xlfn.IFS(MID(K283,2,2)="01", "서울", MID(K283,2,2)="02","경기",MID(K283,2,2)="03","충청",MID(K283,2,2)="04","충청",MID(K283,2,2)="05","전라",MID(K283,2,2)="06","전라",MID(K283,2,2)="07","경북",MID(K283,2,2)="08","경남",MID(K283,2,2)="09","강원",MID(K283,2,2)="10","제주",TRUE,"국외")</f>
        <v>국외</v>
      </c>
    </row>
    <row r="284" spans="1:12" ht="17.25" thickBot="1">
      <c r="A284" s="3" t="s">
        <v>396</v>
      </c>
      <c r="B284" s="3" t="s">
        <v>397</v>
      </c>
      <c r="C284" s="3"/>
      <c r="D284" s="4" t="s">
        <v>181</v>
      </c>
      <c r="E284" s="4" t="s">
        <v>15</v>
      </c>
      <c r="F284" s="4">
        <v>2022</v>
      </c>
      <c r="G284" s="8">
        <v>-0.5</v>
      </c>
      <c r="H284" s="4" t="s">
        <v>15</v>
      </c>
      <c r="I284" s="8">
        <v>-0.5</v>
      </c>
      <c r="J284" s="3">
        <v>15007</v>
      </c>
      <c r="K284" s="3">
        <v>51128</v>
      </c>
      <c r="L284" s="17" t="str" cm="1">
        <f t="array" ref="L284">_xlfn.IFS(MID(K284,2,2)="01", "서울", MID(K284,2,2)="02","경기",MID(K284,2,2)="03","충청",MID(K284,2,2)="04","충청",MID(K284,2,2)="05","전라",MID(K284,2,2)="06","전라",MID(K284,2,2)="07","경북",MID(K284,2,2)="08","경남",MID(K284,2,2)="09","강원",MID(K284,2,2)="10","제주",TRUE,"국외")</f>
        <v>국외</v>
      </c>
    </row>
    <row r="285" spans="1:12" ht="17.25" thickBot="1">
      <c r="A285" s="3" t="s">
        <v>398</v>
      </c>
      <c r="B285" s="3"/>
      <c r="C285" s="3"/>
      <c r="D285" s="4" t="s">
        <v>181</v>
      </c>
      <c r="E285" s="4" t="s">
        <v>15</v>
      </c>
      <c r="F285" s="4">
        <v>2022</v>
      </c>
      <c r="G285" s="8">
        <v>1.8</v>
      </c>
      <c r="H285" s="4" t="s">
        <v>15</v>
      </c>
      <c r="I285" s="8">
        <v>1.8</v>
      </c>
      <c r="J285" s="3">
        <v>15151</v>
      </c>
      <c r="K285" s="3"/>
      <c r="L285" s="17" t="str" cm="1">
        <f t="array" ref="L285">_xlfn.IFS(MID(K285,2,2)="01", "서울", MID(K285,2,2)="02","경기",MID(K285,2,2)="03","충청",MID(K285,2,2)="04","충청",MID(K285,2,2)="05","전라",MID(K285,2,2)="06","전라",MID(K285,2,2)="07","경북",MID(K285,2,2)="08","경남",MID(K285,2,2)="09","강원",MID(K285,2,2)="10","제주",TRUE,"국외")</f>
        <v>국외</v>
      </c>
    </row>
    <row r="286" spans="1:12" ht="17.25" thickBot="1">
      <c r="A286" s="3" t="s">
        <v>399</v>
      </c>
      <c r="B286" s="3"/>
      <c r="C286" s="3" t="s">
        <v>400</v>
      </c>
      <c r="D286" s="4" t="s">
        <v>181</v>
      </c>
      <c r="E286" s="4" t="s">
        <v>26</v>
      </c>
      <c r="F286" s="4">
        <v>2022</v>
      </c>
      <c r="G286" s="8">
        <v>2.7</v>
      </c>
      <c r="H286" s="4" t="s">
        <v>26</v>
      </c>
      <c r="I286" s="8">
        <v>2.7</v>
      </c>
      <c r="J286" s="3">
        <v>14999</v>
      </c>
      <c r="K286" s="3"/>
      <c r="L286" s="17" t="str" cm="1">
        <f t="array" ref="L286">_xlfn.IFS(MID(K286,2,2)="01", "서울", MID(K286,2,2)="02","경기",MID(K286,2,2)="03","충청",MID(K286,2,2)="04","충청",MID(K286,2,2)="05","전라",MID(K286,2,2)="06","전라",MID(K286,2,2)="07","경북",MID(K286,2,2)="08","경남",MID(K286,2,2)="09","강원",MID(K286,2,2)="10","제주",TRUE,"국외")</f>
        <v>국외</v>
      </c>
    </row>
    <row r="287" spans="1:12" ht="17.25" thickBot="1">
      <c r="A287" s="3" t="s">
        <v>401</v>
      </c>
      <c r="B287" s="3"/>
      <c r="C287" s="3"/>
      <c r="D287" s="4" t="s">
        <v>181</v>
      </c>
      <c r="E287" s="4" t="s">
        <v>26</v>
      </c>
      <c r="F287" s="4">
        <v>2022</v>
      </c>
      <c r="G287" s="8">
        <v>1.6</v>
      </c>
      <c r="H287" s="4" t="s">
        <v>26</v>
      </c>
      <c r="I287" s="8">
        <v>5.2</v>
      </c>
      <c r="J287" s="3">
        <v>15153</v>
      </c>
      <c r="K287" s="3"/>
      <c r="L287" s="17" t="str" cm="1">
        <f t="array" ref="L287">_xlfn.IFS(MID(K287,2,2)="01", "서울", MID(K287,2,2)="02","경기",MID(K287,2,2)="03","충청",MID(K287,2,2)="04","충청",MID(K287,2,2)="05","전라",MID(K287,2,2)="06","전라",MID(K287,2,2)="07","경북",MID(K287,2,2)="08","경남",MID(K287,2,2)="09","강원",MID(K287,2,2)="10","제주",TRUE,"국외")</f>
        <v>국외</v>
      </c>
    </row>
    <row r="288" spans="1:12" ht="17.25" thickBot="1">
      <c r="A288" s="3" t="s">
        <v>402</v>
      </c>
      <c r="B288" s="3"/>
      <c r="C288" s="3" t="s">
        <v>403</v>
      </c>
      <c r="D288" s="4" t="s">
        <v>181</v>
      </c>
      <c r="E288" s="4" t="s">
        <v>9</v>
      </c>
      <c r="F288" s="4">
        <v>2022</v>
      </c>
      <c r="G288" s="8">
        <v>1.5</v>
      </c>
      <c r="H288" s="4" t="s">
        <v>9</v>
      </c>
      <c r="I288" s="8">
        <v>1.5</v>
      </c>
      <c r="J288" s="3">
        <v>15009</v>
      </c>
      <c r="K288" s="3"/>
      <c r="L288" s="17" t="str" cm="1">
        <f t="array" ref="L288">_xlfn.IFS(MID(K288,2,2)="01", "서울", MID(K288,2,2)="02","경기",MID(K288,2,2)="03","충청",MID(K288,2,2)="04","충청",MID(K288,2,2)="05","전라",MID(K288,2,2)="06","전라",MID(K288,2,2)="07","경북",MID(K288,2,2)="08","경남",MID(K288,2,2)="09","강원",MID(K288,2,2)="10","제주",TRUE,"국외")</f>
        <v>국외</v>
      </c>
    </row>
    <row r="289" spans="1:12" ht="17.25" thickBot="1">
      <c r="A289" s="3" t="s">
        <v>404</v>
      </c>
      <c r="B289" s="3"/>
      <c r="C289" s="3" t="s">
        <v>405</v>
      </c>
      <c r="D289" s="4" t="s">
        <v>181</v>
      </c>
      <c r="E289" s="4" t="s">
        <v>9</v>
      </c>
      <c r="F289" s="4">
        <v>2022</v>
      </c>
      <c r="G289" s="8">
        <v>5.7</v>
      </c>
      <c r="H289" s="4" t="s">
        <v>9</v>
      </c>
      <c r="I289" s="8">
        <v>11.4</v>
      </c>
      <c r="J289" s="3">
        <v>15011</v>
      </c>
      <c r="K289" s="3"/>
      <c r="L289" s="17" t="str" cm="1">
        <f t="array" ref="L289">_xlfn.IFS(MID(K289,2,2)="01", "서울", MID(K289,2,2)="02","경기",MID(K289,2,2)="03","충청",MID(K289,2,2)="04","충청",MID(K289,2,2)="05","전라",MID(K289,2,2)="06","전라",MID(K289,2,2)="07","경북",MID(K289,2,2)="08","경남",MID(K289,2,2)="09","강원",MID(K289,2,2)="10","제주",TRUE,"국외")</f>
        <v>국외</v>
      </c>
    </row>
    <row r="290" spans="1:12" ht="17.25" thickBot="1">
      <c r="A290" s="3" t="s">
        <v>406</v>
      </c>
      <c r="B290" s="3"/>
      <c r="C290" s="3"/>
      <c r="D290" s="4" t="s">
        <v>181</v>
      </c>
      <c r="E290" s="4" t="s">
        <v>9</v>
      </c>
      <c r="F290" s="4">
        <v>2022</v>
      </c>
      <c r="G290" s="8">
        <v>2.9</v>
      </c>
      <c r="H290" s="4" t="s">
        <v>9</v>
      </c>
      <c r="I290" s="8">
        <v>3.1</v>
      </c>
      <c r="J290" s="3">
        <v>15152</v>
      </c>
      <c r="K290" s="3"/>
      <c r="L290" s="17" t="str" cm="1">
        <f t="array" ref="L290">_xlfn.IFS(MID(K290,2,2)="01", "서울", MID(K290,2,2)="02","경기",MID(K290,2,2)="03","충청",MID(K290,2,2)="04","충청",MID(K290,2,2)="05","전라",MID(K290,2,2)="06","전라",MID(K290,2,2)="07","경북",MID(K290,2,2)="08","경남",MID(K290,2,2)="09","강원",MID(K290,2,2)="10","제주",TRUE,"국외")</f>
        <v>국외</v>
      </c>
    </row>
    <row r="291" spans="1:12" ht="17.25" thickBot="1">
      <c r="A291" s="3" t="s">
        <v>407</v>
      </c>
      <c r="B291" s="3"/>
      <c r="C291" s="3" t="s">
        <v>408</v>
      </c>
      <c r="D291" s="4" t="s">
        <v>181</v>
      </c>
      <c r="E291" s="4" t="s">
        <v>9</v>
      </c>
      <c r="F291" s="4">
        <v>2022</v>
      </c>
      <c r="G291" s="8">
        <v>1.3</v>
      </c>
      <c r="H291" s="4" t="s">
        <v>9</v>
      </c>
      <c r="I291" s="8">
        <v>1.3</v>
      </c>
      <c r="J291" s="3">
        <v>15010</v>
      </c>
      <c r="K291" s="3"/>
      <c r="L291" s="17" t="str" cm="1">
        <f t="array" ref="L291">_xlfn.IFS(MID(K291,2,2)="01", "서울", MID(K291,2,2)="02","경기",MID(K291,2,2)="03","충청",MID(K291,2,2)="04","충청",MID(K291,2,2)="05","전라",MID(K291,2,2)="06","전라",MID(K291,2,2)="07","경북",MID(K291,2,2)="08","경남",MID(K291,2,2)="09","강원",MID(K291,2,2)="10","제주",TRUE,"국외")</f>
        <v>국외</v>
      </c>
    </row>
    <row r="292" spans="1:12" ht="17.25" thickBot="1">
      <c r="A292" s="3" t="s">
        <v>409</v>
      </c>
      <c r="B292" s="3" t="s">
        <v>410</v>
      </c>
      <c r="C292" s="3"/>
      <c r="D292" s="4" t="s">
        <v>181</v>
      </c>
      <c r="E292" s="4" t="s">
        <v>23</v>
      </c>
      <c r="F292" s="4">
        <v>2022</v>
      </c>
      <c r="G292" s="8">
        <v>6.7</v>
      </c>
      <c r="H292" s="4" t="s">
        <v>23</v>
      </c>
      <c r="I292" s="8">
        <v>9.1999999999999993</v>
      </c>
      <c r="J292" s="3">
        <v>15001</v>
      </c>
      <c r="K292" s="3">
        <v>51126</v>
      </c>
      <c r="L292" s="17" t="str" cm="1">
        <f t="array" ref="L292">_xlfn.IFS(MID(K292,2,2)="01", "서울", MID(K292,2,2)="02","경기",MID(K292,2,2)="03","충청",MID(K292,2,2)="04","충청",MID(K292,2,2)="05","전라",MID(K292,2,2)="06","전라",MID(K292,2,2)="07","경북",MID(K292,2,2)="08","경남",MID(K292,2,2)="09","강원",MID(K292,2,2)="10","제주",TRUE,"국외")</f>
        <v>국외</v>
      </c>
    </row>
    <row r="293" spans="1:12" ht="17.25" thickBot="1">
      <c r="A293" s="3" t="s">
        <v>411</v>
      </c>
      <c r="B293" s="3"/>
      <c r="C293" s="3" t="s">
        <v>412</v>
      </c>
      <c r="D293" s="4" t="s">
        <v>181</v>
      </c>
      <c r="E293" s="4" t="s">
        <v>18</v>
      </c>
      <c r="F293" s="4">
        <v>2022</v>
      </c>
      <c r="G293" s="8">
        <v>2.2999999999999998</v>
      </c>
      <c r="H293" s="4" t="s">
        <v>18</v>
      </c>
      <c r="I293" s="8">
        <v>2.2999999999999998</v>
      </c>
      <c r="J293" s="3">
        <v>15005</v>
      </c>
      <c r="K293" s="3"/>
      <c r="L293" s="17" t="str" cm="1">
        <f t="array" ref="L293">_xlfn.IFS(MID(K293,2,2)="01", "서울", MID(K293,2,2)="02","경기",MID(K293,2,2)="03","충청",MID(K293,2,2)="04","충청",MID(K293,2,2)="05","전라",MID(K293,2,2)="06","전라",MID(K293,2,2)="07","경북",MID(K293,2,2)="08","경남",MID(K293,2,2)="09","강원",MID(K293,2,2)="10","제주",TRUE,"국외")</f>
        <v>국외</v>
      </c>
    </row>
    <row r="294" spans="1:12" ht="17.25" thickBot="1">
      <c r="A294" s="3" t="s">
        <v>413</v>
      </c>
      <c r="B294" s="3"/>
      <c r="C294" s="3" t="s">
        <v>414</v>
      </c>
      <c r="D294" s="4" t="s">
        <v>181</v>
      </c>
      <c r="E294" s="4" t="s">
        <v>18</v>
      </c>
      <c r="F294" s="4">
        <v>2022</v>
      </c>
      <c r="G294" s="8">
        <v>3.5</v>
      </c>
      <c r="H294" s="4" t="s">
        <v>18</v>
      </c>
      <c r="I294" s="8">
        <v>3.5</v>
      </c>
      <c r="J294" s="3">
        <v>15004</v>
      </c>
      <c r="K294" s="3"/>
      <c r="L294" s="17" t="str" cm="1">
        <f t="array" ref="L294">_xlfn.IFS(MID(K294,2,2)="01", "서울", MID(K294,2,2)="02","경기",MID(K294,2,2)="03","충청",MID(K294,2,2)="04","충청",MID(K294,2,2)="05","전라",MID(K294,2,2)="06","전라",MID(K294,2,2)="07","경북",MID(K294,2,2)="08","경남",MID(K294,2,2)="09","강원",MID(K294,2,2)="10","제주",TRUE,"국외")</f>
        <v>국외</v>
      </c>
    </row>
    <row r="295" spans="1:12" ht="17.25" thickBot="1">
      <c r="A295" s="3" t="s">
        <v>415</v>
      </c>
      <c r="B295" s="3"/>
      <c r="C295" s="3"/>
      <c r="D295" s="4" t="s">
        <v>181</v>
      </c>
      <c r="E295" s="4" t="s">
        <v>3</v>
      </c>
      <c r="F295" s="4">
        <v>2022</v>
      </c>
      <c r="G295" s="8">
        <v>1.3</v>
      </c>
      <c r="H295" s="4" t="s">
        <v>3</v>
      </c>
      <c r="I295" s="8">
        <v>5.5</v>
      </c>
      <c r="J295" s="3">
        <v>15146</v>
      </c>
      <c r="K295" s="3"/>
      <c r="L295" s="17" t="str" cm="1">
        <f t="array" ref="L295">_xlfn.IFS(MID(K295,2,2)="01", "서울", MID(K295,2,2)="02","경기",MID(K295,2,2)="03","충청",MID(K295,2,2)="04","충청",MID(K295,2,2)="05","전라",MID(K295,2,2)="06","전라",MID(K295,2,2)="07","경북",MID(K295,2,2)="08","경남",MID(K295,2,2)="09","강원",MID(K295,2,2)="10","제주",TRUE,"국외")</f>
        <v>국외</v>
      </c>
    </row>
    <row r="296" spans="1:12" ht="17.25" thickBot="1">
      <c r="A296" s="3" t="s">
        <v>416</v>
      </c>
      <c r="B296" s="3" t="s">
        <v>417</v>
      </c>
      <c r="C296" s="3" t="s">
        <v>418</v>
      </c>
      <c r="D296" s="4" t="s">
        <v>181</v>
      </c>
      <c r="E296" s="4" t="s">
        <v>3</v>
      </c>
      <c r="F296" s="4">
        <v>2022</v>
      </c>
      <c r="G296" s="8">
        <v>4.0999999999999996</v>
      </c>
      <c r="H296" s="4" t="s">
        <v>3</v>
      </c>
      <c r="I296" s="8">
        <v>4.0999999999999996</v>
      </c>
      <c r="J296" s="3">
        <v>15012</v>
      </c>
      <c r="K296" s="3">
        <v>51130</v>
      </c>
      <c r="L296" s="17" t="str" cm="1">
        <f t="array" ref="L296">_xlfn.IFS(MID(K296,2,2)="01", "서울", MID(K296,2,2)="02","경기",MID(K296,2,2)="03","충청",MID(K296,2,2)="04","충청",MID(K296,2,2)="05","전라",MID(K296,2,2)="06","전라",MID(K296,2,2)="07","경북",MID(K296,2,2)="08","경남",MID(K296,2,2)="09","강원",MID(K296,2,2)="10","제주",TRUE,"국외")</f>
        <v>국외</v>
      </c>
    </row>
    <row r="297" spans="1:12" ht="17.25" thickBot="1">
      <c r="A297" s="3" t="s">
        <v>419</v>
      </c>
      <c r="B297" s="3"/>
      <c r="C297" s="3"/>
      <c r="D297" s="4" t="s">
        <v>181</v>
      </c>
      <c r="E297" s="4" t="s">
        <v>3</v>
      </c>
      <c r="F297" s="4">
        <v>2022</v>
      </c>
      <c r="G297" s="8">
        <v>1.3</v>
      </c>
      <c r="H297" s="4" t="s">
        <v>3</v>
      </c>
      <c r="I297" s="8">
        <v>1.3</v>
      </c>
      <c r="J297" s="3">
        <v>15145</v>
      </c>
      <c r="K297" s="3"/>
      <c r="L297" s="17" t="str" cm="1">
        <f t="array" ref="L297">_xlfn.IFS(MID(K297,2,2)="01", "서울", MID(K297,2,2)="02","경기",MID(K297,2,2)="03","충청",MID(K297,2,2)="04","충청",MID(K297,2,2)="05","전라",MID(K297,2,2)="06","전라",MID(K297,2,2)="07","경북",MID(K297,2,2)="08","경남",MID(K297,2,2)="09","강원",MID(K297,2,2)="10","제주",TRUE,"국외")</f>
        <v>국외</v>
      </c>
    </row>
    <row r="298" spans="1:12" ht="17.25" thickBot="1">
      <c r="A298" s="3" t="s">
        <v>420</v>
      </c>
      <c r="B298" s="3" t="s">
        <v>50</v>
      </c>
      <c r="C298" s="3" t="s">
        <v>161</v>
      </c>
      <c r="D298" s="4" t="s">
        <v>205</v>
      </c>
      <c r="E298" s="4" t="s">
        <v>6</v>
      </c>
      <c r="F298" s="4"/>
      <c r="G298" s="9"/>
      <c r="H298" s="4"/>
      <c r="I298" s="9"/>
      <c r="J298" s="3">
        <v>15125</v>
      </c>
      <c r="K298" s="3">
        <v>50301</v>
      </c>
      <c r="L298" s="17" t="str" cm="1">
        <f t="array" ref="L298">_xlfn.IFS(MID(K298,2,2)="01", "서울", MID(K298,2,2)="02","경기",MID(K298,2,2)="03","충청",MID(K298,2,2)="04","충청",MID(K298,2,2)="05","전라",MID(K298,2,2)="06","전라",MID(K298,2,2)="07","경북",MID(K298,2,2)="08","경남",MID(K298,2,2)="09","강원",MID(K298,2,2)="10","제주",TRUE,"국외")</f>
        <v>충청</v>
      </c>
    </row>
    <row r="299" spans="1:12" ht="17.25" thickBot="1">
      <c r="A299" s="3" t="s">
        <v>421</v>
      </c>
      <c r="B299" s="3" t="s">
        <v>158</v>
      </c>
      <c r="C299" s="3" t="s">
        <v>99</v>
      </c>
      <c r="D299" s="4" t="s">
        <v>205</v>
      </c>
      <c r="E299" s="4" t="s">
        <v>6</v>
      </c>
      <c r="F299" s="4"/>
      <c r="G299" s="9"/>
      <c r="H299" s="4"/>
      <c r="I299" s="9"/>
      <c r="J299" s="3">
        <v>15124</v>
      </c>
      <c r="K299" s="3">
        <v>50501</v>
      </c>
      <c r="L299" s="17" t="str" cm="1">
        <f t="array" ref="L299">_xlfn.IFS(MID(K299,2,2)="01", "서울", MID(K299,2,2)="02","경기",MID(K299,2,2)="03","충청",MID(K299,2,2)="04","충청",MID(K299,2,2)="05","전라",MID(K299,2,2)="06","전라",MID(K299,2,2)="07","경북",MID(K299,2,2)="08","경남",MID(K299,2,2)="09","강원",MID(K299,2,2)="10","제주",TRUE,"국외")</f>
        <v>전라</v>
      </c>
    </row>
    <row r="300" spans="1:12" ht="17.25" thickBot="1">
      <c r="A300" s="3" t="s">
        <v>422</v>
      </c>
      <c r="B300" s="3" t="s">
        <v>70</v>
      </c>
      <c r="C300" s="3" t="s">
        <v>136</v>
      </c>
      <c r="D300" s="4" t="s">
        <v>205</v>
      </c>
      <c r="E300" s="4" t="s">
        <v>6</v>
      </c>
      <c r="F300" s="4"/>
      <c r="G300" s="9"/>
      <c r="H300" s="4"/>
      <c r="I300" s="9"/>
      <c r="J300" s="3">
        <v>15123</v>
      </c>
      <c r="K300" s="3">
        <v>50103</v>
      </c>
      <c r="L300" s="17" t="str" cm="1">
        <f t="array" ref="L300">_xlfn.IFS(MID(K300,2,2)="01", "서울", MID(K300,2,2)="02","경기",MID(K300,2,2)="03","충청",MID(K300,2,2)="04","충청",MID(K300,2,2)="05","전라",MID(K300,2,2)="06","전라",MID(K300,2,2)="07","경북",MID(K300,2,2)="08","경남",MID(K300,2,2)="09","강원",MID(K300,2,2)="10","제주",TRUE,"국외")</f>
        <v>서울</v>
      </c>
    </row>
    <row r="301" spans="1:12" ht="17.25" thickBot="1">
      <c r="A301" s="3" t="s">
        <v>423</v>
      </c>
      <c r="B301" s="3" t="s">
        <v>358</v>
      </c>
      <c r="C301" s="3" t="s">
        <v>133</v>
      </c>
      <c r="D301" s="4" t="s">
        <v>205</v>
      </c>
      <c r="E301" s="4" t="s">
        <v>28</v>
      </c>
      <c r="F301" s="4"/>
      <c r="G301" s="9"/>
      <c r="H301" s="4"/>
      <c r="I301" s="9"/>
      <c r="J301" s="3">
        <v>15126</v>
      </c>
      <c r="K301" s="3">
        <v>50902</v>
      </c>
      <c r="L301" s="17" t="str" cm="1">
        <f t="array" ref="L301">_xlfn.IFS(MID(K301,2,2)="01", "서울", MID(K301,2,2)="02","경기",MID(K301,2,2)="03","충청",MID(K301,2,2)="04","충청",MID(K301,2,2)="05","전라",MID(K301,2,2)="06","전라",MID(K301,2,2)="07","경북",MID(K301,2,2)="08","경남",MID(K301,2,2)="09","강원",MID(K301,2,2)="10","제주",TRUE,"국외")</f>
        <v>강원</v>
      </c>
    </row>
    <row r="302" spans="1:12" ht="17.25" thickBot="1">
      <c r="A302" s="3" t="s">
        <v>424</v>
      </c>
      <c r="B302" s="3" t="s">
        <v>8</v>
      </c>
      <c r="C302" s="3" t="s">
        <v>174</v>
      </c>
      <c r="D302" s="4" t="s">
        <v>205</v>
      </c>
      <c r="E302" s="4" t="s">
        <v>15</v>
      </c>
      <c r="F302" s="4">
        <v>2022</v>
      </c>
      <c r="G302" s="9"/>
      <c r="H302" s="4"/>
      <c r="I302" s="9"/>
      <c r="J302" s="3">
        <v>15122</v>
      </c>
      <c r="K302" s="3">
        <v>50116</v>
      </c>
      <c r="L302" s="17" t="str" cm="1">
        <f t="array" ref="L302">_xlfn.IFS(MID(K302,2,2)="01", "서울", MID(K302,2,2)="02","경기",MID(K302,2,2)="03","충청",MID(K302,2,2)="04","충청",MID(K302,2,2)="05","전라",MID(K302,2,2)="06","전라",MID(K302,2,2)="07","경북",MID(K302,2,2)="08","경남",MID(K302,2,2)="09","강원",MID(K302,2,2)="10","제주",TRUE,"국외")</f>
        <v>서울</v>
      </c>
    </row>
    <row r="303" spans="1:12" ht="17.25" thickBot="1">
      <c r="A303" s="3" t="s">
        <v>425</v>
      </c>
      <c r="B303" s="3" t="s">
        <v>11</v>
      </c>
      <c r="C303" s="3" t="s">
        <v>83</v>
      </c>
      <c r="D303" s="4" t="s">
        <v>205</v>
      </c>
      <c r="E303" s="4" t="s">
        <v>15</v>
      </c>
      <c r="F303" s="4">
        <v>2022</v>
      </c>
      <c r="G303" s="8">
        <v>0</v>
      </c>
      <c r="H303" s="4" t="s">
        <v>15</v>
      </c>
      <c r="I303" s="8">
        <v>0</v>
      </c>
      <c r="J303" s="3">
        <v>15121</v>
      </c>
      <c r="K303" s="3">
        <v>50802</v>
      </c>
      <c r="L303" s="17" t="str" cm="1">
        <f t="array" ref="L303">_xlfn.IFS(MID(K303,2,2)="01", "서울", MID(K303,2,2)="02","경기",MID(K303,2,2)="03","충청",MID(K303,2,2)="04","충청",MID(K303,2,2)="05","전라",MID(K303,2,2)="06","전라",MID(K303,2,2)="07","경북",MID(K303,2,2)="08","경남",MID(K303,2,2)="09","강원",MID(K303,2,2)="10","제주",TRUE,"국외")</f>
        <v>경남</v>
      </c>
    </row>
    <row r="304" spans="1:12" ht="17.25" thickBot="1">
      <c r="A304" s="3" t="s">
        <v>426</v>
      </c>
      <c r="B304" s="3" t="s">
        <v>96</v>
      </c>
      <c r="C304" s="3" t="s">
        <v>161</v>
      </c>
      <c r="D304" s="4" t="s">
        <v>205</v>
      </c>
      <c r="E304" s="4" t="s">
        <v>26</v>
      </c>
      <c r="F304" s="4">
        <v>2022</v>
      </c>
      <c r="G304" s="8">
        <v>-0.1</v>
      </c>
      <c r="H304" s="4" t="s">
        <v>26</v>
      </c>
      <c r="I304" s="8">
        <v>0</v>
      </c>
      <c r="J304" s="3">
        <v>15127</v>
      </c>
      <c r="K304" s="3">
        <v>50601</v>
      </c>
      <c r="L304" s="17" t="str" cm="1">
        <f t="array" ref="L304">_xlfn.IFS(MID(K304,2,2)="01", "서울", MID(K304,2,2)="02","경기",MID(K304,2,2)="03","충청",MID(K304,2,2)="04","충청",MID(K304,2,2)="05","전라",MID(K304,2,2)="06","전라",MID(K304,2,2)="07","경북",MID(K304,2,2)="08","경남",MID(K304,2,2)="09","강원",MID(K304,2,2)="10","제주",TRUE,"국외")</f>
        <v>전라</v>
      </c>
    </row>
    <row r="305" spans="1:12" ht="17.25" thickBot="1">
      <c r="A305" s="3" t="s">
        <v>427</v>
      </c>
      <c r="B305" s="3" t="s">
        <v>335</v>
      </c>
      <c r="C305" s="3" t="s">
        <v>99</v>
      </c>
      <c r="D305" s="4" t="s">
        <v>205</v>
      </c>
      <c r="E305" s="4" t="s">
        <v>26</v>
      </c>
      <c r="F305" s="4"/>
      <c r="G305" s="9"/>
      <c r="H305" s="4"/>
      <c r="I305" s="9"/>
      <c r="J305" s="3">
        <v>15128</v>
      </c>
      <c r="K305" s="3">
        <v>50804</v>
      </c>
      <c r="L305" s="17" t="str" cm="1">
        <f t="array" ref="L305">_xlfn.IFS(MID(K305,2,2)="01", "서울", MID(K305,2,2)="02","경기",MID(K305,2,2)="03","충청",MID(K305,2,2)="04","충청",MID(K305,2,2)="05","전라",MID(K305,2,2)="06","전라",MID(K305,2,2)="07","경북",MID(K305,2,2)="08","경남",MID(K305,2,2)="09","강원",MID(K305,2,2)="10","제주",TRUE,"국외")</f>
        <v>경남</v>
      </c>
    </row>
    <row r="306" spans="1:12" ht="17.25" thickBot="1">
      <c r="A306" s="3" t="s">
        <v>249</v>
      </c>
      <c r="B306" s="3" t="s">
        <v>89</v>
      </c>
      <c r="C306" s="3"/>
      <c r="D306" s="4" t="s">
        <v>205</v>
      </c>
      <c r="E306" s="4" t="s">
        <v>26</v>
      </c>
      <c r="F306" s="4"/>
      <c r="G306" s="9"/>
      <c r="H306" s="4"/>
      <c r="I306" s="9"/>
      <c r="J306" s="3">
        <v>15129</v>
      </c>
      <c r="K306" s="3">
        <v>50806</v>
      </c>
      <c r="L306" s="17" t="str" cm="1">
        <f t="array" ref="L306">_xlfn.IFS(MID(K306,2,2)="01", "서울", MID(K306,2,2)="02","경기",MID(K306,2,2)="03","충청",MID(K306,2,2)="04","충청",MID(K306,2,2)="05","전라",MID(K306,2,2)="06","전라",MID(K306,2,2)="07","경북",MID(K306,2,2)="08","경남",MID(K306,2,2)="09","강원",MID(K306,2,2)="10","제주",TRUE,"국외")</f>
        <v>경남</v>
      </c>
    </row>
    <row r="307" spans="1:12" ht="17.25" thickBot="1">
      <c r="A307" s="3" t="s">
        <v>428</v>
      </c>
      <c r="B307" s="3" t="s">
        <v>32</v>
      </c>
      <c r="C307" s="3" t="s">
        <v>122</v>
      </c>
      <c r="D307" s="4" t="s">
        <v>205</v>
      </c>
      <c r="E307" s="4" t="s">
        <v>9</v>
      </c>
      <c r="F307" s="4"/>
      <c r="G307" s="9"/>
      <c r="H307" s="4"/>
      <c r="I307" s="9"/>
      <c r="J307" s="3">
        <v>15133</v>
      </c>
      <c r="K307" s="3">
        <v>50111</v>
      </c>
      <c r="L307" s="17" t="str" cm="1">
        <f t="array" ref="L307">_xlfn.IFS(MID(K307,2,2)="01", "서울", MID(K307,2,2)="02","경기",MID(K307,2,2)="03","충청",MID(K307,2,2)="04","충청",MID(K307,2,2)="05","전라",MID(K307,2,2)="06","전라",MID(K307,2,2)="07","경북",MID(K307,2,2)="08","경남",MID(K307,2,2)="09","강원",MID(K307,2,2)="10","제주",TRUE,"국외")</f>
        <v>서울</v>
      </c>
    </row>
    <row r="308" spans="1:12" ht="17.25" thickBot="1">
      <c r="A308" s="3" t="s">
        <v>429</v>
      </c>
      <c r="B308" s="3" t="s">
        <v>70</v>
      </c>
      <c r="C308" s="3" t="s">
        <v>122</v>
      </c>
      <c r="D308" s="4" t="s">
        <v>205</v>
      </c>
      <c r="E308" s="4" t="s">
        <v>9</v>
      </c>
      <c r="F308" s="4"/>
      <c r="G308" s="9"/>
      <c r="H308" s="4"/>
      <c r="I308" s="9"/>
      <c r="J308" s="3">
        <v>15136</v>
      </c>
      <c r="K308" s="3">
        <v>50103</v>
      </c>
      <c r="L308" s="17" t="str" cm="1">
        <f t="array" ref="L308">_xlfn.IFS(MID(K308,2,2)="01", "서울", MID(K308,2,2)="02","경기",MID(K308,2,2)="03","충청",MID(K308,2,2)="04","충청",MID(K308,2,2)="05","전라",MID(K308,2,2)="06","전라",MID(K308,2,2)="07","경북",MID(K308,2,2)="08","경남",MID(K308,2,2)="09","강원",MID(K308,2,2)="10","제주",TRUE,"국외")</f>
        <v>서울</v>
      </c>
    </row>
    <row r="309" spans="1:12" ht="17.25" thickBot="1">
      <c r="A309" s="3" t="s">
        <v>430</v>
      </c>
      <c r="B309" s="3" t="s">
        <v>101</v>
      </c>
      <c r="C309" s="3" t="s">
        <v>83</v>
      </c>
      <c r="D309" s="4" t="s">
        <v>205</v>
      </c>
      <c r="E309" s="4" t="s">
        <v>9</v>
      </c>
      <c r="F309" s="4"/>
      <c r="G309" s="9"/>
      <c r="H309" s="4"/>
      <c r="I309" s="9"/>
      <c r="J309" s="3">
        <v>15134</v>
      </c>
      <c r="K309" s="3">
        <v>50207</v>
      </c>
      <c r="L309" s="17" t="str" cm="1">
        <f t="array" ref="L309">_xlfn.IFS(MID(K309,2,2)="01", "서울", MID(K309,2,2)="02","경기",MID(K309,2,2)="03","충청",MID(K309,2,2)="04","충청",MID(K309,2,2)="05","전라",MID(K309,2,2)="06","전라",MID(K309,2,2)="07","경북",MID(K309,2,2)="08","경남",MID(K309,2,2)="09","강원",MID(K309,2,2)="10","제주",TRUE,"국외")</f>
        <v>경기</v>
      </c>
    </row>
    <row r="310" spans="1:12" ht="17.25" thickBot="1">
      <c r="A310" s="3" t="s">
        <v>431</v>
      </c>
      <c r="B310" s="3" t="s">
        <v>22</v>
      </c>
      <c r="C310" s="3" t="s">
        <v>221</v>
      </c>
      <c r="D310" s="4" t="s">
        <v>205</v>
      </c>
      <c r="E310" s="4" t="s">
        <v>9</v>
      </c>
      <c r="F310" s="4"/>
      <c r="G310" s="9"/>
      <c r="H310" s="4"/>
      <c r="I310" s="9"/>
      <c r="J310" s="3">
        <v>15135</v>
      </c>
      <c r="K310" s="3">
        <v>50209</v>
      </c>
      <c r="L310" s="17" t="str" cm="1">
        <f t="array" ref="L310">_xlfn.IFS(MID(K310,2,2)="01", "서울", MID(K310,2,2)="02","경기",MID(K310,2,2)="03","충청",MID(K310,2,2)="04","충청",MID(K310,2,2)="05","전라",MID(K310,2,2)="06","전라",MID(K310,2,2)="07","경북",MID(K310,2,2)="08","경남",MID(K310,2,2)="09","강원",MID(K310,2,2)="10","제주",TRUE,"국외")</f>
        <v>경기</v>
      </c>
    </row>
    <row r="311" spans="1:12" ht="17.25" thickBot="1">
      <c r="A311" s="3" t="s">
        <v>432</v>
      </c>
      <c r="B311" s="3" t="s">
        <v>107</v>
      </c>
      <c r="C311" s="3" t="s">
        <v>218</v>
      </c>
      <c r="D311" s="4" t="s">
        <v>205</v>
      </c>
      <c r="E311" s="4" t="s">
        <v>18</v>
      </c>
      <c r="F311" s="4"/>
      <c r="G311" s="9"/>
      <c r="H311" s="4"/>
      <c r="I311" s="9"/>
      <c r="J311" s="3">
        <v>15130</v>
      </c>
      <c r="K311" s="3">
        <v>50602</v>
      </c>
      <c r="L311" s="17" t="str" cm="1">
        <f t="array" ref="L311">_xlfn.IFS(MID(K311,2,2)="01", "서울", MID(K311,2,2)="02","경기",MID(K311,2,2)="03","충청",MID(K311,2,2)="04","충청",MID(K311,2,2)="05","전라",MID(K311,2,2)="06","전라",MID(K311,2,2)="07","경북",MID(K311,2,2)="08","경남",MID(K311,2,2)="09","강원",MID(K311,2,2)="10","제주",TRUE,"국외")</f>
        <v>전라</v>
      </c>
    </row>
    <row r="312" spans="1:12" ht="17.25" thickBot="1">
      <c r="A312" s="3" t="s">
        <v>433</v>
      </c>
      <c r="B312" s="3" t="s">
        <v>5</v>
      </c>
      <c r="C312" s="3" t="s">
        <v>329</v>
      </c>
      <c r="D312" s="4" t="s">
        <v>205</v>
      </c>
      <c r="E312" s="4" t="s">
        <v>18</v>
      </c>
      <c r="F312" s="4">
        <v>2023</v>
      </c>
      <c r="G312" s="9"/>
      <c r="H312" s="4" t="s">
        <v>18</v>
      </c>
      <c r="I312" s="8">
        <v>1.4</v>
      </c>
      <c r="J312" s="3">
        <v>15132</v>
      </c>
      <c r="K312" s="3">
        <v>50114</v>
      </c>
      <c r="L312" s="17" t="str" cm="1">
        <f t="array" ref="L312">_xlfn.IFS(MID(K312,2,2)="01", "서울", MID(K312,2,2)="02","경기",MID(K312,2,2)="03","충청",MID(K312,2,2)="04","충청",MID(K312,2,2)="05","전라",MID(K312,2,2)="06","전라",MID(K312,2,2)="07","경북",MID(K312,2,2)="08","경남",MID(K312,2,2)="09","강원",MID(K312,2,2)="10","제주",TRUE,"국외")</f>
        <v>서울</v>
      </c>
    </row>
    <row r="313" spans="1:12" ht="17.25" thickBot="1">
      <c r="A313" s="3" t="s">
        <v>434</v>
      </c>
      <c r="B313" s="3" t="s">
        <v>322</v>
      </c>
      <c r="C313" s="3" t="s">
        <v>85</v>
      </c>
      <c r="D313" s="4" t="s">
        <v>205</v>
      </c>
      <c r="E313" s="4" t="s">
        <v>18</v>
      </c>
      <c r="F313" s="4"/>
      <c r="G313" s="9"/>
      <c r="H313" s="4"/>
      <c r="I313" s="9"/>
      <c r="J313" s="3">
        <v>15131</v>
      </c>
      <c r="K313" s="3">
        <v>50810</v>
      </c>
      <c r="L313" s="17" t="str" cm="1">
        <f t="array" ref="L313">_xlfn.IFS(MID(K313,2,2)="01", "서울", MID(K313,2,2)="02","경기",MID(K313,2,2)="03","충청",MID(K313,2,2)="04","충청",MID(K313,2,2)="05","전라",MID(K313,2,2)="06","전라",MID(K313,2,2)="07","경북",MID(K313,2,2)="08","경남",MID(K313,2,2)="09","강원",MID(K313,2,2)="10","제주",TRUE,"국외")</f>
        <v>경남</v>
      </c>
    </row>
    <row r="314" spans="1:12" ht="17.25" thickBot="1">
      <c r="A314" s="3" t="s">
        <v>435</v>
      </c>
      <c r="B314" s="3" t="s">
        <v>241</v>
      </c>
      <c r="C314" s="3" t="s">
        <v>234</v>
      </c>
      <c r="D314" s="4" t="s">
        <v>205</v>
      </c>
      <c r="E314" s="4" t="s">
        <v>3</v>
      </c>
      <c r="F314" s="4"/>
      <c r="G314" s="9"/>
      <c r="H314" s="4"/>
      <c r="I314" s="9"/>
      <c r="J314" s="3">
        <v>15633</v>
      </c>
      <c r="K314" s="3">
        <v>50202</v>
      </c>
      <c r="L314" s="17" t="str" cm="1">
        <f t="array" ref="L314">_xlfn.IFS(MID(K314,2,2)="01", "서울", MID(K314,2,2)="02","경기",MID(K314,2,2)="03","충청",MID(K314,2,2)="04","충청",MID(K314,2,2)="05","전라",MID(K314,2,2)="06","전라",MID(K314,2,2)="07","경북",MID(K314,2,2)="08","경남",MID(K314,2,2)="09","강원",MID(K314,2,2)="10","제주",TRUE,"국외")</f>
        <v>경기</v>
      </c>
    </row>
    <row r="315" spans="1:12" ht="17.25" thickBot="1">
      <c r="A315" s="3" t="s">
        <v>436</v>
      </c>
      <c r="B315" s="3" t="s">
        <v>74</v>
      </c>
      <c r="C315" s="3"/>
      <c r="D315" s="4" t="s">
        <v>205</v>
      </c>
      <c r="E315" s="4" t="s">
        <v>3</v>
      </c>
      <c r="F315" s="4"/>
      <c r="G315" s="9"/>
      <c r="H315" s="4"/>
      <c r="I315" s="9"/>
      <c r="J315" s="3">
        <v>15137</v>
      </c>
      <c r="K315" s="3">
        <v>50102</v>
      </c>
      <c r="L315" s="17" t="str" cm="1">
        <f t="array" ref="L315">_xlfn.IFS(MID(K315,2,2)="01", "서울", MID(K315,2,2)="02","경기",MID(K315,2,2)="03","충청",MID(K315,2,2)="04","충청",MID(K315,2,2)="05","전라",MID(K315,2,2)="06","전라",MID(K315,2,2)="07","경북",MID(K315,2,2)="08","경남",MID(K315,2,2)="09","강원",MID(K315,2,2)="10","제주",TRUE,"국외")</f>
        <v>서울</v>
      </c>
    </row>
    <row r="316" spans="1:12" ht="17.25" thickBot="1">
      <c r="A316" s="3" t="s">
        <v>437</v>
      </c>
      <c r="B316" s="3" t="s">
        <v>438</v>
      </c>
      <c r="C316" s="3" t="s">
        <v>156</v>
      </c>
      <c r="D316" s="4" t="s">
        <v>205</v>
      </c>
      <c r="E316" s="4" t="s">
        <v>3</v>
      </c>
      <c r="F316" s="4"/>
      <c r="G316" s="9"/>
      <c r="H316" s="4"/>
      <c r="I316" s="9"/>
      <c r="J316" s="3">
        <v>15138</v>
      </c>
      <c r="K316" s="3">
        <v>50220</v>
      </c>
      <c r="L316" s="17" t="str" cm="1">
        <f t="array" ref="L316">_xlfn.IFS(MID(K316,2,2)="01", "서울", MID(K316,2,2)="02","경기",MID(K316,2,2)="03","충청",MID(K316,2,2)="04","충청",MID(K316,2,2)="05","전라",MID(K316,2,2)="06","전라",MID(K316,2,2)="07","경북",MID(K316,2,2)="08","경남",MID(K316,2,2)="09","강원",MID(K316,2,2)="10","제주",TRUE,"국외")</f>
        <v>경기</v>
      </c>
    </row>
    <row r="317" spans="1:12" ht="17.25" thickBot="1">
      <c r="A317" s="3" t="s">
        <v>439</v>
      </c>
      <c r="B317" s="3" t="s">
        <v>179</v>
      </c>
      <c r="C317" s="3" t="s">
        <v>161</v>
      </c>
      <c r="D317" s="4" t="s">
        <v>205</v>
      </c>
      <c r="E317" s="4" t="s">
        <v>3</v>
      </c>
      <c r="F317" s="4">
        <v>2023</v>
      </c>
      <c r="G317" s="9"/>
      <c r="H317" s="4" t="s">
        <v>3</v>
      </c>
      <c r="I317" s="8">
        <v>-0.2</v>
      </c>
      <c r="J317" s="3">
        <v>15139</v>
      </c>
      <c r="K317" s="3">
        <v>50211</v>
      </c>
      <c r="L317" s="17" t="str" cm="1">
        <f t="array" ref="L317">_xlfn.IFS(MID(K317,2,2)="01", "서울", MID(K317,2,2)="02","경기",MID(K317,2,2)="03","충청",MID(K317,2,2)="04","충청",MID(K317,2,2)="05","전라",MID(K317,2,2)="06","전라",MID(K317,2,2)="07","경북",MID(K317,2,2)="08","경남",MID(K317,2,2)="09","강원",MID(K317,2,2)="10","제주",TRUE,"국외")</f>
        <v>경기</v>
      </c>
    </row>
    <row r="318" spans="1:12" ht="17.25" thickBot="1">
      <c r="A318" s="3" t="s">
        <v>440</v>
      </c>
      <c r="B318" s="3" t="s">
        <v>22</v>
      </c>
      <c r="C318" s="3" t="s">
        <v>161</v>
      </c>
      <c r="D318" s="4" t="s">
        <v>205</v>
      </c>
      <c r="E318" s="4" t="s">
        <v>3</v>
      </c>
      <c r="F318" s="4">
        <v>2022</v>
      </c>
      <c r="G318" s="8">
        <v>0</v>
      </c>
      <c r="H318" s="4" t="s">
        <v>3</v>
      </c>
      <c r="I318" s="8">
        <v>-0.1</v>
      </c>
      <c r="J318" s="3">
        <v>15141</v>
      </c>
      <c r="K318" s="3">
        <v>50209</v>
      </c>
      <c r="L318" s="17" t="str" cm="1">
        <f t="array" ref="L318">_xlfn.IFS(MID(K318,2,2)="01", "서울", MID(K318,2,2)="02","경기",MID(K318,2,2)="03","충청",MID(K318,2,2)="04","충청",MID(K318,2,2)="05","전라",MID(K318,2,2)="06","전라",MID(K318,2,2)="07","경북",MID(K318,2,2)="08","경남",MID(K318,2,2)="09","강원",MID(K318,2,2)="10","제주",TRUE,"국외")</f>
        <v>경기</v>
      </c>
    </row>
    <row r="319" spans="1:12" ht="17.25" thickBot="1">
      <c r="A319" s="3" t="s">
        <v>441</v>
      </c>
      <c r="B319" s="3" t="s">
        <v>34</v>
      </c>
      <c r="C319" s="3" t="s">
        <v>45</v>
      </c>
      <c r="D319" s="4" t="s">
        <v>205</v>
      </c>
      <c r="E319" s="4" t="s">
        <v>3</v>
      </c>
      <c r="F319" s="4"/>
      <c r="G319" s="9"/>
      <c r="H319" s="4"/>
      <c r="I319" s="9"/>
      <c r="J319" s="3">
        <v>15142</v>
      </c>
      <c r="K319" s="3">
        <v>50701</v>
      </c>
      <c r="L319" s="17" t="str" cm="1">
        <f t="array" ref="L319">_xlfn.IFS(MID(K319,2,2)="01", "서울", MID(K319,2,2)="02","경기",MID(K319,2,2)="03","충청",MID(K319,2,2)="04","충청",MID(K319,2,2)="05","전라",MID(K319,2,2)="06","전라",MID(K319,2,2)="07","경북",MID(K319,2,2)="08","경남",MID(K319,2,2)="09","강원",MID(K319,2,2)="10","제주",TRUE,"국외")</f>
        <v>경북</v>
      </c>
    </row>
    <row r="320" spans="1:12" ht="17.25" thickBot="1">
      <c r="A320" s="3" t="s">
        <v>442</v>
      </c>
      <c r="B320" s="3" t="s">
        <v>25</v>
      </c>
      <c r="C320" s="3" t="s">
        <v>161</v>
      </c>
      <c r="D320" s="4" t="s">
        <v>205</v>
      </c>
      <c r="E320" s="4" t="s">
        <v>3</v>
      </c>
      <c r="F320" s="4"/>
      <c r="G320" s="10"/>
      <c r="H320" s="1"/>
      <c r="I320" s="10"/>
      <c r="J320" s="3">
        <v>15140</v>
      </c>
      <c r="K320" s="3">
        <v>50403</v>
      </c>
      <c r="L320" s="17" t="str" cm="1">
        <f t="array" ref="L320">_xlfn.IFS(MID(K320,2,2)="01", "서울", MID(K320,2,2)="02","경기",MID(K320,2,2)="03","충청",MID(K320,2,2)="04","충청",MID(K320,2,2)="05","전라",MID(K320,2,2)="06","전라",MID(K320,2,2)="07","경북",MID(K320,2,2)="08","경남",MID(K320,2,2)="09","강원",MID(K320,2,2)="10","제주",TRUE,"국외")</f>
        <v>충청</v>
      </c>
    </row>
    <row r="321" spans="1:12" ht="17.25" thickBot="1">
      <c r="A321" s="3" t="s">
        <v>443</v>
      </c>
      <c r="B321" s="3" t="s">
        <v>107</v>
      </c>
      <c r="C321" s="3"/>
      <c r="D321" s="4" t="s">
        <v>243</v>
      </c>
      <c r="E321" s="4" t="s">
        <v>6</v>
      </c>
      <c r="F321" s="4">
        <v>2021</v>
      </c>
      <c r="G321" s="8">
        <v>2.8</v>
      </c>
      <c r="H321" s="4" t="s">
        <v>6</v>
      </c>
      <c r="I321" s="8">
        <v>7.9</v>
      </c>
      <c r="J321" s="3">
        <v>14788</v>
      </c>
      <c r="K321" s="3">
        <v>50602</v>
      </c>
      <c r="L321" s="17" t="str" cm="1">
        <f t="array" ref="L321">_xlfn.IFS(MID(K321,2,2)="01", "서울", MID(K321,2,2)="02","경기",MID(K321,2,2)="03","충청",MID(K321,2,2)="04","충청",MID(K321,2,2)="05","전라",MID(K321,2,2)="06","전라",MID(K321,2,2)="07","경북",MID(K321,2,2)="08","경남",MID(K321,2,2)="09","강원",MID(K321,2,2)="10","제주",TRUE,"국외")</f>
        <v>전라</v>
      </c>
    </row>
    <row r="322" spans="1:12" ht="17.25" thickBot="1">
      <c r="A322" s="3" t="s">
        <v>444</v>
      </c>
      <c r="B322" s="3" t="s">
        <v>179</v>
      </c>
      <c r="C322" s="3"/>
      <c r="D322" s="4" t="s">
        <v>243</v>
      </c>
      <c r="E322" s="4" t="s">
        <v>28</v>
      </c>
      <c r="F322" s="4"/>
      <c r="G322" s="9"/>
      <c r="H322" s="4"/>
      <c r="I322" s="9"/>
      <c r="J322" s="3">
        <v>14774</v>
      </c>
      <c r="K322" s="3">
        <v>50211</v>
      </c>
      <c r="L322" s="17" t="str" cm="1">
        <f t="array" ref="L322">_xlfn.IFS(MID(K322,2,2)="01", "서울", MID(K322,2,2)="02","경기",MID(K322,2,2)="03","충청",MID(K322,2,2)="04","충청",MID(K322,2,2)="05","전라",MID(K322,2,2)="06","전라",MID(K322,2,2)="07","경북",MID(K322,2,2)="08","경남",MID(K322,2,2)="09","강원",MID(K322,2,2)="10","제주",TRUE,"국외")</f>
        <v>경기</v>
      </c>
    </row>
    <row r="323" spans="1:12" ht="17.25" thickBot="1">
      <c r="A323" s="3" t="s">
        <v>445</v>
      </c>
      <c r="B323" s="3" t="s">
        <v>5</v>
      </c>
      <c r="C323" s="3"/>
      <c r="D323" s="4" t="s">
        <v>243</v>
      </c>
      <c r="E323" s="4" t="s">
        <v>20</v>
      </c>
      <c r="F323" s="4">
        <v>2022</v>
      </c>
      <c r="G323" s="9"/>
      <c r="H323" s="4" t="s">
        <v>20</v>
      </c>
      <c r="I323" s="8">
        <v>0</v>
      </c>
      <c r="J323" s="3">
        <v>14780</v>
      </c>
      <c r="K323" s="3">
        <v>50114</v>
      </c>
      <c r="L323" s="17" t="str" cm="1">
        <f t="array" ref="L323">_xlfn.IFS(MID(K323,2,2)="01", "서울", MID(K323,2,2)="02","경기",MID(K323,2,2)="03","충청",MID(K323,2,2)="04","충청",MID(K323,2,2)="05","전라",MID(K323,2,2)="06","전라",MID(K323,2,2)="07","경북",MID(K323,2,2)="08","경남",MID(K323,2,2)="09","강원",MID(K323,2,2)="10","제주",TRUE,"국외")</f>
        <v>서울</v>
      </c>
    </row>
    <row r="324" spans="1:12" ht="17.25" thickBot="1">
      <c r="A324" s="3" t="s">
        <v>446</v>
      </c>
      <c r="B324" s="3" t="s">
        <v>153</v>
      </c>
      <c r="C324" s="3"/>
      <c r="D324" s="4" t="s">
        <v>243</v>
      </c>
      <c r="E324" s="4" t="s">
        <v>15</v>
      </c>
      <c r="F324" s="4">
        <v>2021</v>
      </c>
      <c r="G324" s="8">
        <v>0.2</v>
      </c>
      <c r="H324" s="4" t="s">
        <v>15</v>
      </c>
      <c r="I324" s="8">
        <v>0.2</v>
      </c>
      <c r="J324" s="3">
        <v>14803</v>
      </c>
      <c r="K324" s="3">
        <v>50210</v>
      </c>
      <c r="L324" s="17" t="str" cm="1">
        <f t="array" ref="L324">_xlfn.IFS(MID(K324,2,2)="01", "서울", MID(K324,2,2)="02","경기",MID(K324,2,2)="03","충청",MID(K324,2,2)="04","충청",MID(K324,2,2)="05","전라",MID(K324,2,2)="06","전라",MID(K324,2,2)="07","경북",MID(K324,2,2)="08","경남",MID(K324,2,2)="09","강원",MID(K324,2,2)="10","제주",TRUE,"국외")</f>
        <v>경기</v>
      </c>
    </row>
    <row r="325" spans="1:12" ht="17.25" thickBot="1">
      <c r="A325" s="3" t="s">
        <v>447</v>
      </c>
      <c r="B325" s="3" t="s">
        <v>1</v>
      </c>
      <c r="C325" s="3"/>
      <c r="D325" s="4" t="s">
        <v>243</v>
      </c>
      <c r="E325" s="4" t="s">
        <v>26</v>
      </c>
      <c r="F325" s="4">
        <v>2021</v>
      </c>
      <c r="G325" s="8">
        <v>1</v>
      </c>
      <c r="H325" s="4" t="s">
        <v>26</v>
      </c>
      <c r="I325" s="8">
        <v>2.5</v>
      </c>
      <c r="J325" s="3">
        <v>14771</v>
      </c>
      <c r="K325" s="3">
        <v>50107</v>
      </c>
      <c r="L325" s="17" t="str" cm="1">
        <f t="array" ref="L325">_xlfn.IFS(MID(K325,2,2)="01", "서울", MID(K325,2,2)="02","경기",MID(K325,2,2)="03","충청",MID(K325,2,2)="04","충청",MID(K325,2,2)="05","전라",MID(K325,2,2)="06","전라",MID(K325,2,2)="07","경북",MID(K325,2,2)="08","경남",MID(K325,2,2)="09","강원",MID(K325,2,2)="10","제주",TRUE,"국외")</f>
        <v>서울</v>
      </c>
    </row>
    <row r="326" spans="1:12" ht="17.25" thickBot="1">
      <c r="A326" s="3" t="s">
        <v>448</v>
      </c>
      <c r="B326" s="3" t="s">
        <v>179</v>
      </c>
      <c r="C326" s="3"/>
      <c r="D326" s="4" t="s">
        <v>243</v>
      </c>
      <c r="E326" s="4" t="s">
        <v>9</v>
      </c>
      <c r="F326" s="4">
        <v>2021</v>
      </c>
      <c r="G326" s="8">
        <v>0.1</v>
      </c>
      <c r="H326" s="4" t="s">
        <v>9</v>
      </c>
      <c r="I326" s="8">
        <v>0.6</v>
      </c>
      <c r="J326" s="3">
        <v>14796</v>
      </c>
      <c r="K326" s="3">
        <v>50211</v>
      </c>
      <c r="L326" s="17" t="str" cm="1">
        <f t="array" ref="L326">_xlfn.IFS(MID(K326,2,2)="01", "서울", MID(K326,2,2)="02","경기",MID(K326,2,2)="03","충청",MID(K326,2,2)="04","충청",MID(K326,2,2)="05","전라",MID(K326,2,2)="06","전라",MID(K326,2,2)="07","경북",MID(K326,2,2)="08","경남",MID(K326,2,2)="09","강원",MID(K326,2,2)="10","제주",TRUE,"국외")</f>
        <v>경기</v>
      </c>
    </row>
    <row r="327" spans="1:12" ht="17.25" thickBot="1">
      <c r="A327" s="3" t="s">
        <v>449</v>
      </c>
      <c r="B327" s="3" t="s">
        <v>332</v>
      </c>
      <c r="C327" s="3"/>
      <c r="D327" s="4" t="s">
        <v>243</v>
      </c>
      <c r="E327" s="4" t="s">
        <v>23</v>
      </c>
      <c r="F327" s="4">
        <v>2021</v>
      </c>
      <c r="G327" s="8">
        <v>0.5</v>
      </c>
      <c r="H327" s="4" t="s">
        <v>23</v>
      </c>
      <c r="I327" s="8">
        <v>0.9</v>
      </c>
      <c r="J327" s="3">
        <v>14798</v>
      </c>
      <c r="K327" s="3">
        <v>50705</v>
      </c>
      <c r="L327" s="17" t="str" cm="1">
        <f t="array" ref="L327">_xlfn.IFS(MID(K327,2,2)="01", "서울", MID(K327,2,2)="02","경기",MID(K327,2,2)="03","충청",MID(K327,2,2)="04","충청",MID(K327,2,2)="05","전라",MID(K327,2,2)="06","전라",MID(K327,2,2)="07","경북",MID(K327,2,2)="08","경남",MID(K327,2,2)="09","강원",MID(K327,2,2)="10","제주",TRUE,"국외")</f>
        <v>경북</v>
      </c>
    </row>
    <row r="328" spans="1:12" ht="17.25" thickBot="1">
      <c r="A328" s="3" t="s">
        <v>450</v>
      </c>
      <c r="B328" s="3" t="s">
        <v>70</v>
      </c>
      <c r="C328" s="3"/>
      <c r="D328" s="4" t="s">
        <v>243</v>
      </c>
      <c r="E328" s="4" t="s">
        <v>18</v>
      </c>
      <c r="F328" s="4">
        <v>2021</v>
      </c>
      <c r="G328" s="8">
        <v>-0.2</v>
      </c>
      <c r="H328" s="4" t="s">
        <v>18</v>
      </c>
      <c r="I328" s="8">
        <v>0.6</v>
      </c>
      <c r="J328" s="3">
        <v>14784</v>
      </c>
      <c r="K328" s="3">
        <v>50103</v>
      </c>
      <c r="L328" s="17" t="str" cm="1">
        <f t="array" ref="L328">_xlfn.IFS(MID(K328,2,2)="01", "서울", MID(K328,2,2)="02","경기",MID(K328,2,2)="03","충청",MID(K328,2,2)="04","충청",MID(K328,2,2)="05","전라",MID(K328,2,2)="06","전라",MID(K328,2,2)="07","경북",MID(K328,2,2)="08","경남",MID(K328,2,2)="09","강원",MID(K328,2,2)="10","제주",TRUE,"국외")</f>
        <v>서울</v>
      </c>
    </row>
    <row r="329" spans="1:12" ht="17.25" thickBot="1">
      <c r="A329" s="3" t="s">
        <v>451</v>
      </c>
      <c r="B329" s="3" t="s">
        <v>93</v>
      </c>
      <c r="C329" s="3"/>
      <c r="D329" s="4" t="s">
        <v>243</v>
      </c>
      <c r="E329" s="4" t="s">
        <v>3</v>
      </c>
      <c r="F329" s="4">
        <v>2021</v>
      </c>
      <c r="G329" s="8">
        <v>-0.3</v>
      </c>
      <c r="H329" s="4" t="s">
        <v>3</v>
      </c>
      <c r="I329" s="8">
        <v>-0.6</v>
      </c>
      <c r="J329" s="3">
        <v>14813</v>
      </c>
      <c r="K329" s="3">
        <v>50805</v>
      </c>
      <c r="L329" s="17" t="str" cm="1">
        <f t="array" ref="L329">_xlfn.IFS(MID(K329,2,2)="01", "서울", MID(K329,2,2)="02","경기",MID(K329,2,2)="03","충청",MID(K329,2,2)="04","충청",MID(K329,2,2)="05","전라",MID(K329,2,2)="06","전라",MID(K329,2,2)="07","경북",MID(K329,2,2)="08","경남",MID(K329,2,2)="09","강원",MID(K329,2,2)="10","제주",TRUE,"국외")</f>
        <v>경남</v>
      </c>
    </row>
    <row r="330" spans="1:12" ht="17.25" thickBot="1">
      <c r="A330" s="3" t="s">
        <v>452</v>
      </c>
      <c r="B330" s="3" t="s">
        <v>70</v>
      </c>
      <c r="C330" s="3" t="s">
        <v>45</v>
      </c>
      <c r="D330" s="4" t="s">
        <v>254</v>
      </c>
      <c r="E330" s="4" t="s">
        <v>6</v>
      </c>
      <c r="F330" s="4">
        <v>2021</v>
      </c>
      <c r="G330" s="8">
        <v>0.1</v>
      </c>
      <c r="H330" s="4" t="s">
        <v>6</v>
      </c>
      <c r="I330" s="8">
        <v>0.1</v>
      </c>
      <c r="J330" s="3">
        <v>14786</v>
      </c>
      <c r="K330" s="3">
        <v>50103</v>
      </c>
      <c r="L330" s="17" t="str" cm="1">
        <f t="array" ref="L330">_xlfn.IFS(MID(K330,2,2)="01", "서울", MID(K330,2,2)="02","경기",MID(K330,2,2)="03","충청",MID(K330,2,2)="04","충청",MID(K330,2,2)="05","전라",MID(K330,2,2)="06","전라",MID(K330,2,2)="07","경북",MID(K330,2,2)="08","경남",MID(K330,2,2)="09","강원",MID(K330,2,2)="10","제주",TRUE,"국외")</f>
        <v>서울</v>
      </c>
    </row>
    <row r="331" spans="1:12" ht="17.25" thickBot="1">
      <c r="A331" s="3" t="s">
        <v>453</v>
      </c>
      <c r="B331" s="3" t="s">
        <v>50</v>
      </c>
      <c r="C331" s="3" t="s">
        <v>172</v>
      </c>
      <c r="D331" s="4" t="s">
        <v>254</v>
      </c>
      <c r="E331" s="4" t="s">
        <v>28</v>
      </c>
      <c r="F331" s="4">
        <v>2021</v>
      </c>
      <c r="G331" s="8">
        <v>0.4</v>
      </c>
      <c r="H331" s="4" t="s">
        <v>28</v>
      </c>
      <c r="I331" s="8">
        <v>0.5</v>
      </c>
      <c r="J331" s="3">
        <v>14777</v>
      </c>
      <c r="K331" s="3">
        <v>50301</v>
      </c>
      <c r="L331" s="17" t="str" cm="1">
        <f t="array" ref="L331">_xlfn.IFS(MID(K331,2,2)="01", "서울", MID(K331,2,2)="02","경기",MID(K331,2,2)="03","충청",MID(K331,2,2)="04","충청",MID(K331,2,2)="05","전라",MID(K331,2,2)="06","전라",MID(K331,2,2)="07","경북",MID(K331,2,2)="08","경남",MID(K331,2,2)="09","강원",MID(K331,2,2)="10","제주",TRUE,"국외")</f>
        <v>충청</v>
      </c>
    </row>
    <row r="332" spans="1:12" ht="17.25" thickBot="1">
      <c r="A332" s="3" t="s">
        <v>454</v>
      </c>
      <c r="B332" s="3" t="s">
        <v>50</v>
      </c>
      <c r="C332" s="3"/>
      <c r="D332" s="4" t="s">
        <v>254</v>
      </c>
      <c r="E332" s="4" t="s">
        <v>20</v>
      </c>
      <c r="F332" s="4">
        <v>2021</v>
      </c>
      <c r="G332" s="8">
        <v>0.3</v>
      </c>
      <c r="H332" s="4" t="s">
        <v>20</v>
      </c>
      <c r="I332" s="8">
        <v>0.4</v>
      </c>
      <c r="J332" s="3">
        <v>14783</v>
      </c>
      <c r="K332" s="3">
        <v>50301</v>
      </c>
      <c r="L332" s="17" t="str" cm="1">
        <f t="array" ref="L332">_xlfn.IFS(MID(K332,2,2)="01", "서울", MID(K332,2,2)="02","경기",MID(K332,2,2)="03","충청",MID(K332,2,2)="04","충청",MID(K332,2,2)="05","전라",MID(K332,2,2)="06","전라",MID(K332,2,2)="07","경북",MID(K332,2,2)="08","경남",MID(K332,2,2)="09","강원",MID(K332,2,2)="10","제주",TRUE,"국외")</f>
        <v>충청</v>
      </c>
    </row>
    <row r="333" spans="1:12" ht="17.25" thickBot="1">
      <c r="A333" s="3" t="s">
        <v>455</v>
      </c>
      <c r="B333" s="3" t="s">
        <v>147</v>
      </c>
      <c r="C333" s="3"/>
      <c r="D333" s="4" t="s">
        <v>254</v>
      </c>
      <c r="E333" s="4" t="s">
        <v>12</v>
      </c>
      <c r="F333" s="4">
        <v>2021</v>
      </c>
      <c r="G333" s="8">
        <v>1</v>
      </c>
      <c r="H333" s="4" t="s">
        <v>12</v>
      </c>
      <c r="I333" s="8">
        <v>7.5</v>
      </c>
      <c r="J333" s="3">
        <v>14765</v>
      </c>
      <c r="K333" s="3">
        <v>50208</v>
      </c>
      <c r="L333" s="17" t="str" cm="1">
        <f t="array" ref="L333">_xlfn.IFS(MID(K333,2,2)="01", "서울", MID(K333,2,2)="02","경기",MID(K333,2,2)="03","충청",MID(K333,2,2)="04","충청",MID(K333,2,2)="05","전라",MID(K333,2,2)="06","전라",MID(K333,2,2)="07","경북",MID(K333,2,2)="08","경남",MID(K333,2,2)="09","강원",MID(K333,2,2)="10","제주",TRUE,"국외")</f>
        <v>경기</v>
      </c>
    </row>
    <row r="334" spans="1:12" ht="17.25" thickBot="1">
      <c r="A334" s="3" t="s">
        <v>456</v>
      </c>
      <c r="B334" s="3" t="s">
        <v>107</v>
      </c>
      <c r="C334" s="3"/>
      <c r="D334" s="4" t="s">
        <v>254</v>
      </c>
      <c r="E334" s="4" t="s">
        <v>15</v>
      </c>
      <c r="F334" s="4">
        <v>2022</v>
      </c>
      <c r="G334" s="9"/>
      <c r="H334" s="4" t="s">
        <v>15</v>
      </c>
      <c r="I334" s="8">
        <v>0</v>
      </c>
      <c r="J334" s="3">
        <v>14806</v>
      </c>
      <c r="K334" s="3">
        <v>50602</v>
      </c>
      <c r="L334" s="17" t="str" cm="1">
        <f t="array" ref="L334">_xlfn.IFS(MID(K334,2,2)="01", "서울", MID(K334,2,2)="02","경기",MID(K334,2,2)="03","충청",MID(K334,2,2)="04","충청",MID(K334,2,2)="05","전라",MID(K334,2,2)="06","전라",MID(K334,2,2)="07","경북",MID(K334,2,2)="08","경남",MID(K334,2,2)="09","강원",MID(K334,2,2)="10","제주",TRUE,"국외")</f>
        <v>전라</v>
      </c>
    </row>
    <row r="335" spans="1:12" ht="17.25" thickBot="1">
      <c r="A335" s="3" t="s">
        <v>457</v>
      </c>
      <c r="B335" s="3" t="s">
        <v>38</v>
      </c>
      <c r="C335" s="3"/>
      <c r="D335" s="4" t="s">
        <v>254</v>
      </c>
      <c r="E335" s="4" t="s">
        <v>26</v>
      </c>
      <c r="F335" s="4">
        <v>2022</v>
      </c>
      <c r="G335" s="9"/>
      <c r="H335" s="4" t="s">
        <v>26</v>
      </c>
      <c r="I335" s="8">
        <v>1.6</v>
      </c>
      <c r="J335" s="3">
        <v>14769</v>
      </c>
      <c r="K335" s="3">
        <v>50109</v>
      </c>
      <c r="L335" s="17" t="str" cm="1">
        <f t="array" ref="L335">_xlfn.IFS(MID(K335,2,2)="01", "서울", MID(K335,2,2)="02","경기",MID(K335,2,2)="03","충청",MID(K335,2,2)="04","충청",MID(K335,2,2)="05","전라",MID(K335,2,2)="06","전라",MID(K335,2,2)="07","경북",MID(K335,2,2)="08","경남",MID(K335,2,2)="09","강원",MID(K335,2,2)="10","제주",TRUE,"국외")</f>
        <v>서울</v>
      </c>
    </row>
    <row r="336" spans="1:12" ht="17.25" thickBot="1">
      <c r="A336" s="3" t="s">
        <v>458</v>
      </c>
      <c r="B336" s="3" t="s">
        <v>128</v>
      </c>
      <c r="C336" s="3"/>
      <c r="D336" s="4" t="s">
        <v>254</v>
      </c>
      <c r="E336" s="4" t="s">
        <v>9</v>
      </c>
      <c r="F336" s="4">
        <v>2021</v>
      </c>
      <c r="G336" s="8">
        <v>0.3</v>
      </c>
      <c r="H336" s="4" t="s">
        <v>9</v>
      </c>
      <c r="I336" s="8">
        <v>0.5</v>
      </c>
      <c r="J336" s="3">
        <v>14792</v>
      </c>
      <c r="K336" s="3">
        <v>50901</v>
      </c>
      <c r="L336" s="17" t="str" cm="1">
        <f t="array" ref="L336">_xlfn.IFS(MID(K336,2,2)="01", "서울", MID(K336,2,2)="02","경기",MID(K336,2,2)="03","충청",MID(K336,2,2)="04","충청",MID(K336,2,2)="05","전라",MID(K336,2,2)="06","전라",MID(K336,2,2)="07","경북",MID(K336,2,2)="08","경남",MID(K336,2,2)="09","강원",MID(K336,2,2)="10","제주",TRUE,"국외")</f>
        <v>강원</v>
      </c>
    </row>
    <row r="337" spans="1:12" ht="17.25" thickBot="1">
      <c r="A337" s="3" t="s">
        <v>459</v>
      </c>
      <c r="B337" s="3" t="s">
        <v>36</v>
      </c>
      <c r="C337" s="3"/>
      <c r="D337" s="4" t="s">
        <v>254</v>
      </c>
      <c r="E337" s="4" t="s">
        <v>23</v>
      </c>
      <c r="F337" s="4">
        <v>2021</v>
      </c>
      <c r="G337" s="8">
        <v>0.5</v>
      </c>
      <c r="H337" s="4" t="s">
        <v>23</v>
      </c>
      <c r="I337" s="8">
        <v>0.6</v>
      </c>
      <c r="J337" s="3">
        <v>14799</v>
      </c>
      <c r="K337" s="3">
        <v>50402</v>
      </c>
      <c r="L337" s="17" t="str" cm="1">
        <f t="array" ref="L337">_xlfn.IFS(MID(K337,2,2)="01", "서울", MID(K337,2,2)="02","경기",MID(K337,2,2)="03","충청",MID(K337,2,2)="04","충청",MID(K337,2,2)="05","전라",MID(K337,2,2)="06","전라",MID(K337,2,2)="07","경북",MID(K337,2,2)="08","경남",MID(K337,2,2)="09","강원",MID(K337,2,2)="10","제주",TRUE,"국외")</f>
        <v>충청</v>
      </c>
    </row>
    <row r="338" spans="1:12" ht="17.25" thickBot="1">
      <c r="A338" s="3" t="s">
        <v>460</v>
      </c>
      <c r="B338" s="3" t="s">
        <v>66</v>
      </c>
      <c r="C338" s="3"/>
      <c r="D338" s="4" t="s">
        <v>254</v>
      </c>
      <c r="E338" s="4" t="s">
        <v>18</v>
      </c>
      <c r="F338" s="4">
        <v>2021</v>
      </c>
      <c r="G338" s="8">
        <v>-0.5</v>
      </c>
      <c r="H338" s="4" t="s">
        <v>18</v>
      </c>
      <c r="I338" s="8">
        <v>0.6</v>
      </c>
      <c r="J338" s="3">
        <v>14785</v>
      </c>
      <c r="K338" s="3">
        <v>50110</v>
      </c>
      <c r="L338" s="17" t="str" cm="1">
        <f t="array" ref="L338">_xlfn.IFS(MID(K338,2,2)="01", "서울", MID(K338,2,2)="02","경기",MID(K338,2,2)="03","충청",MID(K338,2,2)="04","충청",MID(K338,2,2)="05","전라",MID(K338,2,2)="06","전라",MID(K338,2,2)="07","경북",MID(K338,2,2)="08","경남",MID(K338,2,2)="09","강원",MID(K338,2,2)="10","제주",TRUE,"국외")</f>
        <v>서울</v>
      </c>
    </row>
    <row r="339" spans="1:12" ht="17.25" thickBot="1">
      <c r="A339" s="3" t="s">
        <v>461</v>
      </c>
      <c r="B339" s="3" t="s">
        <v>147</v>
      </c>
      <c r="C339" s="3"/>
      <c r="D339" s="4" t="s">
        <v>254</v>
      </c>
      <c r="E339" s="4" t="s">
        <v>3</v>
      </c>
      <c r="F339" s="4">
        <v>2021</v>
      </c>
      <c r="G339" s="8">
        <v>0.4</v>
      </c>
      <c r="H339" s="4" t="s">
        <v>3</v>
      </c>
      <c r="I339" s="8">
        <v>0.9</v>
      </c>
      <c r="J339" s="3">
        <v>14808</v>
      </c>
      <c r="K339" s="3">
        <v>50208</v>
      </c>
      <c r="L339" s="17" t="str" cm="1">
        <f t="array" ref="L339">_xlfn.IFS(MID(K339,2,2)="01", "서울", MID(K339,2,2)="02","경기",MID(K339,2,2)="03","충청",MID(K339,2,2)="04","충청",MID(K339,2,2)="05","전라",MID(K339,2,2)="06","전라",MID(K339,2,2)="07","경북",MID(K339,2,2)="08","경남",MID(K339,2,2)="09","강원",MID(K339,2,2)="10","제주",TRUE,"국외")</f>
        <v>경기</v>
      </c>
    </row>
    <row r="340" spans="1:12" ht="17.25" thickBot="1">
      <c r="A340" s="3" t="s">
        <v>462</v>
      </c>
      <c r="B340" s="3" t="s">
        <v>63</v>
      </c>
      <c r="C340" s="3"/>
      <c r="D340" s="4" t="s">
        <v>254</v>
      </c>
      <c r="E340" s="4" t="s">
        <v>6</v>
      </c>
      <c r="F340" s="4">
        <v>2021</v>
      </c>
      <c r="G340" s="8">
        <v>0.1</v>
      </c>
      <c r="H340" s="4" t="s">
        <v>6</v>
      </c>
      <c r="I340" s="8">
        <v>0.1</v>
      </c>
      <c r="J340" s="3">
        <v>14789</v>
      </c>
      <c r="K340" s="3">
        <v>50807</v>
      </c>
      <c r="L340" s="17" t="str" cm="1">
        <f t="array" ref="L340">_xlfn.IFS(MID(K340,2,2)="01", "서울", MID(K340,2,2)="02","경기",MID(K340,2,2)="03","충청",MID(K340,2,2)="04","충청",MID(K340,2,2)="05","전라",MID(K340,2,2)="06","전라",MID(K340,2,2)="07","경북",MID(K340,2,2)="08","경남",MID(K340,2,2)="09","강원",MID(K340,2,2)="10","제주",TRUE,"국외")</f>
        <v>경남</v>
      </c>
    </row>
    <row r="341" spans="1:12" ht="17.25" thickBot="1">
      <c r="A341" s="3" t="s">
        <v>463</v>
      </c>
      <c r="B341" s="3" t="s">
        <v>464</v>
      </c>
      <c r="C341" s="3" t="s">
        <v>99</v>
      </c>
      <c r="D341" s="4" t="s">
        <v>254</v>
      </c>
      <c r="E341" s="4" t="s">
        <v>28</v>
      </c>
      <c r="F341" s="4">
        <v>2021</v>
      </c>
      <c r="G341" s="8">
        <v>-0.1</v>
      </c>
      <c r="H341" s="4" t="s">
        <v>28</v>
      </c>
      <c r="I341" s="8">
        <v>-0.1</v>
      </c>
      <c r="J341" s="3">
        <v>14776</v>
      </c>
      <c r="K341" s="3">
        <v>50706</v>
      </c>
      <c r="L341" s="17" t="str" cm="1">
        <f t="array" ref="L341">_xlfn.IFS(MID(K341,2,2)="01", "서울", MID(K341,2,2)="02","경기",MID(K341,2,2)="03","충청",MID(K341,2,2)="04","충청",MID(K341,2,2)="05","전라",MID(K341,2,2)="06","전라",MID(K341,2,2)="07","경북",MID(K341,2,2)="08","경남",MID(K341,2,2)="09","강원",MID(K341,2,2)="10","제주",TRUE,"국외")</f>
        <v>경북</v>
      </c>
    </row>
    <row r="342" spans="1:12" ht="17.25" thickBot="1">
      <c r="A342" s="3" t="s">
        <v>465</v>
      </c>
      <c r="B342" s="3" t="s">
        <v>158</v>
      </c>
      <c r="C342" s="3" t="s">
        <v>211</v>
      </c>
      <c r="D342" s="4" t="s">
        <v>254</v>
      </c>
      <c r="E342" s="4" t="s">
        <v>20</v>
      </c>
      <c r="F342" s="4">
        <v>2021</v>
      </c>
      <c r="G342" s="8">
        <v>0</v>
      </c>
      <c r="H342" s="4" t="s">
        <v>20</v>
      </c>
      <c r="I342" s="8">
        <v>0</v>
      </c>
      <c r="J342" s="3">
        <v>14781</v>
      </c>
      <c r="K342" s="3">
        <v>50501</v>
      </c>
      <c r="L342" s="17" t="str" cm="1">
        <f t="array" ref="L342">_xlfn.IFS(MID(K342,2,2)="01", "서울", MID(K342,2,2)="02","경기",MID(K342,2,2)="03","충청",MID(K342,2,2)="04","충청",MID(K342,2,2)="05","전라",MID(K342,2,2)="06","전라",MID(K342,2,2)="07","경북",MID(K342,2,2)="08","경남",MID(K342,2,2)="09","강원",MID(K342,2,2)="10","제주",TRUE,"국외")</f>
        <v>전라</v>
      </c>
    </row>
    <row r="343" spans="1:12" ht="17.25" thickBot="1">
      <c r="A343" s="3" t="s">
        <v>466</v>
      </c>
      <c r="B343" s="3" t="s">
        <v>268</v>
      </c>
      <c r="C343" s="3"/>
      <c r="D343" s="4" t="s">
        <v>254</v>
      </c>
      <c r="E343" s="4" t="s">
        <v>12</v>
      </c>
      <c r="F343" s="4">
        <v>2021</v>
      </c>
      <c r="G343" s="8">
        <v>0</v>
      </c>
      <c r="H343" s="4" t="s">
        <v>12</v>
      </c>
      <c r="I343" s="8">
        <v>-0.1</v>
      </c>
      <c r="J343" s="3">
        <v>14763</v>
      </c>
      <c r="K343" s="3">
        <v>50117</v>
      </c>
      <c r="L343" s="17" t="str" cm="1">
        <f t="array" ref="L343">_xlfn.IFS(MID(K343,2,2)="01", "서울", MID(K343,2,2)="02","경기",MID(K343,2,2)="03","충청",MID(K343,2,2)="04","충청",MID(K343,2,2)="05","전라",MID(K343,2,2)="06","전라",MID(K343,2,2)="07","경북",MID(K343,2,2)="08","경남",MID(K343,2,2)="09","강원",MID(K343,2,2)="10","제주",TRUE,"국외")</f>
        <v>서울</v>
      </c>
    </row>
    <row r="344" spans="1:12" ht="17.25" thickBot="1">
      <c r="A344" s="3" t="s">
        <v>467</v>
      </c>
      <c r="B344" s="3" t="s">
        <v>50</v>
      </c>
      <c r="C344" s="3"/>
      <c r="D344" s="4" t="s">
        <v>254</v>
      </c>
      <c r="E344" s="4" t="s">
        <v>15</v>
      </c>
      <c r="F344" s="4">
        <v>2021</v>
      </c>
      <c r="G344" s="8">
        <v>-0.1</v>
      </c>
      <c r="H344" s="4" t="s">
        <v>15</v>
      </c>
      <c r="I344" s="8">
        <v>-0.1</v>
      </c>
      <c r="J344" s="3">
        <v>14807</v>
      </c>
      <c r="K344" s="3">
        <v>50301</v>
      </c>
      <c r="L344" s="17" t="str" cm="1">
        <f t="array" ref="L344">_xlfn.IFS(MID(K344,2,2)="01", "서울", MID(K344,2,2)="02","경기",MID(K344,2,2)="03","충청",MID(K344,2,2)="04","충청",MID(K344,2,2)="05","전라",MID(K344,2,2)="06","전라",MID(K344,2,2)="07","경북",MID(K344,2,2)="08","경남",MID(K344,2,2)="09","강원",MID(K344,2,2)="10","제주",TRUE,"국외")</f>
        <v>충청</v>
      </c>
    </row>
    <row r="345" spans="1:12" ht="17.25" thickBot="1">
      <c r="A345" s="3" t="s">
        <v>468</v>
      </c>
      <c r="B345" s="3" t="s">
        <v>469</v>
      </c>
      <c r="C345" s="3"/>
      <c r="D345" s="4" t="s">
        <v>254</v>
      </c>
      <c r="E345" s="4" t="s">
        <v>26</v>
      </c>
      <c r="F345" s="4">
        <v>2021</v>
      </c>
      <c r="G345" s="8">
        <v>0</v>
      </c>
      <c r="H345" s="4" t="s">
        <v>26</v>
      </c>
      <c r="I345" s="8">
        <v>2.8</v>
      </c>
      <c r="J345" s="3">
        <v>14770</v>
      </c>
      <c r="K345" s="3">
        <v>50205</v>
      </c>
      <c r="L345" s="17" t="str" cm="1">
        <f t="array" ref="L345">_xlfn.IFS(MID(K345,2,2)="01", "서울", MID(K345,2,2)="02","경기",MID(K345,2,2)="03","충청",MID(K345,2,2)="04","충청",MID(K345,2,2)="05","전라",MID(K345,2,2)="06","전라",MID(K345,2,2)="07","경북",MID(K345,2,2)="08","경남",MID(K345,2,2)="09","강원",MID(K345,2,2)="10","제주",TRUE,"국외")</f>
        <v>경기</v>
      </c>
    </row>
    <row r="346" spans="1:12" ht="17.25" thickBot="1">
      <c r="A346" s="3" t="s">
        <v>470</v>
      </c>
      <c r="B346" s="3" t="s">
        <v>70</v>
      </c>
      <c r="C346" s="3"/>
      <c r="D346" s="4" t="s">
        <v>254</v>
      </c>
      <c r="E346" s="4" t="s">
        <v>9</v>
      </c>
      <c r="F346" s="4">
        <v>2021</v>
      </c>
      <c r="G346" s="8">
        <v>-0.2</v>
      </c>
      <c r="H346" s="4" t="s">
        <v>9</v>
      </c>
      <c r="I346" s="8">
        <v>-0.2</v>
      </c>
      <c r="J346" s="3">
        <v>14797</v>
      </c>
      <c r="K346" s="3">
        <v>50103</v>
      </c>
      <c r="L346" s="17" t="str" cm="1">
        <f t="array" ref="L346">_xlfn.IFS(MID(K346,2,2)="01", "서울", MID(K346,2,2)="02","경기",MID(K346,2,2)="03","충청",MID(K346,2,2)="04","충청",MID(K346,2,2)="05","전라",MID(K346,2,2)="06","전라",MID(K346,2,2)="07","경북",MID(K346,2,2)="08","경남",MID(K346,2,2)="09","강원",MID(K346,2,2)="10","제주",TRUE,"국외")</f>
        <v>서울</v>
      </c>
    </row>
    <row r="347" spans="1:12" ht="17.25" thickBot="1">
      <c r="A347" s="3" t="s">
        <v>471</v>
      </c>
      <c r="B347" s="3" t="s">
        <v>68</v>
      </c>
      <c r="C347" s="3"/>
      <c r="D347" s="4" t="s">
        <v>254</v>
      </c>
      <c r="E347" s="4" t="s">
        <v>23</v>
      </c>
      <c r="F347" s="4"/>
      <c r="G347" s="9"/>
      <c r="H347" s="4"/>
      <c r="I347" s="9"/>
      <c r="J347" s="3">
        <v>14800</v>
      </c>
      <c r="K347" s="3">
        <v>50101</v>
      </c>
      <c r="L347" s="17" t="str" cm="1">
        <f t="array" ref="L347">_xlfn.IFS(MID(K347,2,2)="01", "서울", MID(K347,2,2)="02","경기",MID(K347,2,2)="03","충청",MID(K347,2,2)="04","충청",MID(K347,2,2)="05","전라",MID(K347,2,2)="06","전라",MID(K347,2,2)="07","경북",MID(K347,2,2)="08","경남",MID(K347,2,2)="09","강원",MID(K347,2,2)="10","제주",TRUE,"국외")</f>
        <v>서울</v>
      </c>
    </row>
    <row r="348" spans="1:12" ht="17.25" thickBot="1">
      <c r="A348" s="3" t="s">
        <v>472</v>
      </c>
      <c r="B348" s="3" t="s">
        <v>40</v>
      </c>
      <c r="C348" s="3"/>
      <c r="D348" s="4" t="s">
        <v>254</v>
      </c>
      <c r="E348" s="4" t="s">
        <v>18</v>
      </c>
      <c r="F348" s="4">
        <v>2021</v>
      </c>
      <c r="G348" s="8">
        <v>0.1</v>
      </c>
      <c r="H348" s="4" t="s">
        <v>18</v>
      </c>
      <c r="I348" s="8">
        <v>0.5</v>
      </c>
      <c r="J348" s="3">
        <v>14848</v>
      </c>
      <c r="K348" s="3">
        <v>50108</v>
      </c>
      <c r="L348" s="17" t="str" cm="1">
        <f t="array" ref="L348">_xlfn.IFS(MID(K348,2,2)="01", "서울", MID(K348,2,2)="02","경기",MID(K348,2,2)="03","충청",MID(K348,2,2)="04","충청",MID(K348,2,2)="05","전라",MID(K348,2,2)="06","전라",MID(K348,2,2)="07","경북",MID(K348,2,2)="08","경남",MID(K348,2,2)="09","강원",MID(K348,2,2)="10","제주",TRUE,"국외")</f>
        <v>서울</v>
      </c>
    </row>
    <row r="349" spans="1:12" ht="17.25" thickBot="1">
      <c r="A349" s="3" t="s">
        <v>473</v>
      </c>
      <c r="B349" s="3" t="s">
        <v>1</v>
      </c>
      <c r="C349" s="3"/>
      <c r="D349" s="4" t="s">
        <v>254</v>
      </c>
      <c r="E349" s="4" t="s">
        <v>3</v>
      </c>
      <c r="F349" s="4">
        <v>2021</v>
      </c>
      <c r="G349" s="8">
        <v>-0.4</v>
      </c>
      <c r="H349" s="4" t="s">
        <v>3</v>
      </c>
      <c r="I349" s="8">
        <v>-0.4</v>
      </c>
      <c r="J349" s="3">
        <v>14812</v>
      </c>
      <c r="K349" s="3">
        <v>50107</v>
      </c>
      <c r="L349" s="17" t="str" cm="1">
        <f t="array" ref="L349">_xlfn.IFS(MID(K349,2,2)="01", "서울", MID(K349,2,2)="02","경기",MID(K349,2,2)="03","충청",MID(K349,2,2)="04","충청",MID(K349,2,2)="05","전라",MID(K349,2,2)="06","전라",MID(K349,2,2)="07","경북",MID(K349,2,2)="08","경남",MID(K349,2,2)="09","강원",MID(K349,2,2)="10","제주",TRUE,"국외")</f>
        <v>서울</v>
      </c>
    </row>
    <row r="350" spans="1:12" ht="17.25" thickBot="1">
      <c r="A350" s="3" t="s">
        <v>474</v>
      </c>
      <c r="B350" s="3" t="s">
        <v>8</v>
      </c>
      <c r="C350" s="3" t="s">
        <v>161</v>
      </c>
      <c r="D350" s="4" t="s">
        <v>254</v>
      </c>
      <c r="E350" s="4" t="s">
        <v>6</v>
      </c>
      <c r="F350" s="4">
        <v>2021</v>
      </c>
      <c r="G350" s="8">
        <v>-0.3</v>
      </c>
      <c r="H350" s="4" t="s">
        <v>6</v>
      </c>
      <c r="I350" s="8">
        <v>-0.2</v>
      </c>
      <c r="J350" s="3">
        <v>14787</v>
      </c>
      <c r="K350" s="3">
        <v>50116</v>
      </c>
      <c r="L350" s="17" t="str" cm="1">
        <f t="array" ref="L350">_xlfn.IFS(MID(K350,2,2)="01", "서울", MID(K350,2,2)="02","경기",MID(K350,2,2)="03","충청",MID(K350,2,2)="04","충청",MID(K350,2,2)="05","전라",MID(K350,2,2)="06","전라",MID(K350,2,2)="07","경북",MID(K350,2,2)="08","경남",MID(K350,2,2)="09","강원",MID(K350,2,2)="10","제주",TRUE,"국외")</f>
        <v>서울</v>
      </c>
    </row>
    <row r="351" spans="1:12" ht="17.25" thickBot="1">
      <c r="A351" s="3" t="s">
        <v>475</v>
      </c>
      <c r="B351" s="3" t="s">
        <v>158</v>
      </c>
      <c r="C351" s="3"/>
      <c r="D351" s="4" t="s">
        <v>254</v>
      </c>
      <c r="E351" s="4" t="s">
        <v>28</v>
      </c>
      <c r="F351" s="4">
        <v>2022</v>
      </c>
      <c r="G351" s="9"/>
      <c r="H351" s="4" t="s">
        <v>28</v>
      </c>
      <c r="I351" s="8">
        <v>-0.1</v>
      </c>
      <c r="J351" s="3">
        <v>14778</v>
      </c>
      <c r="K351" s="3">
        <v>50501</v>
      </c>
      <c r="L351" s="17" t="str" cm="1">
        <f t="array" ref="L351">_xlfn.IFS(MID(K351,2,2)="01", "서울", MID(K351,2,2)="02","경기",MID(K351,2,2)="03","충청",MID(K351,2,2)="04","충청",MID(K351,2,2)="05","전라",MID(K351,2,2)="06","전라",MID(K351,2,2)="07","경북",MID(K351,2,2)="08","경남",MID(K351,2,2)="09","강원",MID(K351,2,2)="10","제주",TRUE,"국외")</f>
        <v>전라</v>
      </c>
    </row>
    <row r="352" spans="1:12" ht="17.25" thickBot="1">
      <c r="A352" s="3" t="s">
        <v>476</v>
      </c>
      <c r="B352" s="3" t="s">
        <v>1</v>
      </c>
      <c r="C352" s="3"/>
      <c r="D352" s="4" t="s">
        <v>254</v>
      </c>
      <c r="E352" s="4" t="s">
        <v>20</v>
      </c>
      <c r="F352" s="4"/>
      <c r="G352" s="9"/>
      <c r="H352" s="4"/>
      <c r="I352" s="9"/>
      <c r="J352" s="3">
        <v>14782</v>
      </c>
      <c r="K352" s="3">
        <v>50107</v>
      </c>
      <c r="L352" s="17" t="str" cm="1">
        <f t="array" ref="L352">_xlfn.IFS(MID(K352,2,2)="01", "서울", MID(K352,2,2)="02","경기",MID(K352,2,2)="03","충청",MID(K352,2,2)="04","충청",MID(K352,2,2)="05","전라",MID(K352,2,2)="06","전라",MID(K352,2,2)="07","경북",MID(K352,2,2)="08","경남",MID(K352,2,2)="09","강원",MID(K352,2,2)="10","제주",TRUE,"국외")</f>
        <v>서울</v>
      </c>
    </row>
    <row r="353" spans="1:12" ht="17.25" thickBot="1">
      <c r="A353" s="3" t="s">
        <v>477</v>
      </c>
      <c r="B353" s="3" t="s">
        <v>179</v>
      </c>
      <c r="C353" s="3"/>
      <c r="D353" s="4" t="s">
        <v>254</v>
      </c>
      <c r="E353" s="4" t="s">
        <v>12</v>
      </c>
      <c r="F353" s="4">
        <v>2021</v>
      </c>
      <c r="G353" s="8">
        <v>0</v>
      </c>
      <c r="H353" s="4" t="s">
        <v>12</v>
      </c>
      <c r="I353" s="8">
        <v>0</v>
      </c>
      <c r="J353" s="3">
        <v>14767</v>
      </c>
      <c r="K353" s="3">
        <v>50211</v>
      </c>
      <c r="L353" s="17" t="str" cm="1">
        <f t="array" ref="L353">_xlfn.IFS(MID(K353,2,2)="01", "서울", MID(K353,2,2)="02","경기",MID(K353,2,2)="03","충청",MID(K353,2,2)="04","충청",MID(K353,2,2)="05","전라",MID(K353,2,2)="06","전라",MID(K353,2,2)="07","경북",MID(K353,2,2)="08","경남",MID(K353,2,2)="09","강원",MID(K353,2,2)="10","제주",TRUE,"국외")</f>
        <v>경기</v>
      </c>
    </row>
    <row r="354" spans="1:12" ht="17.25" thickBot="1">
      <c r="A354" s="3" t="s">
        <v>478</v>
      </c>
      <c r="B354" s="3" t="s">
        <v>50</v>
      </c>
      <c r="C354" s="3"/>
      <c r="D354" s="4" t="s">
        <v>254</v>
      </c>
      <c r="E354" s="4" t="s">
        <v>15</v>
      </c>
      <c r="F354" s="4">
        <v>2021</v>
      </c>
      <c r="G354" s="8">
        <v>-0.1</v>
      </c>
      <c r="H354" s="4" t="s">
        <v>15</v>
      </c>
      <c r="I354" s="8">
        <v>-0.1</v>
      </c>
      <c r="J354" s="3">
        <v>14805</v>
      </c>
      <c r="K354" s="3">
        <v>50301</v>
      </c>
      <c r="L354" s="17" t="str" cm="1">
        <f t="array" ref="L354">_xlfn.IFS(MID(K354,2,2)="01", "서울", MID(K354,2,2)="02","경기",MID(K354,2,2)="03","충청",MID(K354,2,2)="04","충청",MID(K354,2,2)="05","전라",MID(K354,2,2)="06","전라",MID(K354,2,2)="07","경북",MID(K354,2,2)="08","경남",MID(K354,2,2)="09","강원",MID(K354,2,2)="10","제주",TRUE,"국외")</f>
        <v>충청</v>
      </c>
    </row>
    <row r="355" spans="1:12" ht="17.25" thickBot="1">
      <c r="A355" s="3" t="s">
        <v>479</v>
      </c>
      <c r="B355" s="3" t="s">
        <v>22</v>
      </c>
      <c r="C355" s="3"/>
      <c r="D355" s="4" t="s">
        <v>254</v>
      </c>
      <c r="E355" s="4" t="s">
        <v>26</v>
      </c>
      <c r="F355" s="4">
        <v>2022</v>
      </c>
      <c r="G355" s="9"/>
      <c r="H355" s="4" t="s">
        <v>26</v>
      </c>
      <c r="I355" s="8">
        <v>-0.1</v>
      </c>
      <c r="J355" s="3">
        <v>14773</v>
      </c>
      <c r="K355" s="3">
        <v>50209</v>
      </c>
      <c r="L355" s="17" t="str" cm="1">
        <f t="array" ref="L355">_xlfn.IFS(MID(K355,2,2)="01", "서울", MID(K355,2,2)="02","경기",MID(K355,2,2)="03","충청",MID(K355,2,2)="04","충청",MID(K355,2,2)="05","전라",MID(K355,2,2)="06","전라",MID(K355,2,2)="07","경북",MID(K355,2,2)="08","경남",MID(K355,2,2)="09","강원",MID(K355,2,2)="10","제주",TRUE,"국외")</f>
        <v>경기</v>
      </c>
    </row>
    <row r="356" spans="1:12" ht="17.25" thickBot="1">
      <c r="A356" s="3" t="s">
        <v>480</v>
      </c>
      <c r="B356" s="3" t="s">
        <v>11</v>
      </c>
      <c r="C356" s="3"/>
      <c r="D356" s="4" t="s">
        <v>254</v>
      </c>
      <c r="E356" s="4" t="s">
        <v>9</v>
      </c>
      <c r="F356" s="4">
        <v>2021</v>
      </c>
      <c r="G356" s="8">
        <v>-0.2</v>
      </c>
      <c r="H356" s="4" t="s">
        <v>9</v>
      </c>
      <c r="I356" s="8">
        <v>-0.1</v>
      </c>
      <c r="J356" s="3">
        <v>14793</v>
      </c>
      <c r="K356" s="3">
        <v>50802</v>
      </c>
      <c r="L356" s="17" t="str" cm="1">
        <f t="array" ref="L356">_xlfn.IFS(MID(K356,2,2)="01", "서울", MID(K356,2,2)="02","경기",MID(K356,2,2)="03","충청",MID(K356,2,2)="04","충청",MID(K356,2,2)="05","전라",MID(K356,2,2)="06","전라",MID(K356,2,2)="07","경북",MID(K356,2,2)="08","경남",MID(K356,2,2)="09","강원",MID(K356,2,2)="10","제주",TRUE,"국외")</f>
        <v>경남</v>
      </c>
    </row>
    <row r="357" spans="1:12" ht="17.25" thickBot="1">
      <c r="A357" s="3" t="s">
        <v>481</v>
      </c>
      <c r="B357" s="3" t="s">
        <v>126</v>
      </c>
      <c r="C357" s="3"/>
      <c r="D357" s="4" t="s">
        <v>254</v>
      </c>
      <c r="E357" s="4" t="s">
        <v>23</v>
      </c>
      <c r="F357" s="4"/>
      <c r="G357" s="9"/>
      <c r="H357" s="4"/>
      <c r="I357" s="9"/>
      <c r="J357" s="3">
        <v>14801</v>
      </c>
      <c r="K357" s="3">
        <v>50206</v>
      </c>
      <c r="L357" s="17" t="str" cm="1">
        <f t="array" ref="L357">_xlfn.IFS(MID(K357,2,2)="01", "서울", MID(K357,2,2)="02","경기",MID(K357,2,2)="03","충청",MID(K357,2,2)="04","충청",MID(K357,2,2)="05","전라",MID(K357,2,2)="06","전라",MID(K357,2,2)="07","경북",MID(K357,2,2)="08","경남",MID(K357,2,2)="09","강원",MID(K357,2,2)="10","제주",TRUE,"국외")</f>
        <v>경기</v>
      </c>
    </row>
    <row r="358" spans="1:12" ht="17.25" thickBot="1">
      <c r="A358" s="3" t="s">
        <v>482</v>
      </c>
      <c r="B358" s="3" t="s">
        <v>322</v>
      </c>
      <c r="C358" s="3" t="s">
        <v>483</v>
      </c>
      <c r="D358" s="4" t="s">
        <v>254</v>
      </c>
      <c r="E358" s="4" t="s">
        <v>18</v>
      </c>
      <c r="F358" s="4">
        <v>2021</v>
      </c>
      <c r="G358" s="8">
        <v>-0.2</v>
      </c>
      <c r="H358" s="4" t="s">
        <v>18</v>
      </c>
      <c r="I358" s="8">
        <v>0.1</v>
      </c>
      <c r="J358" s="3">
        <v>14849</v>
      </c>
      <c r="K358" s="3">
        <v>50810</v>
      </c>
      <c r="L358" s="17" t="str" cm="1">
        <f t="array" ref="L358">_xlfn.IFS(MID(K358,2,2)="01", "서울", MID(K358,2,2)="02","경기",MID(K358,2,2)="03","충청",MID(K358,2,2)="04","충청",MID(K358,2,2)="05","전라",MID(K358,2,2)="06","전라",MID(K358,2,2)="07","경북",MID(K358,2,2)="08","경남",MID(K358,2,2)="09","강원",MID(K358,2,2)="10","제주",TRUE,"국외")</f>
        <v>경남</v>
      </c>
    </row>
    <row r="359" spans="1:12" ht="17.25" thickBot="1">
      <c r="A359" s="3" t="s">
        <v>484</v>
      </c>
      <c r="B359" s="3" t="s">
        <v>36</v>
      </c>
      <c r="C359" s="3"/>
      <c r="D359" s="4" t="s">
        <v>254</v>
      </c>
      <c r="E359" s="4" t="s">
        <v>3</v>
      </c>
      <c r="F359" s="4"/>
      <c r="G359" s="9"/>
      <c r="H359" s="4"/>
      <c r="I359" s="9"/>
      <c r="J359" s="3">
        <v>14810</v>
      </c>
      <c r="K359" s="3">
        <v>50402</v>
      </c>
      <c r="L359" s="17" t="str" cm="1">
        <f t="array" ref="L359">_xlfn.IFS(MID(K359,2,2)="01", "서울", MID(K359,2,2)="02","경기",MID(K359,2,2)="03","충청",MID(K359,2,2)="04","충청",MID(K359,2,2)="05","전라",MID(K359,2,2)="06","전라",MID(K359,2,2)="07","경북",MID(K359,2,2)="08","경남",MID(K359,2,2)="09","강원",MID(K359,2,2)="10","제주",TRUE,"국외")</f>
        <v>충청</v>
      </c>
    </row>
    <row r="360" spans="1:12" ht="17.25" thickBot="1">
      <c r="A360" s="3" t="s">
        <v>485</v>
      </c>
      <c r="B360" s="3" t="s">
        <v>66</v>
      </c>
      <c r="C360" s="3"/>
      <c r="D360" s="4" t="s">
        <v>254</v>
      </c>
      <c r="E360" s="4" t="s">
        <v>6</v>
      </c>
      <c r="F360" s="4">
        <v>2021</v>
      </c>
      <c r="G360" s="8">
        <v>-0.3</v>
      </c>
      <c r="H360" s="4" t="s">
        <v>6</v>
      </c>
      <c r="I360" s="8">
        <v>-0.3</v>
      </c>
      <c r="J360" s="3">
        <v>14790</v>
      </c>
      <c r="K360" s="3">
        <v>50110</v>
      </c>
      <c r="L360" s="17" t="str" cm="1">
        <f t="array" ref="L360">_xlfn.IFS(MID(K360,2,2)="01", "서울", MID(K360,2,2)="02","경기",MID(K360,2,2)="03","충청",MID(K360,2,2)="04","충청",MID(K360,2,2)="05","전라",MID(K360,2,2)="06","전라",MID(K360,2,2)="07","경북",MID(K360,2,2)="08","경남",MID(K360,2,2)="09","강원",MID(K360,2,2)="10","제주",TRUE,"국외")</f>
        <v>서울</v>
      </c>
    </row>
    <row r="361" spans="1:12" ht="17.25" thickBot="1">
      <c r="A361" s="3" t="s">
        <v>486</v>
      </c>
      <c r="B361" s="3" t="s">
        <v>66</v>
      </c>
      <c r="C361" s="3"/>
      <c r="D361" s="4" t="s">
        <v>254</v>
      </c>
      <c r="E361" s="4" t="s">
        <v>28</v>
      </c>
      <c r="F361" s="4">
        <v>2021</v>
      </c>
      <c r="G361" s="8">
        <v>0.1</v>
      </c>
      <c r="H361" s="4" t="s">
        <v>28</v>
      </c>
      <c r="I361" s="8">
        <v>0.1</v>
      </c>
      <c r="J361" s="3">
        <v>14775</v>
      </c>
      <c r="K361" s="3">
        <v>50110</v>
      </c>
      <c r="L361" s="17" t="str" cm="1">
        <f t="array" ref="L361">_xlfn.IFS(MID(K361,2,2)="01", "서울", MID(K361,2,2)="02","경기",MID(K361,2,2)="03","충청",MID(K361,2,2)="04","충청",MID(K361,2,2)="05","전라",MID(K361,2,2)="06","전라",MID(K361,2,2)="07","경북",MID(K361,2,2)="08","경남",MID(K361,2,2)="09","강원",MID(K361,2,2)="10","제주",TRUE,"국외")</f>
        <v>서울</v>
      </c>
    </row>
    <row r="362" spans="1:12" ht="17.25" thickBot="1">
      <c r="A362" s="3" t="s">
        <v>487</v>
      </c>
      <c r="B362" s="3" t="s">
        <v>128</v>
      </c>
      <c r="C362" s="3" t="s">
        <v>161</v>
      </c>
      <c r="D362" s="4" t="s">
        <v>254</v>
      </c>
      <c r="E362" s="4" t="s">
        <v>20</v>
      </c>
      <c r="F362" s="4"/>
      <c r="G362" s="9"/>
      <c r="H362" s="4"/>
      <c r="I362" s="9"/>
      <c r="J362" s="3">
        <v>14847</v>
      </c>
      <c r="K362" s="3">
        <v>50901</v>
      </c>
      <c r="L362" s="17" t="str" cm="1">
        <f t="array" ref="L362">_xlfn.IFS(MID(K362,2,2)="01", "서울", MID(K362,2,2)="02","경기",MID(K362,2,2)="03","충청",MID(K362,2,2)="04","충청",MID(K362,2,2)="05","전라",MID(K362,2,2)="06","전라",MID(K362,2,2)="07","경북",MID(K362,2,2)="08","경남",MID(K362,2,2)="09","강원",MID(K362,2,2)="10","제주",TRUE,"국외")</f>
        <v>강원</v>
      </c>
    </row>
    <row r="363" spans="1:12" ht="17.25" thickBot="1">
      <c r="A363" s="3" t="s">
        <v>488</v>
      </c>
      <c r="B363" s="3" t="s">
        <v>22</v>
      </c>
      <c r="C363" s="3"/>
      <c r="D363" s="4" t="s">
        <v>254</v>
      </c>
      <c r="E363" s="4" t="s">
        <v>12</v>
      </c>
      <c r="F363" s="4">
        <v>2022</v>
      </c>
      <c r="G363" s="9"/>
      <c r="H363" s="4" t="s">
        <v>12</v>
      </c>
      <c r="I363" s="8">
        <v>0</v>
      </c>
      <c r="J363" s="3">
        <v>14764</v>
      </c>
      <c r="K363" s="3">
        <v>50209</v>
      </c>
      <c r="L363" s="17" t="str" cm="1">
        <f t="array" ref="L363">_xlfn.IFS(MID(K363,2,2)="01", "서울", MID(K363,2,2)="02","경기",MID(K363,2,2)="03","충청",MID(K363,2,2)="04","충청",MID(K363,2,2)="05","전라",MID(K363,2,2)="06","전라",MID(K363,2,2)="07","경북",MID(K363,2,2)="08","경남",MID(K363,2,2)="09","강원",MID(K363,2,2)="10","제주",TRUE,"국외")</f>
        <v>경기</v>
      </c>
    </row>
    <row r="364" spans="1:12" ht="17.25" thickBot="1">
      <c r="A364" s="3" t="s">
        <v>489</v>
      </c>
      <c r="B364" s="3" t="s">
        <v>44</v>
      </c>
      <c r="C364" s="3" t="s">
        <v>90</v>
      </c>
      <c r="D364" s="4" t="s">
        <v>254</v>
      </c>
      <c r="E364" s="4" t="s">
        <v>15</v>
      </c>
      <c r="F364" s="4">
        <v>2021</v>
      </c>
      <c r="G364" s="8">
        <v>1.3</v>
      </c>
      <c r="H364" s="4" t="s">
        <v>15</v>
      </c>
      <c r="I364" s="8">
        <v>1.4</v>
      </c>
      <c r="J364" s="3">
        <v>14804</v>
      </c>
      <c r="K364" s="3">
        <v>50809</v>
      </c>
      <c r="L364" s="17" t="str" cm="1">
        <f t="array" ref="L364">_xlfn.IFS(MID(K364,2,2)="01", "서울", MID(K364,2,2)="02","경기",MID(K364,2,2)="03","충청",MID(K364,2,2)="04","충청",MID(K364,2,2)="05","전라",MID(K364,2,2)="06","전라",MID(K364,2,2)="07","경북",MID(K364,2,2)="08","경남",MID(K364,2,2)="09","강원",MID(K364,2,2)="10","제주",TRUE,"국외")</f>
        <v>경남</v>
      </c>
    </row>
    <row r="365" spans="1:12" ht="17.25" thickBot="1">
      <c r="A365" s="3" t="s">
        <v>490</v>
      </c>
      <c r="B365" s="3" t="s">
        <v>176</v>
      </c>
      <c r="C365" s="3"/>
      <c r="D365" s="4" t="s">
        <v>254</v>
      </c>
      <c r="E365" s="4" t="s">
        <v>26</v>
      </c>
      <c r="F365" s="4">
        <v>2021</v>
      </c>
      <c r="G365" s="8">
        <v>0</v>
      </c>
      <c r="H365" s="4" t="s">
        <v>26</v>
      </c>
      <c r="I365" s="8">
        <v>0</v>
      </c>
      <c r="J365" s="3">
        <v>14768</v>
      </c>
      <c r="K365" s="3">
        <v>50302</v>
      </c>
      <c r="L365" s="17" t="str" cm="1">
        <f t="array" ref="L365">_xlfn.IFS(MID(K365,2,2)="01", "서울", MID(K365,2,2)="02","경기",MID(K365,2,2)="03","충청",MID(K365,2,2)="04","충청",MID(K365,2,2)="05","전라",MID(K365,2,2)="06","전라",MID(K365,2,2)="07","경북",MID(K365,2,2)="08","경남",MID(K365,2,2)="09","강원",MID(K365,2,2)="10","제주",TRUE,"국외")</f>
        <v>충청</v>
      </c>
    </row>
    <row r="366" spans="1:12" ht="17.25" thickBot="1">
      <c r="A366" s="3" t="s">
        <v>491</v>
      </c>
      <c r="B366" s="3" t="s">
        <v>56</v>
      </c>
      <c r="C366" s="3"/>
      <c r="D366" s="4" t="s">
        <v>254</v>
      </c>
      <c r="E366" s="4" t="s">
        <v>9</v>
      </c>
      <c r="F366" s="4">
        <v>2021</v>
      </c>
      <c r="G366" s="8">
        <v>-0.3</v>
      </c>
      <c r="H366" s="4" t="s">
        <v>9</v>
      </c>
      <c r="I366" s="8">
        <v>-0.3</v>
      </c>
      <c r="J366" s="3">
        <v>14794</v>
      </c>
      <c r="K366" s="3">
        <v>50215</v>
      </c>
      <c r="L366" s="17" t="str" cm="1">
        <f t="array" ref="L366">_xlfn.IFS(MID(K366,2,2)="01", "서울", MID(K366,2,2)="02","경기",MID(K366,2,2)="03","충청",MID(K366,2,2)="04","충청",MID(K366,2,2)="05","전라",MID(K366,2,2)="06","전라",MID(K366,2,2)="07","경북",MID(K366,2,2)="08","경남",MID(K366,2,2)="09","강원",MID(K366,2,2)="10","제주",TRUE,"국외")</f>
        <v>경기</v>
      </c>
    </row>
    <row r="367" spans="1:12" ht="17.25" thickBot="1">
      <c r="A367" s="3" t="s">
        <v>492</v>
      </c>
      <c r="B367" s="3" t="s">
        <v>81</v>
      </c>
      <c r="C367" s="3"/>
      <c r="D367" s="4" t="s">
        <v>254</v>
      </c>
      <c r="E367" s="4" t="s">
        <v>23</v>
      </c>
      <c r="F367" s="4"/>
      <c r="G367" s="9"/>
      <c r="H367" s="4"/>
      <c r="I367" s="9"/>
      <c r="J367" s="3">
        <v>14802</v>
      </c>
      <c r="K367" s="3">
        <v>50105</v>
      </c>
      <c r="L367" s="17" t="str" cm="1">
        <f t="array" ref="L367">_xlfn.IFS(MID(K367,2,2)="01", "서울", MID(K367,2,2)="02","경기",MID(K367,2,2)="03","충청",MID(K367,2,2)="04","충청",MID(K367,2,2)="05","전라",MID(K367,2,2)="06","전라",MID(K367,2,2)="07","경북",MID(K367,2,2)="08","경남",MID(K367,2,2)="09","강원",MID(K367,2,2)="10","제주",TRUE,"국외")</f>
        <v>서울</v>
      </c>
    </row>
    <row r="368" spans="1:12" ht="17.25" thickBot="1">
      <c r="A368" s="3" t="s">
        <v>315</v>
      </c>
      <c r="B368" s="3" t="s">
        <v>101</v>
      </c>
      <c r="C368" s="3"/>
      <c r="D368" s="4" t="s">
        <v>254</v>
      </c>
      <c r="E368" s="4" t="s">
        <v>18</v>
      </c>
      <c r="F368" s="4">
        <v>2021</v>
      </c>
      <c r="G368" s="8">
        <v>0</v>
      </c>
      <c r="H368" s="4" t="s">
        <v>18</v>
      </c>
      <c r="I368" s="8">
        <v>-0.2</v>
      </c>
      <c r="J368" s="3">
        <v>14855</v>
      </c>
      <c r="K368" s="3">
        <v>50207</v>
      </c>
      <c r="L368" s="17" t="str" cm="1">
        <f t="array" ref="L368">_xlfn.IFS(MID(K368,2,2)="01", "서울", MID(K368,2,2)="02","경기",MID(K368,2,2)="03","충청",MID(K368,2,2)="04","충청",MID(K368,2,2)="05","전라",MID(K368,2,2)="06","전라",MID(K368,2,2)="07","경북",MID(K368,2,2)="08","경남",MID(K368,2,2)="09","강원",MID(K368,2,2)="10","제주",TRUE,"국외")</f>
        <v>경기</v>
      </c>
    </row>
    <row r="369" spans="1:12" ht="17.25" thickBot="1">
      <c r="A369" s="3" t="s">
        <v>493</v>
      </c>
      <c r="B369" s="3" t="s">
        <v>22</v>
      </c>
      <c r="C369" s="3"/>
      <c r="D369" s="4" t="s">
        <v>254</v>
      </c>
      <c r="E369" s="4" t="s">
        <v>3</v>
      </c>
      <c r="F369" s="4">
        <v>2021</v>
      </c>
      <c r="G369" s="8">
        <v>0</v>
      </c>
      <c r="H369" s="4" t="s">
        <v>3</v>
      </c>
      <c r="I369" s="8">
        <v>0</v>
      </c>
      <c r="J369" s="3">
        <v>14811</v>
      </c>
      <c r="K369" s="3">
        <v>50209</v>
      </c>
      <c r="L369" s="17" t="str" cm="1">
        <f t="array" ref="L369">_xlfn.IFS(MID(K369,2,2)="01", "서울", MID(K369,2,2)="02","경기",MID(K369,2,2)="03","충청",MID(K369,2,2)="04","충청",MID(K369,2,2)="05","전라",MID(K369,2,2)="06","전라",MID(K369,2,2)="07","경북",MID(K369,2,2)="08","경남",MID(K369,2,2)="09","강원",MID(K369,2,2)="10","제주",TRUE,"국외")</f>
        <v>경기</v>
      </c>
    </row>
    <row r="370" spans="1:12" ht="17.25" thickBot="1">
      <c r="A370" s="3" t="s">
        <v>494</v>
      </c>
      <c r="B370" s="3" t="s">
        <v>147</v>
      </c>
      <c r="C370" s="3"/>
      <c r="D370" s="4" t="s">
        <v>254</v>
      </c>
      <c r="E370" s="4" t="s">
        <v>6</v>
      </c>
      <c r="F370" s="4"/>
      <c r="G370" s="9"/>
      <c r="H370" s="4"/>
      <c r="I370" s="9"/>
      <c r="J370" s="3">
        <v>14826</v>
      </c>
      <c r="K370" s="3">
        <v>50208</v>
      </c>
      <c r="L370" s="17" t="str" cm="1">
        <f t="array" ref="L370">_xlfn.IFS(MID(K370,2,2)="01", "서울", MID(K370,2,2)="02","경기",MID(K370,2,2)="03","충청",MID(K370,2,2)="04","충청",MID(K370,2,2)="05","전라",MID(K370,2,2)="06","전라",MID(K370,2,2)="07","경북",MID(K370,2,2)="08","경남",MID(K370,2,2)="09","강원",MID(K370,2,2)="10","제주",TRUE,"국외")</f>
        <v>경기</v>
      </c>
    </row>
    <row r="371" spans="1:12" ht="17.25" thickBot="1">
      <c r="A371" s="3" t="s">
        <v>495</v>
      </c>
      <c r="B371" s="3" t="s">
        <v>96</v>
      </c>
      <c r="C371" s="3"/>
      <c r="D371" s="4" t="s">
        <v>254</v>
      </c>
      <c r="E371" s="4" t="s">
        <v>28</v>
      </c>
      <c r="F371" s="4">
        <v>2023</v>
      </c>
      <c r="G371" s="9"/>
      <c r="H371" s="4" t="s">
        <v>28</v>
      </c>
      <c r="I371" s="8">
        <v>0</v>
      </c>
      <c r="J371" s="3">
        <v>14869</v>
      </c>
      <c r="K371" s="3">
        <v>50601</v>
      </c>
      <c r="L371" s="17" t="str" cm="1">
        <f t="array" ref="L371">_xlfn.IFS(MID(K371,2,2)="01", "서울", MID(K371,2,2)="02","경기",MID(K371,2,2)="03","충청",MID(K371,2,2)="04","충청",MID(K371,2,2)="05","전라",MID(K371,2,2)="06","전라",MID(K371,2,2)="07","경북",MID(K371,2,2)="08","경남",MID(K371,2,2)="09","강원",MID(K371,2,2)="10","제주",TRUE,"국외")</f>
        <v>전라</v>
      </c>
    </row>
    <row r="372" spans="1:12" ht="17.25" thickBot="1">
      <c r="A372" s="3" t="s">
        <v>496</v>
      </c>
      <c r="B372" s="3" t="s">
        <v>93</v>
      </c>
      <c r="C372" s="3"/>
      <c r="D372" s="4" t="s">
        <v>254</v>
      </c>
      <c r="E372" s="4" t="s">
        <v>20</v>
      </c>
      <c r="F372" s="4"/>
      <c r="G372" s="9"/>
      <c r="H372" s="4"/>
      <c r="I372" s="9"/>
      <c r="J372" s="3">
        <v>14844</v>
      </c>
      <c r="K372" s="3">
        <v>50805</v>
      </c>
      <c r="L372" s="17" t="str" cm="1">
        <f t="array" ref="L372">_xlfn.IFS(MID(K372,2,2)="01", "서울", MID(K372,2,2)="02","경기",MID(K372,2,2)="03","충청",MID(K372,2,2)="04","충청",MID(K372,2,2)="05","전라",MID(K372,2,2)="06","전라",MID(K372,2,2)="07","경북",MID(K372,2,2)="08","경남",MID(K372,2,2)="09","강원",MID(K372,2,2)="10","제주",TRUE,"국외")</f>
        <v>경남</v>
      </c>
    </row>
    <row r="373" spans="1:12" ht="17.25" thickBot="1">
      <c r="A373" s="3" t="s">
        <v>497</v>
      </c>
      <c r="B373" s="3" t="s">
        <v>112</v>
      </c>
      <c r="C373" s="3"/>
      <c r="D373" s="4" t="s">
        <v>254</v>
      </c>
      <c r="E373" s="4" t="s">
        <v>12</v>
      </c>
      <c r="F373" s="4">
        <v>2021</v>
      </c>
      <c r="G373" s="8">
        <v>0</v>
      </c>
      <c r="H373" s="4" t="s">
        <v>12</v>
      </c>
      <c r="I373" s="8">
        <v>-0.3</v>
      </c>
      <c r="J373" s="3">
        <v>14766</v>
      </c>
      <c r="K373" s="3">
        <v>50113</v>
      </c>
      <c r="L373" s="17" t="str" cm="1">
        <f t="array" ref="L373">_xlfn.IFS(MID(K373,2,2)="01", "서울", MID(K373,2,2)="02","경기",MID(K373,2,2)="03","충청",MID(K373,2,2)="04","충청",MID(K373,2,2)="05","전라",MID(K373,2,2)="06","전라",MID(K373,2,2)="07","경북",MID(K373,2,2)="08","경남",MID(K373,2,2)="09","강원",MID(K373,2,2)="10","제주",TRUE,"국외")</f>
        <v>서울</v>
      </c>
    </row>
    <row r="374" spans="1:12" ht="17.25" thickBot="1">
      <c r="A374" s="3" t="s">
        <v>498</v>
      </c>
      <c r="B374" s="3" t="s">
        <v>68</v>
      </c>
      <c r="C374" s="3"/>
      <c r="D374" s="4" t="s">
        <v>254</v>
      </c>
      <c r="E374" s="4" t="s">
        <v>15</v>
      </c>
      <c r="F374" s="4"/>
      <c r="G374" s="9"/>
      <c r="H374" s="4"/>
      <c r="I374" s="9"/>
      <c r="J374" s="3">
        <v>14862</v>
      </c>
      <c r="K374" s="3">
        <v>50101</v>
      </c>
      <c r="L374" s="17" t="str" cm="1">
        <f t="array" ref="L374">_xlfn.IFS(MID(K374,2,2)="01", "서울", MID(K374,2,2)="02","경기",MID(K374,2,2)="03","충청",MID(K374,2,2)="04","충청",MID(K374,2,2)="05","전라",MID(K374,2,2)="06","전라",MID(K374,2,2)="07","경북",MID(K374,2,2)="08","경남",MID(K374,2,2)="09","강원",MID(K374,2,2)="10","제주",TRUE,"국외")</f>
        <v>서울</v>
      </c>
    </row>
    <row r="375" spans="1:12" ht="17.25" thickBot="1">
      <c r="A375" s="3" t="s">
        <v>499</v>
      </c>
      <c r="B375" s="3" t="s">
        <v>74</v>
      </c>
      <c r="C375" s="3"/>
      <c r="D375" s="4" t="s">
        <v>254</v>
      </c>
      <c r="E375" s="4" t="s">
        <v>26</v>
      </c>
      <c r="F375" s="4"/>
      <c r="G375" s="9"/>
      <c r="H375" s="4"/>
      <c r="I375" s="9"/>
      <c r="J375" s="3">
        <v>14772</v>
      </c>
      <c r="K375" s="3">
        <v>50102</v>
      </c>
      <c r="L375" s="17" t="str" cm="1">
        <f t="array" ref="L375">_xlfn.IFS(MID(K375,2,2)="01", "서울", MID(K375,2,2)="02","경기",MID(K375,2,2)="03","충청",MID(K375,2,2)="04","충청",MID(K375,2,2)="05","전라",MID(K375,2,2)="06","전라",MID(K375,2,2)="07","경북",MID(K375,2,2)="08","경남",MID(K375,2,2)="09","강원",MID(K375,2,2)="10","제주",TRUE,"국외")</f>
        <v>서울</v>
      </c>
    </row>
    <row r="376" spans="1:12" ht="17.25" thickBot="1">
      <c r="A376" s="3" t="s">
        <v>500</v>
      </c>
      <c r="B376" s="3" t="s">
        <v>101</v>
      </c>
      <c r="C376" s="3"/>
      <c r="D376" s="4" t="s">
        <v>254</v>
      </c>
      <c r="E376" s="4" t="s">
        <v>9</v>
      </c>
      <c r="F376" s="4">
        <v>2023</v>
      </c>
      <c r="G376" s="9"/>
      <c r="H376" s="4" t="s">
        <v>9</v>
      </c>
      <c r="I376" s="8">
        <v>0</v>
      </c>
      <c r="J376" s="3">
        <v>14816</v>
      </c>
      <c r="K376" s="3">
        <v>50207</v>
      </c>
      <c r="L376" s="17" t="str" cm="1">
        <f t="array" ref="L376">_xlfn.IFS(MID(K376,2,2)="01", "서울", MID(K376,2,2)="02","경기",MID(K376,2,2)="03","충청",MID(K376,2,2)="04","충청",MID(K376,2,2)="05","전라",MID(K376,2,2)="06","전라",MID(K376,2,2)="07","경북",MID(K376,2,2)="08","경남",MID(K376,2,2)="09","강원",MID(K376,2,2)="10","제주",TRUE,"국외")</f>
        <v>경기</v>
      </c>
    </row>
    <row r="377" spans="1:12" ht="17.25" thickBot="1">
      <c r="A377" s="3" t="s">
        <v>501</v>
      </c>
      <c r="B377" s="3" t="s">
        <v>358</v>
      </c>
      <c r="C377" s="3"/>
      <c r="D377" s="4" t="s">
        <v>254</v>
      </c>
      <c r="E377" s="4" t="s">
        <v>23</v>
      </c>
      <c r="F377" s="4">
        <v>2022</v>
      </c>
      <c r="G377" s="9"/>
      <c r="H377" s="4" t="s">
        <v>23</v>
      </c>
      <c r="I377" s="8">
        <v>1</v>
      </c>
      <c r="J377" s="3">
        <v>14863</v>
      </c>
      <c r="K377" s="3">
        <v>50902</v>
      </c>
      <c r="L377" s="17" t="str" cm="1">
        <f t="array" ref="L377">_xlfn.IFS(MID(K377,2,2)="01", "서울", MID(K377,2,2)="02","경기",MID(K377,2,2)="03","충청",MID(K377,2,2)="04","충청",MID(K377,2,2)="05","전라",MID(K377,2,2)="06","전라",MID(K377,2,2)="07","경북",MID(K377,2,2)="08","경남",MID(K377,2,2)="09","강원",MID(K377,2,2)="10","제주",TRUE,"국외")</f>
        <v>강원</v>
      </c>
    </row>
    <row r="378" spans="1:12" ht="17.25" thickBot="1">
      <c r="A378" s="3" t="s">
        <v>502</v>
      </c>
      <c r="B378" s="3" t="s">
        <v>96</v>
      </c>
      <c r="C378" s="3"/>
      <c r="D378" s="4" t="s">
        <v>254</v>
      </c>
      <c r="E378" s="4" t="s">
        <v>18</v>
      </c>
      <c r="F378" s="4">
        <v>2022</v>
      </c>
      <c r="G378" s="9"/>
      <c r="H378" s="4" t="s">
        <v>18</v>
      </c>
      <c r="I378" s="8">
        <v>-0.6</v>
      </c>
      <c r="J378" s="3">
        <v>14851</v>
      </c>
      <c r="K378" s="3">
        <v>50601</v>
      </c>
      <c r="L378" s="17" t="str" cm="1">
        <f t="array" ref="L378">_xlfn.IFS(MID(K378,2,2)="01", "서울", MID(K378,2,2)="02","경기",MID(K378,2,2)="03","충청",MID(K378,2,2)="04","충청",MID(K378,2,2)="05","전라",MID(K378,2,2)="06","전라",MID(K378,2,2)="07","경북",MID(K378,2,2)="08","경남",MID(K378,2,2)="09","강원",MID(K378,2,2)="10","제주",TRUE,"국외")</f>
        <v>전라</v>
      </c>
    </row>
    <row r="379" spans="1:12" ht="17.25" thickBot="1">
      <c r="A379" s="3" t="s">
        <v>503</v>
      </c>
      <c r="B379" s="3" t="s">
        <v>68</v>
      </c>
      <c r="C379" s="3" t="s">
        <v>85</v>
      </c>
      <c r="D379" s="4" t="s">
        <v>254</v>
      </c>
      <c r="E379" s="4" t="s">
        <v>3</v>
      </c>
      <c r="F379" s="4">
        <v>2021</v>
      </c>
      <c r="G379" s="8">
        <v>0.3</v>
      </c>
      <c r="H379" s="4" t="s">
        <v>3</v>
      </c>
      <c r="I379" s="8">
        <v>0.3</v>
      </c>
      <c r="J379" s="3">
        <v>14809</v>
      </c>
      <c r="K379" s="3">
        <v>50101</v>
      </c>
      <c r="L379" s="17" t="str" cm="1">
        <f t="array" ref="L379">_xlfn.IFS(MID(K379,2,2)="01", "서울", MID(K379,2,2)="02","경기",MID(K379,2,2)="03","충청",MID(K379,2,2)="04","충청",MID(K379,2,2)="05","전라",MID(K379,2,2)="06","전라",MID(K379,2,2)="07","경북",MID(K379,2,2)="08","경남",MID(K379,2,2)="09","강원",MID(K379,2,2)="10","제주",TRUE,"국외")</f>
        <v>서울</v>
      </c>
    </row>
    <row r="380" spans="1:12" ht="17.25" thickBot="1">
      <c r="A380" s="3" t="s">
        <v>504</v>
      </c>
      <c r="B380" s="3" t="s">
        <v>505</v>
      </c>
      <c r="C380" s="3"/>
      <c r="D380" s="4" t="s">
        <v>254</v>
      </c>
      <c r="E380" s="4" t="s">
        <v>6</v>
      </c>
      <c r="F380" s="4"/>
      <c r="G380" s="9"/>
      <c r="H380" s="4"/>
      <c r="I380" s="9"/>
      <c r="J380" s="3">
        <v>14791</v>
      </c>
      <c r="K380" s="3">
        <v>50218</v>
      </c>
      <c r="L380" s="17" t="str" cm="1">
        <f t="array" ref="L380">_xlfn.IFS(MID(K380,2,2)="01", "서울", MID(K380,2,2)="02","경기",MID(K380,2,2)="03","충청",MID(K380,2,2)="04","충청",MID(K380,2,2)="05","전라",MID(K380,2,2)="06","전라",MID(K380,2,2)="07","경북",MID(K380,2,2)="08","경남",MID(K380,2,2)="09","강원",MID(K380,2,2)="10","제주",TRUE,"국외")</f>
        <v>경기</v>
      </c>
    </row>
    <row r="381" spans="1:12" ht="17.25" thickBot="1">
      <c r="A381" s="3" t="s">
        <v>506</v>
      </c>
      <c r="B381" s="3" t="s">
        <v>96</v>
      </c>
      <c r="C381" s="3"/>
      <c r="D381" s="4" t="s">
        <v>254</v>
      </c>
      <c r="E381" s="4" t="s">
        <v>28</v>
      </c>
      <c r="F381" s="4"/>
      <c r="G381" s="9"/>
      <c r="H381" s="4"/>
      <c r="I381" s="9"/>
      <c r="J381" s="3">
        <v>14870</v>
      </c>
      <c r="K381" s="3">
        <v>50601</v>
      </c>
      <c r="L381" s="17" t="str" cm="1">
        <f t="array" ref="L381">_xlfn.IFS(MID(K381,2,2)="01", "서울", MID(K381,2,2)="02","경기",MID(K381,2,2)="03","충청",MID(K381,2,2)="04","충청",MID(K381,2,2)="05","전라",MID(K381,2,2)="06","전라",MID(K381,2,2)="07","경북",MID(K381,2,2)="08","경남",MID(K381,2,2)="09","강원",MID(K381,2,2)="10","제주",TRUE,"국외")</f>
        <v>전라</v>
      </c>
    </row>
    <row r="382" spans="1:12" ht="17.25" thickBot="1">
      <c r="A382" s="3" t="s">
        <v>507</v>
      </c>
      <c r="B382" s="3" t="s">
        <v>56</v>
      </c>
      <c r="C382" s="3"/>
      <c r="D382" s="4" t="s">
        <v>254</v>
      </c>
      <c r="E382" s="4" t="s">
        <v>20</v>
      </c>
      <c r="F382" s="4"/>
      <c r="G382" s="9"/>
      <c r="H382" s="4"/>
      <c r="I382" s="9"/>
      <c r="J382" s="3">
        <v>14843</v>
      </c>
      <c r="K382" s="3">
        <v>50215</v>
      </c>
      <c r="L382" s="17" t="str" cm="1">
        <f t="array" ref="L382">_xlfn.IFS(MID(K382,2,2)="01", "서울", MID(K382,2,2)="02","경기",MID(K382,2,2)="03","충청",MID(K382,2,2)="04","충청",MID(K382,2,2)="05","전라",MID(K382,2,2)="06","전라",MID(K382,2,2)="07","경북",MID(K382,2,2)="08","경남",MID(K382,2,2)="09","강원",MID(K382,2,2)="10","제주",TRUE,"국외")</f>
        <v>경기</v>
      </c>
    </row>
    <row r="383" spans="1:12" ht="17.25" thickBot="1">
      <c r="A383" s="3" t="s">
        <v>508</v>
      </c>
      <c r="B383" s="3" t="s">
        <v>40</v>
      </c>
      <c r="C383" s="3"/>
      <c r="D383" s="4" t="s">
        <v>254</v>
      </c>
      <c r="E383" s="4" t="s">
        <v>12</v>
      </c>
      <c r="F383" s="4"/>
      <c r="G383" s="9"/>
      <c r="H383" s="4"/>
      <c r="I383" s="9"/>
      <c r="J383" s="3">
        <v>14827</v>
      </c>
      <c r="K383" s="3">
        <v>50108</v>
      </c>
      <c r="L383" s="17" t="str" cm="1">
        <f t="array" ref="L383">_xlfn.IFS(MID(K383,2,2)="01", "서울", MID(K383,2,2)="02","경기",MID(K383,2,2)="03","충청",MID(K383,2,2)="04","충청",MID(K383,2,2)="05","전라",MID(K383,2,2)="06","전라",MID(K383,2,2)="07","경북",MID(K383,2,2)="08","경남",MID(K383,2,2)="09","강원",MID(K383,2,2)="10","제주",TRUE,"국외")</f>
        <v>서울</v>
      </c>
    </row>
    <row r="384" spans="1:12" ht="17.25" thickBot="1">
      <c r="A384" s="3" t="s">
        <v>509</v>
      </c>
      <c r="B384" s="3" t="s">
        <v>14</v>
      </c>
      <c r="C384" s="3"/>
      <c r="D384" s="4" t="s">
        <v>254</v>
      </c>
      <c r="E384" s="4" t="s">
        <v>15</v>
      </c>
      <c r="F384" s="4">
        <v>2023</v>
      </c>
      <c r="G384" s="9"/>
      <c r="H384" s="4" t="s">
        <v>9</v>
      </c>
      <c r="I384" s="8">
        <v>0</v>
      </c>
      <c r="J384" s="3">
        <v>14861</v>
      </c>
      <c r="K384" s="3">
        <v>50703</v>
      </c>
      <c r="L384" s="17" t="str" cm="1">
        <f t="array" ref="L384">_xlfn.IFS(MID(K384,2,2)="01", "서울", MID(K384,2,2)="02","경기",MID(K384,2,2)="03","충청",MID(K384,2,2)="04","충청",MID(K384,2,2)="05","전라",MID(K384,2,2)="06","전라",MID(K384,2,2)="07","경북",MID(K384,2,2)="08","경남",MID(K384,2,2)="09","강원",MID(K384,2,2)="10","제주",TRUE,"국외")</f>
        <v>경북</v>
      </c>
    </row>
    <row r="385" spans="1:12" ht="17.25" thickBot="1">
      <c r="A385" s="3" t="s">
        <v>510</v>
      </c>
      <c r="B385" s="3" t="s">
        <v>93</v>
      </c>
      <c r="C385" s="3"/>
      <c r="D385" s="4" t="s">
        <v>254</v>
      </c>
      <c r="E385" s="4" t="s">
        <v>26</v>
      </c>
      <c r="F385" s="4"/>
      <c r="G385" s="9"/>
      <c r="H385" s="4"/>
      <c r="I385" s="9"/>
      <c r="J385" s="3">
        <v>14836</v>
      </c>
      <c r="K385" s="3">
        <v>50805</v>
      </c>
      <c r="L385" s="17" t="str" cm="1">
        <f t="array" ref="L385">_xlfn.IFS(MID(K385,2,2)="01", "서울", MID(K385,2,2)="02","경기",MID(K385,2,2)="03","충청",MID(K385,2,2)="04","충청",MID(K385,2,2)="05","전라",MID(K385,2,2)="06","전라",MID(K385,2,2)="07","경북",MID(K385,2,2)="08","경남",MID(K385,2,2)="09","강원",MID(K385,2,2)="10","제주",TRUE,"국외")</f>
        <v>경남</v>
      </c>
    </row>
    <row r="386" spans="1:12" ht="17.25" thickBot="1">
      <c r="A386" s="3" t="s">
        <v>511</v>
      </c>
      <c r="B386" s="3" t="s">
        <v>1</v>
      </c>
      <c r="C386" s="3" t="s">
        <v>161</v>
      </c>
      <c r="D386" s="4" t="s">
        <v>254</v>
      </c>
      <c r="E386" s="4" t="s">
        <v>9</v>
      </c>
      <c r="F386" s="4">
        <v>2021</v>
      </c>
      <c r="G386" s="8">
        <v>0</v>
      </c>
      <c r="H386" s="4" t="s">
        <v>9</v>
      </c>
      <c r="I386" s="8">
        <v>0</v>
      </c>
      <c r="J386" s="3">
        <v>14795</v>
      </c>
      <c r="K386" s="3">
        <v>50107</v>
      </c>
      <c r="L386" s="17" t="str" cm="1">
        <f t="array" ref="L386">_xlfn.IFS(MID(K386,2,2)="01", "서울", MID(K386,2,2)="02","경기",MID(K386,2,2)="03","충청",MID(K386,2,2)="04","충청",MID(K386,2,2)="05","전라",MID(K386,2,2)="06","전라",MID(K386,2,2)="07","경북",MID(K386,2,2)="08","경남",MID(K386,2,2)="09","강원",MID(K386,2,2)="10","제주",TRUE,"국외")</f>
        <v>서울</v>
      </c>
    </row>
    <row r="387" spans="1:12" ht="17.25" thickBot="1">
      <c r="A387" s="3" t="s">
        <v>512</v>
      </c>
      <c r="B387" s="3" t="s">
        <v>40</v>
      </c>
      <c r="C387" s="3"/>
      <c r="D387" s="4" t="s">
        <v>254</v>
      </c>
      <c r="E387" s="4" t="s">
        <v>23</v>
      </c>
      <c r="F387" s="4"/>
      <c r="G387" s="9"/>
      <c r="H387" s="4"/>
      <c r="I387" s="9"/>
      <c r="J387" s="3">
        <v>14864</v>
      </c>
      <c r="K387" s="3">
        <v>50108</v>
      </c>
      <c r="L387" s="17" t="str" cm="1">
        <f t="array" ref="L387">_xlfn.IFS(MID(K387,2,2)="01", "서울", MID(K387,2,2)="02","경기",MID(K387,2,2)="03","충청",MID(K387,2,2)="04","충청",MID(K387,2,2)="05","전라",MID(K387,2,2)="06","전라",MID(K387,2,2)="07","경북",MID(K387,2,2)="08","경남",MID(K387,2,2)="09","강원",MID(K387,2,2)="10","제주",TRUE,"국외")</f>
        <v>서울</v>
      </c>
    </row>
    <row r="388" spans="1:12" ht="17.25" thickBot="1">
      <c r="A388" s="3" t="s">
        <v>513</v>
      </c>
      <c r="B388" s="3" t="s">
        <v>140</v>
      </c>
      <c r="C388" s="3"/>
      <c r="D388" s="4" t="s">
        <v>254</v>
      </c>
      <c r="E388" s="4" t="s">
        <v>18</v>
      </c>
      <c r="F388" s="4"/>
      <c r="G388" s="9"/>
      <c r="H388" s="4"/>
      <c r="I388" s="9"/>
      <c r="J388" s="3">
        <v>14856</v>
      </c>
      <c r="K388" s="3">
        <v>50801</v>
      </c>
      <c r="L388" s="17" t="str" cm="1">
        <f t="array" ref="L388">_xlfn.IFS(MID(K388,2,2)="01", "서울", MID(K388,2,2)="02","경기",MID(K388,2,2)="03","충청",MID(K388,2,2)="04","충청",MID(K388,2,2)="05","전라",MID(K388,2,2)="06","전라",MID(K388,2,2)="07","경북",MID(K388,2,2)="08","경남",MID(K388,2,2)="09","강원",MID(K388,2,2)="10","제주",TRUE,"국외")</f>
        <v>경남</v>
      </c>
    </row>
    <row r="389" spans="1:12" ht="17.25" thickBot="1">
      <c r="A389" s="3" t="s">
        <v>514</v>
      </c>
      <c r="B389" s="3" t="s">
        <v>52</v>
      </c>
      <c r="C389" s="3"/>
      <c r="D389" s="4" t="s">
        <v>254</v>
      </c>
      <c r="E389" s="4" t="s">
        <v>3</v>
      </c>
      <c r="F389" s="4">
        <v>2023</v>
      </c>
      <c r="G389" s="9"/>
      <c r="H389" s="4" t="s">
        <v>12</v>
      </c>
      <c r="I389" s="8">
        <v>-0.1</v>
      </c>
      <c r="J389" s="3">
        <v>14877</v>
      </c>
      <c r="K389" s="3">
        <v>50803</v>
      </c>
      <c r="L389" s="17" t="str" cm="1">
        <f t="array" ref="L389">_xlfn.IFS(MID(K389,2,2)="01", "서울", MID(K389,2,2)="02","경기",MID(K389,2,2)="03","충청",MID(K389,2,2)="04","충청",MID(K389,2,2)="05","전라",MID(K389,2,2)="06","전라",MID(K389,2,2)="07","경북",MID(K389,2,2)="08","경남",MID(K389,2,2)="09","강원",MID(K389,2,2)="10","제주",TRUE,"국외")</f>
        <v>경남</v>
      </c>
    </row>
    <row r="390" spans="1:12" ht="17.25" thickBot="1">
      <c r="A390" s="3" t="s">
        <v>515</v>
      </c>
      <c r="B390" s="3" t="s">
        <v>5</v>
      </c>
      <c r="C390" s="3"/>
      <c r="D390" s="4" t="s">
        <v>254</v>
      </c>
      <c r="E390" s="4" t="s">
        <v>6</v>
      </c>
      <c r="F390" s="4"/>
      <c r="G390" s="9"/>
      <c r="H390" s="4"/>
      <c r="I390" s="9"/>
      <c r="J390" s="3">
        <v>14824</v>
      </c>
      <c r="K390" s="3">
        <v>50114</v>
      </c>
      <c r="L390" s="17" t="str" cm="1">
        <f t="array" ref="L390">_xlfn.IFS(MID(K390,2,2)="01", "서울", MID(K390,2,2)="02","경기",MID(K390,2,2)="03","충청",MID(K390,2,2)="04","충청",MID(K390,2,2)="05","전라",MID(K390,2,2)="06","전라",MID(K390,2,2)="07","경북",MID(K390,2,2)="08","경남",MID(K390,2,2)="09","강원",MID(K390,2,2)="10","제주",TRUE,"국외")</f>
        <v>서울</v>
      </c>
    </row>
    <row r="391" spans="1:12" ht="17.25" thickBot="1">
      <c r="A391" s="3" t="s">
        <v>516</v>
      </c>
      <c r="B391" s="3" t="s">
        <v>101</v>
      </c>
      <c r="C391" s="3"/>
      <c r="D391" s="4" t="s">
        <v>254</v>
      </c>
      <c r="E391" s="4" t="s">
        <v>28</v>
      </c>
      <c r="F391" s="4"/>
      <c r="G391" s="9"/>
      <c r="H391" s="4"/>
      <c r="I391" s="9"/>
      <c r="J391" s="3">
        <v>14881</v>
      </c>
      <c r="K391" s="3">
        <v>50207</v>
      </c>
      <c r="L391" s="17" t="str" cm="1">
        <f t="array" ref="L391">_xlfn.IFS(MID(K391,2,2)="01", "서울", MID(K391,2,2)="02","경기",MID(K391,2,2)="03","충청",MID(K391,2,2)="04","충청",MID(K391,2,2)="05","전라",MID(K391,2,2)="06","전라",MID(K391,2,2)="07","경북",MID(K391,2,2)="08","경남",MID(K391,2,2)="09","강원",MID(K391,2,2)="10","제주",TRUE,"국외")</f>
        <v>경기</v>
      </c>
    </row>
    <row r="392" spans="1:12" ht="17.25" thickBot="1">
      <c r="A392" s="3" t="s">
        <v>517</v>
      </c>
      <c r="B392" s="3" t="s">
        <v>70</v>
      </c>
      <c r="C392" s="3"/>
      <c r="D392" s="4" t="s">
        <v>254</v>
      </c>
      <c r="E392" s="4" t="s">
        <v>20</v>
      </c>
      <c r="F392" s="4">
        <v>2022</v>
      </c>
      <c r="G392" s="9"/>
      <c r="H392" s="4"/>
      <c r="I392" s="9"/>
      <c r="J392" s="3">
        <v>14842</v>
      </c>
      <c r="K392" s="3">
        <v>50103</v>
      </c>
      <c r="L392" s="17" t="str" cm="1">
        <f t="array" ref="L392">_xlfn.IFS(MID(K392,2,2)="01", "서울", MID(K392,2,2)="02","경기",MID(K392,2,2)="03","충청",MID(K392,2,2)="04","충청",MID(K392,2,2)="05","전라",MID(K392,2,2)="06","전라",MID(K392,2,2)="07","경북",MID(K392,2,2)="08","경남",MID(K392,2,2)="09","강원",MID(K392,2,2)="10","제주",TRUE,"국외")</f>
        <v>서울</v>
      </c>
    </row>
    <row r="393" spans="1:12" ht="17.25" thickBot="1">
      <c r="A393" s="3" t="s">
        <v>518</v>
      </c>
      <c r="B393" s="3" t="s">
        <v>22</v>
      </c>
      <c r="C393" s="3"/>
      <c r="D393" s="4" t="s">
        <v>254</v>
      </c>
      <c r="E393" s="4" t="s">
        <v>12</v>
      </c>
      <c r="F393" s="4"/>
      <c r="G393" s="9"/>
      <c r="H393" s="4"/>
      <c r="I393" s="9"/>
      <c r="J393" s="3">
        <v>14828</v>
      </c>
      <c r="K393" s="3">
        <v>50209</v>
      </c>
      <c r="L393" s="17" t="str" cm="1">
        <f t="array" ref="L393">_xlfn.IFS(MID(K393,2,2)="01", "서울", MID(K393,2,2)="02","경기",MID(K393,2,2)="03","충청",MID(K393,2,2)="04","충청",MID(K393,2,2)="05","전라",MID(K393,2,2)="06","전라",MID(K393,2,2)="07","경북",MID(K393,2,2)="08","경남",MID(K393,2,2)="09","강원",MID(K393,2,2)="10","제주",TRUE,"국외")</f>
        <v>경기</v>
      </c>
    </row>
    <row r="394" spans="1:12" ht="17.25" thickBot="1">
      <c r="A394" s="3" t="s">
        <v>519</v>
      </c>
      <c r="B394" s="3" t="s">
        <v>107</v>
      </c>
      <c r="C394" s="3" t="s">
        <v>136</v>
      </c>
      <c r="D394" s="4" t="s">
        <v>254</v>
      </c>
      <c r="E394" s="4" t="s">
        <v>15</v>
      </c>
      <c r="F394" s="4">
        <v>2021</v>
      </c>
      <c r="G394" s="8">
        <v>0</v>
      </c>
      <c r="H394" s="4" t="s">
        <v>15</v>
      </c>
      <c r="I394" s="8">
        <v>-0.2</v>
      </c>
      <c r="J394" s="3">
        <v>14858</v>
      </c>
      <c r="K394" s="3">
        <v>50602</v>
      </c>
      <c r="L394" s="17" t="str" cm="1">
        <f t="array" ref="L394">_xlfn.IFS(MID(K394,2,2)="01", "서울", MID(K394,2,2)="02","경기",MID(K394,2,2)="03","충청",MID(K394,2,2)="04","충청",MID(K394,2,2)="05","전라",MID(K394,2,2)="06","전라",MID(K394,2,2)="07","경북",MID(K394,2,2)="08","경남",MID(K394,2,2)="09","강원",MID(K394,2,2)="10","제주",TRUE,"국외")</f>
        <v>전라</v>
      </c>
    </row>
    <row r="395" spans="1:12" ht="17.25" thickBot="1">
      <c r="A395" s="3" t="s">
        <v>520</v>
      </c>
      <c r="B395" s="3" t="s">
        <v>271</v>
      </c>
      <c r="C395" s="3"/>
      <c r="D395" s="4" t="s">
        <v>254</v>
      </c>
      <c r="E395" s="4" t="s">
        <v>26</v>
      </c>
      <c r="F395" s="4"/>
      <c r="G395" s="9"/>
      <c r="H395" s="4"/>
      <c r="I395" s="9"/>
      <c r="J395" s="3">
        <v>14832</v>
      </c>
      <c r="K395" s="3">
        <v>50213</v>
      </c>
      <c r="L395" s="17" t="str" cm="1">
        <f t="array" ref="L395">_xlfn.IFS(MID(K395,2,2)="01", "서울", MID(K395,2,2)="02","경기",MID(K395,2,2)="03","충청",MID(K395,2,2)="04","충청",MID(K395,2,2)="05","전라",MID(K395,2,2)="06","전라",MID(K395,2,2)="07","경북",MID(K395,2,2)="08","경남",MID(K395,2,2)="09","강원",MID(K395,2,2)="10","제주",TRUE,"국외")</f>
        <v>경기</v>
      </c>
    </row>
    <row r="396" spans="1:12" ht="17.25" thickBot="1">
      <c r="A396" s="3" t="s">
        <v>521</v>
      </c>
      <c r="B396" s="3" t="s">
        <v>140</v>
      </c>
      <c r="C396" s="3"/>
      <c r="D396" s="4" t="s">
        <v>254</v>
      </c>
      <c r="E396" s="4" t="s">
        <v>9</v>
      </c>
      <c r="F396" s="4"/>
      <c r="G396" s="9"/>
      <c r="H396" s="4"/>
      <c r="I396" s="9"/>
      <c r="J396" s="3">
        <v>14817</v>
      </c>
      <c r="K396" s="3">
        <v>50801</v>
      </c>
      <c r="L396" s="17" t="str" cm="1">
        <f t="array" ref="L396">_xlfn.IFS(MID(K396,2,2)="01", "서울", MID(K396,2,2)="02","경기",MID(K396,2,2)="03","충청",MID(K396,2,2)="04","충청",MID(K396,2,2)="05","전라",MID(K396,2,2)="06","전라",MID(K396,2,2)="07","경북",MID(K396,2,2)="08","경남",MID(K396,2,2)="09","강원",MID(K396,2,2)="10","제주",TRUE,"국외")</f>
        <v>경남</v>
      </c>
    </row>
    <row r="397" spans="1:12" ht="17.25" thickBot="1">
      <c r="A397" s="3" t="s">
        <v>284</v>
      </c>
      <c r="B397" s="3" t="s">
        <v>124</v>
      </c>
      <c r="C397" s="3"/>
      <c r="D397" s="4" t="s">
        <v>254</v>
      </c>
      <c r="E397" s="4" t="s">
        <v>23</v>
      </c>
      <c r="F397" s="4"/>
      <c r="G397" s="9"/>
      <c r="H397" s="4"/>
      <c r="I397" s="9"/>
      <c r="J397" s="3">
        <v>14865</v>
      </c>
      <c r="K397" s="3">
        <v>50219</v>
      </c>
      <c r="L397" s="17" t="str" cm="1">
        <f t="array" ref="L397">_xlfn.IFS(MID(K397,2,2)="01", "서울", MID(K397,2,2)="02","경기",MID(K397,2,2)="03","충청",MID(K397,2,2)="04","충청",MID(K397,2,2)="05","전라",MID(K397,2,2)="06","전라",MID(K397,2,2)="07","경북",MID(K397,2,2)="08","경남",MID(K397,2,2)="09","강원",MID(K397,2,2)="10","제주",TRUE,"국외")</f>
        <v>경기</v>
      </c>
    </row>
    <row r="398" spans="1:12" ht="17.25" thickBot="1">
      <c r="A398" s="3" t="s">
        <v>522</v>
      </c>
      <c r="B398" s="3" t="s">
        <v>153</v>
      </c>
      <c r="C398" s="3"/>
      <c r="D398" s="4" t="s">
        <v>254</v>
      </c>
      <c r="E398" s="4" t="s">
        <v>18</v>
      </c>
      <c r="F398" s="4"/>
      <c r="G398" s="9"/>
      <c r="H398" s="4"/>
      <c r="I398" s="9"/>
      <c r="J398" s="3">
        <v>14853</v>
      </c>
      <c r="K398" s="3">
        <v>50210</v>
      </c>
      <c r="L398" s="17" t="str" cm="1">
        <f t="array" ref="L398">_xlfn.IFS(MID(K398,2,2)="01", "서울", MID(K398,2,2)="02","경기",MID(K398,2,2)="03","충청",MID(K398,2,2)="04","충청",MID(K398,2,2)="05","전라",MID(K398,2,2)="06","전라",MID(K398,2,2)="07","경북",MID(K398,2,2)="08","경남",MID(K398,2,2)="09","강원",MID(K398,2,2)="10","제주",TRUE,"국외")</f>
        <v>경기</v>
      </c>
    </row>
    <row r="399" spans="1:12" ht="17.25" thickBot="1">
      <c r="A399" s="3" t="s">
        <v>523</v>
      </c>
      <c r="B399" s="3" t="s">
        <v>58</v>
      </c>
      <c r="C399" s="3"/>
      <c r="D399" s="4" t="s">
        <v>254</v>
      </c>
      <c r="E399" s="4" t="s">
        <v>3</v>
      </c>
      <c r="F399" s="4"/>
      <c r="G399" s="9"/>
      <c r="H399" s="4"/>
      <c r="I399" s="9"/>
      <c r="J399" s="3">
        <v>14875</v>
      </c>
      <c r="K399" s="3">
        <v>50119</v>
      </c>
      <c r="L399" s="17" t="str" cm="1">
        <f t="array" ref="L399">_xlfn.IFS(MID(K399,2,2)="01", "서울", MID(K399,2,2)="02","경기",MID(K399,2,2)="03","충청",MID(K399,2,2)="04","충청",MID(K399,2,2)="05","전라",MID(K399,2,2)="06","전라",MID(K399,2,2)="07","경북",MID(K399,2,2)="08","경남",MID(K399,2,2)="09","강원",MID(K399,2,2)="10","제주",TRUE,"국외")</f>
        <v>서울</v>
      </c>
    </row>
    <row r="400" spans="1:12" ht="17.25" thickBot="1">
      <c r="A400" s="3" t="s">
        <v>524</v>
      </c>
      <c r="B400" s="3" t="s">
        <v>96</v>
      </c>
      <c r="C400" s="3"/>
      <c r="D400" s="4" t="s">
        <v>254</v>
      </c>
      <c r="E400" s="4" t="s">
        <v>6</v>
      </c>
      <c r="F400" s="4"/>
      <c r="G400" s="9"/>
      <c r="H400" s="4"/>
      <c r="I400" s="9"/>
      <c r="J400" s="3">
        <v>14823</v>
      </c>
      <c r="K400" s="3">
        <v>50601</v>
      </c>
      <c r="L400" s="17" t="str" cm="1">
        <f t="array" ref="L400">_xlfn.IFS(MID(K400,2,2)="01", "서울", MID(K400,2,2)="02","경기",MID(K400,2,2)="03","충청",MID(K400,2,2)="04","충청",MID(K400,2,2)="05","전라",MID(K400,2,2)="06","전라",MID(K400,2,2)="07","경북",MID(K400,2,2)="08","경남",MID(K400,2,2)="09","강원",MID(K400,2,2)="10","제주",TRUE,"국외")</f>
        <v>전라</v>
      </c>
    </row>
    <row r="401" spans="1:12" ht="17.25" thickBot="1">
      <c r="A401" s="3" t="s">
        <v>525</v>
      </c>
      <c r="B401" s="3" t="s">
        <v>526</v>
      </c>
      <c r="C401" s="3" t="s">
        <v>527</v>
      </c>
      <c r="D401" s="4" t="s">
        <v>254</v>
      </c>
      <c r="E401" s="4" t="s">
        <v>28</v>
      </c>
      <c r="F401" s="4">
        <v>2021</v>
      </c>
      <c r="G401" s="8">
        <v>-0.2</v>
      </c>
      <c r="H401" s="4" t="s">
        <v>28</v>
      </c>
      <c r="I401" s="8">
        <v>-0.2</v>
      </c>
      <c r="J401" s="3">
        <v>14779</v>
      </c>
      <c r="K401" s="3">
        <v>51104</v>
      </c>
      <c r="L401" s="17" t="str" cm="1">
        <f t="array" ref="L401">_xlfn.IFS(MID(K401,2,2)="01", "서울", MID(K401,2,2)="02","경기",MID(K401,2,2)="03","충청",MID(K401,2,2)="04","충청",MID(K401,2,2)="05","전라",MID(K401,2,2)="06","전라",MID(K401,2,2)="07","경북",MID(K401,2,2)="08","경남",MID(K401,2,2)="09","강원",MID(K401,2,2)="10","제주",TRUE,"국외")</f>
        <v>국외</v>
      </c>
    </row>
    <row r="402" spans="1:12" ht="17.25" thickBot="1">
      <c r="A402" s="3" t="s">
        <v>528</v>
      </c>
      <c r="B402" s="3" t="s">
        <v>529</v>
      </c>
      <c r="C402" s="3"/>
      <c r="D402" s="4" t="s">
        <v>254</v>
      </c>
      <c r="E402" s="4" t="s">
        <v>20</v>
      </c>
      <c r="F402" s="4"/>
      <c r="G402" s="9"/>
      <c r="H402" s="4"/>
      <c r="I402" s="9"/>
      <c r="J402" s="3">
        <v>14841</v>
      </c>
      <c r="K402" s="3">
        <v>50118</v>
      </c>
      <c r="L402" s="17" t="str" cm="1">
        <f t="array" ref="L402">_xlfn.IFS(MID(K402,2,2)="01", "서울", MID(K402,2,2)="02","경기",MID(K402,2,2)="03","충청",MID(K402,2,2)="04","충청",MID(K402,2,2)="05","전라",MID(K402,2,2)="06","전라",MID(K402,2,2)="07","경북",MID(K402,2,2)="08","경남",MID(K402,2,2)="09","강원",MID(K402,2,2)="10","제주",TRUE,"국외")</f>
        <v>서울</v>
      </c>
    </row>
    <row r="403" spans="1:12" ht="17.25" thickBot="1">
      <c r="A403" s="3" t="s">
        <v>530</v>
      </c>
      <c r="B403" s="3" t="s">
        <v>215</v>
      </c>
      <c r="C403" s="3" t="s">
        <v>99</v>
      </c>
      <c r="D403" s="4" t="s">
        <v>254</v>
      </c>
      <c r="E403" s="4" t="s">
        <v>12</v>
      </c>
      <c r="F403" s="4"/>
      <c r="G403" s="9"/>
      <c r="H403" s="4"/>
      <c r="I403" s="9"/>
      <c r="J403" s="3">
        <v>14829</v>
      </c>
      <c r="K403" s="3">
        <v>50710</v>
      </c>
      <c r="L403" s="17" t="str" cm="1">
        <f t="array" ref="L403">_xlfn.IFS(MID(K403,2,2)="01", "서울", MID(K403,2,2)="02","경기",MID(K403,2,2)="03","충청",MID(K403,2,2)="04","충청",MID(K403,2,2)="05","전라",MID(K403,2,2)="06","전라",MID(K403,2,2)="07","경북",MID(K403,2,2)="08","경남",MID(K403,2,2)="09","강원",MID(K403,2,2)="10","제주",TRUE,"국외")</f>
        <v>경북</v>
      </c>
    </row>
    <row r="404" spans="1:12" ht="17.25" thickBot="1">
      <c r="A404" s="3" t="s">
        <v>531</v>
      </c>
      <c r="B404" s="3" t="s">
        <v>140</v>
      </c>
      <c r="C404" s="3"/>
      <c r="D404" s="4" t="s">
        <v>254</v>
      </c>
      <c r="E404" s="4"/>
      <c r="F404" s="4"/>
      <c r="G404" s="9"/>
      <c r="H404" s="4"/>
      <c r="I404" s="9"/>
      <c r="J404" s="3">
        <v>14857</v>
      </c>
      <c r="K404" s="3">
        <v>50801</v>
      </c>
      <c r="L404" s="17" t="str" cm="1">
        <f t="array" ref="L404">_xlfn.IFS(MID(K404,2,2)="01", "서울", MID(K404,2,2)="02","경기",MID(K404,2,2)="03","충청",MID(K404,2,2)="04","충청",MID(K404,2,2)="05","전라",MID(K404,2,2)="06","전라",MID(K404,2,2)="07","경북",MID(K404,2,2)="08","경남",MID(K404,2,2)="09","강원",MID(K404,2,2)="10","제주",TRUE,"국외")</f>
        <v>경남</v>
      </c>
    </row>
    <row r="405" spans="1:12" ht="17.25" thickBot="1">
      <c r="A405" s="3" t="s">
        <v>246</v>
      </c>
      <c r="B405" s="3" t="s">
        <v>93</v>
      </c>
      <c r="C405" s="3"/>
      <c r="D405" s="4" t="s">
        <v>254</v>
      </c>
      <c r="E405" s="4" t="s">
        <v>26</v>
      </c>
      <c r="F405" s="4">
        <v>2021</v>
      </c>
      <c r="G405" s="8">
        <v>0</v>
      </c>
      <c r="H405" s="4" t="s">
        <v>26</v>
      </c>
      <c r="I405" s="8">
        <v>0</v>
      </c>
      <c r="J405" s="3">
        <v>14838</v>
      </c>
      <c r="K405" s="3">
        <v>50805</v>
      </c>
      <c r="L405" s="17" t="str" cm="1">
        <f t="array" ref="L405">_xlfn.IFS(MID(K405,2,2)="01", "서울", MID(K405,2,2)="02","경기",MID(K405,2,2)="03","충청",MID(K405,2,2)="04","충청",MID(K405,2,2)="05","전라",MID(K405,2,2)="06","전라",MID(K405,2,2)="07","경북",MID(K405,2,2)="08","경남",MID(K405,2,2)="09","강원",MID(K405,2,2)="10","제주",TRUE,"국외")</f>
        <v>경남</v>
      </c>
    </row>
    <row r="406" spans="1:12" ht="17.25" thickBot="1">
      <c r="A406" s="3" t="s">
        <v>532</v>
      </c>
      <c r="B406" s="3" t="s">
        <v>1</v>
      </c>
      <c r="C406" s="3"/>
      <c r="D406" s="4" t="s">
        <v>254</v>
      </c>
      <c r="E406" s="4" t="s">
        <v>9</v>
      </c>
      <c r="F406" s="4"/>
      <c r="G406" s="9"/>
      <c r="H406" s="4"/>
      <c r="I406" s="9"/>
      <c r="J406" s="3">
        <v>14818</v>
      </c>
      <c r="K406" s="3">
        <v>50107</v>
      </c>
      <c r="L406" s="17" t="str" cm="1">
        <f t="array" ref="L406">_xlfn.IFS(MID(K406,2,2)="01", "서울", MID(K406,2,2)="02","경기",MID(K406,2,2)="03","충청",MID(K406,2,2)="04","충청",MID(K406,2,2)="05","전라",MID(K406,2,2)="06","전라",MID(K406,2,2)="07","경북",MID(K406,2,2)="08","경남",MID(K406,2,2)="09","강원",MID(K406,2,2)="10","제주",TRUE,"국외")</f>
        <v>서울</v>
      </c>
    </row>
    <row r="407" spans="1:12" ht="17.25" thickBot="1">
      <c r="A407" s="3" t="s">
        <v>533</v>
      </c>
      <c r="B407" s="3" t="s">
        <v>438</v>
      </c>
      <c r="C407" s="3" t="s">
        <v>161</v>
      </c>
      <c r="D407" s="4" t="s">
        <v>254</v>
      </c>
      <c r="E407" s="4" t="s">
        <v>23</v>
      </c>
      <c r="F407" s="4"/>
      <c r="G407" s="9"/>
      <c r="H407" s="4"/>
      <c r="I407" s="9"/>
      <c r="J407" s="3">
        <v>14866</v>
      </c>
      <c r="K407" s="3">
        <v>50220</v>
      </c>
      <c r="L407" s="17" t="str" cm="1">
        <f t="array" ref="L407">_xlfn.IFS(MID(K407,2,2)="01", "서울", MID(K407,2,2)="02","경기",MID(K407,2,2)="03","충청",MID(K407,2,2)="04","충청",MID(K407,2,2)="05","전라",MID(K407,2,2)="06","전라",MID(K407,2,2)="07","경북",MID(K407,2,2)="08","경남",MID(K407,2,2)="09","강원",MID(K407,2,2)="10","제주",TRUE,"국외")</f>
        <v>경기</v>
      </c>
    </row>
    <row r="408" spans="1:12" ht="17.25" thickBot="1">
      <c r="A408" s="3" t="s">
        <v>534</v>
      </c>
      <c r="B408" s="3" t="s">
        <v>50</v>
      </c>
      <c r="C408" s="3" t="s">
        <v>85</v>
      </c>
      <c r="D408" s="4" t="s">
        <v>254</v>
      </c>
      <c r="E408" s="4" t="s">
        <v>18</v>
      </c>
      <c r="F408" s="4"/>
      <c r="G408" s="9"/>
      <c r="H408" s="4"/>
      <c r="I408" s="9"/>
      <c r="J408" s="3">
        <v>14850</v>
      </c>
      <c r="K408" s="3">
        <v>50301</v>
      </c>
      <c r="L408" s="17" t="str" cm="1">
        <f t="array" ref="L408">_xlfn.IFS(MID(K408,2,2)="01", "서울", MID(K408,2,2)="02","경기",MID(K408,2,2)="03","충청",MID(K408,2,2)="04","충청",MID(K408,2,2)="05","전라",MID(K408,2,2)="06","전라",MID(K408,2,2)="07","경북",MID(K408,2,2)="08","경남",MID(K408,2,2)="09","강원",MID(K408,2,2)="10","제주",TRUE,"국외")</f>
        <v>충청</v>
      </c>
    </row>
    <row r="409" spans="1:12" ht="17.25" thickBot="1">
      <c r="A409" s="3" t="s">
        <v>535</v>
      </c>
      <c r="B409" s="3" t="s">
        <v>78</v>
      </c>
      <c r="C409" s="3"/>
      <c r="D409" s="4" t="s">
        <v>254</v>
      </c>
      <c r="E409" s="4" t="s">
        <v>3</v>
      </c>
      <c r="F409" s="4">
        <v>2022</v>
      </c>
      <c r="G409" s="9"/>
      <c r="H409" s="4" t="s">
        <v>3</v>
      </c>
      <c r="I409" s="8">
        <v>0.4</v>
      </c>
      <c r="J409" s="3">
        <v>14871</v>
      </c>
      <c r="K409" s="3">
        <v>50401</v>
      </c>
      <c r="L409" s="17" t="str" cm="1">
        <f t="array" ref="L409">_xlfn.IFS(MID(K409,2,2)="01", "서울", MID(K409,2,2)="02","경기",MID(K409,2,2)="03","충청",MID(K409,2,2)="04","충청",MID(K409,2,2)="05","전라",MID(K409,2,2)="06","전라",MID(K409,2,2)="07","경북",MID(K409,2,2)="08","경남",MID(K409,2,2)="09","강원",MID(K409,2,2)="10","제주",TRUE,"국외")</f>
        <v>충청</v>
      </c>
    </row>
    <row r="410" spans="1:12" ht="17.25" thickBot="1">
      <c r="A410" s="3" t="s">
        <v>536</v>
      </c>
      <c r="B410" s="3" t="s">
        <v>128</v>
      </c>
      <c r="C410" s="3"/>
      <c r="D410" s="4" t="s">
        <v>254</v>
      </c>
      <c r="E410" s="4" t="s">
        <v>6</v>
      </c>
      <c r="F410" s="4">
        <v>2022</v>
      </c>
      <c r="G410" s="9"/>
      <c r="H410" s="4" t="s">
        <v>6</v>
      </c>
      <c r="I410" s="8">
        <v>0.1</v>
      </c>
      <c r="J410" s="3">
        <v>14822</v>
      </c>
      <c r="K410" s="3">
        <v>50901</v>
      </c>
      <c r="L410" s="17" t="str" cm="1">
        <f t="array" ref="L410">_xlfn.IFS(MID(K410,2,2)="01", "서울", MID(K410,2,2)="02","경기",MID(K410,2,2)="03","충청",MID(K410,2,2)="04","충청",MID(K410,2,2)="05","전라",MID(K410,2,2)="06","전라",MID(K410,2,2)="07","경북",MID(K410,2,2)="08","경남",MID(K410,2,2)="09","강원",MID(K410,2,2)="10","제주",TRUE,"국외")</f>
        <v>강원</v>
      </c>
    </row>
    <row r="411" spans="1:12" ht="17.25" thickBot="1">
      <c r="A411" s="3" t="s">
        <v>537</v>
      </c>
      <c r="B411" s="3" t="s">
        <v>74</v>
      </c>
      <c r="C411" s="3" t="s">
        <v>538</v>
      </c>
      <c r="D411" s="4" t="s">
        <v>254</v>
      </c>
      <c r="E411" s="4" t="s">
        <v>28</v>
      </c>
      <c r="F411" s="4"/>
      <c r="G411" s="9"/>
      <c r="H411" s="4"/>
      <c r="I411" s="9"/>
      <c r="J411" s="3">
        <v>14882</v>
      </c>
      <c r="K411" s="3">
        <v>50102</v>
      </c>
      <c r="L411" s="17" t="str" cm="1">
        <f t="array" ref="L411">_xlfn.IFS(MID(K411,2,2)="01", "서울", MID(K411,2,2)="02","경기",MID(K411,2,2)="03","충청",MID(K411,2,2)="04","충청",MID(K411,2,2)="05","전라",MID(K411,2,2)="06","전라",MID(K411,2,2)="07","경북",MID(K411,2,2)="08","경남",MID(K411,2,2)="09","강원",MID(K411,2,2)="10","제주",TRUE,"국외")</f>
        <v>서울</v>
      </c>
    </row>
    <row r="412" spans="1:12" ht="17.25" thickBot="1">
      <c r="A412" s="3" t="s">
        <v>539</v>
      </c>
      <c r="B412" s="3" t="s">
        <v>101</v>
      </c>
      <c r="C412" s="3"/>
      <c r="D412" s="4" t="s">
        <v>254</v>
      </c>
      <c r="E412" s="4" t="s">
        <v>20</v>
      </c>
      <c r="F412" s="4">
        <v>2022</v>
      </c>
      <c r="G412" s="9"/>
      <c r="H412" s="4" t="s">
        <v>20</v>
      </c>
      <c r="I412" s="8">
        <v>0</v>
      </c>
      <c r="J412" s="3">
        <v>14846</v>
      </c>
      <c r="K412" s="3">
        <v>50207</v>
      </c>
      <c r="L412" s="17" t="str" cm="1">
        <f t="array" ref="L412">_xlfn.IFS(MID(K412,2,2)="01", "서울", MID(K412,2,2)="02","경기",MID(K412,2,2)="03","충청",MID(K412,2,2)="04","충청",MID(K412,2,2)="05","전라",MID(K412,2,2)="06","전라",MID(K412,2,2)="07","경북",MID(K412,2,2)="08","경남",MID(K412,2,2)="09","강원",MID(K412,2,2)="10","제주",TRUE,"국외")</f>
        <v>경기</v>
      </c>
    </row>
    <row r="413" spans="1:12" ht="17.25" thickBot="1">
      <c r="A413" s="3" t="s">
        <v>540</v>
      </c>
      <c r="B413" s="3" t="s">
        <v>1</v>
      </c>
      <c r="C413" s="3"/>
      <c r="D413" s="4" t="s">
        <v>254</v>
      </c>
      <c r="E413" s="4" t="s">
        <v>12</v>
      </c>
      <c r="F413" s="4"/>
      <c r="G413" s="9"/>
      <c r="H413" s="4"/>
      <c r="I413" s="9"/>
      <c r="J413" s="3">
        <v>14830</v>
      </c>
      <c r="K413" s="3">
        <v>50107</v>
      </c>
      <c r="L413" s="17" t="str" cm="1">
        <f t="array" ref="L413">_xlfn.IFS(MID(K413,2,2)="01", "서울", MID(K413,2,2)="02","경기",MID(K413,2,2)="03","충청",MID(K413,2,2)="04","충청",MID(K413,2,2)="05","전라",MID(K413,2,2)="06","전라",MID(K413,2,2)="07","경북",MID(K413,2,2)="08","경남",MID(K413,2,2)="09","강원",MID(K413,2,2)="10","제주",TRUE,"국외")</f>
        <v>서울</v>
      </c>
    </row>
    <row r="414" spans="1:12" ht="17.25" thickBot="1">
      <c r="A414" s="3" t="s">
        <v>541</v>
      </c>
      <c r="B414" s="3" t="s">
        <v>294</v>
      </c>
      <c r="C414" s="3"/>
      <c r="D414" s="4" t="s">
        <v>254</v>
      </c>
      <c r="E414" s="4"/>
      <c r="F414" s="4"/>
      <c r="G414" s="9"/>
      <c r="H414" s="4"/>
      <c r="I414" s="9"/>
      <c r="J414" s="3">
        <v>14859</v>
      </c>
      <c r="K414" s="3">
        <v>50504</v>
      </c>
      <c r="L414" s="17" t="str" cm="1">
        <f t="array" ref="L414">_xlfn.IFS(MID(K414,2,2)="01", "서울", MID(K414,2,2)="02","경기",MID(K414,2,2)="03","충청",MID(K414,2,2)="04","충청",MID(K414,2,2)="05","전라",MID(K414,2,2)="06","전라",MID(K414,2,2)="07","경북",MID(K414,2,2)="08","경남",MID(K414,2,2)="09","강원",MID(K414,2,2)="10","제주",TRUE,"국외")</f>
        <v>전라</v>
      </c>
    </row>
    <row r="415" spans="1:12" ht="17.25" thickBot="1">
      <c r="A415" s="3" t="s">
        <v>256</v>
      </c>
      <c r="B415" s="3" t="s">
        <v>124</v>
      </c>
      <c r="C415" s="3" t="s">
        <v>136</v>
      </c>
      <c r="D415" s="4" t="s">
        <v>254</v>
      </c>
      <c r="E415" s="4" t="s">
        <v>26</v>
      </c>
      <c r="F415" s="4"/>
      <c r="G415" s="9"/>
      <c r="H415" s="4"/>
      <c r="I415" s="9"/>
      <c r="J415" s="3">
        <v>14833</v>
      </c>
      <c r="K415" s="3">
        <v>50219</v>
      </c>
      <c r="L415" s="17" t="str" cm="1">
        <f t="array" ref="L415">_xlfn.IFS(MID(K415,2,2)="01", "서울", MID(K415,2,2)="02","경기",MID(K415,2,2)="03","충청",MID(K415,2,2)="04","충청",MID(K415,2,2)="05","전라",MID(K415,2,2)="06","전라",MID(K415,2,2)="07","경북",MID(K415,2,2)="08","경남",MID(K415,2,2)="09","강원",MID(K415,2,2)="10","제주",TRUE,"국외")</f>
        <v>경기</v>
      </c>
    </row>
    <row r="416" spans="1:12" ht="17.25" thickBot="1">
      <c r="A416" s="3" t="s">
        <v>542</v>
      </c>
      <c r="B416" s="3" t="s">
        <v>153</v>
      </c>
      <c r="C416" s="3"/>
      <c r="D416" s="4" t="s">
        <v>254</v>
      </c>
      <c r="E416" s="4" t="s">
        <v>9</v>
      </c>
      <c r="F416" s="4"/>
      <c r="G416" s="9"/>
      <c r="H416" s="4"/>
      <c r="I416" s="9"/>
      <c r="J416" s="3">
        <v>14815</v>
      </c>
      <c r="K416" s="3">
        <v>50210</v>
      </c>
      <c r="L416" s="17" t="str" cm="1">
        <f t="array" ref="L416">_xlfn.IFS(MID(K416,2,2)="01", "서울", MID(K416,2,2)="02","경기",MID(K416,2,2)="03","충청",MID(K416,2,2)="04","충청",MID(K416,2,2)="05","전라",MID(K416,2,2)="06","전라",MID(K416,2,2)="07","경북",MID(K416,2,2)="08","경남",MID(K416,2,2)="09","강원",MID(K416,2,2)="10","제주",TRUE,"국외")</f>
        <v>경기</v>
      </c>
    </row>
    <row r="417" spans="1:12" ht="17.25" thickBot="1">
      <c r="A417" s="3" t="s">
        <v>543</v>
      </c>
      <c r="B417" s="3" t="s">
        <v>140</v>
      </c>
      <c r="C417" s="3"/>
      <c r="D417" s="4" t="s">
        <v>254</v>
      </c>
      <c r="E417" s="4" t="s">
        <v>23</v>
      </c>
      <c r="F417" s="4">
        <v>2021</v>
      </c>
      <c r="G417" s="8">
        <v>-0.1</v>
      </c>
      <c r="H417" s="4" t="s">
        <v>23</v>
      </c>
      <c r="I417" s="8">
        <v>3.7</v>
      </c>
      <c r="J417" s="3">
        <v>14867</v>
      </c>
      <c r="K417" s="3">
        <v>50801</v>
      </c>
      <c r="L417" s="17" t="str" cm="1">
        <f t="array" ref="L417">_xlfn.IFS(MID(K417,2,2)="01", "서울", MID(K417,2,2)="02","경기",MID(K417,2,2)="03","충청",MID(K417,2,2)="04","충청",MID(K417,2,2)="05","전라",MID(K417,2,2)="06","전라",MID(K417,2,2)="07","경북",MID(K417,2,2)="08","경남",MID(K417,2,2)="09","강원",MID(K417,2,2)="10","제주",TRUE,"국외")</f>
        <v>경남</v>
      </c>
    </row>
    <row r="418" spans="1:12" ht="17.25" thickBot="1">
      <c r="A418" s="3" t="s">
        <v>544</v>
      </c>
      <c r="B418" s="3" t="s">
        <v>96</v>
      </c>
      <c r="C418" s="3" t="s">
        <v>45</v>
      </c>
      <c r="D418" s="4" t="s">
        <v>254</v>
      </c>
      <c r="E418" s="4" t="s">
        <v>18</v>
      </c>
      <c r="F418" s="4">
        <v>2022</v>
      </c>
      <c r="G418" s="9"/>
      <c r="H418" s="4" t="s">
        <v>18</v>
      </c>
      <c r="I418" s="8">
        <v>0.1</v>
      </c>
      <c r="J418" s="3">
        <v>14854</v>
      </c>
      <c r="K418" s="3">
        <v>50601</v>
      </c>
      <c r="L418" s="17" t="str" cm="1">
        <f t="array" ref="L418">_xlfn.IFS(MID(K418,2,2)="01", "서울", MID(K418,2,2)="02","경기",MID(K418,2,2)="03","충청",MID(K418,2,2)="04","충청",MID(K418,2,2)="05","전라",MID(K418,2,2)="06","전라",MID(K418,2,2)="07","경북",MID(K418,2,2)="08","경남",MID(K418,2,2)="09","강원",MID(K418,2,2)="10","제주",TRUE,"국외")</f>
        <v>전라</v>
      </c>
    </row>
    <row r="419" spans="1:12" ht="17.25" thickBot="1">
      <c r="A419" s="3" t="s">
        <v>545</v>
      </c>
      <c r="B419" s="3" t="s">
        <v>58</v>
      </c>
      <c r="C419" s="3"/>
      <c r="D419" s="4" t="s">
        <v>254</v>
      </c>
      <c r="E419" s="4" t="s">
        <v>3</v>
      </c>
      <c r="F419" s="4"/>
      <c r="G419" s="9"/>
      <c r="H419" s="4"/>
      <c r="I419" s="9"/>
      <c r="J419" s="3">
        <v>14876</v>
      </c>
      <c r="K419" s="3">
        <v>50119</v>
      </c>
      <c r="L419" s="17" t="str" cm="1">
        <f t="array" ref="L419">_xlfn.IFS(MID(K419,2,2)="01", "서울", MID(K419,2,2)="02","경기",MID(K419,2,2)="03","충청",MID(K419,2,2)="04","충청",MID(K419,2,2)="05","전라",MID(K419,2,2)="06","전라",MID(K419,2,2)="07","경북",MID(K419,2,2)="08","경남",MID(K419,2,2)="09","강원",MID(K419,2,2)="10","제주",TRUE,"국외")</f>
        <v>서울</v>
      </c>
    </row>
    <row r="420" spans="1:12" ht="17.25" thickBot="1">
      <c r="A420" s="3" t="s">
        <v>546</v>
      </c>
      <c r="B420" s="3" t="s">
        <v>96</v>
      </c>
      <c r="C420" s="3"/>
      <c r="D420" s="4" t="s">
        <v>254</v>
      </c>
      <c r="E420" s="4" t="s">
        <v>6</v>
      </c>
      <c r="F420" s="4"/>
      <c r="G420" s="9"/>
      <c r="H420" s="4"/>
      <c r="I420" s="9"/>
      <c r="J420" s="3">
        <v>14821</v>
      </c>
      <c r="K420" s="3">
        <v>50601</v>
      </c>
      <c r="L420" s="17" t="str" cm="1">
        <f t="array" ref="L420">_xlfn.IFS(MID(K420,2,2)="01", "서울", MID(K420,2,2)="02","경기",MID(K420,2,2)="03","충청",MID(K420,2,2)="04","충청",MID(K420,2,2)="05","전라",MID(K420,2,2)="06","전라",MID(K420,2,2)="07","경북",MID(K420,2,2)="08","경남",MID(K420,2,2)="09","강원",MID(K420,2,2)="10","제주",TRUE,"국외")</f>
        <v>전라</v>
      </c>
    </row>
    <row r="421" spans="1:12" ht="17.25" thickBot="1">
      <c r="A421" s="3" t="s">
        <v>547</v>
      </c>
      <c r="B421" s="3" t="s">
        <v>105</v>
      </c>
      <c r="C421" s="3"/>
      <c r="D421" s="4" t="s">
        <v>254</v>
      </c>
      <c r="E421" s="4" t="s">
        <v>28</v>
      </c>
      <c r="F421" s="4"/>
      <c r="G421" s="9"/>
      <c r="H421" s="4"/>
      <c r="I421" s="9"/>
      <c r="J421" s="3">
        <v>14884</v>
      </c>
      <c r="K421" s="3">
        <v>50212</v>
      </c>
      <c r="L421" s="17" t="str" cm="1">
        <f t="array" ref="L421">_xlfn.IFS(MID(K421,2,2)="01", "서울", MID(K421,2,2)="02","경기",MID(K421,2,2)="03","충청",MID(K421,2,2)="04","충청",MID(K421,2,2)="05","전라",MID(K421,2,2)="06","전라",MID(K421,2,2)="07","경북",MID(K421,2,2)="08","경남",MID(K421,2,2)="09","강원",MID(K421,2,2)="10","제주",TRUE,"국외")</f>
        <v>경기</v>
      </c>
    </row>
    <row r="422" spans="1:12" ht="17.25" thickBot="1">
      <c r="A422" s="3" t="s">
        <v>548</v>
      </c>
      <c r="B422" s="3" t="s">
        <v>332</v>
      </c>
      <c r="C422" s="3" t="s">
        <v>549</v>
      </c>
      <c r="D422" s="4" t="s">
        <v>254</v>
      </c>
      <c r="E422" s="4" t="s">
        <v>20</v>
      </c>
      <c r="F422" s="4"/>
      <c r="G422" s="9"/>
      <c r="H422" s="4"/>
      <c r="I422" s="9"/>
      <c r="J422" s="3">
        <v>14845</v>
      </c>
      <c r="K422" s="3">
        <v>50705</v>
      </c>
      <c r="L422" s="17" t="str" cm="1">
        <f t="array" ref="L422">_xlfn.IFS(MID(K422,2,2)="01", "서울", MID(K422,2,2)="02","경기",MID(K422,2,2)="03","충청",MID(K422,2,2)="04","충청",MID(K422,2,2)="05","전라",MID(K422,2,2)="06","전라",MID(K422,2,2)="07","경북",MID(K422,2,2)="08","경남",MID(K422,2,2)="09","강원",MID(K422,2,2)="10","제주",TRUE,"국외")</f>
        <v>경북</v>
      </c>
    </row>
    <row r="423" spans="1:12" ht="17.25" thickBot="1">
      <c r="A423" s="3" t="s">
        <v>550</v>
      </c>
      <c r="B423" s="3" t="s">
        <v>158</v>
      </c>
      <c r="C423" s="3"/>
      <c r="D423" s="4" t="s">
        <v>254</v>
      </c>
      <c r="E423" s="4" t="s">
        <v>12</v>
      </c>
      <c r="F423" s="4"/>
      <c r="G423" s="9"/>
      <c r="H423" s="4"/>
      <c r="I423" s="9"/>
      <c r="J423" s="3">
        <v>14831</v>
      </c>
      <c r="K423" s="3">
        <v>50501</v>
      </c>
      <c r="L423" s="17" t="str" cm="1">
        <f t="array" ref="L423">_xlfn.IFS(MID(K423,2,2)="01", "서울", MID(K423,2,2)="02","경기",MID(K423,2,2)="03","충청",MID(K423,2,2)="04","충청",MID(K423,2,2)="05","전라",MID(K423,2,2)="06","전라",MID(K423,2,2)="07","경북",MID(K423,2,2)="08","경남",MID(K423,2,2)="09","강원",MID(K423,2,2)="10","제주",TRUE,"국외")</f>
        <v>전라</v>
      </c>
    </row>
    <row r="424" spans="1:12" ht="17.25" thickBot="1">
      <c r="A424" s="3" t="s">
        <v>551</v>
      </c>
      <c r="B424" s="3" t="s">
        <v>22</v>
      </c>
      <c r="C424" s="3" t="s">
        <v>174</v>
      </c>
      <c r="D424" s="4" t="s">
        <v>254</v>
      </c>
      <c r="E424" s="4"/>
      <c r="F424" s="4"/>
      <c r="G424" s="9"/>
      <c r="H424" s="4"/>
      <c r="I424" s="9"/>
      <c r="J424" s="3">
        <v>14860</v>
      </c>
      <c r="K424" s="3">
        <v>50209</v>
      </c>
      <c r="L424" s="17" t="str" cm="1">
        <f t="array" ref="L424">_xlfn.IFS(MID(K424,2,2)="01", "서울", MID(K424,2,2)="02","경기",MID(K424,2,2)="03","충청",MID(K424,2,2)="04","충청",MID(K424,2,2)="05","전라",MID(K424,2,2)="06","전라",MID(K424,2,2)="07","경북",MID(K424,2,2)="08","경남",MID(K424,2,2)="09","강원",MID(K424,2,2)="10","제주",TRUE,"국외")</f>
        <v>경기</v>
      </c>
    </row>
    <row r="425" spans="1:12" ht="17.25" thickBot="1">
      <c r="A425" s="3" t="s">
        <v>552</v>
      </c>
      <c r="B425" s="3" t="s">
        <v>553</v>
      </c>
      <c r="C425" s="3"/>
      <c r="D425" s="4" t="s">
        <v>254</v>
      </c>
      <c r="E425" s="4" t="s">
        <v>26</v>
      </c>
      <c r="F425" s="4"/>
      <c r="G425" s="9"/>
      <c r="H425" s="4"/>
      <c r="I425" s="9"/>
      <c r="J425" s="3">
        <v>14840</v>
      </c>
      <c r="K425" s="3">
        <v>50709</v>
      </c>
      <c r="L425" s="17" t="str" cm="1">
        <f t="array" ref="L425">_xlfn.IFS(MID(K425,2,2)="01", "서울", MID(K425,2,2)="02","경기",MID(K425,2,2)="03","충청",MID(K425,2,2)="04","충청",MID(K425,2,2)="05","전라",MID(K425,2,2)="06","전라",MID(K425,2,2)="07","경북",MID(K425,2,2)="08","경남",MID(K425,2,2)="09","강원",MID(K425,2,2)="10","제주",TRUE,"국외")</f>
        <v>경북</v>
      </c>
    </row>
    <row r="426" spans="1:12" ht="17.25" thickBot="1">
      <c r="A426" s="3" t="s">
        <v>554</v>
      </c>
      <c r="B426" s="3" t="s">
        <v>335</v>
      </c>
      <c r="C426" s="3"/>
      <c r="D426" s="4" t="s">
        <v>254</v>
      </c>
      <c r="E426" s="4" t="s">
        <v>9</v>
      </c>
      <c r="F426" s="4"/>
      <c r="G426" s="9"/>
      <c r="H426" s="4"/>
      <c r="I426" s="9"/>
      <c r="J426" s="3">
        <v>14814</v>
      </c>
      <c r="K426" s="3">
        <v>50804</v>
      </c>
      <c r="L426" s="17" t="str" cm="1">
        <f t="array" ref="L426">_xlfn.IFS(MID(K426,2,2)="01", "서울", MID(K426,2,2)="02","경기",MID(K426,2,2)="03","충청",MID(K426,2,2)="04","충청",MID(K426,2,2)="05","전라",MID(K426,2,2)="06","전라",MID(K426,2,2)="07","경북",MID(K426,2,2)="08","경남",MID(K426,2,2)="09","강원",MID(K426,2,2)="10","제주",TRUE,"국외")</f>
        <v>경남</v>
      </c>
    </row>
    <row r="427" spans="1:12" ht="17.25" thickBot="1">
      <c r="A427" s="3" t="s">
        <v>555</v>
      </c>
      <c r="B427" s="3" t="s">
        <v>63</v>
      </c>
      <c r="C427" s="3"/>
      <c r="D427" s="4" t="s">
        <v>254</v>
      </c>
      <c r="E427" s="4" t="s">
        <v>23</v>
      </c>
      <c r="F427" s="4"/>
      <c r="G427" s="9"/>
      <c r="H427" s="4"/>
      <c r="I427" s="9"/>
      <c r="J427" s="3">
        <v>14868</v>
      </c>
      <c r="K427" s="3">
        <v>50807</v>
      </c>
      <c r="L427" s="17" t="str" cm="1">
        <f t="array" ref="L427">_xlfn.IFS(MID(K427,2,2)="01", "서울", MID(K427,2,2)="02","경기",MID(K427,2,2)="03","충청",MID(K427,2,2)="04","충청",MID(K427,2,2)="05","전라",MID(K427,2,2)="06","전라",MID(K427,2,2)="07","경북",MID(K427,2,2)="08","경남",MID(K427,2,2)="09","강원",MID(K427,2,2)="10","제주",TRUE,"국외")</f>
        <v>경남</v>
      </c>
    </row>
    <row r="428" spans="1:12" ht="17.25" thickBot="1">
      <c r="A428" s="3" t="s">
        <v>556</v>
      </c>
      <c r="B428" s="3" t="s">
        <v>1</v>
      </c>
      <c r="C428" s="3"/>
      <c r="D428" s="4" t="s">
        <v>254</v>
      </c>
      <c r="E428" s="4" t="s">
        <v>3</v>
      </c>
      <c r="F428" s="4"/>
      <c r="G428" s="9"/>
      <c r="H428" s="4"/>
      <c r="I428" s="9"/>
      <c r="J428" s="3">
        <v>14874</v>
      </c>
      <c r="K428" s="3">
        <v>50107</v>
      </c>
      <c r="L428" s="17" t="str" cm="1">
        <f t="array" ref="L428">_xlfn.IFS(MID(K428,2,2)="01", "서울", MID(K428,2,2)="02","경기",MID(K428,2,2)="03","충청",MID(K428,2,2)="04","충청",MID(K428,2,2)="05","전라",MID(K428,2,2)="06","전라",MID(K428,2,2)="07","경북",MID(K428,2,2)="08","경남",MID(K428,2,2)="09","강원",MID(K428,2,2)="10","제주",TRUE,"국외")</f>
        <v>서울</v>
      </c>
    </row>
    <row r="429" spans="1:12" ht="17.25" thickBot="1">
      <c r="A429" s="3" t="s">
        <v>557</v>
      </c>
      <c r="B429" s="3"/>
      <c r="C429" s="3" t="s">
        <v>558</v>
      </c>
      <c r="D429" s="4" t="s">
        <v>181</v>
      </c>
      <c r="E429" s="4" t="s">
        <v>6</v>
      </c>
      <c r="F429" s="4">
        <v>2021</v>
      </c>
      <c r="G429" s="8">
        <v>3.5</v>
      </c>
      <c r="H429" s="4" t="s">
        <v>6</v>
      </c>
      <c r="I429" s="8">
        <v>3.5</v>
      </c>
      <c r="J429" s="3">
        <v>14755</v>
      </c>
      <c r="K429" s="3"/>
      <c r="L429" s="17" t="str" cm="1">
        <f t="array" ref="L429">_xlfn.IFS(MID(K429,2,2)="01", "서울", MID(K429,2,2)="02","경기",MID(K429,2,2)="03","충청",MID(K429,2,2)="04","충청",MID(K429,2,2)="05","전라",MID(K429,2,2)="06","전라",MID(K429,2,2)="07","경북",MID(K429,2,2)="08","경남",MID(K429,2,2)="09","강원",MID(K429,2,2)="10","제주",TRUE,"국외")</f>
        <v>국외</v>
      </c>
    </row>
    <row r="430" spans="1:12" ht="17.25" thickBot="1">
      <c r="A430" s="3" t="s">
        <v>559</v>
      </c>
      <c r="B430" s="3"/>
      <c r="C430" s="3"/>
      <c r="D430" s="4" t="s">
        <v>181</v>
      </c>
      <c r="E430" s="4" t="s">
        <v>6</v>
      </c>
      <c r="F430" s="4">
        <v>2021</v>
      </c>
      <c r="G430" s="8">
        <v>0.5</v>
      </c>
      <c r="H430" s="4" t="s">
        <v>6</v>
      </c>
      <c r="I430" s="8">
        <v>0.5</v>
      </c>
      <c r="J430" s="3">
        <v>14994</v>
      </c>
      <c r="K430" s="3"/>
      <c r="L430" s="17" t="str" cm="1">
        <f t="array" ref="L430">_xlfn.IFS(MID(K430,2,2)="01", "서울", MID(K430,2,2)="02","경기",MID(K430,2,2)="03","충청",MID(K430,2,2)="04","충청",MID(K430,2,2)="05","전라",MID(K430,2,2)="06","전라",MID(K430,2,2)="07","경북",MID(K430,2,2)="08","경남",MID(K430,2,2)="09","강원",MID(K430,2,2)="10","제주",TRUE,"국외")</f>
        <v>국외</v>
      </c>
    </row>
    <row r="431" spans="1:12" ht="17.25" thickBot="1">
      <c r="A431" s="3" t="s">
        <v>560</v>
      </c>
      <c r="B431" s="3" t="s">
        <v>561</v>
      </c>
      <c r="C431" s="3"/>
      <c r="D431" s="4" t="s">
        <v>181</v>
      </c>
      <c r="E431" s="4" t="s">
        <v>28</v>
      </c>
      <c r="F431" s="4">
        <v>2021</v>
      </c>
      <c r="G431" s="8">
        <v>0</v>
      </c>
      <c r="H431" s="4" t="s">
        <v>28</v>
      </c>
      <c r="I431" s="8">
        <v>0</v>
      </c>
      <c r="J431" s="3">
        <v>14752</v>
      </c>
      <c r="K431" s="3">
        <v>51110</v>
      </c>
      <c r="L431" s="17" t="str" cm="1">
        <f t="array" ref="L431">_xlfn.IFS(MID(K431,2,2)="01", "서울", MID(K431,2,2)="02","경기",MID(K431,2,2)="03","충청",MID(K431,2,2)="04","충청",MID(K431,2,2)="05","전라",MID(K431,2,2)="06","전라",MID(K431,2,2)="07","경북",MID(K431,2,2)="08","경남",MID(K431,2,2)="09","강원",MID(K431,2,2)="10","제주",TRUE,"국외")</f>
        <v>국외</v>
      </c>
    </row>
    <row r="432" spans="1:12" ht="17.25" thickBot="1">
      <c r="A432" s="3" t="s">
        <v>562</v>
      </c>
      <c r="B432" s="3"/>
      <c r="C432" s="3"/>
      <c r="D432" s="4" t="s">
        <v>181</v>
      </c>
      <c r="E432" s="4" t="s">
        <v>20</v>
      </c>
      <c r="F432" s="4">
        <v>2021</v>
      </c>
      <c r="G432" s="8">
        <v>-0.5</v>
      </c>
      <c r="H432" s="4" t="s">
        <v>20</v>
      </c>
      <c r="I432" s="8">
        <v>-0.5</v>
      </c>
      <c r="J432" s="3">
        <v>14988</v>
      </c>
      <c r="K432" s="3"/>
      <c r="L432" s="17" t="str" cm="1">
        <f t="array" ref="L432">_xlfn.IFS(MID(K432,2,2)="01", "서울", MID(K432,2,2)="02","경기",MID(K432,2,2)="03","충청",MID(K432,2,2)="04","충청",MID(K432,2,2)="05","전라",MID(K432,2,2)="06","전라",MID(K432,2,2)="07","경북",MID(K432,2,2)="08","경남",MID(K432,2,2)="09","강원",MID(K432,2,2)="10","제주",TRUE,"국외")</f>
        <v>국외</v>
      </c>
    </row>
    <row r="433" spans="1:12" ht="17.25" thickBot="1">
      <c r="A433" s="3" t="s">
        <v>409</v>
      </c>
      <c r="B433" s="3"/>
      <c r="C433" s="3" t="s">
        <v>563</v>
      </c>
      <c r="D433" s="4" t="s">
        <v>181</v>
      </c>
      <c r="E433" s="4" t="s">
        <v>20</v>
      </c>
      <c r="F433" s="4">
        <v>2021</v>
      </c>
      <c r="G433" s="8">
        <v>4.5</v>
      </c>
      <c r="H433" s="4" t="s">
        <v>20</v>
      </c>
      <c r="I433" s="8">
        <v>4.5</v>
      </c>
      <c r="J433" s="3">
        <v>14753</v>
      </c>
      <c r="K433" s="3"/>
      <c r="L433" s="17" t="str" cm="1">
        <f t="array" ref="L433">_xlfn.IFS(MID(K433,2,2)="01", "서울", MID(K433,2,2)="02","경기",MID(K433,2,2)="03","충청",MID(K433,2,2)="04","충청",MID(K433,2,2)="05","전라",MID(K433,2,2)="06","전라",MID(K433,2,2)="07","경북",MID(K433,2,2)="08","경남",MID(K433,2,2)="09","강원",MID(K433,2,2)="10","제주",TRUE,"국외")</f>
        <v>국외</v>
      </c>
    </row>
    <row r="434" spans="1:12" ht="17.25" thickBot="1">
      <c r="A434" s="3" t="s">
        <v>564</v>
      </c>
      <c r="B434" s="3" t="s">
        <v>565</v>
      </c>
      <c r="C434" s="3" t="s">
        <v>566</v>
      </c>
      <c r="D434" s="4" t="s">
        <v>181</v>
      </c>
      <c r="E434" s="4" t="s">
        <v>12</v>
      </c>
      <c r="F434" s="4">
        <v>2021</v>
      </c>
      <c r="G434" s="8">
        <v>4.4000000000000004</v>
      </c>
      <c r="H434" s="4" t="s">
        <v>12</v>
      </c>
      <c r="I434" s="8">
        <v>5.5</v>
      </c>
      <c r="J434" s="3">
        <v>14749</v>
      </c>
      <c r="K434" s="3">
        <v>51106</v>
      </c>
      <c r="L434" s="17" t="str" cm="1">
        <f t="array" ref="L434">_xlfn.IFS(MID(K434,2,2)="01", "서울", MID(K434,2,2)="02","경기",MID(K434,2,2)="03","충청",MID(K434,2,2)="04","충청",MID(K434,2,2)="05","전라",MID(K434,2,2)="06","전라",MID(K434,2,2)="07","경북",MID(K434,2,2)="08","경남",MID(K434,2,2)="09","강원",MID(K434,2,2)="10","제주",TRUE,"국외")</f>
        <v>국외</v>
      </c>
    </row>
    <row r="435" spans="1:12" ht="17.25" thickBot="1">
      <c r="A435" s="3" t="s">
        <v>567</v>
      </c>
      <c r="B435" s="3" t="s">
        <v>568</v>
      </c>
      <c r="C435" s="3"/>
      <c r="D435" s="4" t="s">
        <v>181</v>
      </c>
      <c r="E435" s="4" t="s">
        <v>15</v>
      </c>
      <c r="F435" s="4">
        <v>2021</v>
      </c>
      <c r="G435" s="8">
        <v>4.0999999999999996</v>
      </c>
      <c r="H435" s="4" t="s">
        <v>15</v>
      </c>
      <c r="I435" s="8">
        <v>9.6999999999999993</v>
      </c>
      <c r="J435" s="3">
        <v>14759</v>
      </c>
      <c r="K435" s="3">
        <v>51118</v>
      </c>
      <c r="L435" s="17" t="str" cm="1">
        <f t="array" ref="L435">_xlfn.IFS(MID(K435,2,2)="01", "서울", MID(K435,2,2)="02","경기",MID(K435,2,2)="03","충청",MID(K435,2,2)="04","충청",MID(K435,2,2)="05","전라",MID(K435,2,2)="06","전라",MID(K435,2,2)="07","경북",MID(K435,2,2)="08","경남",MID(K435,2,2)="09","강원",MID(K435,2,2)="10","제주",TRUE,"국외")</f>
        <v>국외</v>
      </c>
    </row>
    <row r="436" spans="1:12" ht="17.25" thickBot="1">
      <c r="A436" s="3" t="s">
        <v>569</v>
      </c>
      <c r="B436" s="3" t="s">
        <v>570</v>
      </c>
      <c r="C436" s="3" t="s">
        <v>571</v>
      </c>
      <c r="D436" s="4" t="s">
        <v>181</v>
      </c>
      <c r="E436" s="4" t="s">
        <v>15</v>
      </c>
      <c r="F436" s="4">
        <v>2021</v>
      </c>
      <c r="G436" s="8">
        <v>0.5</v>
      </c>
      <c r="H436" s="4" t="s">
        <v>15</v>
      </c>
      <c r="I436" s="8">
        <v>0.5</v>
      </c>
      <c r="J436" s="3">
        <v>14758</v>
      </c>
      <c r="K436" s="3">
        <v>51117</v>
      </c>
      <c r="L436" s="17" t="str" cm="1">
        <f t="array" ref="L436">_xlfn.IFS(MID(K436,2,2)="01", "서울", MID(K436,2,2)="02","경기",MID(K436,2,2)="03","충청",MID(K436,2,2)="04","충청",MID(K436,2,2)="05","전라",MID(K436,2,2)="06","전라",MID(K436,2,2)="07","경북",MID(K436,2,2)="08","경남",MID(K436,2,2)="09","강원",MID(K436,2,2)="10","제주",TRUE,"국외")</f>
        <v>국외</v>
      </c>
    </row>
    <row r="437" spans="1:12" ht="17.25" thickBot="1">
      <c r="A437" s="3" t="s">
        <v>572</v>
      </c>
      <c r="B437" s="3"/>
      <c r="C437" s="3"/>
      <c r="D437" s="4" t="s">
        <v>181</v>
      </c>
      <c r="E437" s="4" t="s">
        <v>15</v>
      </c>
      <c r="F437" s="4">
        <v>2021</v>
      </c>
      <c r="G437" s="8">
        <v>1</v>
      </c>
      <c r="H437" s="4" t="s">
        <v>15</v>
      </c>
      <c r="I437" s="8">
        <v>1</v>
      </c>
      <c r="J437" s="3">
        <v>14896</v>
      </c>
      <c r="K437" s="3"/>
      <c r="L437" s="17" t="str" cm="1">
        <f t="array" ref="L437">_xlfn.IFS(MID(K437,2,2)="01", "서울", MID(K437,2,2)="02","경기",MID(K437,2,2)="03","충청",MID(K437,2,2)="04","충청",MID(K437,2,2)="05","전라",MID(K437,2,2)="06","전라",MID(K437,2,2)="07","경북",MID(K437,2,2)="08","경남",MID(K437,2,2)="09","강원",MID(K437,2,2)="10","제주",TRUE,"국외")</f>
        <v>국외</v>
      </c>
    </row>
    <row r="438" spans="1:12" ht="17.25" thickBot="1">
      <c r="A438" s="3" t="s">
        <v>573</v>
      </c>
      <c r="B438" s="3" t="s">
        <v>574</v>
      </c>
      <c r="C438" s="3"/>
      <c r="D438" s="4" t="s">
        <v>181</v>
      </c>
      <c r="E438" s="4" t="s">
        <v>26</v>
      </c>
      <c r="F438" s="4">
        <v>2021</v>
      </c>
      <c r="G438" s="8">
        <v>4.5</v>
      </c>
      <c r="H438" s="4" t="s">
        <v>26</v>
      </c>
      <c r="I438" s="8">
        <v>4.5</v>
      </c>
      <c r="J438" s="3">
        <v>14750</v>
      </c>
      <c r="K438" s="3">
        <v>51108</v>
      </c>
      <c r="L438" s="17" t="str" cm="1">
        <f t="array" ref="L438">_xlfn.IFS(MID(K438,2,2)="01", "서울", MID(K438,2,2)="02","경기",MID(K438,2,2)="03","충청",MID(K438,2,2)="04","충청",MID(K438,2,2)="05","전라",MID(K438,2,2)="06","전라",MID(K438,2,2)="07","경북",MID(K438,2,2)="08","경남",MID(K438,2,2)="09","강원",MID(K438,2,2)="10","제주",TRUE,"국외")</f>
        <v>국외</v>
      </c>
    </row>
    <row r="439" spans="1:12" ht="17.25" thickBot="1">
      <c r="A439" s="3" t="s">
        <v>575</v>
      </c>
      <c r="B439" s="3"/>
      <c r="C439" s="3"/>
      <c r="D439" s="4" t="s">
        <v>181</v>
      </c>
      <c r="E439" s="4" t="s">
        <v>26</v>
      </c>
      <c r="F439" s="4">
        <v>2021</v>
      </c>
      <c r="G439" s="8">
        <v>7.5</v>
      </c>
      <c r="H439" s="4" t="s">
        <v>26</v>
      </c>
      <c r="I439" s="8">
        <v>7.4</v>
      </c>
      <c r="J439" s="3">
        <v>14751</v>
      </c>
      <c r="K439" s="3"/>
      <c r="L439" s="17" t="str" cm="1">
        <f t="array" ref="L439">_xlfn.IFS(MID(K439,2,2)="01", "서울", MID(K439,2,2)="02","경기",MID(K439,2,2)="03","충청",MID(K439,2,2)="04","충청",MID(K439,2,2)="05","전라",MID(K439,2,2)="06","전라",MID(K439,2,2)="07","경북",MID(K439,2,2)="08","경남",MID(K439,2,2)="09","강원",MID(K439,2,2)="10","제주",TRUE,"국외")</f>
        <v>국외</v>
      </c>
    </row>
    <row r="440" spans="1:12" ht="17.25" thickBot="1">
      <c r="A440" s="3" t="s">
        <v>576</v>
      </c>
      <c r="B440" s="3"/>
      <c r="C440" s="3"/>
      <c r="D440" s="4" t="s">
        <v>181</v>
      </c>
      <c r="E440" s="4" t="s">
        <v>9</v>
      </c>
      <c r="F440" s="4">
        <v>2021</v>
      </c>
      <c r="G440" s="8">
        <v>2.1</v>
      </c>
      <c r="H440" s="4" t="s">
        <v>9</v>
      </c>
      <c r="I440" s="8">
        <v>2.1</v>
      </c>
      <c r="J440" s="3">
        <v>14756</v>
      </c>
      <c r="K440" s="3"/>
      <c r="L440" s="17" t="str" cm="1">
        <f t="array" ref="L440">_xlfn.IFS(MID(K440,2,2)="01", "서울", MID(K440,2,2)="02","경기",MID(K440,2,2)="03","충청",MID(K440,2,2)="04","충청",MID(K440,2,2)="05","전라",MID(K440,2,2)="06","전라",MID(K440,2,2)="07","경북",MID(K440,2,2)="08","경남",MID(K440,2,2)="09","강원",MID(K440,2,2)="10","제주",TRUE,"국외")</f>
        <v>국외</v>
      </c>
    </row>
    <row r="441" spans="1:12" ht="17.25" thickBot="1">
      <c r="A441" s="3" t="s">
        <v>577</v>
      </c>
      <c r="B441" s="3" t="s">
        <v>578</v>
      </c>
      <c r="C441" s="3"/>
      <c r="D441" s="4" t="s">
        <v>181</v>
      </c>
      <c r="E441" s="4" t="s">
        <v>23</v>
      </c>
      <c r="F441" s="4">
        <v>2021</v>
      </c>
      <c r="G441" s="8">
        <v>3.1</v>
      </c>
      <c r="H441" s="4" t="s">
        <v>23</v>
      </c>
      <c r="I441" s="8">
        <v>10</v>
      </c>
      <c r="J441" s="3">
        <v>14757</v>
      </c>
      <c r="K441" s="3">
        <v>51116</v>
      </c>
      <c r="L441" s="17" t="str" cm="1">
        <f t="array" ref="L441">_xlfn.IFS(MID(K441,2,2)="01", "서울", MID(K441,2,2)="02","경기",MID(K441,2,2)="03","충청",MID(K441,2,2)="04","충청",MID(K441,2,2)="05","전라",MID(K441,2,2)="06","전라",MID(K441,2,2)="07","경북",MID(K441,2,2)="08","경남",MID(K441,2,2)="09","강원",MID(K441,2,2)="10","제주",TRUE,"국외")</f>
        <v>국외</v>
      </c>
    </row>
    <row r="442" spans="1:12" ht="17.25" thickBot="1">
      <c r="A442" s="3" t="s">
        <v>579</v>
      </c>
      <c r="B442" s="3"/>
      <c r="C442" s="3"/>
      <c r="D442" s="4" t="s">
        <v>181</v>
      </c>
      <c r="E442" s="4" t="s">
        <v>23</v>
      </c>
      <c r="F442" s="4">
        <v>2021</v>
      </c>
      <c r="G442" s="8">
        <v>0.8</v>
      </c>
      <c r="H442" s="4" t="s">
        <v>23</v>
      </c>
      <c r="I442" s="8">
        <v>0.8</v>
      </c>
      <c r="J442" s="3">
        <v>14898</v>
      </c>
      <c r="K442" s="3"/>
      <c r="L442" s="17" t="str" cm="1">
        <f t="array" ref="L442">_xlfn.IFS(MID(K442,2,2)="01", "서울", MID(K442,2,2)="02","경기",MID(K442,2,2)="03","충청",MID(K442,2,2)="04","충청",MID(K442,2,2)="05","전라",MID(K442,2,2)="06","전라",MID(K442,2,2)="07","경북",MID(K442,2,2)="08","경남",MID(K442,2,2)="09","강원",MID(K442,2,2)="10","제주",TRUE,"국외")</f>
        <v>국외</v>
      </c>
    </row>
    <row r="443" spans="1:12" ht="17.25" thickBot="1">
      <c r="A443" s="3" t="s">
        <v>202</v>
      </c>
      <c r="B443" s="3"/>
      <c r="C443" s="3" t="s">
        <v>580</v>
      </c>
      <c r="D443" s="4" t="s">
        <v>181</v>
      </c>
      <c r="E443" s="4" t="s">
        <v>18</v>
      </c>
      <c r="F443" s="4">
        <v>2021</v>
      </c>
      <c r="G443" s="8">
        <v>0</v>
      </c>
      <c r="H443" s="4" t="s">
        <v>18</v>
      </c>
      <c r="I443" s="8">
        <v>0</v>
      </c>
      <c r="J443" s="3">
        <v>14754</v>
      </c>
      <c r="K443" s="3"/>
      <c r="L443" s="17" t="str" cm="1">
        <f t="array" ref="L443">_xlfn.IFS(MID(K443,2,2)="01", "서울", MID(K443,2,2)="02","경기",MID(K443,2,2)="03","충청",MID(K443,2,2)="04","충청",MID(K443,2,2)="05","전라",MID(K443,2,2)="06","전라",MID(K443,2,2)="07","경북",MID(K443,2,2)="08","경남",MID(K443,2,2)="09","강원",MID(K443,2,2)="10","제주",TRUE,"국외")</f>
        <v>국외</v>
      </c>
    </row>
    <row r="444" spans="1:12" ht="17.25" thickBot="1">
      <c r="A444" s="3" t="s">
        <v>581</v>
      </c>
      <c r="B444" s="3"/>
      <c r="C444" s="3"/>
      <c r="D444" s="4" t="s">
        <v>181</v>
      </c>
      <c r="E444" s="4" t="s">
        <v>18</v>
      </c>
      <c r="F444" s="4">
        <v>2021</v>
      </c>
      <c r="G444" s="8">
        <v>-0.2</v>
      </c>
      <c r="H444" s="4" t="s">
        <v>18</v>
      </c>
      <c r="I444" s="8">
        <v>-0.2</v>
      </c>
      <c r="J444" s="3">
        <v>14990</v>
      </c>
      <c r="K444" s="3"/>
      <c r="L444" s="17" t="str" cm="1">
        <f t="array" ref="L444">_xlfn.IFS(MID(K444,2,2)="01", "서울", MID(K444,2,2)="02","경기",MID(K444,2,2)="03","충청",MID(K444,2,2)="04","충청",MID(K444,2,2)="05","전라",MID(K444,2,2)="06","전라",MID(K444,2,2)="07","경북",MID(K444,2,2)="08","경남",MID(K444,2,2)="09","강원",MID(K444,2,2)="10","제주",TRUE,"국외")</f>
        <v>국외</v>
      </c>
    </row>
    <row r="445" spans="1:12" ht="17.25" thickBot="1">
      <c r="A445" s="3" t="s">
        <v>582</v>
      </c>
      <c r="B445" s="3" t="s">
        <v>583</v>
      </c>
      <c r="C445" s="3"/>
      <c r="D445" s="4" t="s">
        <v>181</v>
      </c>
      <c r="E445" s="4" t="s">
        <v>18</v>
      </c>
      <c r="F445" s="4">
        <v>2021</v>
      </c>
      <c r="G445" s="8">
        <v>-0.8</v>
      </c>
      <c r="H445" s="4" t="s">
        <v>18</v>
      </c>
      <c r="I445" s="8">
        <v>-0.8</v>
      </c>
      <c r="J445" s="3">
        <v>14762</v>
      </c>
      <c r="K445" s="3">
        <v>51112</v>
      </c>
      <c r="L445" s="17" t="str" cm="1">
        <f t="array" ref="L445">_xlfn.IFS(MID(K445,2,2)="01", "서울", MID(K445,2,2)="02","경기",MID(K445,2,2)="03","충청",MID(K445,2,2)="04","충청",MID(K445,2,2)="05","전라",MID(K445,2,2)="06","전라",MID(K445,2,2)="07","경북",MID(K445,2,2)="08","경남",MID(K445,2,2)="09","강원",MID(K445,2,2)="10","제주",TRUE,"국외")</f>
        <v>국외</v>
      </c>
    </row>
    <row r="446" spans="1:12" ht="17.25" thickBot="1">
      <c r="A446" s="3" t="s">
        <v>584</v>
      </c>
      <c r="B446" s="3"/>
      <c r="C446" s="3"/>
      <c r="D446" s="4" t="s">
        <v>181</v>
      </c>
      <c r="E446" s="4" t="s">
        <v>3</v>
      </c>
      <c r="F446" s="4">
        <v>2021</v>
      </c>
      <c r="G446" s="8">
        <v>0.7</v>
      </c>
      <c r="H446" s="4" t="s">
        <v>3</v>
      </c>
      <c r="I446" s="8">
        <v>0.7</v>
      </c>
      <c r="J446" s="3">
        <v>14991</v>
      </c>
      <c r="K446" s="3"/>
      <c r="L446" s="17" t="str" cm="1">
        <f t="array" ref="L446">_xlfn.IFS(MID(K446,2,2)="01", "서울", MID(K446,2,2)="02","경기",MID(K446,2,2)="03","충청",MID(K446,2,2)="04","충청",MID(K446,2,2)="05","전라",MID(K446,2,2)="06","전라",MID(K446,2,2)="07","경북",MID(K446,2,2)="08","경남",MID(K446,2,2)="09","강원",MID(K446,2,2)="10","제주",TRUE,"국외")</f>
        <v>국외</v>
      </c>
    </row>
    <row r="447" spans="1:12" ht="17.25" thickBot="1">
      <c r="A447" s="3" t="s">
        <v>585</v>
      </c>
      <c r="B447" s="3"/>
      <c r="C447" s="3" t="s">
        <v>586</v>
      </c>
      <c r="D447" s="4" t="s">
        <v>181</v>
      </c>
      <c r="E447" s="4" t="s">
        <v>3</v>
      </c>
      <c r="F447" s="4">
        <v>2021</v>
      </c>
      <c r="G447" s="8">
        <v>0.6</v>
      </c>
      <c r="H447" s="4" t="s">
        <v>3</v>
      </c>
      <c r="I447" s="8">
        <v>0.6</v>
      </c>
      <c r="J447" s="3">
        <v>14761</v>
      </c>
      <c r="K447" s="3"/>
      <c r="L447" s="17" t="str" cm="1">
        <f t="array" ref="L447">_xlfn.IFS(MID(K447,2,2)="01", "서울", MID(K447,2,2)="02","경기",MID(K447,2,2)="03","충청",MID(K447,2,2)="04","충청",MID(K447,2,2)="05","전라",MID(K447,2,2)="06","전라",MID(K447,2,2)="07","경북",MID(K447,2,2)="08","경남",MID(K447,2,2)="09","강원",MID(K447,2,2)="10","제주",TRUE,"국외")</f>
        <v>국외</v>
      </c>
    </row>
    <row r="448" spans="1:12" ht="17.25" thickBot="1">
      <c r="A448" s="3" t="s">
        <v>587</v>
      </c>
      <c r="B448" s="3"/>
      <c r="C448" s="3" t="s">
        <v>588</v>
      </c>
      <c r="D448" s="4" t="s">
        <v>181</v>
      </c>
      <c r="E448" s="4" t="s">
        <v>3</v>
      </c>
      <c r="F448" s="4">
        <v>2021</v>
      </c>
      <c r="G448" s="8">
        <v>2.8</v>
      </c>
      <c r="H448" s="4" t="s">
        <v>3</v>
      </c>
      <c r="I448" s="8">
        <v>3.4</v>
      </c>
      <c r="J448" s="3">
        <v>14760</v>
      </c>
      <c r="K448" s="3"/>
      <c r="L448" s="17" t="str" cm="1">
        <f t="array" ref="L448">_xlfn.IFS(MID(K448,2,2)="01", "서울", MID(K448,2,2)="02","경기",MID(K448,2,2)="03","충청",MID(K448,2,2)="04","충청",MID(K448,2,2)="05","전라",MID(K448,2,2)="06","전라",MID(K448,2,2)="07","경북",MID(K448,2,2)="08","경남",MID(K448,2,2)="09","강원",MID(K448,2,2)="10","제주",TRUE,"국외")</f>
        <v>국외</v>
      </c>
    </row>
    <row r="449" spans="1:12" ht="17.25" thickBot="1">
      <c r="A449" s="3" t="s">
        <v>589</v>
      </c>
      <c r="B449" s="3" t="s">
        <v>40</v>
      </c>
      <c r="C449" s="3" t="s">
        <v>218</v>
      </c>
      <c r="D449" s="4" t="s">
        <v>205</v>
      </c>
      <c r="E449" s="4" t="s">
        <v>28</v>
      </c>
      <c r="F449" s="4">
        <v>2022</v>
      </c>
      <c r="G449" s="9"/>
      <c r="H449" s="4" t="s">
        <v>28</v>
      </c>
      <c r="I449" s="8">
        <v>0</v>
      </c>
      <c r="J449" s="3">
        <v>14885</v>
      </c>
      <c r="K449" s="3">
        <v>50108</v>
      </c>
      <c r="L449" s="17" t="str" cm="1">
        <f t="array" ref="L449">_xlfn.IFS(MID(K449,2,2)="01", "서울", MID(K449,2,2)="02","경기",MID(K449,2,2)="03","충청",MID(K449,2,2)="04","충청",MID(K449,2,2)="05","전라",MID(K449,2,2)="06","전라",MID(K449,2,2)="07","경북",MID(K449,2,2)="08","경남",MID(K449,2,2)="09","강원",MID(K449,2,2)="10","제주",TRUE,"국외")</f>
        <v>서울</v>
      </c>
    </row>
    <row r="450" spans="1:12" ht="17.25" thickBot="1">
      <c r="A450" s="3" t="s">
        <v>528</v>
      </c>
      <c r="B450" s="3" t="s">
        <v>32</v>
      </c>
      <c r="C450" s="3" t="s">
        <v>174</v>
      </c>
      <c r="D450" s="4" t="s">
        <v>205</v>
      </c>
      <c r="E450" s="4" t="s">
        <v>28</v>
      </c>
      <c r="F450" s="4"/>
      <c r="G450" s="9"/>
      <c r="H450" s="4"/>
      <c r="I450" s="9"/>
      <c r="J450" s="3">
        <v>14883</v>
      </c>
      <c r="K450" s="3">
        <v>50111</v>
      </c>
      <c r="L450" s="17" t="str" cm="1">
        <f t="array" ref="L450">_xlfn.IFS(MID(K450,2,2)="01", "서울", MID(K450,2,2)="02","경기",MID(K450,2,2)="03","충청",MID(K450,2,2)="04","충청",MID(K450,2,2)="05","전라",MID(K450,2,2)="06","전라",MID(K450,2,2)="07","경북",MID(K450,2,2)="08","경남",MID(K450,2,2)="09","강원",MID(K450,2,2)="10","제주",TRUE,"국외")</f>
        <v>서울</v>
      </c>
    </row>
    <row r="451" spans="1:12" ht="17.25" thickBot="1">
      <c r="A451" s="3" t="s">
        <v>590</v>
      </c>
      <c r="B451" s="3" t="s">
        <v>176</v>
      </c>
      <c r="C451" s="3" t="s">
        <v>172</v>
      </c>
      <c r="D451" s="4" t="s">
        <v>205</v>
      </c>
      <c r="E451" s="4" t="s">
        <v>26</v>
      </c>
      <c r="F451" s="4"/>
      <c r="G451" s="9"/>
      <c r="H451" s="4"/>
      <c r="I451" s="9"/>
      <c r="J451" s="3">
        <v>14839</v>
      </c>
      <c r="K451" s="3">
        <v>50302</v>
      </c>
      <c r="L451" s="17" t="str" cm="1">
        <f t="array" ref="L451">_xlfn.IFS(MID(K451,2,2)="01", "서울", MID(K451,2,2)="02","경기",MID(K451,2,2)="03","충청",MID(K451,2,2)="04","충청",MID(K451,2,2)="05","전라",MID(K451,2,2)="06","전라",MID(K451,2,2)="07","경북",MID(K451,2,2)="08","경남",MID(K451,2,2)="09","강원",MID(K451,2,2)="10","제주",TRUE,"국외")</f>
        <v>충청</v>
      </c>
    </row>
    <row r="452" spans="1:12" ht="17.25" thickBot="1">
      <c r="A452" s="3" t="s">
        <v>591</v>
      </c>
      <c r="B452" s="3" t="s">
        <v>592</v>
      </c>
      <c r="C452" s="3"/>
      <c r="D452" s="4" t="s">
        <v>205</v>
      </c>
      <c r="E452" s="4" t="s">
        <v>26</v>
      </c>
      <c r="F452" s="4"/>
      <c r="G452" s="9"/>
      <c r="H452" s="4"/>
      <c r="I452" s="9"/>
      <c r="J452" s="3">
        <v>14835</v>
      </c>
      <c r="K452" s="3">
        <v>50503</v>
      </c>
      <c r="L452" s="17" t="str" cm="1">
        <f t="array" ref="L452">_xlfn.IFS(MID(K452,2,2)="01", "서울", MID(K452,2,2)="02","경기",MID(K452,2,2)="03","충청",MID(K452,2,2)="04","충청",MID(K452,2,2)="05","전라",MID(K452,2,2)="06","전라",MID(K452,2,2)="07","경북",MID(K452,2,2)="08","경남",MID(K452,2,2)="09","강원",MID(K452,2,2)="10","제주",TRUE,"국외")</f>
        <v>전라</v>
      </c>
    </row>
    <row r="453" spans="1:12" ht="17.25" thickBot="1">
      <c r="A453" s="3" t="s">
        <v>593</v>
      </c>
      <c r="B453" s="3" t="s">
        <v>5</v>
      </c>
      <c r="C453" s="3" t="s">
        <v>161</v>
      </c>
      <c r="D453" s="4" t="s">
        <v>205</v>
      </c>
      <c r="E453" s="4" t="s">
        <v>26</v>
      </c>
      <c r="F453" s="4"/>
      <c r="G453" s="9"/>
      <c r="H453" s="4"/>
      <c r="I453" s="9"/>
      <c r="J453" s="3">
        <v>14837</v>
      </c>
      <c r="K453" s="3">
        <v>50114</v>
      </c>
      <c r="L453" s="17" t="str" cm="1">
        <f t="array" ref="L453">_xlfn.IFS(MID(K453,2,2)="01", "서울", MID(K453,2,2)="02","경기",MID(K453,2,2)="03","충청",MID(K453,2,2)="04","충청",MID(K453,2,2)="05","전라",MID(K453,2,2)="06","전라",MID(K453,2,2)="07","경북",MID(K453,2,2)="08","경남",MID(K453,2,2)="09","강원",MID(K453,2,2)="10","제주",TRUE,"국외")</f>
        <v>서울</v>
      </c>
    </row>
    <row r="454" spans="1:12" ht="17.25" thickBot="1">
      <c r="A454" s="3" t="s">
        <v>594</v>
      </c>
      <c r="B454" s="3" t="s">
        <v>176</v>
      </c>
      <c r="C454" s="3" t="s">
        <v>218</v>
      </c>
      <c r="D454" s="4" t="s">
        <v>205</v>
      </c>
      <c r="E454" s="4" t="s">
        <v>26</v>
      </c>
      <c r="F454" s="4"/>
      <c r="G454" s="9"/>
      <c r="H454" s="4"/>
      <c r="I454" s="9"/>
      <c r="J454" s="3">
        <v>14834</v>
      </c>
      <c r="K454" s="3">
        <v>50302</v>
      </c>
      <c r="L454" s="17" t="str" cm="1">
        <f t="array" ref="L454">_xlfn.IFS(MID(K454,2,2)="01", "서울", MID(K454,2,2)="02","경기",MID(K454,2,2)="03","충청",MID(K454,2,2)="04","충청",MID(K454,2,2)="05","전라",MID(K454,2,2)="06","전라",MID(K454,2,2)="07","경북",MID(K454,2,2)="08","경남",MID(K454,2,2)="09","강원",MID(K454,2,2)="10","제주",TRUE,"국외")</f>
        <v>충청</v>
      </c>
    </row>
    <row r="455" spans="1:12" ht="17.25" thickBot="1">
      <c r="A455" s="3" t="s">
        <v>595</v>
      </c>
      <c r="B455" s="3" t="s">
        <v>44</v>
      </c>
      <c r="C455" s="3"/>
      <c r="D455" s="4" t="s">
        <v>205</v>
      </c>
      <c r="E455" s="4" t="s">
        <v>9</v>
      </c>
      <c r="F455" s="4"/>
      <c r="G455" s="9"/>
      <c r="H455" s="4"/>
      <c r="I455" s="9"/>
      <c r="J455" s="3">
        <v>14995</v>
      </c>
      <c r="K455" s="3">
        <v>50809</v>
      </c>
      <c r="L455" s="17" t="str" cm="1">
        <f t="array" ref="L455">_xlfn.IFS(MID(K455,2,2)="01", "서울", MID(K455,2,2)="02","경기",MID(K455,2,2)="03","충청",MID(K455,2,2)="04","충청",MID(K455,2,2)="05","전라",MID(K455,2,2)="06","전라",MID(K455,2,2)="07","경북",MID(K455,2,2)="08","경남",MID(K455,2,2)="09","강원",MID(K455,2,2)="10","제주",TRUE,"국외")</f>
        <v>경남</v>
      </c>
    </row>
    <row r="456" spans="1:12" ht="17.25" thickBot="1">
      <c r="A456" s="3" t="s">
        <v>596</v>
      </c>
      <c r="B456" s="3" t="s">
        <v>32</v>
      </c>
      <c r="C456" s="3" t="s">
        <v>211</v>
      </c>
      <c r="D456" s="4" t="s">
        <v>205</v>
      </c>
      <c r="E456" s="4" t="s">
        <v>9</v>
      </c>
      <c r="F456" s="4">
        <v>2021</v>
      </c>
      <c r="G456" s="8">
        <v>0</v>
      </c>
      <c r="H456" s="4" t="s">
        <v>9</v>
      </c>
      <c r="I456" s="8">
        <v>0</v>
      </c>
      <c r="J456" s="3">
        <v>14820</v>
      </c>
      <c r="K456" s="3">
        <v>50111</v>
      </c>
      <c r="L456" s="17" t="str" cm="1">
        <f t="array" ref="L456">_xlfn.IFS(MID(K456,2,2)="01", "서울", MID(K456,2,2)="02","경기",MID(K456,2,2)="03","충청",MID(K456,2,2)="04","충청",MID(K456,2,2)="05","전라",MID(K456,2,2)="06","전라",MID(K456,2,2)="07","경북",MID(K456,2,2)="08","경남",MID(K456,2,2)="09","강원",MID(K456,2,2)="10","제주",TRUE,"국외")</f>
        <v>서울</v>
      </c>
    </row>
    <row r="457" spans="1:12" ht="17.25" thickBot="1">
      <c r="A457" s="3" t="s">
        <v>597</v>
      </c>
      <c r="B457" s="3" t="s">
        <v>11</v>
      </c>
      <c r="C457" s="3" t="s">
        <v>90</v>
      </c>
      <c r="D457" s="4" t="s">
        <v>205</v>
      </c>
      <c r="E457" s="4" t="s">
        <v>9</v>
      </c>
      <c r="F457" s="4">
        <v>2021</v>
      </c>
      <c r="G457" s="8">
        <v>-0.2</v>
      </c>
      <c r="H457" s="4" t="s">
        <v>9</v>
      </c>
      <c r="I457" s="8">
        <v>-0.2</v>
      </c>
      <c r="J457" s="3">
        <v>14819</v>
      </c>
      <c r="K457" s="3">
        <v>50802</v>
      </c>
      <c r="L457" s="17" t="str" cm="1">
        <f t="array" ref="L457">_xlfn.IFS(MID(K457,2,2)="01", "서울", MID(K457,2,2)="02","경기",MID(K457,2,2)="03","충청",MID(K457,2,2)="04","충청",MID(K457,2,2)="05","전라",MID(K457,2,2)="06","전라",MID(K457,2,2)="07","경북",MID(K457,2,2)="08","경남",MID(K457,2,2)="09","강원",MID(K457,2,2)="10","제주",TRUE,"국외")</f>
        <v>경남</v>
      </c>
    </row>
    <row r="458" spans="1:12" ht="17.25" thickBot="1">
      <c r="A458" s="3" t="s">
        <v>598</v>
      </c>
      <c r="B458" s="3" t="s">
        <v>322</v>
      </c>
      <c r="C458" s="3" t="s">
        <v>346</v>
      </c>
      <c r="D458" s="4" t="s">
        <v>205</v>
      </c>
      <c r="E458" s="4" t="s">
        <v>18</v>
      </c>
      <c r="F458" s="4"/>
      <c r="G458" s="9"/>
      <c r="H458" s="4"/>
      <c r="I458" s="9"/>
      <c r="J458" s="3">
        <v>14852</v>
      </c>
      <c r="K458" s="3">
        <v>50810</v>
      </c>
      <c r="L458" s="17" t="str" cm="1">
        <f t="array" ref="L458">_xlfn.IFS(MID(K458,2,2)="01", "서울", MID(K458,2,2)="02","경기",MID(K458,2,2)="03","충청",MID(K458,2,2)="04","충청",MID(K458,2,2)="05","전라",MID(K458,2,2)="06","전라",MID(K458,2,2)="07","경북",MID(K458,2,2)="08","경남",MID(K458,2,2)="09","강원",MID(K458,2,2)="10","제주",TRUE,"국외")</f>
        <v>경남</v>
      </c>
    </row>
    <row r="459" spans="1:12" ht="17.25" thickBot="1">
      <c r="A459" s="3" t="s">
        <v>599</v>
      </c>
      <c r="B459" s="3" t="s">
        <v>241</v>
      </c>
      <c r="C459" s="3" t="s">
        <v>99</v>
      </c>
      <c r="D459" s="4" t="s">
        <v>205</v>
      </c>
      <c r="E459" s="4" t="s">
        <v>3</v>
      </c>
      <c r="F459" s="4">
        <v>2021</v>
      </c>
      <c r="G459" s="8">
        <v>-0.5</v>
      </c>
      <c r="H459" s="4" t="s">
        <v>3</v>
      </c>
      <c r="I459" s="8">
        <v>-0.6</v>
      </c>
      <c r="J459" s="3">
        <v>14880</v>
      </c>
      <c r="K459" s="3">
        <v>50202</v>
      </c>
      <c r="L459" s="17" t="str" cm="1">
        <f t="array" ref="L459">_xlfn.IFS(MID(K459,2,2)="01", "서울", MID(K459,2,2)="02","경기",MID(K459,2,2)="03","충청",MID(K459,2,2)="04","충청",MID(K459,2,2)="05","전라",MID(K459,2,2)="06","전라",MID(K459,2,2)="07","경북",MID(K459,2,2)="08","경남",MID(K459,2,2)="09","강원",MID(K459,2,2)="10","제주",TRUE,"국외")</f>
        <v>경기</v>
      </c>
    </row>
    <row r="460" spans="1:12" ht="17.25" thickBot="1">
      <c r="A460" s="3" t="s">
        <v>600</v>
      </c>
      <c r="B460" s="3" t="s">
        <v>176</v>
      </c>
      <c r="C460" s="3" t="s">
        <v>122</v>
      </c>
      <c r="D460" s="4" t="s">
        <v>205</v>
      </c>
      <c r="E460" s="4" t="s">
        <v>3</v>
      </c>
      <c r="F460" s="4"/>
      <c r="G460" s="9"/>
      <c r="H460" s="4"/>
      <c r="I460" s="9"/>
      <c r="J460" s="3">
        <v>14879</v>
      </c>
      <c r="K460" s="3">
        <v>50302</v>
      </c>
      <c r="L460" s="17" t="str" cm="1">
        <f t="array" ref="L460">_xlfn.IFS(MID(K460,2,2)="01", "서울", MID(K460,2,2)="02","경기",MID(K460,2,2)="03","충청",MID(K460,2,2)="04","충청",MID(K460,2,2)="05","전라",MID(K460,2,2)="06","전라",MID(K460,2,2)="07","경북",MID(K460,2,2)="08","경남",MID(K460,2,2)="09","강원",MID(K460,2,2)="10","제주",TRUE,"국외")</f>
        <v>충청</v>
      </c>
    </row>
    <row r="461" spans="1:12" ht="17.25" thickBot="1">
      <c r="A461" s="5" t="s">
        <v>601</v>
      </c>
      <c r="B461" s="5" t="s">
        <v>145</v>
      </c>
      <c r="C461" s="5" t="s">
        <v>161</v>
      </c>
      <c r="D461" s="6" t="s">
        <v>205</v>
      </c>
      <c r="E461" s="6" t="s">
        <v>3</v>
      </c>
      <c r="F461" s="6"/>
      <c r="G461" s="10"/>
      <c r="H461" s="1"/>
      <c r="I461" s="10"/>
      <c r="J461" s="5">
        <v>14878</v>
      </c>
      <c r="K461" s="5">
        <v>50106</v>
      </c>
      <c r="L461" s="17" t="str" cm="1">
        <f t="array" ref="L461">_xlfn.IFS(MID(K461,2,2)="01", "서울", MID(K461,2,2)="02","경기",MID(K461,2,2)="03","충청",MID(K461,2,2)="04","충청",MID(K461,2,2)="05","전라",MID(K461,2,2)="06","전라",MID(K461,2,2)="07","경북",MID(K461,2,2)="08","경남",MID(K461,2,2)="09","강원",MID(K461,2,2)="10","제주",TRUE,"국외")</f>
        <v>서울</v>
      </c>
    </row>
    <row r="462" spans="1:12" ht="17.25" thickBot="1">
      <c r="A462" s="3" t="s">
        <v>602</v>
      </c>
      <c r="B462" s="3" t="s">
        <v>107</v>
      </c>
      <c r="C462" s="3"/>
      <c r="D462" s="4" t="s">
        <v>243</v>
      </c>
      <c r="E462" s="4" t="s">
        <v>6</v>
      </c>
      <c r="F462" s="4">
        <v>2020</v>
      </c>
      <c r="G462" s="8">
        <v>1.1000000000000001</v>
      </c>
      <c r="H462" s="4" t="s">
        <v>6</v>
      </c>
      <c r="I462" s="8">
        <v>5.9</v>
      </c>
      <c r="J462" s="3">
        <v>14608</v>
      </c>
      <c r="K462" s="3">
        <v>50602</v>
      </c>
      <c r="L462" s="17" t="str" cm="1">
        <f t="array" ref="L462">_xlfn.IFS(MID(K462,2,2)="01", "서울", MID(K462,2,2)="02","경기",MID(K462,2,2)="03","충청",MID(K462,2,2)="04","충청",MID(K462,2,2)="05","전라",MID(K462,2,2)="06","전라",MID(K462,2,2)="07","경북",MID(K462,2,2)="08","경남",MID(K462,2,2)="09","강원",MID(K462,2,2)="10","제주",TRUE,"국외")</f>
        <v>전라</v>
      </c>
    </row>
    <row r="463" spans="1:12" ht="17.25" thickBot="1">
      <c r="A463" s="3" t="s">
        <v>603</v>
      </c>
      <c r="B463" s="3" t="s">
        <v>147</v>
      </c>
      <c r="C463" s="3"/>
      <c r="D463" s="4" t="s">
        <v>243</v>
      </c>
      <c r="E463" s="4" t="s">
        <v>28</v>
      </c>
      <c r="F463" s="4">
        <v>2020</v>
      </c>
      <c r="G463" s="8">
        <v>3.2</v>
      </c>
      <c r="H463" s="4" t="s">
        <v>28</v>
      </c>
      <c r="I463" s="8">
        <v>9.8000000000000007</v>
      </c>
      <c r="J463" s="3">
        <v>14600</v>
      </c>
      <c r="K463" s="3">
        <v>50208</v>
      </c>
      <c r="L463" s="17" t="str" cm="1">
        <f t="array" ref="L463">_xlfn.IFS(MID(K463,2,2)="01", "서울", MID(K463,2,2)="02","경기",MID(K463,2,2)="03","충청",MID(K463,2,2)="04","충청",MID(K463,2,2)="05","전라",MID(K463,2,2)="06","전라",MID(K463,2,2)="07","경북",MID(K463,2,2)="08","경남",MID(K463,2,2)="09","강원",MID(K463,2,2)="10","제주",TRUE,"국외")</f>
        <v>경기</v>
      </c>
    </row>
    <row r="464" spans="1:12" ht="17.25" thickBot="1">
      <c r="A464" s="3" t="s">
        <v>604</v>
      </c>
      <c r="B464" s="3" t="s">
        <v>8</v>
      </c>
      <c r="C464" s="3"/>
      <c r="D464" s="4" t="s">
        <v>243</v>
      </c>
      <c r="E464" s="4" t="s">
        <v>20</v>
      </c>
      <c r="F464" s="4">
        <v>2020</v>
      </c>
      <c r="G464" s="8">
        <v>2.7</v>
      </c>
      <c r="H464" s="4" t="s">
        <v>20</v>
      </c>
      <c r="I464" s="8">
        <v>5.0999999999999996</v>
      </c>
      <c r="J464" s="3">
        <v>14589</v>
      </c>
      <c r="K464" s="3">
        <v>50116</v>
      </c>
      <c r="L464" s="17" t="str" cm="1">
        <f t="array" ref="L464">_xlfn.IFS(MID(K464,2,2)="01", "서울", MID(K464,2,2)="02","경기",MID(K464,2,2)="03","충청",MID(K464,2,2)="04","충청",MID(K464,2,2)="05","전라",MID(K464,2,2)="06","전라",MID(K464,2,2)="07","경북",MID(K464,2,2)="08","경남",MID(K464,2,2)="09","강원",MID(K464,2,2)="10","제주",TRUE,"국외")</f>
        <v>서울</v>
      </c>
    </row>
    <row r="465" spans="1:12" ht="17.25" thickBot="1">
      <c r="A465" s="3" t="s">
        <v>605</v>
      </c>
      <c r="B465" s="3" t="s">
        <v>63</v>
      </c>
      <c r="C465" s="3"/>
      <c r="D465" s="4" t="s">
        <v>243</v>
      </c>
      <c r="E465" s="4" t="s">
        <v>12</v>
      </c>
      <c r="F465" s="4">
        <v>2020</v>
      </c>
      <c r="G465" s="8">
        <v>0.1</v>
      </c>
      <c r="H465" s="4" t="s">
        <v>12</v>
      </c>
      <c r="I465" s="8">
        <v>1.8</v>
      </c>
      <c r="J465" s="3">
        <v>14593</v>
      </c>
      <c r="K465" s="3">
        <v>50807</v>
      </c>
      <c r="L465" s="17" t="str" cm="1">
        <f t="array" ref="L465">_xlfn.IFS(MID(K465,2,2)="01", "서울", MID(K465,2,2)="02","경기",MID(K465,2,2)="03","충청",MID(K465,2,2)="04","충청",MID(K465,2,2)="05","전라",MID(K465,2,2)="06","전라",MID(K465,2,2)="07","경북",MID(K465,2,2)="08","경남",MID(K465,2,2)="09","강원",MID(K465,2,2)="10","제주",TRUE,"국외")</f>
        <v>경남</v>
      </c>
    </row>
    <row r="466" spans="1:12" ht="17.25" thickBot="1">
      <c r="A466" s="3" t="s">
        <v>606</v>
      </c>
      <c r="B466" s="3" t="s">
        <v>101</v>
      </c>
      <c r="C466" s="3"/>
      <c r="D466" s="4" t="s">
        <v>243</v>
      </c>
      <c r="E466" s="4" t="s">
        <v>607</v>
      </c>
      <c r="F466" s="4">
        <v>2020</v>
      </c>
      <c r="G466" s="8">
        <v>-0.1</v>
      </c>
      <c r="H466" s="4" t="s">
        <v>15</v>
      </c>
      <c r="I466" s="8">
        <v>3.3</v>
      </c>
      <c r="J466" s="3">
        <v>14581</v>
      </c>
      <c r="K466" s="3">
        <v>50207</v>
      </c>
      <c r="L466" s="17" t="str" cm="1">
        <f t="array" ref="L466">_xlfn.IFS(MID(K466,2,2)="01", "서울", MID(K466,2,2)="02","경기",MID(K466,2,2)="03","충청",MID(K466,2,2)="04","충청",MID(K466,2,2)="05","전라",MID(K466,2,2)="06","전라",MID(K466,2,2)="07","경북",MID(K466,2,2)="08","경남",MID(K466,2,2)="09","강원",MID(K466,2,2)="10","제주",TRUE,"국외")</f>
        <v>경기</v>
      </c>
    </row>
    <row r="467" spans="1:12" ht="17.25" thickBot="1">
      <c r="A467" s="3" t="s">
        <v>608</v>
      </c>
      <c r="B467" s="3" t="s">
        <v>40</v>
      </c>
      <c r="C467" s="3"/>
      <c r="D467" s="4" t="s">
        <v>243</v>
      </c>
      <c r="E467" s="4" t="s">
        <v>26</v>
      </c>
      <c r="F467" s="4">
        <v>2020</v>
      </c>
      <c r="G467" s="8">
        <v>0</v>
      </c>
      <c r="H467" s="4" t="s">
        <v>26</v>
      </c>
      <c r="I467" s="8">
        <v>0</v>
      </c>
      <c r="J467" s="3">
        <v>14572</v>
      </c>
      <c r="K467" s="3">
        <v>50108</v>
      </c>
      <c r="L467" s="17" t="str" cm="1">
        <f t="array" ref="L467">_xlfn.IFS(MID(K467,2,2)="01", "서울", MID(K467,2,2)="02","경기",MID(K467,2,2)="03","충청",MID(K467,2,2)="04","충청",MID(K467,2,2)="05","전라",MID(K467,2,2)="06","전라",MID(K467,2,2)="07","경북",MID(K467,2,2)="08","경남",MID(K467,2,2)="09","강원",MID(K467,2,2)="10","제주",TRUE,"국외")</f>
        <v>서울</v>
      </c>
    </row>
    <row r="468" spans="1:12" ht="17.25" thickBot="1">
      <c r="A468" s="3" t="s">
        <v>609</v>
      </c>
      <c r="B468" s="3" t="s">
        <v>11</v>
      </c>
      <c r="C468" s="3"/>
      <c r="D468" s="4" t="s">
        <v>243</v>
      </c>
      <c r="E468" s="4" t="s">
        <v>9</v>
      </c>
      <c r="F468" s="4">
        <v>2020</v>
      </c>
      <c r="G468" s="8">
        <v>0.3</v>
      </c>
      <c r="H468" s="4" t="s">
        <v>9</v>
      </c>
      <c r="I468" s="8">
        <v>5.3</v>
      </c>
      <c r="J468" s="3">
        <v>14624</v>
      </c>
      <c r="K468" s="3">
        <v>50802</v>
      </c>
      <c r="L468" s="17" t="str" cm="1">
        <f t="array" ref="L468">_xlfn.IFS(MID(K468,2,2)="01", "서울", MID(K468,2,2)="02","경기",MID(K468,2,2)="03","충청",MID(K468,2,2)="04","충청",MID(K468,2,2)="05","전라",MID(K468,2,2)="06","전라",MID(K468,2,2)="07","경북",MID(K468,2,2)="08","경남",MID(K468,2,2)="09","강원",MID(K468,2,2)="10","제주",TRUE,"국외")</f>
        <v>경남</v>
      </c>
    </row>
    <row r="469" spans="1:12" ht="17.25" thickBot="1">
      <c r="A469" s="3" t="s">
        <v>610</v>
      </c>
      <c r="B469" s="3" t="s">
        <v>34</v>
      </c>
      <c r="C469" s="3"/>
      <c r="D469" s="4" t="s">
        <v>243</v>
      </c>
      <c r="E469" s="4" t="s">
        <v>23</v>
      </c>
      <c r="F469" s="4">
        <v>2020</v>
      </c>
      <c r="G469" s="8">
        <v>-0.1</v>
      </c>
      <c r="H469" s="4" t="s">
        <v>23</v>
      </c>
      <c r="I469" s="8">
        <v>-0.4</v>
      </c>
      <c r="J469" s="3">
        <v>14615</v>
      </c>
      <c r="K469" s="3">
        <v>50701</v>
      </c>
      <c r="L469" s="17" t="str" cm="1">
        <f t="array" ref="L469">_xlfn.IFS(MID(K469,2,2)="01", "서울", MID(K469,2,2)="02","경기",MID(K469,2,2)="03","충청",MID(K469,2,2)="04","충청",MID(K469,2,2)="05","전라",MID(K469,2,2)="06","전라",MID(K469,2,2)="07","경북",MID(K469,2,2)="08","경남",MID(K469,2,2)="09","강원",MID(K469,2,2)="10","제주",TRUE,"국외")</f>
        <v>경북</v>
      </c>
    </row>
    <row r="470" spans="1:12" ht="17.25" thickBot="1">
      <c r="A470" s="3" t="s">
        <v>611</v>
      </c>
      <c r="B470" s="3" t="s">
        <v>32</v>
      </c>
      <c r="C470" s="3"/>
      <c r="D470" s="4" t="s">
        <v>243</v>
      </c>
      <c r="E470" s="4" t="s">
        <v>18</v>
      </c>
      <c r="F470" s="4">
        <v>2020</v>
      </c>
      <c r="G470" s="8">
        <v>-0.2</v>
      </c>
      <c r="H470" s="4" t="s">
        <v>18</v>
      </c>
      <c r="I470" s="8">
        <v>-1.2</v>
      </c>
      <c r="J470" s="3">
        <v>14580</v>
      </c>
      <c r="K470" s="3">
        <v>50111</v>
      </c>
      <c r="L470" s="17" t="str" cm="1">
        <f t="array" ref="L470">_xlfn.IFS(MID(K470,2,2)="01", "서울", MID(K470,2,2)="02","경기",MID(K470,2,2)="03","충청",MID(K470,2,2)="04","충청",MID(K470,2,2)="05","전라",MID(K470,2,2)="06","전라",MID(K470,2,2)="07","경북",MID(K470,2,2)="08","경남",MID(K470,2,2)="09","강원",MID(K470,2,2)="10","제주",TRUE,"국외")</f>
        <v>서울</v>
      </c>
    </row>
    <row r="471" spans="1:12" ht="17.25" thickBot="1">
      <c r="A471" s="3" t="s">
        <v>612</v>
      </c>
      <c r="B471" s="3" t="s">
        <v>25</v>
      </c>
      <c r="C471" s="3"/>
      <c r="D471" s="4" t="s">
        <v>243</v>
      </c>
      <c r="E471" s="4" t="s">
        <v>3</v>
      </c>
      <c r="F471" s="4">
        <v>2021</v>
      </c>
      <c r="G471" s="9"/>
      <c r="H471" s="4" t="s">
        <v>3</v>
      </c>
      <c r="I471" s="8">
        <v>0</v>
      </c>
      <c r="J471" s="3">
        <v>14620</v>
      </c>
      <c r="K471" s="3">
        <v>50403</v>
      </c>
      <c r="L471" s="17" t="str" cm="1">
        <f t="array" ref="L471">_xlfn.IFS(MID(K471,2,2)="01", "서울", MID(K471,2,2)="02","경기",MID(K471,2,2)="03","충청",MID(K471,2,2)="04","충청",MID(K471,2,2)="05","전라",MID(K471,2,2)="06","전라",MID(K471,2,2)="07","경북",MID(K471,2,2)="08","경남",MID(K471,2,2)="09","강원",MID(K471,2,2)="10","제주",TRUE,"국외")</f>
        <v>충청</v>
      </c>
    </row>
    <row r="472" spans="1:12" ht="17.25" thickBot="1">
      <c r="A472" s="3" t="s">
        <v>613</v>
      </c>
      <c r="B472" s="3" t="s">
        <v>101</v>
      </c>
      <c r="C472" s="3"/>
      <c r="D472" s="4" t="s">
        <v>254</v>
      </c>
      <c r="E472" s="4" t="s">
        <v>6</v>
      </c>
      <c r="F472" s="4">
        <v>2020</v>
      </c>
      <c r="G472" s="8">
        <v>0</v>
      </c>
      <c r="H472" s="4" t="s">
        <v>6</v>
      </c>
      <c r="I472" s="8">
        <v>-0.3</v>
      </c>
      <c r="J472" s="3">
        <v>14611</v>
      </c>
      <c r="K472" s="3">
        <v>50207</v>
      </c>
      <c r="L472" s="17" t="str" cm="1">
        <f t="array" ref="L472">_xlfn.IFS(MID(K472,2,2)="01", "서울", MID(K472,2,2)="02","경기",MID(K472,2,2)="03","충청",MID(K472,2,2)="04","충청",MID(K472,2,2)="05","전라",MID(K472,2,2)="06","전라",MID(K472,2,2)="07","경북",MID(K472,2,2)="08","경남",MID(K472,2,2)="09","강원",MID(K472,2,2)="10","제주",TRUE,"국외")</f>
        <v>경기</v>
      </c>
    </row>
    <row r="473" spans="1:12" ht="17.25" thickBot="1">
      <c r="A473" s="3" t="s">
        <v>614</v>
      </c>
      <c r="B473" s="3" t="s">
        <v>147</v>
      </c>
      <c r="C473" s="3"/>
      <c r="D473" s="4" t="s">
        <v>254</v>
      </c>
      <c r="E473" s="4" t="s">
        <v>28</v>
      </c>
      <c r="F473" s="4">
        <v>2020</v>
      </c>
      <c r="G473" s="8">
        <v>-0.5</v>
      </c>
      <c r="H473" s="4" t="s">
        <v>28</v>
      </c>
      <c r="I473" s="8">
        <v>-0.5</v>
      </c>
      <c r="J473" s="3">
        <v>14603</v>
      </c>
      <c r="K473" s="3">
        <v>50208</v>
      </c>
      <c r="L473" s="17" t="str" cm="1">
        <f t="array" ref="L473">_xlfn.IFS(MID(K473,2,2)="01", "서울", MID(K473,2,2)="02","경기",MID(K473,2,2)="03","충청",MID(K473,2,2)="04","충청",MID(K473,2,2)="05","전라",MID(K473,2,2)="06","전라",MID(K473,2,2)="07","경북",MID(K473,2,2)="08","경남",MID(K473,2,2)="09","강원",MID(K473,2,2)="10","제주",TRUE,"국외")</f>
        <v>경기</v>
      </c>
    </row>
    <row r="474" spans="1:12" ht="17.25" thickBot="1">
      <c r="A474" s="3" t="s">
        <v>615</v>
      </c>
      <c r="B474" s="3" t="s">
        <v>121</v>
      </c>
      <c r="C474" s="3"/>
      <c r="D474" s="4" t="s">
        <v>254</v>
      </c>
      <c r="E474" s="4" t="s">
        <v>20</v>
      </c>
      <c r="F474" s="4">
        <v>2020</v>
      </c>
      <c r="G474" s="8">
        <v>0.4</v>
      </c>
      <c r="H474" s="4" t="s">
        <v>20</v>
      </c>
      <c r="I474" s="8">
        <v>4.8</v>
      </c>
      <c r="J474" s="3">
        <v>14588</v>
      </c>
      <c r="K474" s="3">
        <v>50604</v>
      </c>
      <c r="L474" s="17" t="str" cm="1">
        <f t="array" ref="L474">_xlfn.IFS(MID(K474,2,2)="01", "서울", MID(K474,2,2)="02","경기",MID(K474,2,2)="03","충청",MID(K474,2,2)="04","충청",MID(K474,2,2)="05","전라",MID(K474,2,2)="06","전라",MID(K474,2,2)="07","경북",MID(K474,2,2)="08","경남",MID(K474,2,2)="09","강원",MID(K474,2,2)="10","제주",TRUE,"국외")</f>
        <v>전라</v>
      </c>
    </row>
    <row r="475" spans="1:12" ht="17.25" thickBot="1">
      <c r="A475" s="3" t="s">
        <v>616</v>
      </c>
      <c r="B475" s="3" t="s">
        <v>70</v>
      </c>
      <c r="C475" s="3"/>
      <c r="D475" s="4" t="s">
        <v>254</v>
      </c>
      <c r="E475" s="4" t="s">
        <v>12</v>
      </c>
      <c r="F475" s="4">
        <v>2022</v>
      </c>
      <c r="G475" s="9"/>
      <c r="H475" s="4" t="s">
        <v>12</v>
      </c>
      <c r="I475" s="8">
        <v>-0.1</v>
      </c>
      <c r="J475" s="3">
        <v>14595</v>
      </c>
      <c r="K475" s="3">
        <v>50103</v>
      </c>
      <c r="L475" s="17" t="str" cm="1">
        <f t="array" ref="L475">_xlfn.IFS(MID(K475,2,2)="01", "서울", MID(K475,2,2)="02","경기",MID(K475,2,2)="03","충청",MID(K475,2,2)="04","충청",MID(K475,2,2)="05","전라",MID(K475,2,2)="06","전라",MID(K475,2,2)="07","경북",MID(K475,2,2)="08","경남",MID(K475,2,2)="09","강원",MID(K475,2,2)="10","제주",TRUE,"국외")</f>
        <v>서울</v>
      </c>
    </row>
    <row r="476" spans="1:12" ht="17.25" thickBot="1">
      <c r="A476" s="3" t="s">
        <v>617</v>
      </c>
      <c r="B476" s="3" t="s">
        <v>11</v>
      </c>
      <c r="C476" s="3"/>
      <c r="D476" s="4" t="s">
        <v>254</v>
      </c>
      <c r="E476" s="4" t="s">
        <v>607</v>
      </c>
      <c r="F476" s="4">
        <v>2022</v>
      </c>
      <c r="G476" s="9"/>
      <c r="H476" s="4" t="s">
        <v>15</v>
      </c>
      <c r="I476" s="8">
        <v>0.2</v>
      </c>
      <c r="J476" s="3">
        <v>14699</v>
      </c>
      <c r="K476" s="3">
        <v>50802</v>
      </c>
      <c r="L476" s="17" t="str" cm="1">
        <f t="array" ref="L476">_xlfn.IFS(MID(K476,2,2)="01", "서울", MID(K476,2,2)="02","경기",MID(K476,2,2)="03","충청",MID(K476,2,2)="04","충청",MID(K476,2,2)="05","전라",MID(K476,2,2)="06","전라",MID(K476,2,2)="07","경북",MID(K476,2,2)="08","경남",MID(K476,2,2)="09","강원",MID(K476,2,2)="10","제주",TRUE,"국외")</f>
        <v>경남</v>
      </c>
    </row>
    <row r="477" spans="1:12" ht="17.25" thickBot="1">
      <c r="A477" s="3" t="s">
        <v>618</v>
      </c>
      <c r="B477" s="3" t="s">
        <v>68</v>
      </c>
      <c r="C477" s="3"/>
      <c r="D477" s="4" t="s">
        <v>254</v>
      </c>
      <c r="E477" s="4" t="s">
        <v>26</v>
      </c>
      <c r="F477" s="4"/>
      <c r="G477" s="9"/>
      <c r="H477" s="4"/>
      <c r="I477" s="9"/>
      <c r="J477" s="3">
        <v>14570</v>
      </c>
      <c r="K477" s="3">
        <v>50101</v>
      </c>
      <c r="L477" s="17" t="str" cm="1">
        <f t="array" ref="L477">_xlfn.IFS(MID(K477,2,2)="01", "서울", MID(K477,2,2)="02","경기",MID(K477,2,2)="03","충청",MID(K477,2,2)="04","충청",MID(K477,2,2)="05","전라",MID(K477,2,2)="06","전라",MID(K477,2,2)="07","경북",MID(K477,2,2)="08","경남",MID(K477,2,2)="09","강원",MID(K477,2,2)="10","제주",TRUE,"국외")</f>
        <v>서울</v>
      </c>
    </row>
    <row r="478" spans="1:12" ht="17.25" thickBot="1">
      <c r="A478" s="3" t="s">
        <v>619</v>
      </c>
      <c r="B478" s="3" t="s">
        <v>36</v>
      </c>
      <c r="C478" s="3"/>
      <c r="D478" s="4" t="s">
        <v>254</v>
      </c>
      <c r="E478" s="4" t="s">
        <v>9</v>
      </c>
      <c r="F478" s="4">
        <v>2021</v>
      </c>
      <c r="G478" s="9"/>
      <c r="H478" s="4" t="s">
        <v>9</v>
      </c>
      <c r="I478" s="8">
        <v>0</v>
      </c>
      <c r="J478" s="3">
        <v>14625</v>
      </c>
      <c r="K478" s="3">
        <v>50402</v>
      </c>
      <c r="L478" s="17" t="str" cm="1">
        <f t="array" ref="L478">_xlfn.IFS(MID(K478,2,2)="01", "서울", MID(K478,2,2)="02","경기",MID(K478,2,2)="03","충청",MID(K478,2,2)="04","충청",MID(K478,2,2)="05","전라",MID(K478,2,2)="06","전라",MID(K478,2,2)="07","경북",MID(K478,2,2)="08","경남",MID(K478,2,2)="09","강원",MID(K478,2,2)="10","제주",TRUE,"국외")</f>
        <v>충청</v>
      </c>
    </row>
    <row r="479" spans="1:12" ht="17.25" thickBot="1">
      <c r="A479" s="3" t="s">
        <v>620</v>
      </c>
      <c r="B479" s="3" t="s">
        <v>147</v>
      </c>
      <c r="C479" s="3"/>
      <c r="D479" s="4" t="s">
        <v>254</v>
      </c>
      <c r="E479" s="4" t="s">
        <v>23</v>
      </c>
      <c r="F479" s="4">
        <v>2020</v>
      </c>
      <c r="G479" s="8">
        <v>0.9</v>
      </c>
      <c r="H479" s="4" t="s">
        <v>23</v>
      </c>
      <c r="I479" s="8">
        <v>0.9</v>
      </c>
      <c r="J479" s="3">
        <v>14613</v>
      </c>
      <c r="K479" s="3">
        <v>50208</v>
      </c>
      <c r="L479" s="17" t="str" cm="1">
        <f t="array" ref="L479">_xlfn.IFS(MID(K479,2,2)="01", "서울", MID(K479,2,2)="02","경기",MID(K479,2,2)="03","충청",MID(K479,2,2)="04","충청",MID(K479,2,2)="05","전라",MID(K479,2,2)="06","전라",MID(K479,2,2)="07","경북",MID(K479,2,2)="08","경남",MID(K479,2,2)="09","강원",MID(K479,2,2)="10","제주",TRUE,"국외")</f>
        <v>경기</v>
      </c>
    </row>
    <row r="480" spans="1:12" ht="17.25" thickBot="1">
      <c r="A480" s="3" t="s">
        <v>621</v>
      </c>
      <c r="B480" s="3" t="s">
        <v>40</v>
      </c>
      <c r="C480" s="3"/>
      <c r="D480" s="4" t="s">
        <v>254</v>
      </c>
      <c r="E480" s="4" t="s">
        <v>18</v>
      </c>
      <c r="F480" s="4">
        <v>2021</v>
      </c>
      <c r="G480" s="9"/>
      <c r="H480" s="4" t="s">
        <v>18</v>
      </c>
      <c r="I480" s="8">
        <v>-0.3</v>
      </c>
      <c r="J480" s="3">
        <v>14576</v>
      </c>
      <c r="K480" s="3">
        <v>50108</v>
      </c>
      <c r="L480" s="17" t="str" cm="1">
        <f t="array" ref="L480">_xlfn.IFS(MID(K480,2,2)="01", "서울", MID(K480,2,2)="02","경기",MID(K480,2,2)="03","충청",MID(K480,2,2)="04","충청",MID(K480,2,2)="05","전라",MID(K480,2,2)="06","전라",MID(K480,2,2)="07","경북",MID(K480,2,2)="08","경남",MID(K480,2,2)="09","강원",MID(K480,2,2)="10","제주",TRUE,"국외")</f>
        <v>서울</v>
      </c>
    </row>
    <row r="481" spans="1:12" ht="17.25" thickBot="1">
      <c r="A481" s="3" t="s">
        <v>622</v>
      </c>
      <c r="B481" s="3" t="s">
        <v>322</v>
      </c>
      <c r="C481" s="3"/>
      <c r="D481" s="4" t="s">
        <v>254</v>
      </c>
      <c r="E481" s="4" t="s">
        <v>3</v>
      </c>
      <c r="F481" s="4">
        <v>2021</v>
      </c>
      <c r="G481" s="9"/>
      <c r="H481" s="4" t="s">
        <v>3</v>
      </c>
      <c r="I481" s="8">
        <v>-0.3</v>
      </c>
      <c r="J481" s="3">
        <v>14619</v>
      </c>
      <c r="K481" s="3">
        <v>50810</v>
      </c>
      <c r="L481" s="17" t="str" cm="1">
        <f t="array" ref="L481">_xlfn.IFS(MID(K481,2,2)="01", "서울", MID(K481,2,2)="02","경기",MID(K481,2,2)="03","충청",MID(K481,2,2)="04","충청",MID(K481,2,2)="05","전라",MID(K481,2,2)="06","전라",MID(K481,2,2)="07","경북",MID(K481,2,2)="08","경남",MID(K481,2,2)="09","강원",MID(K481,2,2)="10","제주",TRUE,"국외")</f>
        <v>경남</v>
      </c>
    </row>
    <row r="482" spans="1:12" ht="17.25" thickBot="1">
      <c r="A482" s="3" t="s">
        <v>623</v>
      </c>
      <c r="B482" s="3" t="s">
        <v>128</v>
      </c>
      <c r="C482" s="3"/>
      <c r="D482" s="4" t="s">
        <v>254</v>
      </c>
      <c r="E482" s="4" t="s">
        <v>6</v>
      </c>
      <c r="F482" s="4">
        <v>2020</v>
      </c>
      <c r="G482" s="8">
        <v>-0.1</v>
      </c>
      <c r="H482" s="4" t="s">
        <v>6</v>
      </c>
      <c r="I482" s="8">
        <v>0</v>
      </c>
      <c r="J482" s="3">
        <v>14612</v>
      </c>
      <c r="K482" s="3">
        <v>50901</v>
      </c>
      <c r="L482" s="17" t="str" cm="1">
        <f t="array" ref="L482">_xlfn.IFS(MID(K482,2,2)="01", "서울", MID(K482,2,2)="02","경기",MID(K482,2,2)="03","충청",MID(K482,2,2)="04","충청",MID(K482,2,2)="05","전라",MID(K482,2,2)="06","전라",MID(K482,2,2)="07","경북",MID(K482,2,2)="08","경남",MID(K482,2,2)="09","강원",MID(K482,2,2)="10","제주",TRUE,"국외")</f>
        <v>강원</v>
      </c>
    </row>
    <row r="483" spans="1:12" ht="17.25" thickBot="1">
      <c r="A483" s="3" t="s">
        <v>624</v>
      </c>
      <c r="B483" s="3" t="s">
        <v>121</v>
      </c>
      <c r="C483" s="3" t="s">
        <v>122</v>
      </c>
      <c r="D483" s="4" t="s">
        <v>254</v>
      </c>
      <c r="E483" s="4" t="s">
        <v>28</v>
      </c>
      <c r="F483" s="4">
        <v>2020</v>
      </c>
      <c r="G483" s="8">
        <v>-0.5</v>
      </c>
      <c r="H483" s="4" t="s">
        <v>28</v>
      </c>
      <c r="I483" s="8">
        <v>-0.5</v>
      </c>
      <c r="J483" s="3">
        <v>14606</v>
      </c>
      <c r="K483" s="3">
        <v>50604</v>
      </c>
      <c r="L483" s="17" t="str" cm="1">
        <f t="array" ref="L483">_xlfn.IFS(MID(K483,2,2)="01", "서울", MID(K483,2,2)="02","경기",MID(K483,2,2)="03","충청",MID(K483,2,2)="04","충청",MID(K483,2,2)="05","전라",MID(K483,2,2)="06","전라",MID(K483,2,2)="07","경북",MID(K483,2,2)="08","경남",MID(K483,2,2)="09","강원",MID(K483,2,2)="10","제주",TRUE,"국외")</f>
        <v>전라</v>
      </c>
    </row>
    <row r="484" spans="1:12" ht="17.25" thickBot="1">
      <c r="A484" s="3" t="s">
        <v>315</v>
      </c>
      <c r="B484" s="3" t="s">
        <v>11</v>
      </c>
      <c r="C484" s="3"/>
      <c r="D484" s="4" t="s">
        <v>254</v>
      </c>
      <c r="E484" s="4" t="s">
        <v>20</v>
      </c>
      <c r="F484" s="4">
        <v>2021</v>
      </c>
      <c r="G484" s="9"/>
      <c r="H484" s="4" t="s">
        <v>18</v>
      </c>
      <c r="I484" s="8">
        <v>2.6</v>
      </c>
      <c r="J484" s="3">
        <v>14591</v>
      </c>
      <c r="K484" s="3">
        <v>50802</v>
      </c>
      <c r="L484" s="17" t="str" cm="1">
        <f t="array" ref="L484">_xlfn.IFS(MID(K484,2,2)="01", "서울", MID(K484,2,2)="02","경기",MID(K484,2,2)="03","충청",MID(K484,2,2)="04","충청",MID(K484,2,2)="05","전라",MID(K484,2,2)="06","전라",MID(K484,2,2)="07","경북",MID(K484,2,2)="08","경남",MID(K484,2,2)="09","강원",MID(K484,2,2)="10","제주",TRUE,"국외")</f>
        <v>경남</v>
      </c>
    </row>
    <row r="485" spans="1:12" ht="17.25" thickBot="1">
      <c r="A485" s="3" t="s">
        <v>149</v>
      </c>
      <c r="B485" s="3" t="s">
        <v>107</v>
      </c>
      <c r="C485" s="3"/>
      <c r="D485" s="4" t="s">
        <v>254</v>
      </c>
      <c r="E485" s="4" t="s">
        <v>12</v>
      </c>
      <c r="F485" s="4">
        <v>2020</v>
      </c>
      <c r="G485" s="8">
        <v>0</v>
      </c>
      <c r="H485" s="4" t="s">
        <v>12</v>
      </c>
      <c r="I485" s="8">
        <v>-0.1</v>
      </c>
      <c r="J485" s="3">
        <v>14597</v>
      </c>
      <c r="K485" s="3">
        <v>50602</v>
      </c>
      <c r="L485" s="17" t="str" cm="1">
        <f t="array" ref="L485">_xlfn.IFS(MID(K485,2,2)="01", "서울", MID(K485,2,2)="02","경기",MID(K485,2,2)="03","충청",MID(K485,2,2)="04","충청",MID(K485,2,2)="05","전라",MID(K485,2,2)="06","전라",MID(K485,2,2)="07","경북",MID(K485,2,2)="08","경남",MID(K485,2,2)="09","강원",MID(K485,2,2)="10","제주",TRUE,"국외")</f>
        <v>전라</v>
      </c>
    </row>
    <row r="486" spans="1:12" ht="17.25" thickBot="1">
      <c r="A486" s="3" t="s">
        <v>625</v>
      </c>
      <c r="B486" s="3" t="s">
        <v>68</v>
      </c>
      <c r="C486" s="3"/>
      <c r="D486" s="4" t="s">
        <v>254</v>
      </c>
      <c r="E486" s="4" t="s">
        <v>607</v>
      </c>
      <c r="F486" s="4">
        <v>2020</v>
      </c>
      <c r="G486" s="8">
        <v>0</v>
      </c>
      <c r="H486" s="4" t="s">
        <v>607</v>
      </c>
      <c r="I486" s="8">
        <v>0</v>
      </c>
      <c r="J486" s="3">
        <v>14585</v>
      </c>
      <c r="K486" s="3">
        <v>50101</v>
      </c>
      <c r="L486" s="17" t="str" cm="1">
        <f t="array" ref="L486">_xlfn.IFS(MID(K486,2,2)="01", "서울", MID(K486,2,2)="02","경기",MID(K486,2,2)="03","충청",MID(K486,2,2)="04","충청",MID(K486,2,2)="05","전라",MID(K486,2,2)="06","전라",MID(K486,2,2)="07","경북",MID(K486,2,2)="08","경남",MID(K486,2,2)="09","강원",MID(K486,2,2)="10","제주",TRUE,"국외")</f>
        <v>서울</v>
      </c>
    </row>
    <row r="487" spans="1:12" ht="17.25" thickBot="1">
      <c r="A487" s="3" t="s">
        <v>626</v>
      </c>
      <c r="B487" s="3" t="s">
        <v>78</v>
      </c>
      <c r="C487" s="3"/>
      <c r="D487" s="4" t="s">
        <v>254</v>
      </c>
      <c r="E487" s="4" t="s">
        <v>26</v>
      </c>
      <c r="F487" s="4">
        <v>2023</v>
      </c>
      <c r="G487" s="9"/>
      <c r="H487" s="4" t="s">
        <v>26</v>
      </c>
      <c r="I487" s="8">
        <v>0</v>
      </c>
      <c r="J487" s="3">
        <v>14573</v>
      </c>
      <c r="K487" s="3">
        <v>50401</v>
      </c>
      <c r="L487" s="17" t="str" cm="1">
        <f t="array" ref="L487">_xlfn.IFS(MID(K487,2,2)="01", "서울", MID(K487,2,2)="02","경기",MID(K487,2,2)="03","충청",MID(K487,2,2)="04","충청",MID(K487,2,2)="05","전라",MID(K487,2,2)="06","전라",MID(K487,2,2)="07","경북",MID(K487,2,2)="08","경남",MID(K487,2,2)="09","강원",MID(K487,2,2)="10","제주",TRUE,"국외")</f>
        <v>충청</v>
      </c>
    </row>
    <row r="488" spans="1:12" ht="17.25" thickBot="1">
      <c r="A488" s="3" t="s">
        <v>627</v>
      </c>
      <c r="B488" s="3" t="s">
        <v>42</v>
      </c>
      <c r="C488" s="3"/>
      <c r="D488" s="4" t="s">
        <v>254</v>
      </c>
      <c r="E488" s="4" t="s">
        <v>9</v>
      </c>
      <c r="F488" s="4">
        <v>2021</v>
      </c>
      <c r="G488" s="9"/>
      <c r="H488" s="4" t="s">
        <v>9</v>
      </c>
      <c r="I488" s="8">
        <v>0</v>
      </c>
      <c r="J488" s="3">
        <v>14623</v>
      </c>
      <c r="K488" s="3">
        <v>50502</v>
      </c>
      <c r="L488" s="17" t="str" cm="1">
        <f t="array" ref="L488">_xlfn.IFS(MID(K488,2,2)="01", "서울", MID(K488,2,2)="02","경기",MID(K488,2,2)="03","충청",MID(K488,2,2)="04","충청",MID(K488,2,2)="05","전라",MID(K488,2,2)="06","전라",MID(K488,2,2)="07","경북",MID(K488,2,2)="08","경남",MID(K488,2,2)="09","강원",MID(K488,2,2)="10","제주",TRUE,"국외")</f>
        <v>전라</v>
      </c>
    </row>
    <row r="489" spans="1:12" ht="17.25" thickBot="1">
      <c r="A489" s="3" t="s">
        <v>628</v>
      </c>
      <c r="B489" s="3" t="s">
        <v>56</v>
      </c>
      <c r="C489" s="3"/>
      <c r="D489" s="4" t="s">
        <v>254</v>
      </c>
      <c r="E489" s="4" t="s">
        <v>23</v>
      </c>
      <c r="F489" s="4">
        <v>2020</v>
      </c>
      <c r="G489" s="8">
        <v>1</v>
      </c>
      <c r="H489" s="4" t="s">
        <v>23</v>
      </c>
      <c r="I489" s="8">
        <v>8.5</v>
      </c>
      <c r="J489" s="3">
        <v>14618</v>
      </c>
      <c r="K489" s="3">
        <v>50215</v>
      </c>
      <c r="L489" s="17" t="str" cm="1">
        <f t="array" ref="L489">_xlfn.IFS(MID(K489,2,2)="01", "서울", MID(K489,2,2)="02","경기",MID(K489,2,2)="03","충청",MID(K489,2,2)="04","충청",MID(K489,2,2)="05","전라",MID(K489,2,2)="06","전라",MID(K489,2,2)="07","경북",MID(K489,2,2)="08","경남",MID(K489,2,2)="09","강원",MID(K489,2,2)="10","제주",TRUE,"국외")</f>
        <v>경기</v>
      </c>
    </row>
    <row r="490" spans="1:12" ht="17.25" thickBot="1">
      <c r="A490" s="3" t="s">
        <v>629</v>
      </c>
      <c r="B490" s="3" t="s">
        <v>14</v>
      </c>
      <c r="C490" s="3"/>
      <c r="D490" s="4" t="s">
        <v>254</v>
      </c>
      <c r="E490" s="4" t="s">
        <v>18</v>
      </c>
      <c r="F490" s="4">
        <v>2021</v>
      </c>
      <c r="G490" s="9"/>
      <c r="H490" s="4" t="s">
        <v>18</v>
      </c>
      <c r="I490" s="8">
        <v>-0.4</v>
      </c>
      <c r="J490" s="3">
        <v>14695</v>
      </c>
      <c r="K490" s="3">
        <v>50703</v>
      </c>
      <c r="L490" s="17" t="str" cm="1">
        <f t="array" ref="L490">_xlfn.IFS(MID(K490,2,2)="01", "서울", MID(K490,2,2)="02","경기",MID(K490,2,2)="03","충청",MID(K490,2,2)="04","충청",MID(K490,2,2)="05","전라",MID(K490,2,2)="06","전라",MID(K490,2,2)="07","경북",MID(K490,2,2)="08","경남",MID(K490,2,2)="09","강원",MID(K490,2,2)="10","제주",TRUE,"국외")</f>
        <v>경북</v>
      </c>
    </row>
    <row r="491" spans="1:12" ht="17.25" thickBot="1">
      <c r="A491" s="3" t="s">
        <v>630</v>
      </c>
      <c r="B491" s="3" t="s">
        <v>93</v>
      </c>
      <c r="C491" s="3"/>
      <c r="D491" s="4" t="s">
        <v>254</v>
      </c>
      <c r="E491" s="4" t="s">
        <v>3</v>
      </c>
      <c r="F491" s="4">
        <v>2020</v>
      </c>
      <c r="G491" s="8">
        <v>-0.1</v>
      </c>
      <c r="H491" s="4" t="s">
        <v>3</v>
      </c>
      <c r="I491" s="8">
        <v>0.5</v>
      </c>
      <c r="J491" s="3">
        <v>14621</v>
      </c>
      <c r="K491" s="3">
        <v>50805</v>
      </c>
      <c r="L491" s="17" t="str" cm="1">
        <f t="array" ref="L491">_xlfn.IFS(MID(K491,2,2)="01", "서울", MID(K491,2,2)="02","경기",MID(K491,2,2)="03","충청",MID(K491,2,2)="04","충청",MID(K491,2,2)="05","전라",MID(K491,2,2)="06","전라",MID(K491,2,2)="07","경북",MID(K491,2,2)="08","경남",MID(K491,2,2)="09","강원",MID(K491,2,2)="10","제주",TRUE,"국외")</f>
        <v>경남</v>
      </c>
    </row>
    <row r="492" spans="1:12" ht="17.25" thickBot="1">
      <c r="A492" s="3" t="s">
        <v>631</v>
      </c>
      <c r="B492" s="3" t="s">
        <v>8</v>
      </c>
      <c r="C492" s="3"/>
      <c r="D492" s="4" t="s">
        <v>254</v>
      </c>
      <c r="E492" s="4" t="s">
        <v>6</v>
      </c>
      <c r="F492" s="4"/>
      <c r="G492" s="9"/>
      <c r="H492" s="4"/>
      <c r="I492" s="9"/>
      <c r="J492" s="3">
        <v>14655</v>
      </c>
      <c r="K492" s="3">
        <v>50116</v>
      </c>
      <c r="L492" s="17" t="str" cm="1">
        <f t="array" ref="L492">_xlfn.IFS(MID(K492,2,2)="01", "서울", MID(K492,2,2)="02","경기",MID(K492,2,2)="03","충청",MID(K492,2,2)="04","충청",MID(K492,2,2)="05","전라",MID(K492,2,2)="06","전라",MID(K492,2,2)="07","경북",MID(K492,2,2)="08","경남",MID(K492,2,2)="09","강원",MID(K492,2,2)="10","제주",TRUE,"국외")</f>
        <v>서울</v>
      </c>
    </row>
    <row r="493" spans="1:12" ht="17.25" thickBot="1">
      <c r="A493" s="3" t="s">
        <v>632</v>
      </c>
      <c r="B493" s="3" t="s">
        <v>358</v>
      </c>
      <c r="C493" s="3"/>
      <c r="D493" s="4" t="s">
        <v>254</v>
      </c>
      <c r="E493" s="4" t="s">
        <v>28</v>
      </c>
      <c r="F493" s="4">
        <v>2020</v>
      </c>
      <c r="G493" s="8">
        <v>-0.1</v>
      </c>
      <c r="H493" s="4" t="s">
        <v>9</v>
      </c>
      <c r="I493" s="8">
        <v>-0.3</v>
      </c>
      <c r="J493" s="3">
        <v>14601</v>
      </c>
      <c r="K493" s="3">
        <v>50902</v>
      </c>
      <c r="L493" s="17" t="str" cm="1">
        <f t="array" ref="L493">_xlfn.IFS(MID(K493,2,2)="01", "서울", MID(K493,2,2)="02","경기",MID(K493,2,2)="03","충청",MID(K493,2,2)="04","충청",MID(K493,2,2)="05","전라",MID(K493,2,2)="06","전라",MID(K493,2,2)="07","경북",MID(K493,2,2)="08","경남",MID(K493,2,2)="09","강원",MID(K493,2,2)="10","제주",TRUE,"국외")</f>
        <v>강원</v>
      </c>
    </row>
    <row r="494" spans="1:12" ht="17.25" thickBot="1">
      <c r="A494" s="3" t="s">
        <v>633</v>
      </c>
      <c r="B494" s="3" t="s">
        <v>224</v>
      </c>
      <c r="C494" s="3" t="s">
        <v>174</v>
      </c>
      <c r="D494" s="4" t="s">
        <v>254</v>
      </c>
      <c r="E494" s="4" t="s">
        <v>20</v>
      </c>
      <c r="F494" s="4">
        <v>2020</v>
      </c>
      <c r="G494" s="8">
        <v>-0.2</v>
      </c>
      <c r="H494" s="4" t="s">
        <v>20</v>
      </c>
      <c r="I494" s="8">
        <v>-0.6</v>
      </c>
      <c r="J494" s="3">
        <v>14590</v>
      </c>
      <c r="K494" s="3">
        <v>50216</v>
      </c>
      <c r="L494" s="17" t="str" cm="1">
        <f t="array" ref="L494">_xlfn.IFS(MID(K494,2,2)="01", "서울", MID(K494,2,2)="02","경기",MID(K494,2,2)="03","충청",MID(K494,2,2)="04","충청",MID(K494,2,2)="05","전라",MID(K494,2,2)="06","전라",MID(K494,2,2)="07","경북",MID(K494,2,2)="08","경남",MID(K494,2,2)="09","강원",MID(K494,2,2)="10","제주",TRUE,"국외")</f>
        <v>경기</v>
      </c>
    </row>
    <row r="495" spans="1:12" ht="17.25" thickBot="1">
      <c r="A495" s="3" t="s">
        <v>634</v>
      </c>
      <c r="B495" s="3" t="s">
        <v>101</v>
      </c>
      <c r="C495" s="3"/>
      <c r="D495" s="4" t="s">
        <v>254</v>
      </c>
      <c r="E495" s="4" t="s">
        <v>12</v>
      </c>
      <c r="F495" s="4">
        <v>2020</v>
      </c>
      <c r="G495" s="8">
        <v>0.1</v>
      </c>
      <c r="H495" s="4" t="s">
        <v>12</v>
      </c>
      <c r="I495" s="8">
        <v>0</v>
      </c>
      <c r="J495" s="3">
        <v>14598</v>
      </c>
      <c r="K495" s="3">
        <v>50207</v>
      </c>
      <c r="L495" s="17" t="str" cm="1">
        <f t="array" ref="L495">_xlfn.IFS(MID(K495,2,2)="01", "서울", MID(K495,2,2)="02","경기",MID(K495,2,2)="03","충청",MID(K495,2,2)="04","충청",MID(K495,2,2)="05","전라",MID(K495,2,2)="06","전라",MID(K495,2,2)="07","경북",MID(K495,2,2)="08","경남",MID(K495,2,2)="09","강원",MID(K495,2,2)="10","제주",TRUE,"국외")</f>
        <v>경기</v>
      </c>
    </row>
    <row r="496" spans="1:12" ht="17.25" thickBot="1">
      <c r="A496" s="3" t="s">
        <v>635</v>
      </c>
      <c r="B496" s="3" t="s">
        <v>107</v>
      </c>
      <c r="C496" s="3" t="s">
        <v>133</v>
      </c>
      <c r="D496" s="4" t="s">
        <v>254</v>
      </c>
      <c r="E496" s="4" t="s">
        <v>607</v>
      </c>
      <c r="F496" s="4">
        <v>2020</v>
      </c>
      <c r="G496" s="8">
        <v>1.7</v>
      </c>
      <c r="H496" s="4" t="s">
        <v>15</v>
      </c>
      <c r="I496" s="8">
        <v>12.6</v>
      </c>
      <c r="J496" s="3">
        <v>14587</v>
      </c>
      <c r="K496" s="3">
        <v>50602</v>
      </c>
      <c r="L496" s="17" t="str" cm="1">
        <f t="array" ref="L496">_xlfn.IFS(MID(K496,2,2)="01", "서울", MID(K496,2,2)="02","경기",MID(K496,2,2)="03","충청",MID(K496,2,2)="04","충청",MID(K496,2,2)="05","전라",MID(K496,2,2)="06","전라",MID(K496,2,2)="07","경북",MID(K496,2,2)="08","경남",MID(K496,2,2)="09","강원",MID(K496,2,2)="10","제주",TRUE,"국외")</f>
        <v>전라</v>
      </c>
    </row>
    <row r="497" spans="1:12" ht="17.25" thickBot="1">
      <c r="A497" s="3" t="s">
        <v>636</v>
      </c>
      <c r="B497" s="3" t="s">
        <v>140</v>
      </c>
      <c r="C497" s="3"/>
      <c r="D497" s="4" t="s">
        <v>254</v>
      </c>
      <c r="E497" s="4" t="s">
        <v>26</v>
      </c>
      <c r="F497" s="4">
        <v>2020</v>
      </c>
      <c r="G497" s="8">
        <v>0</v>
      </c>
      <c r="H497" s="4" t="s">
        <v>26</v>
      </c>
      <c r="I497" s="8">
        <v>0.1</v>
      </c>
      <c r="J497" s="3">
        <v>14574</v>
      </c>
      <c r="K497" s="3">
        <v>50801</v>
      </c>
      <c r="L497" s="17" t="str" cm="1">
        <f t="array" ref="L497">_xlfn.IFS(MID(K497,2,2)="01", "서울", MID(K497,2,2)="02","경기",MID(K497,2,2)="03","충청",MID(K497,2,2)="04","충청",MID(K497,2,2)="05","전라",MID(K497,2,2)="06","전라",MID(K497,2,2)="07","경북",MID(K497,2,2)="08","경남",MID(K497,2,2)="09","강원",MID(K497,2,2)="10","제주",TRUE,"국외")</f>
        <v>경남</v>
      </c>
    </row>
    <row r="498" spans="1:12" ht="17.25" thickBot="1">
      <c r="A498" s="3" t="s">
        <v>637</v>
      </c>
      <c r="B498" s="3" t="s">
        <v>101</v>
      </c>
      <c r="C498" s="3"/>
      <c r="D498" s="4" t="s">
        <v>254</v>
      </c>
      <c r="E498" s="4" t="s">
        <v>9</v>
      </c>
      <c r="F498" s="4">
        <v>2020</v>
      </c>
      <c r="G498" s="8">
        <v>0</v>
      </c>
      <c r="H498" s="4" t="s">
        <v>9</v>
      </c>
      <c r="I498" s="8">
        <v>0</v>
      </c>
      <c r="J498" s="3">
        <v>14622</v>
      </c>
      <c r="K498" s="3">
        <v>50207</v>
      </c>
      <c r="L498" s="17" t="str" cm="1">
        <f t="array" ref="L498">_xlfn.IFS(MID(K498,2,2)="01", "서울", MID(K498,2,2)="02","경기",MID(K498,2,2)="03","충청",MID(K498,2,2)="04","충청",MID(K498,2,2)="05","전라",MID(K498,2,2)="06","전라",MID(K498,2,2)="07","경북",MID(K498,2,2)="08","경남",MID(K498,2,2)="09","강원",MID(K498,2,2)="10","제주",TRUE,"국외")</f>
        <v>경기</v>
      </c>
    </row>
    <row r="499" spans="1:12" ht="17.25" thickBot="1">
      <c r="A499" s="3" t="s">
        <v>638</v>
      </c>
      <c r="B499" s="3" t="s">
        <v>351</v>
      </c>
      <c r="C499" s="3"/>
      <c r="D499" s="4" t="s">
        <v>254</v>
      </c>
      <c r="E499" s="4" t="s">
        <v>23</v>
      </c>
      <c r="F499" s="4">
        <v>2020</v>
      </c>
      <c r="G499" s="8">
        <v>0</v>
      </c>
      <c r="H499" s="4" t="s">
        <v>23</v>
      </c>
      <c r="I499" s="8">
        <v>0.2</v>
      </c>
      <c r="J499" s="3">
        <v>14614</v>
      </c>
      <c r="K499" s="3">
        <v>50203</v>
      </c>
      <c r="L499" s="17" t="str" cm="1">
        <f t="array" ref="L499">_xlfn.IFS(MID(K499,2,2)="01", "서울", MID(K499,2,2)="02","경기",MID(K499,2,2)="03","충청",MID(K499,2,2)="04","충청",MID(K499,2,2)="05","전라",MID(K499,2,2)="06","전라",MID(K499,2,2)="07","경북",MID(K499,2,2)="08","경남",MID(K499,2,2)="09","강원",MID(K499,2,2)="10","제주",TRUE,"국외")</f>
        <v>경기</v>
      </c>
    </row>
    <row r="500" spans="1:12" ht="17.25" thickBot="1">
      <c r="A500" s="3" t="s">
        <v>330</v>
      </c>
      <c r="B500" s="3" t="s">
        <v>70</v>
      </c>
      <c r="C500" s="3"/>
      <c r="D500" s="4" t="s">
        <v>254</v>
      </c>
      <c r="E500" s="4" t="s">
        <v>18</v>
      </c>
      <c r="F500" s="4">
        <v>2020</v>
      </c>
      <c r="G500" s="8">
        <v>0.1</v>
      </c>
      <c r="H500" s="4" t="s">
        <v>18</v>
      </c>
      <c r="I500" s="8">
        <v>0.2</v>
      </c>
      <c r="J500" s="3">
        <v>14674</v>
      </c>
      <c r="K500" s="3">
        <v>50103</v>
      </c>
      <c r="L500" s="17" t="str" cm="1">
        <f t="array" ref="L500">_xlfn.IFS(MID(K500,2,2)="01", "서울", MID(K500,2,2)="02","경기",MID(K500,2,2)="03","충청",MID(K500,2,2)="04","충청",MID(K500,2,2)="05","전라",MID(K500,2,2)="06","전라",MID(K500,2,2)="07","경북",MID(K500,2,2)="08","경남",MID(K500,2,2)="09","강원",MID(K500,2,2)="10","제주",TRUE,"국외")</f>
        <v>서울</v>
      </c>
    </row>
    <row r="501" spans="1:12" ht="17.25" thickBot="1">
      <c r="A501" s="3" t="s">
        <v>639</v>
      </c>
      <c r="B501" s="3" t="s">
        <v>25</v>
      </c>
      <c r="C501" s="3"/>
      <c r="D501" s="4" t="s">
        <v>254</v>
      </c>
      <c r="E501" s="4" t="s">
        <v>3</v>
      </c>
      <c r="F501" s="4">
        <v>2020</v>
      </c>
      <c r="G501" s="8">
        <v>-0.6</v>
      </c>
      <c r="H501" s="4" t="s">
        <v>3</v>
      </c>
      <c r="I501" s="8">
        <v>-2.2000000000000002</v>
      </c>
      <c r="J501" s="3">
        <v>14706</v>
      </c>
      <c r="K501" s="3">
        <v>50403</v>
      </c>
      <c r="L501" s="17" t="str" cm="1">
        <f t="array" ref="L501">_xlfn.IFS(MID(K501,2,2)="01", "서울", MID(K501,2,2)="02","경기",MID(K501,2,2)="03","충청",MID(K501,2,2)="04","충청",MID(K501,2,2)="05","전라",MID(K501,2,2)="06","전라",MID(K501,2,2)="07","경북",MID(K501,2,2)="08","경남",MID(K501,2,2)="09","강원",MID(K501,2,2)="10","제주",TRUE,"국외")</f>
        <v>충청</v>
      </c>
    </row>
    <row r="502" spans="1:12" ht="17.25" thickBot="1">
      <c r="A502" s="3" t="s">
        <v>640</v>
      </c>
      <c r="B502" s="3" t="s">
        <v>25</v>
      </c>
      <c r="C502" s="3"/>
      <c r="D502" s="4" t="s">
        <v>254</v>
      </c>
      <c r="E502" s="4" t="s">
        <v>6</v>
      </c>
      <c r="F502" s="4"/>
      <c r="G502" s="9"/>
      <c r="H502" s="4"/>
      <c r="I502" s="9"/>
      <c r="J502" s="3">
        <v>14607</v>
      </c>
      <c r="K502" s="3">
        <v>50403</v>
      </c>
      <c r="L502" s="17" t="str" cm="1">
        <f t="array" ref="L502">_xlfn.IFS(MID(K502,2,2)="01", "서울", MID(K502,2,2)="02","경기",MID(K502,2,2)="03","충청",MID(K502,2,2)="04","충청",MID(K502,2,2)="05","전라",MID(K502,2,2)="06","전라",MID(K502,2,2)="07","경북",MID(K502,2,2)="08","경남",MID(K502,2,2)="09","강원",MID(K502,2,2)="10","제주",TRUE,"국외")</f>
        <v>충청</v>
      </c>
    </row>
    <row r="503" spans="1:12" ht="17.25" thickBot="1">
      <c r="A503" s="3" t="s">
        <v>641</v>
      </c>
      <c r="B503" s="3" t="s">
        <v>5</v>
      </c>
      <c r="C503" s="3"/>
      <c r="D503" s="4" t="s">
        <v>254</v>
      </c>
      <c r="E503" s="4" t="s">
        <v>28</v>
      </c>
      <c r="F503" s="4"/>
      <c r="G503" s="9"/>
      <c r="H503" s="4"/>
      <c r="I503" s="9"/>
      <c r="J503" s="3">
        <v>14605</v>
      </c>
      <c r="K503" s="3">
        <v>50114</v>
      </c>
      <c r="L503" s="17" t="str" cm="1">
        <f t="array" ref="L503">_xlfn.IFS(MID(K503,2,2)="01", "서울", MID(K503,2,2)="02","경기",MID(K503,2,2)="03","충청",MID(K503,2,2)="04","충청",MID(K503,2,2)="05","전라",MID(K503,2,2)="06","전라",MID(K503,2,2)="07","경북",MID(K503,2,2)="08","경남",MID(K503,2,2)="09","강원",MID(K503,2,2)="10","제주",TRUE,"국외")</f>
        <v>서울</v>
      </c>
    </row>
    <row r="504" spans="1:12" ht="17.25" thickBot="1">
      <c r="A504" s="3" t="s">
        <v>642</v>
      </c>
      <c r="B504" s="3" t="s">
        <v>1</v>
      </c>
      <c r="C504" s="3"/>
      <c r="D504" s="4" t="s">
        <v>254</v>
      </c>
      <c r="E504" s="4" t="s">
        <v>20</v>
      </c>
      <c r="F504" s="4"/>
      <c r="G504" s="9"/>
      <c r="H504" s="4"/>
      <c r="I504" s="9"/>
      <c r="J504" s="3">
        <v>14660</v>
      </c>
      <c r="K504" s="3">
        <v>50107</v>
      </c>
      <c r="L504" s="17" t="str" cm="1">
        <f t="array" ref="L504">_xlfn.IFS(MID(K504,2,2)="01", "서울", MID(K504,2,2)="02","경기",MID(K504,2,2)="03","충청",MID(K504,2,2)="04","충청",MID(K504,2,2)="05","전라",MID(K504,2,2)="06","전라",MID(K504,2,2)="07","경북",MID(K504,2,2)="08","경남",MID(K504,2,2)="09","강원",MID(K504,2,2)="10","제주",TRUE,"국외")</f>
        <v>서울</v>
      </c>
    </row>
    <row r="505" spans="1:12" ht="17.25" thickBot="1">
      <c r="A505" s="3" t="s">
        <v>643</v>
      </c>
      <c r="B505" s="3" t="s">
        <v>22</v>
      </c>
      <c r="C505" s="3"/>
      <c r="D505" s="4" t="s">
        <v>254</v>
      </c>
      <c r="E505" s="4" t="s">
        <v>12</v>
      </c>
      <c r="F505" s="4">
        <v>2020</v>
      </c>
      <c r="G505" s="8">
        <v>0</v>
      </c>
      <c r="H505" s="4" t="s">
        <v>12</v>
      </c>
      <c r="I505" s="8">
        <v>0</v>
      </c>
      <c r="J505" s="3">
        <v>14594</v>
      </c>
      <c r="K505" s="3">
        <v>50209</v>
      </c>
      <c r="L505" s="17" t="str" cm="1">
        <f t="array" ref="L505">_xlfn.IFS(MID(K505,2,2)="01", "서울", MID(K505,2,2)="02","경기",MID(K505,2,2)="03","충청",MID(K505,2,2)="04","충청",MID(K505,2,2)="05","전라",MID(K505,2,2)="06","전라",MID(K505,2,2)="07","경북",MID(K505,2,2)="08","경남",MID(K505,2,2)="09","강원",MID(K505,2,2)="10","제주",TRUE,"국외")</f>
        <v>경기</v>
      </c>
    </row>
    <row r="506" spans="1:12" ht="17.25" thickBot="1">
      <c r="A506" s="3" t="s">
        <v>644</v>
      </c>
      <c r="B506" s="3" t="s">
        <v>14</v>
      </c>
      <c r="C506" s="3"/>
      <c r="D506" s="4" t="s">
        <v>254</v>
      </c>
      <c r="E506" s="4" t="s">
        <v>607</v>
      </c>
      <c r="F506" s="4">
        <v>2020</v>
      </c>
      <c r="G506" s="8">
        <v>0</v>
      </c>
      <c r="H506" s="4" t="s">
        <v>607</v>
      </c>
      <c r="I506" s="8">
        <v>0</v>
      </c>
      <c r="J506" s="3">
        <v>14584</v>
      </c>
      <c r="K506" s="3">
        <v>50703</v>
      </c>
      <c r="L506" s="17" t="str" cm="1">
        <f t="array" ref="L506">_xlfn.IFS(MID(K506,2,2)="01", "서울", MID(K506,2,2)="02","경기",MID(K506,2,2)="03","충청",MID(K506,2,2)="04","충청",MID(K506,2,2)="05","전라",MID(K506,2,2)="06","전라",MID(K506,2,2)="07","경북",MID(K506,2,2)="08","경남",MID(K506,2,2)="09","강원",MID(K506,2,2)="10","제주",TRUE,"국외")</f>
        <v>경북</v>
      </c>
    </row>
    <row r="507" spans="1:12" ht="17.25" thickBot="1">
      <c r="A507" s="3" t="s">
        <v>645</v>
      </c>
      <c r="B507" s="3" t="s">
        <v>63</v>
      </c>
      <c r="C507" s="3"/>
      <c r="D507" s="4" t="s">
        <v>254</v>
      </c>
      <c r="E507" s="4" t="s">
        <v>26</v>
      </c>
      <c r="F507" s="4">
        <v>2020</v>
      </c>
      <c r="G507" s="8">
        <v>0</v>
      </c>
      <c r="H507" s="4" t="s">
        <v>26</v>
      </c>
      <c r="I507" s="8">
        <v>-0.3</v>
      </c>
      <c r="J507" s="3">
        <v>14732</v>
      </c>
      <c r="K507" s="3">
        <v>50807</v>
      </c>
      <c r="L507" s="17" t="str" cm="1">
        <f t="array" ref="L507">_xlfn.IFS(MID(K507,2,2)="01", "서울", MID(K507,2,2)="02","경기",MID(K507,2,2)="03","충청",MID(K507,2,2)="04","충청",MID(K507,2,2)="05","전라",MID(K507,2,2)="06","전라",MID(K507,2,2)="07","경북",MID(K507,2,2)="08","경남",MID(K507,2,2)="09","강원",MID(K507,2,2)="10","제주",TRUE,"국외")</f>
        <v>경남</v>
      </c>
    </row>
    <row r="508" spans="1:12" ht="17.25" thickBot="1">
      <c r="A508" s="3" t="s">
        <v>646</v>
      </c>
      <c r="B508" s="3" t="s">
        <v>107</v>
      </c>
      <c r="C508" s="3"/>
      <c r="D508" s="4" t="s">
        <v>254</v>
      </c>
      <c r="E508" s="4" t="s">
        <v>9</v>
      </c>
      <c r="F508" s="4"/>
      <c r="G508" s="9"/>
      <c r="H508" s="4"/>
      <c r="I508" s="9"/>
      <c r="J508" s="3">
        <v>14628</v>
      </c>
      <c r="K508" s="3">
        <v>50602</v>
      </c>
      <c r="L508" s="17" t="str" cm="1">
        <f t="array" ref="L508">_xlfn.IFS(MID(K508,2,2)="01", "서울", MID(K508,2,2)="02","경기",MID(K508,2,2)="03","충청",MID(K508,2,2)="04","충청",MID(K508,2,2)="05","전라",MID(K508,2,2)="06","전라",MID(K508,2,2)="07","경북",MID(K508,2,2)="08","경남",MID(K508,2,2)="09","강원",MID(K508,2,2)="10","제주",TRUE,"국외")</f>
        <v>전라</v>
      </c>
    </row>
    <row r="509" spans="1:12" ht="17.25" thickBot="1">
      <c r="A509" s="3" t="s">
        <v>647</v>
      </c>
      <c r="B509" s="3" t="s">
        <v>14</v>
      </c>
      <c r="C509" s="3"/>
      <c r="D509" s="4" t="s">
        <v>254</v>
      </c>
      <c r="E509" s="4" t="s">
        <v>23</v>
      </c>
      <c r="F509" s="4">
        <v>2020</v>
      </c>
      <c r="G509" s="8">
        <v>0.1</v>
      </c>
      <c r="H509" s="4" t="s">
        <v>23</v>
      </c>
      <c r="I509" s="8">
        <v>0.2</v>
      </c>
      <c r="J509" s="3">
        <v>14616</v>
      </c>
      <c r="K509" s="3">
        <v>50703</v>
      </c>
      <c r="L509" s="17" t="str" cm="1">
        <f t="array" ref="L509">_xlfn.IFS(MID(K509,2,2)="01", "서울", MID(K509,2,2)="02","경기",MID(K509,2,2)="03","충청",MID(K509,2,2)="04","충청",MID(K509,2,2)="05","전라",MID(K509,2,2)="06","전라",MID(K509,2,2)="07","경북",MID(K509,2,2)="08","경남",MID(K509,2,2)="09","강원",MID(K509,2,2)="10","제주",TRUE,"국외")</f>
        <v>경북</v>
      </c>
    </row>
    <row r="510" spans="1:12" ht="17.25" thickBot="1">
      <c r="A510" s="3" t="s">
        <v>648</v>
      </c>
      <c r="B510" s="3" t="s">
        <v>32</v>
      </c>
      <c r="C510" s="3"/>
      <c r="D510" s="4" t="s">
        <v>254</v>
      </c>
      <c r="E510" s="4" t="s">
        <v>18</v>
      </c>
      <c r="F510" s="4">
        <v>2020</v>
      </c>
      <c r="G510" s="8">
        <v>0</v>
      </c>
      <c r="H510" s="4" t="s">
        <v>18</v>
      </c>
      <c r="I510" s="8">
        <v>-0.2</v>
      </c>
      <c r="J510" s="3">
        <v>14577</v>
      </c>
      <c r="K510" s="3">
        <v>50111</v>
      </c>
      <c r="L510" s="17" t="str" cm="1">
        <f t="array" ref="L510">_xlfn.IFS(MID(K510,2,2)="01", "서울", MID(K510,2,2)="02","경기",MID(K510,2,2)="03","충청",MID(K510,2,2)="04","충청",MID(K510,2,2)="05","전라",MID(K510,2,2)="06","전라",MID(K510,2,2)="07","경북",MID(K510,2,2)="08","경남",MID(K510,2,2)="09","강원",MID(K510,2,2)="10","제주",TRUE,"국외")</f>
        <v>서울</v>
      </c>
    </row>
    <row r="511" spans="1:12" ht="17.25" thickBot="1">
      <c r="A511" s="3" t="s">
        <v>649</v>
      </c>
      <c r="B511" s="3" t="s">
        <v>63</v>
      </c>
      <c r="C511" s="3" t="s">
        <v>122</v>
      </c>
      <c r="D511" s="4" t="s">
        <v>254</v>
      </c>
      <c r="E511" s="4" t="s">
        <v>3</v>
      </c>
      <c r="F511" s="4">
        <v>2020</v>
      </c>
      <c r="G511" s="8">
        <v>1.8</v>
      </c>
      <c r="H511" s="4" t="s">
        <v>3</v>
      </c>
      <c r="I511" s="8">
        <v>3.2</v>
      </c>
      <c r="J511" s="3">
        <v>14708</v>
      </c>
      <c r="K511" s="3">
        <v>50807</v>
      </c>
      <c r="L511" s="17" t="str" cm="1">
        <f t="array" ref="L511">_xlfn.IFS(MID(K511,2,2)="01", "서울", MID(K511,2,2)="02","경기",MID(K511,2,2)="03","충청",MID(K511,2,2)="04","충청",MID(K511,2,2)="05","전라",MID(K511,2,2)="06","전라",MID(K511,2,2)="07","경북",MID(K511,2,2)="08","경남",MID(K511,2,2)="09","강원",MID(K511,2,2)="10","제주",TRUE,"국외")</f>
        <v>경남</v>
      </c>
    </row>
    <row r="512" spans="1:12" ht="17.25" thickBot="1">
      <c r="A512" s="3" t="s">
        <v>650</v>
      </c>
      <c r="B512" s="3" t="s">
        <v>25</v>
      </c>
      <c r="C512" s="3"/>
      <c r="D512" s="4" t="s">
        <v>254</v>
      </c>
      <c r="E512" s="4" t="s">
        <v>6</v>
      </c>
      <c r="F512" s="4"/>
      <c r="G512" s="9"/>
      <c r="H512" s="4"/>
      <c r="I512" s="9"/>
      <c r="J512" s="3">
        <v>14645</v>
      </c>
      <c r="K512" s="3">
        <v>50403</v>
      </c>
      <c r="L512" s="17" t="str" cm="1">
        <f t="array" ref="L512">_xlfn.IFS(MID(K512,2,2)="01", "서울", MID(K512,2,2)="02","경기",MID(K512,2,2)="03","충청",MID(K512,2,2)="04","충청",MID(K512,2,2)="05","전라",MID(K512,2,2)="06","전라",MID(K512,2,2)="07","경북",MID(K512,2,2)="08","경남",MID(K512,2,2)="09","강원",MID(K512,2,2)="10","제주",TRUE,"국외")</f>
        <v>충청</v>
      </c>
    </row>
    <row r="513" spans="1:12" ht="17.25" thickBot="1">
      <c r="A513" s="3" t="s">
        <v>651</v>
      </c>
      <c r="B513" s="3" t="s">
        <v>66</v>
      </c>
      <c r="C513" s="3"/>
      <c r="D513" s="4" t="s">
        <v>254</v>
      </c>
      <c r="E513" s="4" t="s">
        <v>28</v>
      </c>
      <c r="F513" s="4"/>
      <c r="G513" s="9"/>
      <c r="H513" s="4"/>
      <c r="I513" s="9"/>
      <c r="J513" s="3">
        <v>14723</v>
      </c>
      <c r="K513" s="3">
        <v>50110</v>
      </c>
      <c r="L513" s="17" t="str" cm="1">
        <f t="array" ref="L513">_xlfn.IFS(MID(K513,2,2)="01", "서울", MID(K513,2,2)="02","경기",MID(K513,2,2)="03","충청",MID(K513,2,2)="04","충청",MID(K513,2,2)="05","전라",MID(K513,2,2)="06","전라",MID(K513,2,2)="07","경북",MID(K513,2,2)="08","경남",MID(K513,2,2)="09","강원",MID(K513,2,2)="10","제주",TRUE,"국외")</f>
        <v>서울</v>
      </c>
    </row>
    <row r="514" spans="1:12" ht="17.25" thickBot="1">
      <c r="A514" s="3" t="s">
        <v>652</v>
      </c>
      <c r="B514" s="3" t="s">
        <v>81</v>
      </c>
      <c r="C514" s="3" t="s">
        <v>208</v>
      </c>
      <c r="D514" s="4" t="s">
        <v>254</v>
      </c>
      <c r="E514" s="4" t="s">
        <v>20</v>
      </c>
      <c r="F514" s="4">
        <v>2023</v>
      </c>
      <c r="G514" s="9"/>
      <c r="H514" s="4" t="s">
        <v>20</v>
      </c>
      <c r="I514" s="8">
        <v>1</v>
      </c>
      <c r="J514" s="3">
        <v>14669</v>
      </c>
      <c r="K514" s="3">
        <v>50105</v>
      </c>
      <c r="L514" s="17" t="str" cm="1">
        <f t="array" ref="L514">_xlfn.IFS(MID(K514,2,2)="01", "서울", MID(K514,2,2)="02","경기",MID(K514,2,2)="03","충청",MID(K514,2,2)="04","충청",MID(K514,2,2)="05","전라",MID(K514,2,2)="06","전라",MID(K514,2,2)="07","경북",MID(K514,2,2)="08","경남",MID(K514,2,2)="09","강원",MID(K514,2,2)="10","제주",TRUE,"국외")</f>
        <v>서울</v>
      </c>
    </row>
    <row r="515" spans="1:12" ht="17.25" thickBot="1">
      <c r="A515" s="3" t="s">
        <v>653</v>
      </c>
      <c r="B515" s="3" t="s">
        <v>81</v>
      </c>
      <c r="C515" s="3"/>
      <c r="D515" s="4" t="s">
        <v>254</v>
      </c>
      <c r="E515" s="4" t="s">
        <v>12</v>
      </c>
      <c r="F515" s="4">
        <v>2021</v>
      </c>
      <c r="G515" s="9"/>
      <c r="H515" s="4" t="s">
        <v>12</v>
      </c>
      <c r="I515" s="8">
        <v>0.2</v>
      </c>
      <c r="J515" s="3">
        <v>14647</v>
      </c>
      <c r="K515" s="3">
        <v>50105</v>
      </c>
      <c r="L515" s="17" t="str" cm="1">
        <f t="array" ref="L515">_xlfn.IFS(MID(K515,2,2)="01", "서울", MID(K515,2,2)="02","경기",MID(K515,2,2)="03","충청",MID(K515,2,2)="04","충청",MID(K515,2,2)="05","전라",MID(K515,2,2)="06","전라",MID(K515,2,2)="07","경북",MID(K515,2,2)="08","경남",MID(K515,2,2)="09","강원",MID(K515,2,2)="10","제주",TRUE,"국외")</f>
        <v>서울</v>
      </c>
    </row>
    <row r="516" spans="1:12" ht="17.25" thickBot="1">
      <c r="A516" s="3" t="s">
        <v>654</v>
      </c>
      <c r="B516" s="3" t="s">
        <v>56</v>
      </c>
      <c r="C516" s="3"/>
      <c r="D516" s="4" t="s">
        <v>254</v>
      </c>
      <c r="E516" s="4" t="s">
        <v>607</v>
      </c>
      <c r="F516" s="4"/>
      <c r="G516" s="9"/>
      <c r="H516" s="4"/>
      <c r="I516" s="9"/>
      <c r="J516" s="3">
        <v>14684</v>
      </c>
      <c r="K516" s="3">
        <v>50215</v>
      </c>
      <c r="L516" s="17" t="str" cm="1">
        <f t="array" ref="L516">_xlfn.IFS(MID(K516,2,2)="01", "서울", MID(K516,2,2)="02","경기",MID(K516,2,2)="03","충청",MID(K516,2,2)="04","충청",MID(K516,2,2)="05","전라",MID(K516,2,2)="06","전라",MID(K516,2,2)="07","경북",MID(K516,2,2)="08","경남",MID(K516,2,2)="09","강원",MID(K516,2,2)="10","제주",TRUE,"국외")</f>
        <v>경기</v>
      </c>
    </row>
    <row r="517" spans="1:12" ht="17.25" thickBot="1">
      <c r="A517" s="3" t="s">
        <v>655</v>
      </c>
      <c r="B517" s="3" t="s">
        <v>52</v>
      </c>
      <c r="C517" s="3"/>
      <c r="D517" s="4" t="s">
        <v>254</v>
      </c>
      <c r="E517" s="4" t="s">
        <v>26</v>
      </c>
      <c r="F517" s="4">
        <v>2020</v>
      </c>
      <c r="G517" s="8">
        <v>-0.1</v>
      </c>
      <c r="H517" s="4" t="s">
        <v>26</v>
      </c>
      <c r="I517" s="8">
        <v>-0.1</v>
      </c>
      <c r="J517" s="3">
        <v>14736</v>
      </c>
      <c r="K517" s="3">
        <v>50803</v>
      </c>
      <c r="L517" s="17" t="str" cm="1">
        <f t="array" ref="L517">_xlfn.IFS(MID(K517,2,2)="01", "서울", MID(K517,2,2)="02","경기",MID(K517,2,2)="03","충청",MID(K517,2,2)="04","충청",MID(K517,2,2)="05","전라",MID(K517,2,2)="06","전라",MID(K517,2,2)="07","경북",MID(K517,2,2)="08","경남",MID(K517,2,2)="09","강원",MID(K517,2,2)="10","제주",TRUE,"국외")</f>
        <v>경남</v>
      </c>
    </row>
    <row r="518" spans="1:12" ht="17.25" thickBot="1">
      <c r="A518" s="3" t="s">
        <v>656</v>
      </c>
      <c r="B518" s="3" t="s">
        <v>469</v>
      </c>
      <c r="C518" s="3" t="s">
        <v>549</v>
      </c>
      <c r="D518" s="4" t="s">
        <v>254</v>
      </c>
      <c r="E518" s="4" t="s">
        <v>9</v>
      </c>
      <c r="F518" s="4">
        <v>2022</v>
      </c>
      <c r="G518" s="9"/>
      <c r="H518" s="4" t="s">
        <v>9</v>
      </c>
      <c r="I518" s="8">
        <v>0.3</v>
      </c>
      <c r="J518" s="3">
        <v>14642</v>
      </c>
      <c r="K518" s="3">
        <v>50205</v>
      </c>
      <c r="L518" s="17" t="str" cm="1">
        <f t="array" ref="L518">_xlfn.IFS(MID(K518,2,2)="01", "서울", MID(K518,2,2)="02","경기",MID(K518,2,2)="03","충청",MID(K518,2,2)="04","충청",MID(K518,2,2)="05","전라",MID(K518,2,2)="06","전라",MID(K518,2,2)="07","경북",MID(K518,2,2)="08","경남",MID(K518,2,2)="09","강원",MID(K518,2,2)="10","제주",TRUE,"국외")</f>
        <v>경기</v>
      </c>
    </row>
    <row r="519" spans="1:12" ht="17.25" thickBot="1">
      <c r="A519" s="3" t="s">
        <v>657</v>
      </c>
      <c r="B519" s="3" t="s">
        <v>8</v>
      </c>
      <c r="C519" s="3"/>
      <c r="D519" s="4" t="s">
        <v>254</v>
      </c>
      <c r="E519" s="4" t="s">
        <v>23</v>
      </c>
      <c r="F519" s="4">
        <v>2022</v>
      </c>
      <c r="G519" s="9"/>
      <c r="H519" s="4" t="s">
        <v>23</v>
      </c>
      <c r="I519" s="8">
        <v>0.1</v>
      </c>
      <c r="J519" s="3">
        <v>14668</v>
      </c>
      <c r="K519" s="3">
        <v>50116</v>
      </c>
      <c r="L519" s="17" t="str" cm="1">
        <f t="array" ref="L519">_xlfn.IFS(MID(K519,2,2)="01", "서울", MID(K519,2,2)="02","경기",MID(K519,2,2)="03","충청",MID(K519,2,2)="04","충청",MID(K519,2,2)="05","전라",MID(K519,2,2)="06","전라",MID(K519,2,2)="07","경북",MID(K519,2,2)="08","경남",MID(K519,2,2)="09","강원",MID(K519,2,2)="10","제주",TRUE,"국외")</f>
        <v>서울</v>
      </c>
    </row>
    <row r="520" spans="1:12" ht="17.25" thickBot="1">
      <c r="A520" s="3" t="s">
        <v>658</v>
      </c>
      <c r="B520" s="3" t="s">
        <v>128</v>
      </c>
      <c r="C520" s="3" t="s">
        <v>221</v>
      </c>
      <c r="D520" s="4" t="s">
        <v>254</v>
      </c>
      <c r="E520" s="4" t="s">
        <v>18</v>
      </c>
      <c r="F520" s="4">
        <v>2020</v>
      </c>
      <c r="G520" s="8">
        <v>0</v>
      </c>
      <c r="H520" s="4" t="s">
        <v>18</v>
      </c>
      <c r="I520" s="8">
        <v>-0.1</v>
      </c>
      <c r="J520" s="3">
        <v>14693</v>
      </c>
      <c r="K520" s="3">
        <v>50901</v>
      </c>
      <c r="L520" s="17" t="str" cm="1">
        <f t="array" ref="L520">_xlfn.IFS(MID(K520,2,2)="01", "서울", MID(K520,2,2)="02","경기",MID(K520,2,2)="03","충청",MID(K520,2,2)="04","충청",MID(K520,2,2)="05","전라",MID(K520,2,2)="06","전라",MID(K520,2,2)="07","경북",MID(K520,2,2)="08","경남",MID(K520,2,2)="09","강원",MID(K520,2,2)="10","제주",TRUE,"국외")</f>
        <v>강원</v>
      </c>
    </row>
    <row r="521" spans="1:12" ht="17.25" thickBot="1">
      <c r="A521" s="3" t="s">
        <v>659</v>
      </c>
      <c r="B521" s="3" t="s">
        <v>147</v>
      </c>
      <c r="C521" s="3" t="s">
        <v>133</v>
      </c>
      <c r="D521" s="4" t="s">
        <v>254</v>
      </c>
      <c r="E521" s="4" t="s">
        <v>3</v>
      </c>
      <c r="F521" s="4">
        <v>2020</v>
      </c>
      <c r="G521" s="8">
        <v>0.2</v>
      </c>
      <c r="H521" s="4" t="s">
        <v>3</v>
      </c>
      <c r="I521" s="8">
        <v>0.1</v>
      </c>
      <c r="J521" s="3">
        <v>14714</v>
      </c>
      <c r="K521" s="3">
        <v>50208</v>
      </c>
      <c r="L521" s="17" t="str" cm="1">
        <f t="array" ref="L521">_xlfn.IFS(MID(K521,2,2)="01", "서울", MID(K521,2,2)="02","경기",MID(K521,2,2)="03","충청",MID(K521,2,2)="04","충청",MID(K521,2,2)="05","전라",MID(K521,2,2)="06","전라",MID(K521,2,2)="07","경북",MID(K521,2,2)="08","경남",MID(K521,2,2)="09","강원",MID(K521,2,2)="10","제주",TRUE,"국외")</f>
        <v>경기</v>
      </c>
    </row>
    <row r="522" spans="1:12" ht="17.25" thickBot="1">
      <c r="A522" s="3" t="s">
        <v>355</v>
      </c>
      <c r="B522" s="3" t="s">
        <v>11</v>
      </c>
      <c r="C522" s="3"/>
      <c r="D522" s="4" t="s">
        <v>254</v>
      </c>
      <c r="E522" s="4" t="s">
        <v>6</v>
      </c>
      <c r="F522" s="4">
        <v>2022</v>
      </c>
      <c r="G522" s="9"/>
      <c r="H522" s="4" t="s">
        <v>6</v>
      </c>
      <c r="I522" s="8">
        <v>0</v>
      </c>
      <c r="J522" s="3">
        <v>14657</v>
      </c>
      <c r="K522" s="3">
        <v>50802</v>
      </c>
      <c r="L522" s="17" t="str" cm="1">
        <f t="array" ref="L522">_xlfn.IFS(MID(K522,2,2)="01", "서울", MID(K522,2,2)="02","경기",MID(K522,2,2)="03","충청",MID(K522,2,2)="04","충청",MID(K522,2,2)="05","전라",MID(K522,2,2)="06","전라",MID(K522,2,2)="07","경북",MID(K522,2,2)="08","경남",MID(K522,2,2)="09","강원",MID(K522,2,2)="10","제주",TRUE,"국외")</f>
        <v>경남</v>
      </c>
    </row>
    <row r="523" spans="1:12" ht="17.25" thickBot="1">
      <c r="A523" s="3" t="s">
        <v>660</v>
      </c>
      <c r="B523" s="3" t="s">
        <v>38</v>
      </c>
      <c r="C523" s="3"/>
      <c r="D523" s="4" t="s">
        <v>254</v>
      </c>
      <c r="E523" s="4" t="s">
        <v>28</v>
      </c>
      <c r="F523" s="4"/>
      <c r="G523" s="9"/>
      <c r="H523" s="4"/>
      <c r="I523" s="9"/>
      <c r="J523" s="3">
        <v>14717</v>
      </c>
      <c r="K523" s="3">
        <v>50109</v>
      </c>
      <c r="L523" s="17" t="str" cm="1">
        <f t="array" ref="L523">_xlfn.IFS(MID(K523,2,2)="01", "서울", MID(K523,2,2)="02","경기",MID(K523,2,2)="03","충청",MID(K523,2,2)="04","충청",MID(K523,2,2)="05","전라",MID(K523,2,2)="06","전라",MID(K523,2,2)="07","경북",MID(K523,2,2)="08","경남",MID(K523,2,2)="09","강원",MID(K523,2,2)="10","제주",TRUE,"국외")</f>
        <v>서울</v>
      </c>
    </row>
    <row r="524" spans="1:12" ht="17.25" thickBot="1">
      <c r="A524" s="3" t="s">
        <v>661</v>
      </c>
      <c r="B524" s="3" t="s">
        <v>17</v>
      </c>
      <c r="C524" s="3"/>
      <c r="D524" s="4" t="s">
        <v>254</v>
      </c>
      <c r="E524" s="4" t="s">
        <v>20</v>
      </c>
      <c r="F524" s="4"/>
      <c r="G524" s="9"/>
      <c r="H524" s="4"/>
      <c r="I524" s="9"/>
      <c r="J524" s="3">
        <v>14671</v>
      </c>
      <c r="K524" s="3">
        <v>50903</v>
      </c>
      <c r="L524" s="17" t="str" cm="1">
        <f t="array" ref="L524">_xlfn.IFS(MID(K524,2,2)="01", "서울", MID(K524,2,2)="02","경기",MID(K524,2,2)="03","충청",MID(K524,2,2)="04","충청",MID(K524,2,2)="05","전라",MID(K524,2,2)="06","전라",MID(K524,2,2)="07","경북",MID(K524,2,2)="08","경남",MID(K524,2,2)="09","강원",MID(K524,2,2)="10","제주",TRUE,"국외")</f>
        <v>강원</v>
      </c>
    </row>
    <row r="525" spans="1:12" ht="17.25" thickBot="1">
      <c r="A525" s="3" t="s">
        <v>662</v>
      </c>
      <c r="B525" s="3" t="s">
        <v>36</v>
      </c>
      <c r="C525" s="3"/>
      <c r="D525" s="4" t="s">
        <v>254</v>
      </c>
      <c r="E525" s="4" t="s">
        <v>12</v>
      </c>
      <c r="F525" s="4"/>
      <c r="G525" s="9"/>
      <c r="H525" s="4"/>
      <c r="I525" s="9"/>
      <c r="J525" s="3">
        <v>14656</v>
      </c>
      <c r="K525" s="3">
        <v>50402</v>
      </c>
      <c r="L525" s="17" t="str" cm="1">
        <f t="array" ref="L525">_xlfn.IFS(MID(K525,2,2)="01", "서울", MID(K525,2,2)="02","경기",MID(K525,2,2)="03","충청",MID(K525,2,2)="04","충청",MID(K525,2,2)="05","전라",MID(K525,2,2)="06","전라",MID(K525,2,2)="07","경북",MID(K525,2,2)="08","경남",MID(K525,2,2)="09","강원",MID(K525,2,2)="10","제주",TRUE,"국외")</f>
        <v>충청</v>
      </c>
    </row>
    <row r="526" spans="1:12" ht="17.25" thickBot="1">
      <c r="A526" s="3" t="s">
        <v>663</v>
      </c>
      <c r="B526" s="3" t="s">
        <v>332</v>
      </c>
      <c r="C526" s="3" t="s">
        <v>99</v>
      </c>
      <c r="D526" s="4" t="s">
        <v>254</v>
      </c>
      <c r="E526" s="4" t="s">
        <v>607</v>
      </c>
      <c r="F526" s="4">
        <v>2020</v>
      </c>
      <c r="G526" s="8">
        <v>-0.1</v>
      </c>
      <c r="H526" s="4" t="s">
        <v>607</v>
      </c>
      <c r="I526" s="8">
        <v>-0.2</v>
      </c>
      <c r="J526" s="3">
        <v>14586</v>
      </c>
      <c r="K526" s="3">
        <v>50705</v>
      </c>
      <c r="L526" s="17" t="str" cm="1">
        <f t="array" ref="L526">_xlfn.IFS(MID(K526,2,2)="01", "서울", MID(K526,2,2)="02","경기",MID(K526,2,2)="03","충청",MID(K526,2,2)="04","충청",MID(K526,2,2)="05","전라",MID(K526,2,2)="06","전라",MID(K526,2,2)="07","경북",MID(K526,2,2)="08","경남",MID(K526,2,2)="09","강원",MID(K526,2,2)="10","제주",TRUE,"국외")</f>
        <v>경북</v>
      </c>
    </row>
    <row r="527" spans="1:12" ht="17.25" thickBot="1">
      <c r="A527" s="3" t="s">
        <v>664</v>
      </c>
      <c r="B527" s="3" t="s">
        <v>25</v>
      </c>
      <c r="C527" s="3"/>
      <c r="D527" s="4" t="s">
        <v>254</v>
      </c>
      <c r="E527" s="4" t="s">
        <v>26</v>
      </c>
      <c r="F527" s="4">
        <v>2020</v>
      </c>
      <c r="G527" s="8">
        <v>-0.1</v>
      </c>
      <c r="H527" s="4" t="s">
        <v>26</v>
      </c>
      <c r="I527" s="8">
        <v>-0.4</v>
      </c>
      <c r="J527" s="3">
        <v>14737</v>
      </c>
      <c r="K527" s="3">
        <v>50403</v>
      </c>
      <c r="L527" s="17" t="str" cm="1">
        <f t="array" ref="L527">_xlfn.IFS(MID(K527,2,2)="01", "서울", MID(K527,2,2)="02","경기",MID(K527,2,2)="03","충청",MID(K527,2,2)="04","충청",MID(K527,2,2)="05","전라",MID(K527,2,2)="06","전라",MID(K527,2,2)="07","경북",MID(K527,2,2)="08","경남",MID(K527,2,2)="09","강원",MID(K527,2,2)="10","제주",TRUE,"국외")</f>
        <v>충청</v>
      </c>
    </row>
    <row r="528" spans="1:12" ht="17.25" thickBot="1">
      <c r="A528" s="3" t="s">
        <v>665</v>
      </c>
      <c r="B528" s="3" t="s">
        <v>32</v>
      </c>
      <c r="C528" s="3"/>
      <c r="D528" s="4" t="s">
        <v>254</v>
      </c>
      <c r="E528" s="4" t="s">
        <v>9</v>
      </c>
      <c r="F528" s="4"/>
      <c r="G528" s="9"/>
      <c r="H528" s="4"/>
      <c r="I528" s="9"/>
      <c r="J528" s="3">
        <v>14640</v>
      </c>
      <c r="K528" s="3">
        <v>50111</v>
      </c>
      <c r="L528" s="17" t="str" cm="1">
        <f t="array" ref="L528">_xlfn.IFS(MID(K528,2,2)="01", "서울", MID(K528,2,2)="02","경기",MID(K528,2,2)="03","충청",MID(K528,2,2)="04","충청",MID(K528,2,2)="05","전라",MID(K528,2,2)="06","전라",MID(K528,2,2)="07","경북",MID(K528,2,2)="08","경남",MID(K528,2,2)="09","강원",MID(K528,2,2)="10","제주",TRUE,"국외")</f>
        <v>서울</v>
      </c>
    </row>
    <row r="529" spans="1:12" ht="17.25" thickBot="1">
      <c r="A529" s="3" t="s">
        <v>666</v>
      </c>
      <c r="B529" s="3" t="s">
        <v>505</v>
      </c>
      <c r="C529" s="3"/>
      <c r="D529" s="4" t="s">
        <v>254</v>
      </c>
      <c r="E529" s="4" t="s">
        <v>23</v>
      </c>
      <c r="F529" s="4"/>
      <c r="G529" s="9"/>
      <c r="H529" s="4"/>
      <c r="I529" s="9"/>
      <c r="J529" s="3">
        <v>14666</v>
      </c>
      <c r="K529" s="3">
        <v>50218</v>
      </c>
      <c r="L529" s="17" t="str" cm="1">
        <f t="array" ref="L529">_xlfn.IFS(MID(K529,2,2)="01", "서울", MID(K529,2,2)="02","경기",MID(K529,2,2)="03","충청",MID(K529,2,2)="04","충청",MID(K529,2,2)="05","전라",MID(K529,2,2)="06","전라",MID(K529,2,2)="07","경북",MID(K529,2,2)="08","경남",MID(K529,2,2)="09","강원",MID(K529,2,2)="10","제주",TRUE,"국외")</f>
        <v>경기</v>
      </c>
    </row>
    <row r="530" spans="1:12" ht="17.25" thickBot="1">
      <c r="A530" s="3" t="s">
        <v>667</v>
      </c>
      <c r="B530" s="3" t="s">
        <v>5</v>
      </c>
      <c r="C530" s="3"/>
      <c r="D530" s="4" t="s">
        <v>254</v>
      </c>
      <c r="E530" s="4" t="s">
        <v>18</v>
      </c>
      <c r="F530" s="4">
        <v>2020</v>
      </c>
      <c r="G530" s="8">
        <v>0</v>
      </c>
      <c r="H530" s="4" t="s">
        <v>18</v>
      </c>
      <c r="I530" s="8">
        <v>-0.1</v>
      </c>
      <c r="J530" s="3">
        <v>14578</v>
      </c>
      <c r="K530" s="3">
        <v>50114</v>
      </c>
      <c r="L530" s="17" t="str" cm="1">
        <f t="array" ref="L530">_xlfn.IFS(MID(K530,2,2)="01", "서울", MID(K530,2,2)="02","경기",MID(K530,2,2)="03","충청",MID(K530,2,2)="04","충청",MID(K530,2,2)="05","전라",MID(K530,2,2)="06","전라",MID(K530,2,2)="07","경북",MID(K530,2,2)="08","경남",MID(K530,2,2)="09","강원",MID(K530,2,2)="10","제주",TRUE,"국외")</f>
        <v>서울</v>
      </c>
    </row>
    <row r="531" spans="1:12" ht="17.25" thickBot="1">
      <c r="A531" s="3" t="s">
        <v>668</v>
      </c>
      <c r="B531" s="3" t="s">
        <v>215</v>
      </c>
      <c r="C531" s="3"/>
      <c r="D531" s="4" t="s">
        <v>254</v>
      </c>
      <c r="E531" s="4" t="s">
        <v>3</v>
      </c>
      <c r="F531" s="4">
        <v>2020</v>
      </c>
      <c r="G531" s="8">
        <v>-0.8</v>
      </c>
      <c r="H531" s="4" t="s">
        <v>3</v>
      </c>
      <c r="I531" s="8">
        <v>1.6</v>
      </c>
      <c r="J531" s="3">
        <v>14707</v>
      </c>
      <c r="K531" s="3">
        <v>50710</v>
      </c>
      <c r="L531" s="17" t="str" cm="1">
        <f t="array" ref="L531">_xlfn.IFS(MID(K531,2,2)="01", "서울", MID(K531,2,2)="02","경기",MID(K531,2,2)="03","충청",MID(K531,2,2)="04","충청",MID(K531,2,2)="05","전라",MID(K531,2,2)="06","전라",MID(K531,2,2)="07","경북",MID(K531,2,2)="08","경남",MID(K531,2,2)="09","강원",MID(K531,2,2)="10","제주",TRUE,"국외")</f>
        <v>경북</v>
      </c>
    </row>
    <row r="532" spans="1:12" ht="17.25" thickBot="1">
      <c r="A532" s="3" t="s">
        <v>669</v>
      </c>
      <c r="B532" s="3" t="s">
        <v>228</v>
      </c>
      <c r="C532" s="3" t="s">
        <v>136</v>
      </c>
      <c r="D532" s="4" t="s">
        <v>254</v>
      </c>
      <c r="E532" s="4" t="s">
        <v>6</v>
      </c>
      <c r="F532" s="4"/>
      <c r="G532" s="9"/>
      <c r="H532" s="4"/>
      <c r="I532" s="9"/>
      <c r="J532" s="3">
        <v>14673</v>
      </c>
      <c r="K532" s="3">
        <v>50702</v>
      </c>
      <c r="L532" s="17" t="str" cm="1">
        <f t="array" ref="L532">_xlfn.IFS(MID(K532,2,2)="01", "서울", MID(K532,2,2)="02","경기",MID(K532,2,2)="03","충청",MID(K532,2,2)="04","충청",MID(K532,2,2)="05","전라",MID(K532,2,2)="06","전라",MID(K532,2,2)="07","경북",MID(K532,2,2)="08","경남",MID(K532,2,2)="09","강원",MID(K532,2,2)="10","제주",TRUE,"국외")</f>
        <v>경북</v>
      </c>
    </row>
    <row r="533" spans="1:12" ht="17.25" thickBot="1">
      <c r="A533" s="3" t="s">
        <v>670</v>
      </c>
      <c r="B533" s="3" t="s">
        <v>66</v>
      </c>
      <c r="C533" s="3"/>
      <c r="D533" s="4" t="s">
        <v>254</v>
      </c>
      <c r="E533" s="4" t="s">
        <v>28</v>
      </c>
      <c r="F533" s="4"/>
      <c r="G533" s="9"/>
      <c r="H533" s="4"/>
      <c r="I533" s="9"/>
      <c r="J533" s="3">
        <v>14604</v>
      </c>
      <c r="K533" s="3">
        <v>50110</v>
      </c>
      <c r="L533" s="17" t="str" cm="1">
        <f t="array" ref="L533">_xlfn.IFS(MID(K533,2,2)="01", "서울", MID(K533,2,2)="02","경기",MID(K533,2,2)="03","충청",MID(K533,2,2)="04","충청",MID(K533,2,2)="05","전라",MID(K533,2,2)="06","전라",MID(K533,2,2)="07","경북",MID(K533,2,2)="08","경남",MID(K533,2,2)="09","강원",MID(K533,2,2)="10","제주",TRUE,"국외")</f>
        <v>서울</v>
      </c>
    </row>
    <row r="534" spans="1:12" ht="17.25" thickBot="1">
      <c r="A534" s="3" t="s">
        <v>671</v>
      </c>
      <c r="B534" s="3" t="s">
        <v>5</v>
      </c>
      <c r="C534" s="3"/>
      <c r="D534" s="4" t="s">
        <v>254</v>
      </c>
      <c r="E534" s="4" t="s">
        <v>20</v>
      </c>
      <c r="F534" s="4"/>
      <c r="G534" s="9"/>
      <c r="H534" s="4"/>
      <c r="I534" s="9"/>
      <c r="J534" s="3">
        <v>14680</v>
      </c>
      <c r="K534" s="3">
        <v>50114</v>
      </c>
      <c r="L534" s="17" t="str" cm="1">
        <f t="array" ref="L534">_xlfn.IFS(MID(K534,2,2)="01", "서울", MID(K534,2,2)="02","경기",MID(K534,2,2)="03","충청",MID(K534,2,2)="04","충청",MID(K534,2,2)="05","전라",MID(K534,2,2)="06","전라",MID(K534,2,2)="07","경북",MID(K534,2,2)="08","경남",MID(K534,2,2)="09","강원",MID(K534,2,2)="10","제주",TRUE,"국외")</f>
        <v>서울</v>
      </c>
    </row>
    <row r="535" spans="1:12" ht="17.25" thickBot="1">
      <c r="A535" s="3" t="s">
        <v>672</v>
      </c>
      <c r="B535" s="3" t="s">
        <v>145</v>
      </c>
      <c r="C535" s="3"/>
      <c r="D535" s="4" t="s">
        <v>254</v>
      </c>
      <c r="E535" s="4" t="s">
        <v>12</v>
      </c>
      <c r="F535" s="4">
        <v>2022</v>
      </c>
      <c r="G535" s="9"/>
      <c r="H535" s="4" t="s">
        <v>12</v>
      </c>
      <c r="I535" s="8">
        <v>-0.8</v>
      </c>
      <c r="J535" s="3">
        <v>14716</v>
      </c>
      <c r="K535" s="3">
        <v>50106</v>
      </c>
      <c r="L535" s="17" t="str" cm="1">
        <f t="array" ref="L535">_xlfn.IFS(MID(K535,2,2)="01", "서울", MID(K535,2,2)="02","경기",MID(K535,2,2)="03","충청",MID(K535,2,2)="04","충청",MID(K535,2,2)="05","전라",MID(K535,2,2)="06","전라",MID(K535,2,2)="07","경북",MID(K535,2,2)="08","경남",MID(K535,2,2)="09","강원",MID(K535,2,2)="10","제주",TRUE,"국외")</f>
        <v>서울</v>
      </c>
    </row>
    <row r="536" spans="1:12" ht="17.25" thickBot="1">
      <c r="A536" s="3" t="s">
        <v>673</v>
      </c>
      <c r="B536" s="3" t="s">
        <v>101</v>
      </c>
      <c r="C536" s="3"/>
      <c r="D536" s="4" t="s">
        <v>254</v>
      </c>
      <c r="E536" s="4" t="s">
        <v>607</v>
      </c>
      <c r="F536" s="4"/>
      <c r="G536" s="9"/>
      <c r="H536" s="4"/>
      <c r="I536" s="9"/>
      <c r="J536" s="3">
        <v>14685</v>
      </c>
      <c r="K536" s="3">
        <v>50207</v>
      </c>
      <c r="L536" s="17" t="str" cm="1">
        <f t="array" ref="L536">_xlfn.IFS(MID(K536,2,2)="01", "서울", MID(K536,2,2)="02","경기",MID(K536,2,2)="03","충청",MID(K536,2,2)="04","충청",MID(K536,2,2)="05","전라",MID(K536,2,2)="06","전라",MID(K536,2,2)="07","경북",MID(K536,2,2)="08","경남",MID(K536,2,2)="09","강원",MID(K536,2,2)="10","제주",TRUE,"국외")</f>
        <v>경기</v>
      </c>
    </row>
    <row r="537" spans="1:12" ht="17.25" thickBot="1">
      <c r="A537" s="3" t="s">
        <v>625</v>
      </c>
      <c r="B537" s="3" t="s">
        <v>121</v>
      </c>
      <c r="C537" s="3"/>
      <c r="D537" s="4" t="s">
        <v>254</v>
      </c>
      <c r="E537" s="4" t="s">
        <v>26</v>
      </c>
      <c r="F537" s="4"/>
      <c r="G537" s="9"/>
      <c r="H537" s="4"/>
      <c r="I537" s="9"/>
      <c r="J537" s="3">
        <v>14730</v>
      </c>
      <c r="K537" s="3">
        <v>50604</v>
      </c>
      <c r="L537" s="17" t="str" cm="1">
        <f t="array" ref="L537">_xlfn.IFS(MID(K537,2,2)="01", "서울", MID(K537,2,2)="02","경기",MID(K537,2,2)="03","충청",MID(K537,2,2)="04","충청",MID(K537,2,2)="05","전라",MID(K537,2,2)="06","전라",MID(K537,2,2)="07","경북",MID(K537,2,2)="08","경남",MID(K537,2,2)="09","강원",MID(K537,2,2)="10","제주",TRUE,"국외")</f>
        <v>전라</v>
      </c>
    </row>
    <row r="538" spans="1:12" ht="17.25" thickBot="1">
      <c r="A538" s="3" t="s">
        <v>446</v>
      </c>
      <c r="B538" s="3" t="s">
        <v>153</v>
      </c>
      <c r="C538" s="3"/>
      <c r="D538" s="4" t="s">
        <v>254</v>
      </c>
      <c r="E538" s="4" t="s">
        <v>9</v>
      </c>
      <c r="F538" s="4"/>
      <c r="G538" s="9"/>
      <c r="H538" s="4"/>
      <c r="I538" s="9"/>
      <c r="J538" s="3">
        <v>14631</v>
      </c>
      <c r="K538" s="3">
        <v>50210</v>
      </c>
      <c r="L538" s="17" t="str" cm="1">
        <f t="array" ref="L538">_xlfn.IFS(MID(K538,2,2)="01", "서울", MID(K538,2,2)="02","경기",MID(K538,2,2)="03","충청",MID(K538,2,2)="04","충청",MID(K538,2,2)="05","전라",MID(K538,2,2)="06","전라",MID(K538,2,2)="07","경북",MID(K538,2,2)="08","경남",MID(K538,2,2)="09","강원",MID(K538,2,2)="10","제주",TRUE,"국외")</f>
        <v>경기</v>
      </c>
    </row>
    <row r="539" spans="1:12" ht="17.25" thickBot="1">
      <c r="A539" s="3" t="s">
        <v>674</v>
      </c>
      <c r="B539" s="3" t="s">
        <v>8</v>
      </c>
      <c r="C539" s="3" t="s">
        <v>83</v>
      </c>
      <c r="D539" s="4" t="s">
        <v>254</v>
      </c>
      <c r="E539" s="4" t="s">
        <v>23</v>
      </c>
      <c r="F539" s="4"/>
      <c r="G539" s="9"/>
      <c r="H539" s="4"/>
      <c r="I539" s="9"/>
      <c r="J539" s="3">
        <v>14698</v>
      </c>
      <c r="K539" s="3">
        <v>50116</v>
      </c>
      <c r="L539" s="17" t="str" cm="1">
        <f t="array" ref="L539">_xlfn.IFS(MID(K539,2,2)="01", "서울", MID(K539,2,2)="02","경기",MID(K539,2,2)="03","충청",MID(K539,2,2)="04","충청",MID(K539,2,2)="05","전라",MID(K539,2,2)="06","전라",MID(K539,2,2)="07","경북",MID(K539,2,2)="08","경남",MID(K539,2,2)="09","강원",MID(K539,2,2)="10","제주",TRUE,"국외")</f>
        <v>서울</v>
      </c>
    </row>
    <row r="540" spans="1:12" ht="17.25" thickBot="1">
      <c r="A540" s="3" t="s">
        <v>675</v>
      </c>
      <c r="B540" s="3" t="s">
        <v>1</v>
      </c>
      <c r="C540" s="3"/>
      <c r="D540" s="4" t="s">
        <v>254</v>
      </c>
      <c r="E540" s="4" t="s">
        <v>18</v>
      </c>
      <c r="F540" s="4"/>
      <c r="G540" s="9"/>
      <c r="H540" s="4"/>
      <c r="I540" s="9"/>
      <c r="J540" s="3">
        <v>14701</v>
      </c>
      <c r="K540" s="3">
        <v>50107</v>
      </c>
      <c r="L540" s="17" t="str" cm="1">
        <f t="array" ref="L540">_xlfn.IFS(MID(K540,2,2)="01", "서울", MID(K540,2,2)="02","경기",MID(K540,2,2)="03","충청",MID(K540,2,2)="04","충청",MID(K540,2,2)="05","전라",MID(K540,2,2)="06","전라",MID(K540,2,2)="07","경북",MID(K540,2,2)="08","경남",MID(K540,2,2)="09","강원",MID(K540,2,2)="10","제주",TRUE,"국외")</f>
        <v>서울</v>
      </c>
    </row>
    <row r="541" spans="1:12" ht="17.25" thickBot="1">
      <c r="A541" s="3" t="s">
        <v>676</v>
      </c>
      <c r="B541" s="3" t="s">
        <v>147</v>
      </c>
      <c r="C541" s="3" t="s">
        <v>133</v>
      </c>
      <c r="D541" s="4" t="s">
        <v>254</v>
      </c>
      <c r="E541" s="4" t="s">
        <v>3</v>
      </c>
      <c r="F541" s="4"/>
      <c r="G541" s="9"/>
      <c r="H541" s="4"/>
      <c r="I541" s="9"/>
      <c r="J541" s="3">
        <v>14715</v>
      </c>
      <c r="K541" s="3">
        <v>50208</v>
      </c>
      <c r="L541" s="17" t="str" cm="1">
        <f t="array" ref="L541">_xlfn.IFS(MID(K541,2,2)="01", "서울", MID(K541,2,2)="02","경기",MID(K541,2,2)="03","충청",MID(K541,2,2)="04","충청",MID(K541,2,2)="05","전라",MID(K541,2,2)="06","전라",MID(K541,2,2)="07","경북",MID(K541,2,2)="08","경남",MID(K541,2,2)="09","강원",MID(K541,2,2)="10","제주",TRUE,"국외")</f>
        <v>경기</v>
      </c>
    </row>
    <row r="542" spans="1:12" ht="17.25" thickBot="1">
      <c r="A542" s="3" t="s">
        <v>677</v>
      </c>
      <c r="B542" s="3" t="s">
        <v>32</v>
      </c>
      <c r="C542" s="3"/>
      <c r="D542" s="4" t="s">
        <v>254</v>
      </c>
      <c r="E542" s="4" t="s">
        <v>6</v>
      </c>
      <c r="F542" s="4"/>
      <c r="G542" s="9"/>
      <c r="H542" s="4"/>
      <c r="I542" s="9"/>
      <c r="J542" s="3">
        <v>14644</v>
      </c>
      <c r="K542" s="3">
        <v>50111</v>
      </c>
      <c r="L542" s="17" t="str" cm="1">
        <f t="array" ref="L542">_xlfn.IFS(MID(K542,2,2)="01", "서울", MID(K542,2,2)="02","경기",MID(K542,2,2)="03","충청",MID(K542,2,2)="04","충청",MID(K542,2,2)="05","전라",MID(K542,2,2)="06","전라",MID(K542,2,2)="07","경북",MID(K542,2,2)="08","경남",MID(K542,2,2)="09","강원",MID(K542,2,2)="10","제주",TRUE,"국외")</f>
        <v>서울</v>
      </c>
    </row>
    <row r="543" spans="1:12" ht="17.25" thickBot="1">
      <c r="A543" s="3" t="s">
        <v>678</v>
      </c>
      <c r="B543" s="3" t="s">
        <v>8</v>
      </c>
      <c r="C543" s="3"/>
      <c r="D543" s="4" t="s">
        <v>254</v>
      </c>
      <c r="E543" s="4" t="s">
        <v>28</v>
      </c>
      <c r="F543" s="4">
        <v>2022</v>
      </c>
      <c r="G543" s="9"/>
      <c r="H543" s="4" t="s">
        <v>28</v>
      </c>
      <c r="I543" s="8">
        <v>-0.2</v>
      </c>
      <c r="J543" s="3">
        <v>14720</v>
      </c>
      <c r="K543" s="3">
        <v>50116</v>
      </c>
      <c r="L543" s="17" t="str" cm="1">
        <f t="array" ref="L543">_xlfn.IFS(MID(K543,2,2)="01", "서울", MID(K543,2,2)="02","경기",MID(K543,2,2)="03","충청",MID(K543,2,2)="04","충청",MID(K543,2,2)="05","전라",MID(K543,2,2)="06","전라",MID(K543,2,2)="07","경북",MID(K543,2,2)="08","경남",MID(K543,2,2)="09","강원",MID(K543,2,2)="10","제주",TRUE,"국외")</f>
        <v>서울</v>
      </c>
    </row>
    <row r="544" spans="1:12" ht="17.25" thickBot="1">
      <c r="A544" s="3" t="s">
        <v>679</v>
      </c>
      <c r="B544" s="3" t="s">
        <v>40</v>
      </c>
      <c r="C544" s="3" t="s">
        <v>83</v>
      </c>
      <c r="D544" s="4" t="s">
        <v>254</v>
      </c>
      <c r="E544" s="4" t="s">
        <v>20</v>
      </c>
      <c r="F544" s="4">
        <v>2020</v>
      </c>
      <c r="G544" s="8">
        <v>0.1</v>
      </c>
      <c r="H544" s="4" t="s">
        <v>20</v>
      </c>
      <c r="I544" s="8">
        <v>0.1</v>
      </c>
      <c r="J544" s="3">
        <v>14667</v>
      </c>
      <c r="K544" s="3">
        <v>50108</v>
      </c>
      <c r="L544" s="17" t="str" cm="1">
        <f t="array" ref="L544">_xlfn.IFS(MID(K544,2,2)="01", "서울", MID(K544,2,2)="02","경기",MID(K544,2,2)="03","충청",MID(K544,2,2)="04","충청",MID(K544,2,2)="05","전라",MID(K544,2,2)="06","전라",MID(K544,2,2)="07","경북",MID(K544,2,2)="08","경남",MID(K544,2,2)="09","강원",MID(K544,2,2)="10","제주",TRUE,"국외")</f>
        <v>서울</v>
      </c>
    </row>
    <row r="545" spans="1:12" ht="17.25" thickBot="1">
      <c r="A545" s="3" t="s">
        <v>680</v>
      </c>
      <c r="B545" s="3" t="s">
        <v>140</v>
      </c>
      <c r="C545" s="3"/>
      <c r="D545" s="4" t="s">
        <v>254</v>
      </c>
      <c r="E545" s="4" t="s">
        <v>12</v>
      </c>
      <c r="F545" s="4"/>
      <c r="G545" s="9"/>
      <c r="H545" s="4"/>
      <c r="I545" s="9"/>
      <c r="J545" s="3">
        <v>14659</v>
      </c>
      <c r="K545" s="3">
        <v>50801</v>
      </c>
      <c r="L545" s="17" t="str" cm="1">
        <f t="array" ref="L545">_xlfn.IFS(MID(K545,2,2)="01", "서울", MID(K545,2,2)="02","경기",MID(K545,2,2)="03","충청",MID(K545,2,2)="04","충청",MID(K545,2,2)="05","전라",MID(K545,2,2)="06","전라",MID(K545,2,2)="07","경북",MID(K545,2,2)="08","경남",MID(K545,2,2)="09","강원",MID(K545,2,2)="10","제주",TRUE,"국외")</f>
        <v>경남</v>
      </c>
    </row>
    <row r="546" spans="1:12" ht="17.25" thickBot="1">
      <c r="A546" s="3" t="s">
        <v>681</v>
      </c>
      <c r="B546" s="3" t="s">
        <v>153</v>
      </c>
      <c r="C546" s="3"/>
      <c r="D546" s="4" t="s">
        <v>254</v>
      </c>
      <c r="E546" s="4" t="s">
        <v>607</v>
      </c>
      <c r="F546" s="4"/>
      <c r="G546" s="9"/>
      <c r="H546" s="4"/>
      <c r="I546" s="9"/>
      <c r="J546" s="3">
        <v>14689</v>
      </c>
      <c r="K546" s="3">
        <v>50210</v>
      </c>
      <c r="L546" s="17" t="str" cm="1">
        <f t="array" ref="L546">_xlfn.IFS(MID(K546,2,2)="01", "서울", MID(K546,2,2)="02","경기",MID(K546,2,2)="03","충청",MID(K546,2,2)="04","충청",MID(K546,2,2)="05","전라",MID(K546,2,2)="06","전라",MID(K546,2,2)="07","경북",MID(K546,2,2)="08","경남",MID(K546,2,2)="09","강원",MID(K546,2,2)="10","제주",TRUE,"국외")</f>
        <v>경기</v>
      </c>
    </row>
    <row r="547" spans="1:12" ht="17.25" thickBot="1">
      <c r="A547" s="3" t="s">
        <v>682</v>
      </c>
      <c r="B547" s="3" t="s">
        <v>32</v>
      </c>
      <c r="C547" s="3" t="s">
        <v>122</v>
      </c>
      <c r="D547" s="4" t="s">
        <v>254</v>
      </c>
      <c r="E547" s="4" t="s">
        <v>26</v>
      </c>
      <c r="F547" s="4">
        <v>2020</v>
      </c>
      <c r="G547" s="8">
        <v>0.2</v>
      </c>
      <c r="H547" s="4" t="s">
        <v>26</v>
      </c>
      <c r="I547" s="8">
        <v>1</v>
      </c>
      <c r="J547" s="3">
        <v>14738</v>
      </c>
      <c r="K547" s="3">
        <v>50111</v>
      </c>
      <c r="L547" s="17" t="str" cm="1">
        <f t="array" ref="L547">_xlfn.IFS(MID(K547,2,2)="01", "서울", MID(K547,2,2)="02","경기",MID(K547,2,2)="03","충청",MID(K547,2,2)="04","충청",MID(K547,2,2)="05","전라",MID(K547,2,2)="06","전라",MID(K547,2,2)="07","경북",MID(K547,2,2)="08","경남",MID(K547,2,2)="09","강원",MID(K547,2,2)="10","제주",TRUE,"국외")</f>
        <v>서울</v>
      </c>
    </row>
    <row r="548" spans="1:12" ht="17.25" thickBot="1">
      <c r="A548" s="3" t="s">
        <v>683</v>
      </c>
      <c r="B548" s="3" t="s">
        <v>107</v>
      </c>
      <c r="C548" s="3"/>
      <c r="D548" s="4" t="s">
        <v>254</v>
      </c>
      <c r="E548" s="4" t="s">
        <v>9</v>
      </c>
      <c r="F548" s="4"/>
      <c r="G548" s="9"/>
      <c r="H548" s="4"/>
      <c r="I548" s="9"/>
      <c r="J548" s="3">
        <v>14643</v>
      </c>
      <c r="K548" s="3">
        <v>50602</v>
      </c>
      <c r="L548" s="17" t="str" cm="1">
        <f t="array" ref="L548">_xlfn.IFS(MID(K548,2,2)="01", "서울", MID(K548,2,2)="02","경기",MID(K548,2,2)="03","충청",MID(K548,2,2)="04","충청",MID(K548,2,2)="05","전라",MID(K548,2,2)="06","전라",MID(K548,2,2)="07","경북",MID(K548,2,2)="08","경남",MID(K548,2,2)="09","강원",MID(K548,2,2)="10","제주",TRUE,"국외")</f>
        <v>전라</v>
      </c>
    </row>
    <row r="549" spans="1:12" ht="17.25" thickBot="1">
      <c r="A549" s="3" t="s">
        <v>684</v>
      </c>
      <c r="B549" s="3" t="s">
        <v>140</v>
      </c>
      <c r="C549" s="3"/>
      <c r="D549" s="4" t="s">
        <v>254</v>
      </c>
      <c r="E549" s="4" t="s">
        <v>23</v>
      </c>
      <c r="F549" s="4"/>
      <c r="G549" s="9"/>
      <c r="H549" s="4"/>
      <c r="I549" s="9"/>
      <c r="J549" s="3">
        <v>14696</v>
      </c>
      <c r="K549" s="3">
        <v>50801</v>
      </c>
      <c r="L549" s="17" t="str" cm="1">
        <f t="array" ref="L549">_xlfn.IFS(MID(K549,2,2)="01", "서울", MID(K549,2,2)="02","경기",MID(K549,2,2)="03","충청",MID(K549,2,2)="04","충청",MID(K549,2,2)="05","전라",MID(K549,2,2)="06","전라",MID(K549,2,2)="07","경북",MID(K549,2,2)="08","경남",MID(K549,2,2)="09","강원",MID(K549,2,2)="10","제주",TRUE,"국외")</f>
        <v>경남</v>
      </c>
    </row>
    <row r="550" spans="1:12" ht="17.25" thickBot="1">
      <c r="A550" s="3" t="s">
        <v>685</v>
      </c>
      <c r="B550" s="3" t="s">
        <v>96</v>
      </c>
      <c r="C550" s="3"/>
      <c r="D550" s="4" t="s">
        <v>254</v>
      </c>
      <c r="E550" s="4" t="s">
        <v>18</v>
      </c>
      <c r="F550" s="4"/>
      <c r="G550" s="9"/>
      <c r="H550" s="4"/>
      <c r="I550" s="9"/>
      <c r="J550" s="3">
        <v>14683</v>
      </c>
      <c r="K550" s="3">
        <v>50601</v>
      </c>
      <c r="L550" s="17" t="str" cm="1">
        <f t="array" ref="L550">_xlfn.IFS(MID(K550,2,2)="01", "서울", MID(K550,2,2)="02","경기",MID(K550,2,2)="03","충청",MID(K550,2,2)="04","충청",MID(K550,2,2)="05","전라",MID(K550,2,2)="06","전라",MID(K550,2,2)="07","경북",MID(K550,2,2)="08","경남",MID(K550,2,2)="09","강원",MID(K550,2,2)="10","제주",TRUE,"국외")</f>
        <v>전라</v>
      </c>
    </row>
    <row r="551" spans="1:12" ht="17.25" thickBot="1">
      <c r="A551" s="3" t="s">
        <v>686</v>
      </c>
      <c r="B551" s="3" t="s">
        <v>147</v>
      </c>
      <c r="C551" s="3"/>
      <c r="D551" s="4" t="s">
        <v>254</v>
      </c>
      <c r="E551" s="4" t="s">
        <v>3</v>
      </c>
      <c r="F551" s="4">
        <v>2020</v>
      </c>
      <c r="G551" s="8">
        <v>0.2</v>
      </c>
      <c r="H551" s="4" t="s">
        <v>3</v>
      </c>
      <c r="I551" s="8">
        <v>1.2</v>
      </c>
      <c r="J551" s="3">
        <v>14704</v>
      </c>
      <c r="K551" s="3">
        <v>50208</v>
      </c>
      <c r="L551" s="17" t="str" cm="1">
        <f t="array" ref="L551">_xlfn.IFS(MID(K551,2,2)="01", "서울", MID(K551,2,2)="02","경기",MID(K551,2,2)="03","충청",MID(K551,2,2)="04","충청",MID(K551,2,2)="05","전라",MID(K551,2,2)="06","전라",MID(K551,2,2)="07","경북",MID(K551,2,2)="08","경남",MID(K551,2,2)="09","강원",MID(K551,2,2)="10","제주",TRUE,"국외")</f>
        <v>경기</v>
      </c>
    </row>
    <row r="552" spans="1:12" ht="17.25" thickBot="1">
      <c r="A552" s="3" t="s">
        <v>687</v>
      </c>
      <c r="B552" s="3" t="s">
        <v>128</v>
      </c>
      <c r="C552" s="3" t="s">
        <v>161</v>
      </c>
      <c r="D552" s="4" t="s">
        <v>254</v>
      </c>
      <c r="E552" s="4" t="s">
        <v>6</v>
      </c>
      <c r="F552" s="4">
        <v>2022</v>
      </c>
      <c r="G552" s="9"/>
      <c r="H552" s="4"/>
      <c r="I552" s="9"/>
      <c r="J552" s="3">
        <v>14690</v>
      </c>
      <c r="K552" s="3">
        <v>50901</v>
      </c>
      <c r="L552" s="17" t="str" cm="1">
        <f t="array" ref="L552">_xlfn.IFS(MID(K552,2,2)="01", "서울", MID(K552,2,2)="02","경기",MID(K552,2,2)="03","충청",MID(K552,2,2)="04","충청",MID(K552,2,2)="05","전라",MID(K552,2,2)="06","전라",MID(K552,2,2)="07","경북",MID(K552,2,2)="08","경남",MID(K552,2,2)="09","강원",MID(K552,2,2)="10","제주",TRUE,"국외")</f>
        <v>강원</v>
      </c>
    </row>
    <row r="553" spans="1:12" ht="17.25" thickBot="1">
      <c r="A553" s="3" t="s">
        <v>688</v>
      </c>
      <c r="B553" s="3" t="s">
        <v>14</v>
      </c>
      <c r="C553" s="3"/>
      <c r="D553" s="4" t="s">
        <v>254</v>
      </c>
      <c r="E553" s="4" t="s">
        <v>28</v>
      </c>
      <c r="F553" s="4"/>
      <c r="G553" s="9"/>
      <c r="H553" s="4"/>
      <c r="I553" s="9"/>
      <c r="J553" s="3">
        <v>14718</v>
      </c>
      <c r="K553" s="3">
        <v>50703</v>
      </c>
      <c r="L553" s="17" t="str" cm="1">
        <f t="array" ref="L553">_xlfn.IFS(MID(K553,2,2)="01", "서울", MID(K553,2,2)="02","경기",MID(K553,2,2)="03","충청",MID(K553,2,2)="04","충청",MID(K553,2,2)="05","전라",MID(K553,2,2)="06","전라",MID(K553,2,2)="07","경북",MID(K553,2,2)="08","경남",MID(K553,2,2)="09","강원",MID(K553,2,2)="10","제주",TRUE,"국외")</f>
        <v>경북</v>
      </c>
    </row>
    <row r="554" spans="1:12" ht="17.25" thickBot="1">
      <c r="A554" s="3" t="s">
        <v>689</v>
      </c>
      <c r="B554" s="3" t="s">
        <v>11</v>
      </c>
      <c r="C554" s="3"/>
      <c r="D554" s="4" t="s">
        <v>254</v>
      </c>
      <c r="E554" s="4" t="s">
        <v>20</v>
      </c>
      <c r="F554" s="4"/>
      <c r="G554" s="9"/>
      <c r="H554" s="4"/>
      <c r="I554" s="9"/>
      <c r="J554" s="3">
        <v>14678</v>
      </c>
      <c r="K554" s="3">
        <v>50802</v>
      </c>
      <c r="L554" s="17" t="str" cm="1">
        <f t="array" ref="L554">_xlfn.IFS(MID(K554,2,2)="01", "서울", MID(K554,2,2)="02","경기",MID(K554,2,2)="03","충청",MID(K554,2,2)="04","충청",MID(K554,2,2)="05","전라",MID(K554,2,2)="06","전라",MID(K554,2,2)="07","경북",MID(K554,2,2)="08","경남",MID(K554,2,2)="09","강원",MID(K554,2,2)="10","제주",TRUE,"국외")</f>
        <v>경남</v>
      </c>
    </row>
    <row r="555" spans="1:12" ht="17.25" thickBot="1">
      <c r="A555" s="3" t="s">
        <v>690</v>
      </c>
      <c r="B555" s="3" t="s">
        <v>158</v>
      </c>
      <c r="C555" s="3"/>
      <c r="D555" s="4" t="s">
        <v>254</v>
      </c>
      <c r="E555" s="4" t="s">
        <v>12</v>
      </c>
      <c r="F555" s="4"/>
      <c r="G555" s="9"/>
      <c r="H555" s="4"/>
      <c r="I555" s="9"/>
      <c r="J555" s="3">
        <v>14651</v>
      </c>
      <c r="K555" s="3">
        <v>50501</v>
      </c>
      <c r="L555" s="17" t="str" cm="1">
        <f t="array" ref="L555">_xlfn.IFS(MID(K555,2,2)="01", "서울", MID(K555,2,2)="02","경기",MID(K555,2,2)="03","충청",MID(K555,2,2)="04","충청",MID(K555,2,2)="05","전라",MID(K555,2,2)="06","전라",MID(K555,2,2)="07","경북",MID(K555,2,2)="08","경남",MID(K555,2,2)="09","강원",MID(K555,2,2)="10","제주",TRUE,"국외")</f>
        <v>전라</v>
      </c>
    </row>
    <row r="556" spans="1:12" ht="17.25" thickBot="1">
      <c r="A556" s="3" t="s">
        <v>691</v>
      </c>
      <c r="B556" s="3" t="s">
        <v>8</v>
      </c>
      <c r="C556" s="3" t="s">
        <v>174</v>
      </c>
      <c r="D556" s="4" t="s">
        <v>254</v>
      </c>
      <c r="E556" s="4" t="s">
        <v>607</v>
      </c>
      <c r="F556" s="4">
        <v>2020</v>
      </c>
      <c r="G556" s="8">
        <v>-0.1</v>
      </c>
      <c r="H556" s="4" t="s">
        <v>607</v>
      </c>
      <c r="I556" s="8">
        <v>-0.1</v>
      </c>
      <c r="J556" s="3">
        <v>14692</v>
      </c>
      <c r="K556" s="3">
        <v>50116</v>
      </c>
      <c r="L556" s="17" t="str" cm="1">
        <f t="array" ref="L556">_xlfn.IFS(MID(K556,2,2)="01", "서울", MID(K556,2,2)="02","경기",MID(K556,2,2)="03","충청",MID(K556,2,2)="04","충청",MID(K556,2,2)="05","전라",MID(K556,2,2)="06","전라",MID(K556,2,2)="07","경북",MID(K556,2,2)="08","경남",MID(K556,2,2)="09","강원",MID(K556,2,2)="10","제주",TRUE,"국외")</f>
        <v>서울</v>
      </c>
    </row>
    <row r="557" spans="1:12" ht="17.25" thickBot="1">
      <c r="A557" s="3" t="s">
        <v>692</v>
      </c>
      <c r="B557" s="3" t="s">
        <v>93</v>
      </c>
      <c r="C557" s="3"/>
      <c r="D557" s="4" t="s">
        <v>254</v>
      </c>
      <c r="E557" s="4" t="s">
        <v>26</v>
      </c>
      <c r="F557" s="4"/>
      <c r="G557" s="9"/>
      <c r="H557" s="4"/>
      <c r="I557" s="9"/>
      <c r="J557" s="3">
        <v>14733</v>
      </c>
      <c r="K557" s="3">
        <v>50805</v>
      </c>
      <c r="L557" s="17" t="str" cm="1">
        <f t="array" ref="L557">_xlfn.IFS(MID(K557,2,2)="01", "서울", MID(K557,2,2)="02","경기",MID(K557,2,2)="03","충청",MID(K557,2,2)="04","충청",MID(K557,2,2)="05","전라",MID(K557,2,2)="06","전라",MID(K557,2,2)="07","경북",MID(K557,2,2)="08","경남",MID(K557,2,2)="09","강원",MID(K557,2,2)="10","제주",TRUE,"국외")</f>
        <v>경남</v>
      </c>
    </row>
    <row r="558" spans="1:12" ht="17.25" thickBot="1">
      <c r="A558" s="3" t="s">
        <v>693</v>
      </c>
      <c r="B558" s="3"/>
      <c r="C558" s="3"/>
      <c r="D558" s="4" t="s">
        <v>254</v>
      </c>
      <c r="E558" s="4" t="s">
        <v>9</v>
      </c>
      <c r="F558" s="4"/>
      <c r="G558" s="9"/>
      <c r="H558" s="4"/>
      <c r="I558" s="9"/>
      <c r="J558" s="3">
        <v>14638</v>
      </c>
      <c r="K558" s="3"/>
      <c r="L558" s="17" t="str" cm="1">
        <f t="array" ref="L558">_xlfn.IFS(MID(K558,2,2)="01", "서울", MID(K558,2,2)="02","경기",MID(K558,2,2)="03","충청",MID(K558,2,2)="04","충청",MID(K558,2,2)="05","전라",MID(K558,2,2)="06","전라",MID(K558,2,2)="07","경북",MID(K558,2,2)="08","경남",MID(K558,2,2)="09","강원",MID(K558,2,2)="10","제주",TRUE,"국외")</f>
        <v>국외</v>
      </c>
    </row>
    <row r="559" spans="1:12" ht="17.25" thickBot="1">
      <c r="A559" s="3" t="s">
        <v>694</v>
      </c>
      <c r="B559" s="3" t="s">
        <v>14</v>
      </c>
      <c r="C559" s="3"/>
      <c r="D559" s="4" t="s">
        <v>254</v>
      </c>
      <c r="E559" s="4" t="s">
        <v>23</v>
      </c>
      <c r="F559" s="4"/>
      <c r="G559" s="9"/>
      <c r="H559" s="4"/>
      <c r="I559" s="9"/>
      <c r="J559" s="3">
        <v>14664</v>
      </c>
      <c r="K559" s="3">
        <v>50703</v>
      </c>
      <c r="L559" s="17" t="str" cm="1">
        <f t="array" ref="L559">_xlfn.IFS(MID(K559,2,2)="01", "서울", MID(K559,2,2)="02","경기",MID(K559,2,2)="03","충청",MID(K559,2,2)="04","충청",MID(K559,2,2)="05","전라",MID(K559,2,2)="06","전라",MID(K559,2,2)="07","경북",MID(K559,2,2)="08","경남",MID(K559,2,2)="09","강원",MID(K559,2,2)="10","제주",TRUE,"국외")</f>
        <v>경북</v>
      </c>
    </row>
    <row r="560" spans="1:12" ht="17.25" thickBot="1">
      <c r="A560" s="3" t="s">
        <v>695</v>
      </c>
      <c r="B560" s="3" t="s">
        <v>82</v>
      </c>
      <c r="C560" s="3"/>
      <c r="D560" s="4" t="s">
        <v>254</v>
      </c>
      <c r="E560" s="4" t="s">
        <v>18</v>
      </c>
      <c r="F560" s="4"/>
      <c r="G560" s="9"/>
      <c r="H560" s="4"/>
      <c r="I560" s="9"/>
      <c r="J560" s="3">
        <v>14700</v>
      </c>
      <c r="K560" s="3">
        <v>50605</v>
      </c>
      <c r="L560" s="17" t="str" cm="1">
        <f t="array" ref="L560">_xlfn.IFS(MID(K560,2,2)="01", "서울", MID(K560,2,2)="02","경기",MID(K560,2,2)="03","충청",MID(K560,2,2)="04","충청",MID(K560,2,2)="05","전라",MID(K560,2,2)="06","전라",MID(K560,2,2)="07","경북",MID(K560,2,2)="08","경남",MID(K560,2,2)="09","강원",MID(K560,2,2)="10","제주",TRUE,"국외")</f>
        <v>전라</v>
      </c>
    </row>
    <row r="561" spans="1:12" ht="17.25" thickBot="1">
      <c r="A561" s="3" t="s">
        <v>696</v>
      </c>
      <c r="B561" s="3" t="s">
        <v>5</v>
      </c>
      <c r="C561" s="3"/>
      <c r="D561" s="4" t="s">
        <v>254</v>
      </c>
      <c r="E561" s="4" t="s">
        <v>3</v>
      </c>
      <c r="F561" s="4"/>
      <c r="G561" s="9"/>
      <c r="H561" s="4"/>
      <c r="I561" s="9"/>
      <c r="J561" s="3">
        <v>14710</v>
      </c>
      <c r="K561" s="3">
        <v>50114</v>
      </c>
      <c r="L561" s="17" t="str" cm="1">
        <f t="array" ref="L561">_xlfn.IFS(MID(K561,2,2)="01", "서울", MID(K561,2,2)="02","경기",MID(K561,2,2)="03","충청",MID(K561,2,2)="04","충청",MID(K561,2,2)="05","전라",MID(K561,2,2)="06","전라",MID(K561,2,2)="07","경북",MID(K561,2,2)="08","경남",MID(K561,2,2)="09","강원",MID(K561,2,2)="10","제주",TRUE,"국외")</f>
        <v>서울</v>
      </c>
    </row>
    <row r="562" spans="1:12" ht="17.25" thickBot="1">
      <c r="A562" s="3" t="s">
        <v>697</v>
      </c>
      <c r="B562" s="3" t="s">
        <v>89</v>
      </c>
      <c r="C562" s="3"/>
      <c r="D562" s="4" t="s">
        <v>254</v>
      </c>
      <c r="E562" s="4" t="s">
        <v>6</v>
      </c>
      <c r="F562" s="4">
        <v>2021</v>
      </c>
      <c r="G562" s="9"/>
      <c r="H562" s="4" t="s">
        <v>6</v>
      </c>
      <c r="I562" s="8">
        <v>-0.1</v>
      </c>
      <c r="J562" s="3">
        <v>14658</v>
      </c>
      <c r="K562" s="3">
        <v>50806</v>
      </c>
      <c r="L562" s="17" t="str" cm="1">
        <f t="array" ref="L562">_xlfn.IFS(MID(K562,2,2)="01", "서울", MID(K562,2,2)="02","경기",MID(K562,2,2)="03","충청",MID(K562,2,2)="04","충청",MID(K562,2,2)="05","전라",MID(K562,2,2)="06","전라",MID(K562,2,2)="07","경북",MID(K562,2,2)="08","경남",MID(K562,2,2)="09","강원",MID(K562,2,2)="10","제주",TRUE,"국외")</f>
        <v>경남</v>
      </c>
    </row>
    <row r="563" spans="1:12" ht="17.25" thickBot="1">
      <c r="A563" s="3" t="s">
        <v>698</v>
      </c>
      <c r="B563" s="3" t="s">
        <v>179</v>
      </c>
      <c r="C563" s="3"/>
      <c r="D563" s="4" t="s">
        <v>254</v>
      </c>
      <c r="E563" s="4" t="s">
        <v>28</v>
      </c>
      <c r="F563" s="4"/>
      <c r="G563" s="9"/>
      <c r="H563" s="4"/>
      <c r="I563" s="9"/>
      <c r="J563" s="3">
        <v>14724</v>
      </c>
      <c r="K563" s="3">
        <v>50211</v>
      </c>
      <c r="L563" s="17" t="str" cm="1">
        <f t="array" ref="L563">_xlfn.IFS(MID(K563,2,2)="01", "서울", MID(K563,2,2)="02","경기",MID(K563,2,2)="03","충청",MID(K563,2,2)="04","충청",MID(K563,2,2)="05","전라",MID(K563,2,2)="06","전라",MID(K563,2,2)="07","경북",MID(K563,2,2)="08","경남",MID(K563,2,2)="09","강원",MID(K563,2,2)="10","제주",TRUE,"국외")</f>
        <v>경기</v>
      </c>
    </row>
    <row r="564" spans="1:12" ht="17.25" thickBot="1">
      <c r="A564" s="3" t="s">
        <v>699</v>
      </c>
      <c r="B564" s="3" t="s">
        <v>553</v>
      </c>
      <c r="C564" s="3"/>
      <c r="D564" s="4" t="s">
        <v>254</v>
      </c>
      <c r="E564" s="4" t="s">
        <v>20</v>
      </c>
      <c r="F564" s="4"/>
      <c r="G564" s="9"/>
      <c r="H564" s="4"/>
      <c r="I564" s="9"/>
      <c r="J564" s="3">
        <v>14665</v>
      </c>
      <c r="K564" s="3">
        <v>50709</v>
      </c>
      <c r="L564" s="17" t="str" cm="1">
        <f t="array" ref="L564">_xlfn.IFS(MID(K564,2,2)="01", "서울", MID(K564,2,2)="02","경기",MID(K564,2,2)="03","충청",MID(K564,2,2)="04","충청",MID(K564,2,2)="05","전라",MID(K564,2,2)="06","전라",MID(K564,2,2)="07","경북",MID(K564,2,2)="08","경남",MID(K564,2,2)="09","강원",MID(K564,2,2)="10","제주",TRUE,"국외")</f>
        <v>경북</v>
      </c>
    </row>
    <row r="565" spans="1:12" ht="17.25" thickBot="1">
      <c r="A565" s="3" t="s">
        <v>700</v>
      </c>
      <c r="B565" s="3" t="s">
        <v>63</v>
      </c>
      <c r="C565" s="3" t="s">
        <v>90</v>
      </c>
      <c r="D565" s="4" t="s">
        <v>254</v>
      </c>
      <c r="E565" s="4" t="s">
        <v>12</v>
      </c>
      <c r="F565" s="4"/>
      <c r="G565" s="9"/>
      <c r="H565" s="4"/>
      <c r="I565" s="9"/>
      <c r="J565" s="3">
        <v>14648</v>
      </c>
      <c r="K565" s="3">
        <v>50807</v>
      </c>
      <c r="L565" s="17" t="str" cm="1">
        <f t="array" ref="L565">_xlfn.IFS(MID(K565,2,2)="01", "서울", MID(K565,2,2)="02","경기",MID(K565,2,2)="03","충청",MID(K565,2,2)="04","충청",MID(K565,2,2)="05","전라",MID(K565,2,2)="06","전라",MID(K565,2,2)="07","경북",MID(K565,2,2)="08","경남",MID(K565,2,2)="09","강원",MID(K565,2,2)="10","제주",TRUE,"국외")</f>
        <v>경남</v>
      </c>
    </row>
    <row r="566" spans="1:12" ht="17.25" thickBot="1">
      <c r="A566" s="3" t="s">
        <v>701</v>
      </c>
      <c r="B566" s="3" t="s">
        <v>22</v>
      </c>
      <c r="C566" s="3"/>
      <c r="D566" s="4" t="s">
        <v>254</v>
      </c>
      <c r="E566" s="4" t="s">
        <v>607</v>
      </c>
      <c r="F566" s="4">
        <v>2022</v>
      </c>
      <c r="G566" s="9"/>
      <c r="H566" s="4" t="s">
        <v>15</v>
      </c>
      <c r="I566" s="8">
        <v>0</v>
      </c>
      <c r="J566" s="3">
        <v>14687</v>
      </c>
      <c r="K566" s="3">
        <v>50209</v>
      </c>
      <c r="L566" s="17" t="str" cm="1">
        <f t="array" ref="L566">_xlfn.IFS(MID(K566,2,2)="01", "서울", MID(K566,2,2)="02","경기",MID(K566,2,2)="03","충청",MID(K566,2,2)="04","충청",MID(K566,2,2)="05","전라",MID(K566,2,2)="06","전라",MID(K566,2,2)="07","경북",MID(K566,2,2)="08","경남",MID(K566,2,2)="09","강원",MID(K566,2,2)="10","제주",TRUE,"국외")</f>
        <v>경기</v>
      </c>
    </row>
    <row r="567" spans="1:12" ht="17.25" thickBot="1">
      <c r="A567" s="3" t="s">
        <v>702</v>
      </c>
      <c r="B567" s="3"/>
      <c r="C567" s="3"/>
      <c r="D567" s="4" t="s">
        <v>254</v>
      </c>
      <c r="E567" s="4" t="s">
        <v>26</v>
      </c>
      <c r="F567" s="4">
        <v>2020</v>
      </c>
      <c r="G567" s="8">
        <v>0</v>
      </c>
      <c r="H567" s="4" t="s">
        <v>26</v>
      </c>
      <c r="I567" s="8">
        <v>3.4</v>
      </c>
      <c r="J567" s="3">
        <v>14571</v>
      </c>
      <c r="K567" s="3"/>
      <c r="L567" s="17" t="str" cm="1">
        <f t="array" ref="L567">_xlfn.IFS(MID(K567,2,2)="01", "서울", MID(K567,2,2)="02","경기",MID(K567,2,2)="03","충청",MID(K567,2,2)="04","충청",MID(K567,2,2)="05","전라",MID(K567,2,2)="06","전라",MID(K567,2,2)="07","경북",MID(K567,2,2)="08","경남",MID(K567,2,2)="09","강원",MID(K567,2,2)="10","제주",TRUE,"국외")</f>
        <v>국외</v>
      </c>
    </row>
    <row r="568" spans="1:12" ht="17.25" thickBot="1">
      <c r="A568" s="3" t="s">
        <v>703</v>
      </c>
      <c r="B568" s="3" t="s">
        <v>128</v>
      </c>
      <c r="C568" s="3"/>
      <c r="D568" s="4" t="s">
        <v>254</v>
      </c>
      <c r="E568" s="4" t="s">
        <v>9</v>
      </c>
      <c r="F568" s="4"/>
      <c r="G568" s="9"/>
      <c r="H568" s="4"/>
      <c r="I568" s="9"/>
      <c r="J568" s="3">
        <v>14637</v>
      </c>
      <c r="K568" s="3">
        <v>50901</v>
      </c>
      <c r="L568" s="17" t="str" cm="1">
        <f t="array" ref="L568">_xlfn.IFS(MID(K568,2,2)="01", "서울", MID(K568,2,2)="02","경기",MID(K568,2,2)="03","충청",MID(K568,2,2)="04","충청",MID(K568,2,2)="05","전라",MID(K568,2,2)="06","전라",MID(K568,2,2)="07","경북",MID(K568,2,2)="08","경남",MID(K568,2,2)="09","강원",MID(K568,2,2)="10","제주",TRUE,"국외")</f>
        <v>강원</v>
      </c>
    </row>
    <row r="569" spans="1:12" ht="17.25" thickBot="1">
      <c r="A569" s="3" t="s">
        <v>704</v>
      </c>
      <c r="B569" s="3" t="s">
        <v>215</v>
      </c>
      <c r="C569" s="3" t="s">
        <v>99</v>
      </c>
      <c r="D569" s="4" t="s">
        <v>254</v>
      </c>
      <c r="E569" s="4" t="s">
        <v>23</v>
      </c>
      <c r="F569" s="4"/>
      <c r="G569" s="9"/>
      <c r="H569" s="4"/>
      <c r="I569" s="9"/>
      <c r="J569" s="3">
        <v>14694</v>
      </c>
      <c r="K569" s="3">
        <v>50710</v>
      </c>
      <c r="L569" s="17" t="str" cm="1">
        <f t="array" ref="L569">_xlfn.IFS(MID(K569,2,2)="01", "서울", MID(K569,2,2)="02","경기",MID(K569,2,2)="03","충청",MID(K569,2,2)="04","충청",MID(K569,2,2)="05","전라",MID(K569,2,2)="06","전라",MID(K569,2,2)="07","경북",MID(K569,2,2)="08","경남",MID(K569,2,2)="09","강원",MID(K569,2,2)="10","제주",TRUE,"국외")</f>
        <v>경북</v>
      </c>
    </row>
    <row r="570" spans="1:12" ht="17.25" thickBot="1">
      <c r="A570" s="3" t="s">
        <v>429</v>
      </c>
      <c r="B570" s="3" t="s">
        <v>8</v>
      </c>
      <c r="C570" s="3" t="s">
        <v>174</v>
      </c>
      <c r="D570" s="4" t="s">
        <v>254</v>
      </c>
      <c r="E570" s="4" t="s">
        <v>18</v>
      </c>
      <c r="F570" s="4">
        <v>2021</v>
      </c>
      <c r="G570" s="9"/>
      <c r="H570" s="4" t="s">
        <v>18</v>
      </c>
      <c r="I570" s="8">
        <v>0</v>
      </c>
      <c r="J570" s="3">
        <v>14681</v>
      </c>
      <c r="K570" s="3">
        <v>50116</v>
      </c>
      <c r="L570" s="17" t="str" cm="1">
        <f t="array" ref="L570">_xlfn.IFS(MID(K570,2,2)="01", "서울", MID(K570,2,2)="02","경기",MID(K570,2,2)="03","충청",MID(K570,2,2)="04","충청",MID(K570,2,2)="05","전라",MID(K570,2,2)="06","전라",MID(K570,2,2)="07","경북",MID(K570,2,2)="08","경남",MID(K570,2,2)="09","강원",MID(K570,2,2)="10","제주",TRUE,"국외")</f>
        <v>서울</v>
      </c>
    </row>
    <row r="571" spans="1:12" ht="17.25" thickBot="1">
      <c r="A571" s="3" t="s">
        <v>705</v>
      </c>
      <c r="B571" s="3" t="s">
        <v>11</v>
      </c>
      <c r="C571" s="3"/>
      <c r="D571" s="4" t="s">
        <v>254</v>
      </c>
      <c r="E571" s="4" t="s">
        <v>3</v>
      </c>
      <c r="F571" s="4"/>
      <c r="G571" s="9"/>
      <c r="H571" s="4"/>
      <c r="I571" s="9"/>
      <c r="J571" s="3">
        <v>14711</v>
      </c>
      <c r="K571" s="3">
        <v>50802</v>
      </c>
      <c r="L571" s="17" t="str" cm="1">
        <f t="array" ref="L571">_xlfn.IFS(MID(K571,2,2)="01", "서울", MID(K571,2,2)="02","경기",MID(K571,2,2)="03","충청",MID(K571,2,2)="04","충청",MID(K571,2,2)="05","전라",MID(K571,2,2)="06","전라",MID(K571,2,2)="07","경북",MID(K571,2,2)="08","경남",MID(K571,2,2)="09","강원",MID(K571,2,2)="10","제주",TRUE,"국외")</f>
        <v>경남</v>
      </c>
    </row>
    <row r="572" spans="1:12" ht="17.25" thickBot="1">
      <c r="A572" s="3" t="s">
        <v>706</v>
      </c>
      <c r="B572" s="3"/>
      <c r="C572" s="3"/>
      <c r="D572" s="4" t="s">
        <v>181</v>
      </c>
      <c r="E572" s="4" t="s">
        <v>6</v>
      </c>
      <c r="F572" s="4">
        <v>2020</v>
      </c>
      <c r="G572" s="8">
        <v>4.7</v>
      </c>
      <c r="H572" s="4" t="s">
        <v>6</v>
      </c>
      <c r="I572" s="8">
        <v>4.7</v>
      </c>
      <c r="J572" s="3">
        <v>14609</v>
      </c>
      <c r="K572" s="3"/>
      <c r="L572" s="17" t="str" cm="1">
        <f t="array" ref="L572">_xlfn.IFS(MID(K572,2,2)="01", "서울", MID(K572,2,2)="02","경기",MID(K572,2,2)="03","충청",MID(K572,2,2)="04","충청",MID(K572,2,2)="05","전라",MID(K572,2,2)="06","전라",MID(K572,2,2)="07","경북",MID(K572,2,2)="08","경남",MID(K572,2,2)="09","강원",MID(K572,2,2)="10","제주",TRUE,"국외")</f>
        <v>국외</v>
      </c>
    </row>
    <row r="573" spans="1:12" ht="17.25" thickBot="1">
      <c r="A573" s="3" t="s">
        <v>707</v>
      </c>
      <c r="B573" s="3" t="s">
        <v>708</v>
      </c>
      <c r="C573" s="3" t="s">
        <v>709</v>
      </c>
      <c r="D573" s="4" t="s">
        <v>181</v>
      </c>
      <c r="E573" s="4" t="s">
        <v>6</v>
      </c>
      <c r="F573" s="4">
        <v>2020</v>
      </c>
      <c r="G573" s="8">
        <v>7.9</v>
      </c>
      <c r="H573" s="4" t="s">
        <v>6</v>
      </c>
      <c r="I573" s="8">
        <v>10.199999999999999</v>
      </c>
      <c r="J573" s="3">
        <v>14610</v>
      </c>
      <c r="K573" s="3">
        <v>51113</v>
      </c>
      <c r="L573" s="17" t="str" cm="1">
        <f t="array" ref="L573">_xlfn.IFS(MID(K573,2,2)="01", "서울", MID(K573,2,2)="02","경기",MID(K573,2,2)="03","충청",MID(K573,2,2)="04","충청",MID(K573,2,2)="05","전라",MID(K573,2,2)="06","전라",MID(K573,2,2)="07","경북",MID(K573,2,2)="08","경남",MID(K573,2,2)="09","강원",MID(K573,2,2)="10","제주",TRUE,"국외")</f>
        <v>국외</v>
      </c>
    </row>
    <row r="574" spans="1:12" ht="17.25" thickBot="1">
      <c r="A574" s="3" t="s">
        <v>710</v>
      </c>
      <c r="B574" s="3" t="s">
        <v>711</v>
      </c>
      <c r="C574" s="3"/>
      <c r="D574" s="4" t="s">
        <v>181</v>
      </c>
      <c r="E574" s="4" t="s">
        <v>28</v>
      </c>
      <c r="F574" s="4">
        <v>2020</v>
      </c>
      <c r="G574" s="8">
        <v>4.0999999999999996</v>
      </c>
      <c r="H574" s="4" t="s">
        <v>28</v>
      </c>
      <c r="I574" s="8">
        <v>11.6</v>
      </c>
      <c r="J574" s="3">
        <v>14602</v>
      </c>
      <c r="K574" s="3">
        <v>51109</v>
      </c>
      <c r="L574" s="17" t="str" cm="1">
        <f t="array" ref="L574">_xlfn.IFS(MID(K574,2,2)="01", "서울", MID(K574,2,2)="02","경기",MID(K574,2,2)="03","충청",MID(K574,2,2)="04","충청",MID(K574,2,2)="05","전라",MID(K574,2,2)="06","전라",MID(K574,2,2)="07","경북",MID(K574,2,2)="08","경남",MID(K574,2,2)="09","강원",MID(K574,2,2)="10","제주",TRUE,"국외")</f>
        <v>국외</v>
      </c>
    </row>
    <row r="575" spans="1:12" ht="17.25" thickBot="1">
      <c r="A575" s="3" t="s">
        <v>381</v>
      </c>
      <c r="B575" s="3"/>
      <c r="C575" s="3" t="s">
        <v>712</v>
      </c>
      <c r="D575" s="4" t="s">
        <v>181</v>
      </c>
      <c r="E575" s="4" t="s">
        <v>20</v>
      </c>
      <c r="F575" s="4">
        <v>2020</v>
      </c>
      <c r="G575" s="8">
        <v>4.8</v>
      </c>
      <c r="H575" s="4" t="s">
        <v>20</v>
      </c>
      <c r="I575" s="8">
        <v>5.6</v>
      </c>
      <c r="J575" s="3">
        <v>14592</v>
      </c>
      <c r="K575" s="3"/>
      <c r="L575" s="17" t="str" cm="1">
        <f t="array" ref="L575">_xlfn.IFS(MID(K575,2,2)="01", "서울", MID(K575,2,2)="02","경기",MID(K575,2,2)="03","충청",MID(K575,2,2)="04","충청",MID(K575,2,2)="05","전라",MID(K575,2,2)="06","전라",MID(K575,2,2)="07","경북",MID(K575,2,2)="08","경남",MID(K575,2,2)="09","강원",MID(K575,2,2)="10","제주",TRUE,"국외")</f>
        <v>국외</v>
      </c>
    </row>
    <row r="576" spans="1:12" ht="17.25" thickBot="1">
      <c r="A576" s="3" t="s">
        <v>713</v>
      </c>
      <c r="B576" s="3"/>
      <c r="C576" s="3"/>
      <c r="D576" s="4" t="s">
        <v>181</v>
      </c>
      <c r="E576" s="4" t="s">
        <v>12</v>
      </c>
      <c r="F576" s="4">
        <v>2020</v>
      </c>
      <c r="G576" s="8">
        <v>3.4</v>
      </c>
      <c r="H576" s="4" t="s">
        <v>12</v>
      </c>
      <c r="I576" s="8">
        <v>3.4</v>
      </c>
      <c r="J576" s="3">
        <v>14596</v>
      </c>
      <c r="K576" s="3"/>
      <c r="L576" s="17" t="str" cm="1">
        <f t="array" ref="L576">_xlfn.IFS(MID(K576,2,2)="01", "서울", MID(K576,2,2)="02","경기",MID(K576,2,2)="03","충청",MID(K576,2,2)="04","충청",MID(K576,2,2)="05","전라",MID(K576,2,2)="06","전라",MID(K576,2,2)="07","경북",MID(K576,2,2)="08","경남",MID(K576,2,2)="09","강원",MID(K576,2,2)="10","제주",TRUE,"국외")</f>
        <v>국외</v>
      </c>
    </row>
    <row r="577" spans="1:12" ht="17.25" thickBot="1">
      <c r="A577" s="3" t="s">
        <v>714</v>
      </c>
      <c r="B577" s="3" t="s">
        <v>715</v>
      </c>
      <c r="C577" s="3"/>
      <c r="D577" s="4" t="s">
        <v>181</v>
      </c>
      <c r="E577" s="4" t="s">
        <v>12</v>
      </c>
      <c r="F577" s="4">
        <v>2020</v>
      </c>
      <c r="G577" s="8">
        <v>3.2</v>
      </c>
      <c r="H577" s="4" t="s">
        <v>12</v>
      </c>
      <c r="I577" s="8">
        <v>9</v>
      </c>
      <c r="J577" s="3">
        <v>14599</v>
      </c>
      <c r="K577" s="3">
        <v>51107</v>
      </c>
      <c r="L577" s="17" t="str" cm="1">
        <f t="array" ref="L577">_xlfn.IFS(MID(K577,2,2)="01", "서울", MID(K577,2,2)="02","경기",MID(K577,2,2)="03","충청",MID(K577,2,2)="04","충청",MID(K577,2,2)="05","전라",MID(K577,2,2)="06","전라",MID(K577,2,2)="07","경북",MID(K577,2,2)="08","경남",MID(K577,2,2)="09","강원",MID(K577,2,2)="10","제주",TRUE,"국외")</f>
        <v>국외</v>
      </c>
    </row>
    <row r="578" spans="1:12" ht="17.25" thickBot="1">
      <c r="A578" s="3" t="s">
        <v>716</v>
      </c>
      <c r="B578" s="3" t="s">
        <v>717</v>
      </c>
      <c r="C578" s="3"/>
      <c r="D578" s="4" t="s">
        <v>181</v>
      </c>
      <c r="E578" s="4" t="s">
        <v>607</v>
      </c>
      <c r="F578" s="4">
        <v>2020</v>
      </c>
      <c r="G578" s="8">
        <v>-0.2</v>
      </c>
      <c r="H578" s="4" t="s">
        <v>3</v>
      </c>
      <c r="I578" s="8">
        <v>4.4000000000000004</v>
      </c>
      <c r="J578" s="3">
        <v>14582</v>
      </c>
      <c r="K578" s="3">
        <v>51120</v>
      </c>
      <c r="L578" s="17" t="str" cm="1">
        <f t="array" ref="L578">_xlfn.IFS(MID(K578,2,2)="01", "서울", MID(K578,2,2)="02","경기",MID(K578,2,2)="03","충청",MID(K578,2,2)="04","충청",MID(K578,2,2)="05","전라",MID(K578,2,2)="06","전라",MID(K578,2,2)="07","경북",MID(K578,2,2)="08","경남",MID(K578,2,2)="09","강원",MID(K578,2,2)="10","제주",TRUE,"국외")</f>
        <v>국외</v>
      </c>
    </row>
    <row r="579" spans="1:12" ht="17.25" thickBot="1">
      <c r="A579" s="3" t="s">
        <v>718</v>
      </c>
      <c r="B579" s="3"/>
      <c r="C579" s="3"/>
      <c r="D579" s="4" t="s">
        <v>181</v>
      </c>
      <c r="E579" s="4" t="s">
        <v>607</v>
      </c>
      <c r="F579" s="4">
        <v>2020</v>
      </c>
      <c r="G579" s="8">
        <v>1.2</v>
      </c>
      <c r="H579" s="4" t="s">
        <v>607</v>
      </c>
      <c r="I579" s="8">
        <v>1.2</v>
      </c>
      <c r="J579" s="3">
        <v>14583</v>
      </c>
      <c r="K579" s="3"/>
      <c r="L579" s="17" t="str" cm="1">
        <f t="array" ref="L579">_xlfn.IFS(MID(K579,2,2)="01", "서울", MID(K579,2,2)="02","경기",MID(K579,2,2)="03","충청",MID(K579,2,2)="04","충청",MID(K579,2,2)="05","전라",MID(K579,2,2)="06","전라",MID(K579,2,2)="07","경북",MID(K579,2,2)="08","경남",MID(K579,2,2)="09","강원",MID(K579,2,2)="10","제주",TRUE,"국외")</f>
        <v>국외</v>
      </c>
    </row>
    <row r="580" spans="1:12" ht="17.25" thickBot="1">
      <c r="A580" s="3" t="s">
        <v>719</v>
      </c>
      <c r="B580" s="3"/>
      <c r="C580" s="3"/>
      <c r="D580" s="4" t="s">
        <v>181</v>
      </c>
      <c r="E580" s="4" t="s">
        <v>607</v>
      </c>
      <c r="F580" s="4">
        <v>2020</v>
      </c>
      <c r="G580" s="8">
        <v>0.1</v>
      </c>
      <c r="H580" s="4" t="s">
        <v>607</v>
      </c>
      <c r="I580" s="8">
        <v>0.1</v>
      </c>
      <c r="J580" s="3">
        <v>14744</v>
      </c>
      <c r="K580" s="3"/>
      <c r="L580" s="17" t="str" cm="1">
        <f t="array" ref="L580">_xlfn.IFS(MID(K580,2,2)="01", "서울", MID(K580,2,2)="02","경기",MID(K580,2,2)="03","충청",MID(K580,2,2)="04","충청",MID(K580,2,2)="05","전라",MID(K580,2,2)="06","전라",MID(K580,2,2)="07","경북",MID(K580,2,2)="08","경남",MID(K580,2,2)="09","강원",MID(K580,2,2)="10","제주",TRUE,"국외")</f>
        <v>국외</v>
      </c>
    </row>
    <row r="581" spans="1:12" ht="17.25" thickBot="1">
      <c r="A581" s="3" t="s">
        <v>720</v>
      </c>
      <c r="B581" s="3"/>
      <c r="C581" s="3"/>
      <c r="D581" s="4" t="s">
        <v>181</v>
      </c>
      <c r="E581" s="4" t="s">
        <v>26</v>
      </c>
      <c r="F581" s="4">
        <v>2020</v>
      </c>
      <c r="G581" s="8">
        <v>3.9</v>
      </c>
      <c r="H581" s="4" t="s">
        <v>26</v>
      </c>
      <c r="I581" s="8">
        <v>3.9</v>
      </c>
      <c r="J581" s="3">
        <v>14575</v>
      </c>
      <c r="K581" s="3"/>
      <c r="L581" s="17" t="str" cm="1">
        <f t="array" ref="L581">_xlfn.IFS(MID(K581,2,2)="01", "서울", MID(K581,2,2)="02","경기",MID(K581,2,2)="03","충청",MID(K581,2,2)="04","충청",MID(K581,2,2)="05","전라",MID(K581,2,2)="06","전라",MID(K581,2,2)="07","경북",MID(K581,2,2)="08","경남",MID(K581,2,2)="09","강원",MID(K581,2,2)="10","제주",TRUE,"국외")</f>
        <v>국외</v>
      </c>
    </row>
    <row r="582" spans="1:12" ht="17.25" thickBot="1">
      <c r="A582" s="3" t="s">
        <v>721</v>
      </c>
      <c r="B582" s="3" t="s">
        <v>722</v>
      </c>
      <c r="C582" s="3"/>
      <c r="D582" s="4" t="s">
        <v>181</v>
      </c>
      <c r="E582" s="4" t="s">
        <v>9</v>
      </c>
      <c r="F582" s="4">
        <v>2020</v>
      </c>
      <c r="G582" s="8">
        <v>1.7</v>
      </c>
      <c r="H582" s="4" t="s">
        <v>9</v>
      </c>
      <c r="I582" s="8">
        <v>1.7</v>
      </c>
      <c r="J582" s="3">
        <v>14626</v>
      </c>
      <c r="K582" s="3">
        <v>51100</v>
      </c>
      <c r="L582" s="17" t="str" cm="1">
        <f t="array" ref="L582">_xlfn.IFS(MID(K582,2,2)="01", "서울", MID(K582,2,2)="02","경기",MID(K582,2,2)="03","충청",MID(K582,2,2)="04","충청",MID(K582,2,2)="05","전라",MID(K582,2,2)="06","전라",MID(K582,2,2)="07","경북",MID(K582,2,2)="08","경남",MID(K582,2,2)="09","강원",MID(K582,2,2)="10","제주",TRUE,"국외")</f>
        <v>국외</v>
      </c>
    </row>
    <row r="583" spans="1:12" ht="17.25" thickBot="1">
      <c r="A583" s="3" t="s">
        <v>723</v>
      </c>
      <c r="B583" s="3" t="s">
        <v>724</v>
      </c>
      <c r="C583" s="3"/>
      <c r="D583" s="4" t="s">
        <v>181</v>
      </c>
      <c r="E583" s="4" t="s">
        <v>9</v>
      </c>
      <c r="F583" s="4">
        <v>2020</v>
      </c>
      <c r="G583" s="8">
        <v>4.5</v>
      </c>
      <c r="H583" s="4" t="s">
        <v>9</v>
      </c>
      <c r="I583" s="8">
        <v>8.8000000000000007</v>
      </c>
      <c r="J583" s="3">
        <v>14629</v>
      </c>
      <c r="K583" s="3">
        <v>51115</v>
      </c>
      <c r="L583" s="17" t="str" cm="1">
        <f t="array" ref="L583">_xlfn.IFS(MID(K583,2,2)="01", "서울", MID(K583,2,2)="02","경기",MID(K583,2,2)="03","충청",MID(K583,2,2)="04","충청",MID(K583,2,2)="05","전라",MID(K583,2,2)="06","전라",MID(K583,2,2)="07","경북",MID(K583,2,2)="08","경남",MID(K583,2,2)="09","강원",MID(K583,2,2)="10","제주",TRUE,"국외")</f>
        <v>국외</v>
      </c>
    </row>
    <row r="584" spans="1:12" ht="17.25" thickBot="1">
      <c r="A584" s="3" t="s">
        <v>725</v>
      </c>
      <c r="B584" s="3" t="s">
        <v>726</v>
      </c>
      <c r="C584" s="3" t="s">
        <v>727</v>
      </c>
      <c r="D584" s="4" t="s">
        <v>181</v>
      </c>
      <c r="E584" s="4" t="s">
        <v>9</v>
      </c>
      <c r="F584" s="4">
        <v>2020</v>
      </c>
      <c r="G584" s="8">
        <v>8.1999999999999993</v>
      </c>
      <c r="H584" s="4" t="s">
        <v>9</v>
      </c>
      <c r="I584" s="8">
        <v>16.8</v>
      </c>
      <c r="J584" s="3">
        <v>14627</v>
      </c>
      <c r="K584" s="3">
        <v>51114</v>
      </c>
      <c r="L584" s="17" t="str" cm="1">
        <f t="array" ref="L584">_xlfn.IFS(MID(K584,2,2)="01", "서울", MID(K584,2,2)="02","경기",MID(K584,2,2)="03","충청",MID(K584,2,2)="04","충청",MID(K584,2,2)="05","전라",MID(K584,2,2)="06","전라",MID(K584,2,2)="07","경북",MID(K584,2,2)="08","경남",MID(K584,2,2)="09","강원",MID(K584,2,2)="10","제주",TRUE,"국외")</f>
        <v>국외</v>
      </c>
    </row>
    <row r="585" spans="1:12" ht="17.25" thickBot="1">
      <c r="A585" s="3" t="s">
        <v>728</v>
      </c>
      <c r="B585" s="3"/>
      <c r="C585" s="3"/>
      <c r="D585" s="4" t="s">
        <v>181</v>
      </c>
      <c r="E585" s="4" t="s">
        <v>23</v>
      </c>
      <c r="F585" s="4">
        <v>2020</v>
      </c>
      <c r="G585" s="8">
        <v>1.1000000000000001</v>
      </c>
      <c r="H585" s="4" t="s">
        <v>23</v>
      </c>
      <c r="I585" s="8">
        <v>1.1000000000000001</v>
      </c>
      <c r="J585" s="3">
        <v>14630</v>
      </c>
      <c r="K585" s="3"/>
      <c r="L585" s="17" t="str" cm="1">
        <f t="array" ref="L585">_xlfn.IFS(MID(K585,2,2)="01", "서울", MID(K585,2,2)="02","경기",MID(K585,2,2)="03","충청",MID(K585,2,2)="04","충청",MID(K585,2,2)="05","전라",MID(K585,2,2)="06","전라",MID(K585,2,2)="07","경북",MID(K585,2,2)="08","경남",MID(K585,2,2)="09","강원",MID(K585,2,2)="10","제주",TRUE,"국외")</f>
        <v>국외</v>
      </c>
    </row>
    <row r="586" spans="1:12" ht="17.25" thickBot="1">
      <c r="A586" s="3" t="s">
        <v>729</v>
      </c>
      <c r="B586" s="3"/>
      <c r="C586" s="3" t="s">
        <v>730</v>
      </c>
      <c r="D586" s="4" t="s">
        <v>181</v>
      </c>
      <c r="E586" s="4" t="s">
        <v>23</v>
      </c>
      <c r="F586" s="4">
        <v>2020</v>
      </c>
      <c r="G586" s="8">
        <v>5.7</v>
      </c>
      <c r="H586" s="4" t="s">
        <v>23</v>
      </c>
      <c r="I586" s="8">
        <v>23.5</v>
      </c>
      <c r="J586" s="3">
        <v>14617</v>
      </c>
      <c r="K586" s="3"/>
      <c r="L586" s="17" t="str" cm="1">
        <f t="array" ref="L586">_xlfn.IFS(MID(K586,2,2)="01", "서울", MID(K586,2,2)="02","경기",MID(K586,2,2)="03","충청",MID(K586,2,2)="04","충청",MID(K586,2,2)="05","전라",MID(K586,2,2)="06","전라",MID(K586,2,2)="07","경북",MID(K586,2,2)="08","경남",MID(K586,2,2)="09","강원",MID(K586,2,2)="10","제주",TRUE,"국외")</f>
        <v>국외</v>
      </c>
    </row>
    <row r="587" spans="1:12" ht="17.25" thickBot="1">
      <c r="A587" s="3" t="s">
        <v>731</v>
      </c>
      <c r="B587" s="3"/>
      <c r="C587" s="3"/>
      <c r="D587" s="4" t="s">
        <v>181</v>
      </c>
      <c r="E587" s="4" t="s">
        <v>23</v>
      </c>
      <c r="F587" s="4">
        <v>2020</v>
      </c>
      <c r="G587" s="8">
        <v>-1.2</v>
      </c>
      <c r="H587" s="4" t="s">
        <v>23</v>
      </c>
      <c r="I587" s="8">
        <v>-1.2</v>
      </c>
      <c r="J587" s="3">
        <v>14743</v>
      </c>
      <c r="K587" s="3"/>
      <c r="L587" s="17" t="str" cm="1">
        <f t="array" ref="L587">_xlfn.IFS(MID(K587,2,2)="01", "서울", MID(K587,2,2)="02","경기",MID(K587,2,2)="03","충청",MID(K587,2,2)="04","충청",MID(K587,2,2)="05","전라",MID(K587,2,2)="06","전라",MID(K587,2,2)="07","경북",MID(K587,2,2)="08","경남",MID(K587,2,2)="09","강원",MID(K587,2,2)="10","제주",TRUE,"국외")</f>
        <v>국외</v>
      </c>
    </row>
    <row r="588" spans="1:12" ht="17.25" thickBot="1">
      <c r="A588" s="3" t="s">
        <v>732</v>
      </c>
      <c r="B588" s="3"/>
      <c r="C588" s="3"/>
      <c r="D588" s="4" t="s">
        <v>181</v>
      </c>
      <c r="E588" s="4" t="s">
        <v>18</v>
      </c>
      <c r="F588" s="4">
        <v>2020</v>
      </c>
      <c r="G588" s="8">
        <v>0.6</v>
      </c>
      <c r="H588" s="4" t="s">
        <v>18</v>
      </c>
      <c r="I588" s="8">
        <v>1.6</v>
      </c>
      <c r="J588" s="3">
        <v>14742</v>
      </c>
      <c r="K588" s="3"/>
      <c r="L588" s="17" t="str" cm="1">
        <f t="array" ref="L588">_xlfn.IFS(MID(K588,2,2)="01", "서울", MID(K588,2,2)="02","경기",MID(K588,2,2)="03","충청",MID(K588,2,2)="04","충청",MID(K588,2,2)="05","전라",MID(K588,2,2)="06","전라",MID(K588,2,2)="07","경북",MID(K588,2,2)="08","경남",MID(K588,2,2)="09","강원",MID(K588,2,2)="10","제주",TRUE,"국외")</f>
        <v>국외</v>
      </c>
    </row>
    <row r="589" spans="1:12" ht="17.25" thickBot="1">
      <c r="A589" s="3" t="s">
        <v>733</v>
      </c>
      <c r="B589" s="3"/>
      <c r="C589" s="3"/>
      <c r="D589" s="4" t="s">
        <v>181</v>
      </c>
      <c r="E589" s="4" t="s">
        <v>18</v>
      </c>
      <c r="F589" s="4">
        <v>2020</v>
      </c>
      <c r="G589" s="8">
        <v>-0.5</v>
      </c>
      <c r="H589" s="4" t="s">
        <v>18</v>
      </c>
      <c r="I589" s="8">
        <v>-0.5</v>
      </c>
      <c r="J589" s="3">
        <v>14579</v>
      </c>
      <c r="K589" s="3"/>
      <c r="L589" s="17" t="str" cm="1">
        <f t="array" ref="L589">_xlfn.IFS(MID(K589,2,2)="01", "서울", MID(K589,2,2)="02","경기",MID(K589,2,2)="03","충청",MID(K589,2,2)="04","충청",MID(K589,2,2)="05","전라",MID(K589,2,2)="06","전라",MID(K589,2,2)="07","경북",MID(K589,2,2)="08","경남",MID(K589,2,2)="09","강원",MID(K589,2,2)="10","제주",TRUE,"국외")</f>
        <v>국외</v>
      </c>
    </row>
    <row r="590" spans="1:12" ht="17.25" thickBot="1">
      <c r="A590" s="3" t="s">
        <v>404</v>
      </c>
      <c r="B590" s="3"/>
      <c r="C590" s="3"/>
      <c r="D590" s="4" t="s">
        <v>181</v>
      </c>
      <c r="E590" s="4" t="s">
        <v>3</v>
      </c>
      <c r="F590" s="4">
        <v>2020</v>
      </c>
      <c r="G590" s="8">
        <v>2</v>
      </c>
      <c r="H590" s="4" t="s">
        <v>3</v>
      </c>
      <c r="I590" s="8">
        <v>2</v>
      </c>
      <c r="J590" s="3">
        <v>14741</v>
      </c>
      <c r="K590" s="3"/>
      <c r="L590" s="17" t="str" cm="1">
        <f t="array" ref="L590">_xlfn.IFS(MID(K590,2,2)="01", "서울", MID(K590,2,2)="02","경기",MID(K590,2,2)="03","충청",MID(K590,2,2)="04","충청",MID(K590,2,2)="05","전라",MID(K590,2,2)="06","전라",MID(K590,2,2)="07","경북",MID(K590,2,2)="08","경남",MID(K590,2,2)="09","강원",MID(K590,2,2)="10","제주",TRUE,"국외")</f>
        <v>국외</v>
      </c>
    </row>
    <row r="591" spans="1:12" ht="17.25" thickBot="1">
      <c r="A591" s="3" t="s">
        <v>734</v>
      </c>
      <c r="B591" s="3" t="s">
        <v>68</v>
      </c>
      <c r="C591" s="3" t="s">
        <v>211</v>
      </c>
      <c r="D591" s="4" t="s">
        <v>205</v>
      </c>
      <c r="E591" s="4" t="s">
        <v>6</v>
      </c>
      <c r="F591" s="4"/>
      <c r="G591" s="9"/>
      <c r="H591" s="4"/>
      <c r="I591" s="9"/>
      <c r="J591" s="3">
        <v>14825</v>
      </c>
      <c r="K591" s="3">
        <v>50101</v>
      </c>
      <c r="L591" s="17" t="str" cm="1">
        <f t="array" ref="L591">_xlfn.IFS(MID(K591,2,2)="01", "서울", MID(K591,2,2)="02","경기",MID(K591,2,2)="03","충청",MID(K591,2,2)="04","충청",MID(K591,2,2)="05","전라",MID(K591,2,2)="06","전라",MID(K591,2,2)="07","경북",MID(K591,2,2)="08","경남",MID(K591,2,2)="09","강원",MID(K591,2,2)="10","제주",TRUE,"국외")</f>
        <v>서울</v>
      </c>
    </row>
    <row r="592" spans="1:12" ht="17.25" thickBot="1">
      <c r="A592" s="3" t="s">
        <v>735</v>
      </c>
      <c r="B592" s="3" t="s">
        <v>101</v>
      </c>
      <c r="C592" s="3" t="s">
        <v>174</v>
      </c>
      <c r="D592" s="4" t="s">
        <v>205</v>
      </c>
      <c r="E592" s="4" t="s">
        <v>28</v>
      </c>
      <c r="F592" s="4"/>
      <c r="G592" s="9"/>
      <c r="H592" s="4"/>
      <c r="I592" s="9"/>
      <c r="J592" s="3">
        <v>14727</v>
      </c>
      <c r="K592" s="3">
        <v>50207</v>
      </c>
      <c r="L592" s="17" t="str" cm="1">
        <f t="array" ref="L592">_xlfn.IFS(MID(K592,2,2)="01", "서울", MID(K592,2,2)="02","경기",MID(K592,2,2)="03","충청",MID(K592,2,2)="04","충청",MID(K592,2,2)="05","전라",MID(K592,2,2)="06","전라",MID(K592,2,2)="07","경북",MID(K592,2,2)="08","경남",MID(K592,2,2)="09","강원",MID(K592,2,2)="10","제주",TRUE,"국외")</f>
        <v>경기</v>
      </c>
    </row>
    <row r="593" spans="1:12" ht="17.25" thickBot="1">
      <c r="A593" s="3" t="s">
        <v>704</v>
      </c>
      <c r="B593" s="3" t="s">
        <v>68</v>
      </c>
      <c r="C593" s="3" t="s">
        <v>99</v>
      </c>
      <c r="D593" s="4" t="s">
        <v>205</v>
      </c>
      <c r="E593" s="4" t="s">
        <v>28</v>
      </c>
      <c r="F593" s="4"/>
      <c r="G593" s="9"/>
      <c r="H593" s="4"/>
      <c r="I593" s="9"/>
      <c r="J593" s="3">
        <v>14728</v>
      </c>
      <c r="K593" s="3">
        <v>50101</v>
      </c>
      <c r="L593" s="17" t="str" cm="1">
        <f t="array" ref="L593">_xlfn.IFS(MID(K593,2,2)="01", "서울", MID(K593,2,2)="02","경기",MID(K593,2,2)="03","충청",MID(K593,2,2)="04","충청",MID(K593,2,2)="05","전라",MID(K593,2,2)="06","전라",MID(K593,2,2)="07","경북",MID(K593,2,2)="08","경남",MID(K593,2,2)="09","강원",MID(K593,2,2)="10","제주",TRUE,"국외")</f>
        <v>서울</v>
      </c>
    </row>
    <row r="594" spans="1:12" ht="17.25" thickBot="1">
      <c r="A594" s="3" t="s">
        <v>736</v>
      </c>
      <c r="B594" s="3" t="s">
        <v>296</v>
      </c>
      <c r="C594" s="3" t="s">
        <v>172</v>
      </c>
      <c r="D594" s="4" t="s">
        <v>205</v>
      </c>
      <c r="E594" s="4" t="s">
        <v>28</v>
      </c>
      <c r="F594" s="4"/>
      <c r="G594" s="9"/>
      <c r="H594" s="4"/>
      <c r="I594" s="9"/>
      <c r="J594" s="3">
        <v>14729</v>
      </c>
      <c r="K594" s="3">
        <v>50217</v>
      </c>
      <c r="L594" s="17" t="str" cm="1">
        <f t="array" ref="L594">_xlfn.IFS(MID(K594,2,2)="01", "서울", MID(K594,2,2)="02","경기",MID(K594,2,2)="03","충청",MID(K594,2,2)="04","충청",MID(K594,2,2)="05","전라",MID(K594,2,2)="06","전라",MID(K594,2,2)="07","경북",MID(K594,2,2)="08","경남",MID(K594,2,2)="09","강원",MID(K594,2,2)="10","제주",TRUE,"국외")</f>
        <v>경기</v>
      </c>
    </row>
    <row r="595" spans="1:12" ht="17.25" thickBot="1">
      <c r="A595" s="3" t="s">
        <v>737</v>
      </c>
      <c r="B595" s="3" t="s">
        <v>179</v>
      </c>
      <c r="C595" s="3" t="s">
        <v>174</v>
      </c>
      <c r="D595" s="4" t="s">
        <v>205</v>
      </c>
      <c r="E595" s="4" t="s">
        <v>28</v>
      </c>
      <c r="F595" s="4"/>
      <c r="G595" s="9"/>
      <c r="H595" s="4"/>
      <c r="I595" s="9"/>
      <c r="J595" s="3">
        <v>14726</v>
      </c>
      <c r="K595" s="3">
        <v>50211</v>
      </c>
      <c r="L595" s="17" t="str" cm="1">
        <f t="array" ref="L595">_xlfn.IFS(MID(K595,2,2)="01", "서울", MID(K595,2,2)="02","경기",MID(K595,2,2)="03","충청",MID(K595,2,2)="04","충청",MID(K595,2,2)="05","전라",MID(K595,2,2)="06","전라",MID(K595,2,2)="07","경북",MID(K595,2,2)="08","경남",MID(K595,2,2)="09","강원",MID(K595,2,2)="10","제주",TRUE,"국외")</f>
        <v>경기</v>
      </c>
    </row>
    <row r="596" spans="1:12" ht="17.25" thickBot="1">
      <c r="A596" s="3" t="s">
        <v>738</v>
      </c>
      <c r="B596" s="3" t="s">
        <v>38</v>
      </c>
      <c r="C596" s="3" t="s">
        <v>739</v>
      </c>
      <c r="D596" s="4" t="s">
        <v>205</v>
      </c>
      <c r="E596" s="4" t="s">
        <v>28</v>
      </c>
      <c r="F596" s="4"/>
      <c r="G596" s="9"/>
      <c r="H596" s="4"/>
      <c r="I596" s="9"/>
      <c r="J596" s="3">
        <v>14725</v>
      </c>
      <c r="K596" s="3">
        <v>50109</v>
      </c>
      <c r="L596" s="17" t="str" cm="1">
        <f t="array" ref="L596">_xlfn.IFS(MID(K596,2,2)="01", "서울", MID(K596,2,2)="02","경기",MID(K596,2,2)="03","충청",MID(K596,2,2)="04","충청",MID(K596,2,2)="05","전라",MID(K596,2,2)="06","전라",MID(K596,2,2)="07","경북",MID(K596,2,2)="08","경남",MID(K596,2,2)="09","강원",MID(K596,2,2)="10","제주",TRUE,"국외")</f>
        <v>서울</v>
      </c>
    </row>
    <row r="597" spans="1:12" ht="17.25" thickBot="1">
      <c r="A597" s="3" t="s">
        <v>740</v>
      </c>
      <c r="B597" s="3" t="s">
        <v>22</v>
      </c>
      <c r="C597" s="3" t="s">
        <v>161</v>
      </c>
      <c r="D597" s="4" t="s">
        <v>205</v>
      </c>
      <c r="E597" s="4" t="s">
        <v>28</v>
      </c>
      <c r="F597" s="4"/>
      <c r="G597" s="9"/>
      <c r="H597" s="4"/>
      <c r="I597" s="9"/>
      <c r="J597" s="3">
        <v>14719</v>
      </c>
      <c r="K597" s="3">
        <v>50209</v>
      </c>
      <c r="L597" s="17" t="str" cm="1">
        <f t="array" ref="L597">_xlfn.IFS(MID(K597,2,2)="01", "서울", MID(K597,2,2)="02","경기",MID(K597,2,2)="03","충청",MID(K597,2,2)="04","충청",MID(K597,2,2)="05","전라",MID(K597,2,2)="06","전라",MID(K597,2,2)="07","경북",MID(K597,2,2)="08","경남",MID(K597,2,2)="09","강원",MID(K597,2,2)="10","제주",TRUE,"국외")</f>
        <v>경기</v>
      </c>
    </row>
    <row r="598" spans="1:12" ht="17.25" thickBot="1">
      <c r="A598" s="3" t="s">
        <v>741</v>
      </c>
      <c r="B598" s="3" t="s">
        <v>38</v>
      </c>
      <c r="C598" s="3"/>
      <c r="D598" s="4" t="s">
        <v>205</v>
      </c>
      <c r="E598" s="4" t="s">
        <v>20</v>
      </c>
      <c r="F598" s="4"/>
      <c r="G598" s="9"/>
      <c r="H598" s="4"/>
      <c r="I598" s="9"/>
      <c r="J598" s="3">
        <v>14672</v>
      </c>
      <c r="K598" s="3">
        <v>50109</v>
      </c>
      <c r="L598" s="17" t="str" cm="1">
        <f t="array" ref="L598">_xlfn.IFS(MID(K598,2,2)="01", "서울", MID(K598,2,2)="02","경기",MID(K598,2,2)="03","충청",MID(K598,2,2)="04","충청",MID(K598,2,2)="05","전라",MID(K598,2,2)="06","전라",MID(K598,2,2)="07","경북",MID(K598,2,2)="08","경남",MID(K598,2,2)="09","강원",MID(K598,2,2)="10","제주",TRUE,"국외")</f>
        <v>서울</v>
      </c>
    </row>
    <row r="599" spans="1:12" ht="17.25" thickBot="1">
      <c r="A599" s="3" t="s">
        <v>742</v>
      </c>
      <c r="B599" s="3" t="s">
        <v>78</v>
      </c>
      <c r="C599" s="3" t="s">
        <v>211</v>
      </c>
      <c r="D599" s="4" t="s">
        <v>205</v>
      </c>
      <c r="E599" s="4" t="s">
        <v>20</v>
      </c>
      <c r="F599" s="4"/>
      <c r="G599" s="9"/>
      <c r="H599" s="4"/>
      <c r="I599" s="9"/>
      <c r="J599" s="3">
        <v>14670</v>
      </c>
      <c r="K599" s="3">
        <v>50401</v>
      </c>
      <c r="L599" s="17" t="str" cm="1">
        <f t="array" ref="L599">_xlfn.IFS(MID(K599,2,2)="01", "서울", MID(K599,2,2)="02","경기",MID(K599,2,2)="03","충청",MID(K599,2,2)="04","충청",MID(K599,2,2)="05","전라",MID(K599,2,2)="06","전라",MID(K599,2,2)="07","경북",MID(K599,2,2)="08","경남",MID(K599,2,2)="09","강원",MID(K599,2,2)="10","제주",TRUE,"국외")</f>
        <v>충청</v>
      </c>
    </row>
    <row r="600" spans="1:12" ht="17.25" thickBot="1">
      <c r="A600" s="3" t="s">
        <v>743</v>
      </c>
      <c r="B600" s="3" t="s">
        <v>66</v>
      </c>
      <c r="C600" s="3" t="s">
        <v>211</v>
      </c>
      <c r="D600" s="4" t="s">
        <v>205</v>
      </c>
      <c r="E600" s="4" t="s">
        <v>20</v>
      </c>
      <c r="F600" s="4"/>
      <c r="G600" s="9"/>
      <c r="H600" s="4"/>
      <c r="I600" s="9"/>
      <c r="J600" s="3">
        <v>14675</v>
      </c>
      <c r="K600" s="3">
        <v>50110</v>
      </c>
      <c r="L600" s="17" t="str" cm="1">
        <f t="array" ref="L600">_xlfn.IFS(MID(K600,2,2)="01", "서울", MID(K600,2,2)="02","경기",MID(K600,2,2)="03","충청",MID(K600,2,2)="04","충청",MID(K600,2,2)="05","전라",MID(K600,2,2)="06","전라",MID(K600,2,2)="07","경북",MID(K600,2,2)="08","경남",MID(K600,2,2)="09","강원",MID(K600,2,2)="10","제주",TRUE,"국외")</f>
        <v>서울</v>
      </c>
    </row>
    <row r="601" spans="1:12" ht="17.25" thickBot="1">
      <c r="A601" s="3" t="s">
        <v>744</v>
      </c>
      <c r="B601" s="3" t="s">
        <v>5</v>
      </c>
      <c r="C601" s="3" t="s">
        <v>218</v>
      </c>
      <c r="D601" s="4" t="s">
        <v>205</v>
      </c>
      <c r="E601" s="4" t="s">
        <v>12</v>
      </c>
      <c r="F601" s="4">
        <v>2023</v>
      </c>
      <c r="G601" s="9"/>
      <c r="H601" s="4" t="s">
        <v>12</v>
      </c>
      <c r="I601" s="8">
        <v>0.1</v>
      </c>
      <c r="J601" s="3">
        <v>14661</v>
      </c>
      <c r="K601" s="3">
        <v>50114</v>
      </c>
      <c r="L601" s="17" t="str" cm="1">
        <f t="array" ref="L601">_xlfn.IFS(MID(K601,2,2)="01", "서울", MID(K601,2,2)="02","경기",MID(K601,2,2)="03","충청",MID(K601,2,2)="04","충청",MID(K601,2,2)="05","전라",MID(K601,2,2)="06","전라",MID(K601,2,2)="07","경북",MID(K601,2,2)="08","경남",MID(K601,2,2)="09","강원",MID(K601,2,2)="10","제주",TRUE,"국외")</f>
        <v>서울</v>
      </c>
    </row>
    <row r="602" spans="1:12" ht="17.25" thickBot="1">
      <c r="A602" s="3" t="s">
        <v>745</v>
      </c>
      <c r="B602" s="3" t="s">
        <v>262</v>
      </c>
      <c r="C602" s="3"/>
      <c r="D602" s="4" t="s">
        <v>205</v>
      </c>
      <c r="E602" s="4" t="s">
        <v>12</v>
      </c>
      <c r="F602" s="4"/>
      <c r="G602" s="9"/>
      <c r="H602" s="4"/>
      <c r="I602" s="9"/>
      <c r="J602" s="3">
        <v>13677</v>
      </c>
      <c r="K602" s="3">
        <v>50811</v>
      </c>
      <c r="L602" s="17" t="str" cm="1">
        <f t="array" ref="L602">_xlfn.IFS(MID(K602,2,2)="01", "서울", MID(K602,2,2)="02","경기",MID(K602,2,2)="03","충청",MID(K602,2,2)="04","충청",MID(K602,2,2)="05","전라",MID(K602,2,2)="06","전라",MID(K602,2,2)="07","경북",MID(K602,2,2)="08","경남",MID(K602,2,2)="09","강원",MID(K602,2,2)="10","제주",TRUE,"국외")</f>
        <v>경남</v>
      </c>
    </row>
    <row r="603" spans="1:12" ht="17.25" thickBot="1">
      <c r="A603" s="3" t="s">
        <v>746</v>
      </c>
      <c r="B603" s="3" t="s">
        <v>5</v>
      </c>
      <c r="C603" s="3" t="s">
        <v>133</v>
      </c>
      <c r="D603" s="4" t="s">
        <v>205</v>
      </c>
      <c r="E603" s="4" t="s">
        <v>607</v>
      </c>
      <c r="F603" s="4"/>
      <c r="G603" s="9"/>
      <c r="H603" s="4"/>
      <c r="I603" s="9"/>
      <c r="J603" s="3">
        <v>14691</v>
      </c>
      <c r="K603" s="3">
        <v>50114</v>
      </c>
      <c r="L603" s="17" t="str" cm="1">
        <f t="array" ref="L603">_xlfn.IFS(MID(K603,2,2)="01", "서울", MID(K603,2,2)="02","경기",MID(K603,2,2)="03","충청",MID(K603,2,2)="04","충청",MID(K603,2,2)="05","전라",MID(K603,2,2)="06","전라",MID(K603,2,2)="07","경북",MID(K603,2,2)="08","경남",MID(K603,2,2)="09","강원",MID(K603,2,2)="10","제주",TRUE,"국외")</f>
        <v>서울</v>
      </c>
    </row>
    <row r="604" spans="1:12" ht="17.25" thickBot="1">
      <c r="A604" s="3" t="s">
        <v>743</v>
      </c>
      <c r="B604" s="3" t="s">
        <v>68</v>
      </c>
      <c r="C604" s="3" t="s">
        <v>133</v>
      </c>
      <c r="D604" s="4" t="s">
        <v>205</v>
      </c>
      <c r="E604" s="4" t="s">
        <v>607</v>
      </c>
      <c r="F604" s="4"/>
      <c r="G604" s="9"/>
      <c r="H604" s="4"/>
      <c r="I604" s="9"/>
      <c r="J604" s="3">
        <v>14688</v>
      </c>
      <c r="K604" s="3">
        <v>50101</v>
      </c>
      <c r="L604" s="17" t="str" cm="1">
        <f t="array" ref="L604">_xlfn.IFS(MID(K604,2,2)="01", "서울", MID(K604,2,2)="02","경기",MID(K604,2,2)="03","충청",MID(K604,2,2)="04","충청",MID(K604,2,2)="05","전라",MID(K604,2,2)="06","전라",MID(K604,2,2)="07","경북",MID(K604,2,2)="08","경남",MID(K604,2,2)="09","강원",MID(K604,2,2)="10","제주",TRUE,"국외")</f>
        <v>서울</v>
      </c>
    </row>
    <row r="605" spans="1:12" ht="17.25" thickBot="1">
      <c r="A605" s="3" t="s">
        <v>747</v>
      </c>
      <c r="B605" s="3" t="s">
        <v>82</v>
      </c>
      <c r="C605" s="3" t="s">
        <v>119</v>
      </c>
      <c r="D605" s="4" t="s">
        <v>205</v>
      </c>
      <c r="E605" s="4" t="s">
        <v>607</v>
      </c>
      <c r="F605" s="4">
        <v>2020</v>
      </c>
      <c r="G605" s="8">
        <v>0</v>
      </c>
      <c r="H605" s="4" t="s">
        <v>607</v>
      </c>
      <c r="I605" s="8">
        <v>-0.1</v>
      </c>
      <c r="J605" s="3">
        <v>14682</v>
      </c>
      <c r="K605" s="3">
        <v>50605</v>
      </c>
      <c r="L605" s="17" t="str" cm="1">
        <f t="array" ref="L605">_xlfn.IFS(MID(K605,2,2)="01", "서울", MID(K605,2,2)="02","경기",MID(K605,2,2)="03","충청",MID(K605,2,2)="04","충청",MID(K605,2,2)="05","전라",MID(K605,2,2)="06","전라",MID(K605,2,2)="07","경북",MID(K605,2,2)="08","경남",MID(K605,2,2)="09","강원",MID(K605,2,2)="10","제주",TRUE,"국외")</f>
        <v>전라</v>
      </c>
    </row>
    <row r="606" spans="1:12" ht="17.25" thickBot="1">
      <c r="A606" s="3" t="s">
        <v>748</v>
      </c>
      <c r="B606" s="3" t="s">
        <v>332</v>
      </c>
      <c r="C606" s="3" t="s">
        <v>739</v>
      </c>
      <c r="D606" s="4" t="s">
        <v>205</v>
      </c>
      <c r="E606" s="4" t="s">
        <v>26</v>
      </c>
      <c r="F606" s="4"/>
      <c r="G606" s="9"/>
      <c r="H606" s="4"/>
      <c r="I606" s="9"/>
      <c r="J606" s="3">
        <v>14886</v>
      </c>
      <c r="K606" s="3">
        <v>50705</v>
      </c>
      <c r="L606" s="17" t="str" cm="1">
        <f t="array" ref="L606">_xlfn.IFS(MID(K606,2,2)="01", "서울", MID(K606,2,2)="02","경기",MID(K606,2,2)="03","충청",MID(K606,2,2)="04","충청",MID(K606,2,2)="05","전라",MID(K606,2,2)="06","전라",MID(K606,2,2)="07","경북",MID(K606,2,2)="08","경남",MID(K606,2,2)="09","강원",MID(K606,2,2)="10","제주",TRUE,"국외")</f>
        <v>경북</v>
      </c>
    </row>
    <row r="607" spans="1:12" ht="17.25" thickBot="1">
      <c r="A607" s="3" t="s">
        <v>749</v>
      </c>
      <c r="B607" s="3" t="s">
        <v>52</v>
      </c>
      <c r="C607" s="3"/>
      <c r="D607" s="4" t="s">
        <v>205</v>
      </c>
      <c r="E607" s="4" t="s">
        <v>26</v>
      </c>
      <c r="F607" s="4"/>
      <c r="G607" s="9"/>
      <c r="H607" s="4"/>
      <c r="I607" s="9"/>
      <c r="J607" s="3">
        <v>14735</v>
      </c>
      <c r="K607" s="3">
        <v>50803</v>
      </c>
      <c r="L607" s="17" t="str" cm="1">
        <f t="array" ref="L607">_xlfn.IFS(MID(K607,2,2)="01", "서울", MID(K607,2,2)="02","경기",MID(K607,2,2)="03","충청",MID(K607,2,2)="04","충청",MID(K607,2,2)="05","전라",MID(K607,2,2)="06","전라",MID(K607,2,2)="07","경북",MID(K607,2,2)="08","경남",MID(K607,2,2)="09","강원",MID(K607,2,2)="10","제주",TRUE,"국외")</f>
        <v>경남</v>
      </c>
    </row>
    <row r="608" spans="1:12" ht="17.25" thickBot="1">
      <c r="A608" s="3" t="s">
        <v>750</v>
      </c>
      <c r="B608" s="3" t="s">
        <v>11</v>
      </c>
      <c r="C608" s="3" t="s">
        <v>161</v>
      </c>
      <c r="D608" s="4" t="s">
        <v>205</v>
      </c>
      <c r="E608" s="4" t="s">
        <v>26</v>
      </c>
      <c r="F608" s="4">
        <v>2021</v>
      </c>
      <c r="G608" s="9"/>
      <c r="H608" s="4" t="s">
        <v>26</v>
      </c>
      <c r="I608" s="8">
        <v>0.1</v>
      </c>
      <c r="J608" s="3">
        <v>14731</v>
      </c>
      <c r="K608" s="3">
        <v>50802</v>
      </c>
      <c r="L608" s="17" t="str" cm="1">
        <f t="array" ref="L608">_xlfn.IFS(MID(K608,2,2)="01", "서울", MID(K608,2,2)="02","경기",MID(K608,2,2)="03","충청",MID(K608,2,2)="04","충청",MID(K608,2,2)="05","전라",MID(K608,2,2)="06","전라",MID(K608,2,2)="07","경북",MID(K608,2,2)="08","경남",MID(K608,2,2)="09","강원",MID(K608,2,2)="10","제주",TRUE,"국외")</f>
        <v>경남</v>
      </c>
    </row>
    <row r="609" spans="1:12" ht="17.25" thickBot="1">
      <c r="A609" s="3" t="s">
        <v>751</v>
      </c>
      <c r="B609" s="3" t="s">
        <v>74</v>
      </c>
      <c r="C609" s="3" t="s">
        <v>752</v>
      </c>
      <c r="D609" s="4" t="s">
        <v>205</v>
      </c>
      <c r="E609" s="4" t="s">
        <v>26</v>
      </c>
      <c r="F609" s="4"/>
      <c r="G609" s="9"/>
      <c r="H609" s="4"/>
      <c r="I609" s="9"/>
      <c r="J609" s="3">
        <v>14734</v>
      </c>
      <c r="K609" s="3">
        <v>50102</v>
      </c>
      <c r="L609" s="17" t="str" cm="1">
        <f t="array" ref="L609">_xlfn.IFS(MID(K609,2,2)="01", "서울", MID(K609,2,2)="02","경기",MID(K609,2,2)="03","충청",MID(K609,2,2)="04","충청",MID(K609,2,2)="05","전라",MID(K609,2,2)="06","전라",MID(K609,2,2)="07","경북",MID(K609,2,2)="08","경남",MID(K609,2,2)="09","강원",MID(K609,2,2)="10","제주",TRUE,"국외")</f>
        <v>서울</v>
      </c>
    </row>
    <row r="610" spans="1:12" ht="17.25" thickBot="1">
      <c r="A610" s="3" t="s">
        <v>753</v>
      </c>
      <c r="B610" s="3" t="s">
        <v>70</v>
      </c>
      <c r="C610" s="3"/>
      <c r="D610" s="4" t="s">
        <v>205</v>
      </c>
      <c r="E610" s="4" t="s">
        <v>26</v>
      </c>
      <c r="F610" s="4">
        <v>2020</v>
      </c>
      <c r="G610" s="8">
        <v>0.2</v>
      </c>
      <c r="H610" s="4" t="s">
        <v>26</v>
      </c>
      <c r="I610" s="8">
        <v>0.4</v>
      </c>
      <c r="J610" s="3">
        <v>13665</v>
      </c>
      <c r="K610" s="3">
        <v>50103</v>
      </c>
      <c r="L610" s="17" t="str" cm="1">
        <f t="array" ref="L610">_xlfn.IFS(MID(K610,2,2)="01", "서울", MID(K610,2,2)="02","경기",MID(K610,2,2)="03","충청",MID(K610,2,2)="04","충청",MID(K610,2,2)="05","전라",MID(K610,2,2)="06","전라",MID(K610,2,2)="07","경북",MID(K610,2,2)="08","경남",MID(K610,2,2)="09","강원",MID(K610,2,2)="10","제주",TRUE,"국외")</f>
        <v>서울</v>
      </c>
    </row>
    <row r="611" spans="1:12" ht="17.25" thickBot="1">
      <c r="A611" s="3" t="s">
        <v>754</v>
      </c>
      <c r="B611" s="3" t="s">
        <v>81</v>
      </c>
      <c r="C611" s="3" t="s">
        <v>174</v>
      </c>
      <c r="D611" s="4" t="s">
        <v>205</v>
      </c>
      <c r="E611" s="4" t="s">
        <v>9</v>
      </c>
      <c r="F611" s="4"/>
      <c r="G611" s="9"/>
      <c r="H611" s="4"/>
      <c r="I611" s="9"/>
      <c r="J611" s="3">
        <v>14636</v>
      </c>
      <c r="K611" s="3">
        <v>50105</v>
      </c>
      <c r="L611" s="17" t="str" cm="1">
        <f t="array" ref="L611">_xlfn.IFS(MID(K611,2,2)="01", "서울", MID(K611,2,2)="02","경기",MID(K611,2,2)="03","충청",MID(K611,2,2)="04","충청",MID(K611,2,2)="05","전라",MID(K611,2,2)="06","전라",MID(K611,2,2)="07","경북",MID(K611,2,2)="08","경남",MID(K611,2,2)="09","강원",MID(K611,2,2)="10","제주",TRUE,"국외")</f>
        <v>서울</v>
      </c>
    </row>
    <row r="612" spans="1:12" ht="17.25" thickBot="1">
      <c r="A612" s="3" t="s">
        <v>755</v>
      </c>
      <c r="B612" s="3" t="s">
        <v>11</v>
      </c>
      <c r="C612" s="3" t="s">
        <v>211</v>
      </c>
      <c r="D612" s="4" t="s">
        <v>205</v>
      </c>
      <c r="E612" s="4" t="s">
        <v>9</v>
      </c>
      <c r="F612" s="4">
        <v>2022</v>
      </c>
      <c r="G612" s="9"/>
      <c r="H612" s="4" t="s">
        <v>9</v>
      </c>
      <c r="I612" s="8">
        <v>0</v>
      </c>
      <c r="J612" s="3">
        <v>14635</v>
      </c>
      <c r="K612" s="3">
        <v>50802</v>
      </c>
      <c r="L612" s="17" t="str" cm="1">
        <f t="array" ref="L612">_xlfn.IFS(MID(K612,2,2)="01", "서울", MID(K612,2,2)="02","경기",MID(K612,2,2)="03","충청",MID(K612,2,2)="04","충청",MID(K612,2,2)="05","전라",MID(K612,2,2)="06","전라",MID(K612,2,2)="07","경북",MID(K612,2,2)="08","경남",MID(K612,2,2)="09","강원",MID(K612,2,2)="10","제주",TRUE,"국외")</f>
        <v>경남</v>
      </c>
    </row>
    <row r="613" spans="1:12" ht="17.25" thickBot="1">
      <c r="A613" s="3" t="s">
        <v>756</v>
      </c>
      <c r="B613" s="3" t="s">
        <v>169</v>
      </c>
      <c r="C613" s="3" t="s">
        <v>90</v>
      </c>
      <c r="D613" s="4" t="s">
        <v>205</v>
      </c>
      <c r="E613" s="4" t="s">
        <v>9</v>
      </c>
      <c r="F613" s="4"/>
      <c r="G613" s="9"/>
      <c r="H613" s="4"/>
      <c r="I613" s="9"/>
      <c r="J613" s="3">
        <v>14641</v>
      </c>
      <c r="K613" s="3">
        <v>50606</v>
      </c>
      <c r="L613" s="17" t="str" cm="1">
        <f t="array" ref="L613">_xlfn.IFS(MID(K613,2,2)="01", "서울", MID(K613,2,2)="02","경기",MID(K613,2,2)="03","충청",MID(K613,2,2)="04","충청",MID(K613,2,2)="05","전라",MID(K613,2,2)="06","전라",MID(K613,2,2)="07","경북",MID(K613,2,2)="08","경남",MID(K613,2,2)="09","강원",MID(K613,2,2)="10","제주",TRUE,"국외")</f>
        <v>전라</v>
      </c>
    </row>
    <row r="614" spans="1:12" ht="17.25" thickBot="1">
      <c r="A614" s="3" t="s">
        <v>757</v>
      </c>
      <c r="B614" s="3" t="s">
        <v>176</v>
      </c>
      <c r="C614" s="3" t="s">
        <v>538</v>
      </c>
      <c r="D614" s="4" t="s">
        <v>205</v>
      </c>
      <c r="E614" s="4" t="s">
        <v>3</v>
      </c>
      <c r="F614" s="4"/>
      <c r="G614" s="9"/>
      <c r="H614" s="4"/>
      <c r="I614" s="9"/>
      <c r="J614" s="3">
        <v>14703</v>
      </c>
      <c r="K614" s="3">
        <v>50302</v>
      </c>
      <c r="L614" s="17" t="str" cm="1">
        <f t="array" ref="L614">_xlfn.IFS(MID(K614,2,2)="01", "서울", MID(K614,2,2)="02","경기",MID(K614,2,2)="03","충청",MID(K614,2,2)="04","충청",MID(K614,2,2)="05","전라",MID(K614,2,2)="06","전라",MID(K614,2,2)="07","경북",MID(K614,2,2)="08","경남",MID(K614,2,2)="09","강원",MID(K614,2,2)="10","제주",TRUE,"국외")</f>
        <v>충청</v>
      </c>
    </row>
    <row r="615" spans="1:12" ht="17.25" thickBot="1">
      <c r="A615" s="3" t="s">
        <v>758</v>
      </c>
      <c r="B615" s="3" t="s">
        <v>50</v>
      </c>
      <c r="C615" s="3" t="s">
        <v>119</v>
      </c>
      <c r="D615" s="4" t="s">
        <v>205</v>
      </c>
      <c r="E615" s="4" t="s">
        <v>3</v>
      </c>
      <c r="F615" s="4"/>
      <c r="G615" s="9"/>
      <c r="H615" s="4"/>
      <c r="I615" s="9"/>
      <c r="J615" s="3">
        <v>14705</v>
      </c>
      <c r="K615" s="3">
        <v>50301</v>
      </c>
      <c r="L615" s="17" t="str" cm="1">
        <f t="array" ref="L615">_xlfn.IFS(MID(K615,2,2)="01", "서울", MID(K615,2,2)="02","경기",MID(K615,2,2)="03","충청",MID(K615,2,2)="04","충청",MID(K615,2,2)="05","전라",MID(K615,2,2)="06","전라",MID(K615,2,2)="07","경북",MID(K615,2,2)="08","경남",MID(K615,2,2)="09","강원",MID(K615,2,2)="10","제주",TRUE,"국외")</f>
        <v>충청</v>
      </c>
    </row>
    <row r="616" spans="1:12" ht="17.25" thickBot="1">
      <c r="A616" s="3" t="s">
        <v>759</v>
      </c>
      <c r="B616" s="3" t="s">
        <v>14</v>
      </c>
      <c r="C616" s="3" t="s">
        <v>538</v>
      </c>
      <c r="D616" s="4" t="s">
        <v>205</v>
      </c>
      <c r="E616" s="4" t="s">
        <v>3</v>
      </c>
      <c r="F616" s="1"/>
      <c r="G616" s="10"/>
      <c r="H616" s="1"/>
      <c r="I616" s="10"/>
      <c r="J616" s="3">
        <v>14712</v>
      </c>
      <c r="K616" s="3">
        <v>50703</v>
      </c>
      <c r="L616" s="17" t="str" cm="1">
        <f t="array" ref="L616">_xlfn.IFS(MID(K616,2,2)="01", "서울", MID(K616,2,2)="02","경기",MID(K616,2,2)="03","충청",MID(K616,2,2)="04","충청",MID(K616,2,2)="05","전라",MID(K616,2,2)="06","전라",MID(K616,2,2)="07","경북",MID(K616,2,2)="08","경남",MID(K616,2,2)="09","강원",MID(K616,2,2)="10","제주",TRUE,"국외")</f>
        <v>경북</v>
      </c>
    </row>
    <row r="617" spans="1:12" ht="17.25" thickBot="1">
      <c r="A617" s="3" t="s">
        <v>760</v>
      </c>
      <c r="B617" s="3" t="s">
        <v>96</v>
      </c>
      <c r="C617" s="3"/>
      <c r="D617" s="4" t="s">
        <v>243</v>
      </c>
      <c r="E617" s="4" t="s">
        <v>6</v>
      </c>
      <c r="F617" s="4">
        <v>2019</v>
      </c>
      <c r="G617" s="8">
        <v>1</v>
      </c>
      <c r="H617" s="4" t="s">
        <v>6</v>
      </c>
      <c r="I617" s="8">
        <v>1.6</v>
      </c>
      <c r="J617" s="3">
        <v>14176</v>
      </c>
      <c r="K617" s="3">
        <v>50601</v>
      </c>
      <c r="L617" s="17" t="str" cm="1">
        <f t="array" ref="L617">_xlfn.IFS(MID(K617,2,2)="01", "서울", MID(K617,2,2)="02","경기",MID(K617,2,2)="03","충청",MID(K617,2,2)="04","충청",MID(K617,2,2)="05","전라",MID(K617,2,2)="06","전라",MID(K617,2,2)="07","경북",MID(K617,2,2)="08","경남",MID(K617,2,2)="09","강원",MID(K617,2,2)="10","제주",TRUE,"국외")</f>
        <v>전라</v>
      </c>
    </row>
    <row r="618" spans="1:12" ht="17.25" thickBot="1">
      <c r="A618" s="3" t="s">
        <v>761</v>
      </c>
      <c r="B618" s="3" t="s">
        <v>126</v>
      </c>
      <c r="C618" s="3"/>
      <c r="D618" s="4" t="s">
        <v>243</v>
      </c>
      <c r="E618" s="4" t="s">
        <v>28</v>
      </c>
      <c r="F618" s="4">
        <v>2019</v>
      </c>
      <c r="G618" s="8">
        <v>-0.1</v>
      </c>
      <c r="H618" s="4" t="s">
        <v>28</v>
      </c>
      <c r="I618" s="8">
        <v>0.2</v>
      </c>
      <c r="J618" s="3">
        <v>14106</v>
      </c>
      <c r="K618" s="3">
        <v>50206</v>
      </c>
      <c r="L618" s="17" t="str" cm="1">
        <f t="array" ref="L618">_xlfn.IFS(MID(K618,2,2)="01", "서울", MID(K618,2,2)="02","경기",MID(K618,2,2)="03","충청",MID(K618,2,2)="04","충청",MID(K618,2,2)="05","전라",MID(K618,2,2)="06","전라",MID(K618,2,2)="07","경북",MID(K618,2,2)="08","경남",MID(K618,2,2)="09","강원",MID(K618,2,2)="10","제주",TRUE,"국외")</f>
        <v>경기</v>
      </c>
    </row>
    <row r="619" spans="1:12" ht="17.25" thickBot="1">
      <c r="A619" s="3" t="s">
        <v>762</v>
      </c>
      <c r="B619" s="3" t="s">
        <v>40</v>
      </c>
      <c r="C619" s="3" t="s">
        <v>119</v>
      </c>
      <c r="D619" s="4" t="s">
        <v>243</v>
      </c>
      <c r="E619" s="4" t="s">
        <v>20</v>
      </c>
      <c r="F619" s="4">
        <v>2020</v>
      </c>
      <c r="G619" s="9"/>
      <c r="H619" s="4" t="s">
        <v>20</v>
      </c>
      <c r="I619" s="8">
        <v>2.9</v>
      </c>
      <c r="J619" s="3">
        <v>14134</v>
      </c>
      <c r="K619" s="3">
        <v>50108</v>
      </c>
      <c r="L619" s="17" t="str" cm="1">
        <f t="array" ref="L619">_xlfn.IFS(MID(K619,2,2)="01", "서울", MID(K619,2,2)="02","경기",MID(K619,2,2)="03","충청",MID(K619,2,2)="04","충청",MID(K619,2,2)="05","전라",MID(K619,2,2)="06","전라",MID(K619,2,2)="07","경북",MID(K619,2,2)="08","경남",MID(K619,2,2)="09","강원",MID(K619,2,2)="10","제주",TRUE,"국외")</f>
        <v>서울</v>
      </c>
    </row>
    <row r="620" spans="1:12" ht="17.25" thickBot="1">
      <c r="A620" s="3" t="s">
        <v>763</v>
      </c>
      <c r="B620" s="3" t="s">
        <v>63</v>
      </c>
      <c r="C620" s="3"/>
      <c r="D620" s="4" t="s">
        <v>243</v>
      </c>
      <c r="E620" s="4" t="s">
        <v>12</v>
      </c>
      <c r="F620" s="4"/>
      <c r="G620" s="9"/>
      <c r="H620" s="4"/>
      <c r="I620" s="9"/>
      <c r="J620" s="3">
        <v>14188</v>
      </c>
      <c r="K620" s="3">
        <v>50807</v>
      </c>
      <c r="L620" s="17" t="str" cm="1">
        <f t="array" ref="L620">_xlfn.IFS(MID(K620,2,2)="01", "서울", MID(K620,2,2)="02","경기",MID(K620,2,2)="03","충청",MID(K620,2,2)="04","충청",MID(K620,2,2)="05","전라",MID(K620,2,2)="06","전라",MID(K620,2,2)="07","경북",MID(K620,2,2)="08","경남",MID(K620,2,2)="09","강원",MID(K620,2,2)="10","제주",TRUE,"국외")</f>
        <v>경남</v>
      </c>
    </row>
    <row r="621" spans="1:12" ht="17.25" thickBot="1">
      <c r="A621" s="3" t="s">
        <v>764</v>
      </c>
      <c r="B621" s="3" t="s">
        <v>22</v>
      </c>
      <c r="C621" s="3"/>
      <c r="D621" s="4" t="s">
        <v>243</v>
      </c>
      <c r="E621" s="4" t="s">
        <v>607</v>
      </c>
      <c r="F621" s="4">
        <v>2019</v>
      </c>
      <c r="G621" s="8">
        <v>0.4</v>
      </c>
      <c r="H621" s="4" t="s">
        <v>607</v>
      </c>
      <c r="I621" s="8">
        <v>0.4</v>
      </c>
      <c r="J621" s="3">
        <v>14145</v>
      </c>
      <c r="K621" s="3">
        <v>50209</v>
      </c>
      <c r="L621" s="17" t="str" cm="1">
        <f t="array" ref="L621">_xlfn.IFS(MID(K621,2,2)="01", "서울", MID(K621,2,2)="02","경기",MID(K621,2,2)="03","충청",MID(K621,2,2)="04","충청",MID(K621,2,2)="05","전라",MID(K621,2,2)="06","전라",MID(K621,2,2)="07","경북",MID(K621,2,2)="08","경남",MID(K621,2,2)="09","강원",MID(K621,2,2)="10","제주",TRUE,"국외")</f>
        <v>경기</v>
      </c>
    </row>
    <row r="622" spans="1:12" ht="17.25" thickBot="1">
      <c r="A622" s="3" t="s">
        <v>765</v>
      </c>
      <c r="B622" s="3" t="s">
        <v>68</v>
      </c>
      <c r="C622" s="3"/>
      <c r="D622" s="4" t="s">
        <v>243</v>
      </c>
      <c r="E622" s="4" t="s">
        <v>18</v>
      </c>
      <c r="F622" s="4">
        <v>2019</v>
      </c>
      <c r="G622" s="8">
        <v>-0.1</v>
      </c>
      <c r="H622" s="4" t="s">
        <v>18</v>
      </c>
      <c r="I622" s="8">
        <v>-0.2</v>
      </c>
      <c r="J622" s="3">
        <v>14130</v>
      </c>
      <c r="K622" s="3">
        <v>50101</v>
      </c>
      <c r="L622" s="17" t="str" cm="1">
        <f t="array" ref="L622">_xlfn.IFS(MID(K622,2,2)="01", "서울", MID(K622,2,2)="02","경기",MID(K622,2,2)="03","충청",MID(K622,2,2)="04","충청",MID(K622,2,2)="05","전라",MID(K622,2,2)="06","전라",MID(K622,2,2)="07","경북",MID(K622,2,2)="08","경남",MID(K622,2,2)="09","강원",MID(K622,2,2)="10","제주",TRUE,"국외")</f>
        <v>서울</v>
      </c>
    </row>
    <row r="623" spans="1:12" ht="17.25" thickBot="1">
      <c r="A623" s="3" t="s">
        <v>766</v>
      </c>
      <c r="B623" s="3" t="s">
        <v>8</v>
      </c>
      <c r="C623" s="3"/>
      <c r="D623" s="4" t="s">
        <v>243</v>
      </c>
      <c r="E623" s="4" t="s">
        <v>26</v>
      </c>
      <c r="F623" s="4">
        <v>2019</v>
      </c>
      <c r="G623" s="8">
        <v>0.1</v>
      </c>
      <c r="H623" s="4" t="s">
        <v>26</v>
      </c>
      <c r="I623" s="8">
        <v>-0.3</v>
      </c>
      <c r="J623" s="3">
        <v>14170</v>
      </c>
      <c r="K623" s="3">
        <v>50116</v>
      </c>
      <c r="L623" s="17" t="str" cm="1">
        <f t="array" ref="L623">_xlfn.IFS(MID(K623,2,2)="01", "서울", MID(K623,2,2)="02","경기",MID(K623,2,2)="03","충청",MID(K623,2,2)="04","충청",MID(K623,2,2)="05","전라",MID(K623,2,2)="06","전라",MID(K623,2,2)="07","경북",MID(K623,2,2)="08","경남",MID(K623,2,2)="09","강원",MID(K623,2,2)="10","제주",TRUE,"국외")</f>
        <v>서울</v>
      </c>
    </row>
    <row r="624" spans="1:12" ht="17.25" thickBot="1">
      <c r="A624" s="3" t="s">
        <v>767</v>
      </c>
      <c r="B624" s="3" t="s">
        <v>11</v>
      </c>
      <c r="C624" s="3"/>
      <c r="D624" s="4" t="s">
        <v>243</v>
      </c>
      <c r="E624" s="4" t="s">
        <v>9</v>
      </c>
      <c r="F624" s="4">
        <v>2019</v>
      </c>
      <c r="G624" s="8">
        <v>1.3</v>
      </c>
      <c r="H624" s="4" t="s">
        <v>9</v>
      </c>
      <c r="I624" s="8">
        <v>3.5</v>
      </c>
      <c r="J624" s="3">
        <v>14159</v>
      </c>
      <c r="K624" s="3">
        <v>50802</v>
      </c>
      <c r="L624" s="17" t="str" cm="1">
        <f t="array" ref="L624">_xlfn.IFS(MID(K624,2,2)="01", "서울", MID(K624,2,2)="02","경기",MID(K624,2,2)="03","충청",MID(K624,2,2)="04","충청",MID(K624,2,2)="05","전라",MID(K624,2,2)="06","전라",MID(K624,2,2)="07","경북",MID(K624,2,2)="08","경남",MID(K624,2,2)="09","강원",MID(K624,2,2)="10","제주",TRUE,"국외")</f>
        <v>경남</v>
      </c>
    </row>
    <row r="625" spans="1:12" ht="17.25" thickBot="1">
      <c r="A625" s="3" t="s">
        <v>768</v>
      </c>
      <c r="B625" s="3" t="s">
        <v>34</v>
      </c>
      <c r="C625" s="3"/>
      <c r="D625" s="4" t="s">
        <v>243</v>
      </c>
      <c r="E625" s="4" t="s">
        <v>23</v>
      </c>
      <c r="F625" s="4">
        <v>2019</v>
      </c>
      <c r="G625" s="8">
        <v>1.4</v>
      </c>
      <c r="H625" s="4" t="s">
        <v>23</v>
      </c>
      <c r="I625" s="8">
        <v>19</v>
      </c>
      <c r="J625" s="3">
        <v>14113</v>
      </c>
      <c r="K625" s="3">
        <v>50701</v>
      </c>
      <c r="L625" s="17" t="str" cm="1">
        <f t="array" ref="L625">_xlfn.IFS(MID(K625,2,2)="01", "서울", MID(K625,2,2)="02","경기",MID(K625,2,2)="03","충청",MID(K625,2,2)="04","충청",MID(K625,2,2)="05","전라",MID(K625,2,2)="06","전라",MID(K625,2,2)="07","경북",MID(K625,2,2)="08","경남",MID(K625,2,2)="09","강원",MID(K625,2,2)="10","제주",TRUE,"국외")</f>
        <v>경북</v>
      </c>
    </row>
    <row r="626" spans="1:12" ht="17.25" thickBot="1">
      <c r="A626" s="3" t="s">
        <v>769</v>
      </c>
      <c r="B626" s="3" t="s">
        <v>25</v>
      </c>
      <c r="C626" s="3"/>
      <c r="D626" s="4" t="s">
        <v>243</v>
      </c>
      <c r="E626" s="4" t="s">
        <v>3</v>
      </c>
      <c r="F626" s="4">
        <v>2019</v>
      </c>
      <c r="G626" s="8">
        <v>-0.2</v>
      </c>
      <c r="H626" s="4" t="s">
        <v>6</v>
      </c>
      <c r="I626" s="8">
        <v>-0.5</v>
      </c>
      <c r="J626" s="3">
        <v>14124</v>
      </c>
      <c r="K626" s="3">
        <v>50403</v>
      </c>
      <c r="L626" s="17" t="str" cm="1">
        <f t="array" ref="L626">_xlfn.IFS(MID(K626,2,2)="01", "서울", MID(K626,2,2)="02","경기",MID(K626,2,2)="03","충청",MID(K626,2,2)="04","충청",MID(K626,2,2)="05","전라",MID(K626,2,2)="06","전라",MID(K626,2,2)="07","경북",MID(K626,2,2)="08","경남",MID(K626,2,2)="09","강원",MID(K626,2,2)="10","제주",TRUE,"국외")</f>
        <v>충청</v>
      </c>
    </row>
    <row r="627" spans="1:12" ht="17.25" thickBot="1">
      <c r="A627" s="3" t="s">
        <v>770</v>
      </c>
      <c r="B627" s="3" t="s">
        <v>70</v>
      </c>
      <c r="C627" s="3"/>
      <c r="D627" s="4" t="s">
        <v>254</v>
      </c>
      <c r="E627" s="4" t="s">
        <v>6</v>
      </c>
      <c r="F627" s="4"/>
      <c r="G627" s="9"/>
      <c r="H627" s="4"/>
      <c r="I627" s="9"/>
      <c r="J627" s="3">
        <v>14177</v>
      </c>
      <c r="K627" s="3">
        <v>50103</v>
      </c>
      <c r="L627" s="17" t="str" cm="1">
        <f t="array" ref="L627">_xlfn.IFS(MID(K627,2,2)="01", "서울", MID(K627,2,2)="02","경기",MID(K627,2,2)="03","충청",MID(K627,2,2)="04","충청",MID(K627,2,2)="05","전라",MID(K627,2,2)="06","전라",MID(K627,2,2)="07","경북",MID(K627,2,2)="08","경남",MID(K627,2,2)="09","강원",MID(K627,2,2)="10","제주",TRUE,"국외")</f>
        <v>서울</v>
      </c>
    </row>
    <row r="628" spans="1:12" ht="17.25" thickBot="1">
      <c r="A628" s="3" t="s">
        <v>771</v>
      </c>
      <c r="B628" s="3" t="s">
        <v>66</v>
      </c>
      <c r="C628" s="3"/>
      <c r="D628" s="4" t="s">
        <v>254</v>
      </c>
      <c r="E628" s="4" t="s">
        <v>28</v>
      </c>
      <c r="F628" s="4">
        <v>2017</v>
      </c>
      <c r="G628" s="8">
        <v>0.3</v>
      </c>
      <c r="H628" s="4" t="s">
        <v>28</v>
      </c>
      <c r="I628" s="8">
        <v>0.7</v>
      </c>
      <c r="J628" s="3">
        <v>11907</v>
      </c>
      <c r="K628" s="3">
        <v>50110</v>
      </c>
      <c r="L628" s="17" t="str" cm="1">
        <f t="array" ref="L628">_xlfn.IFS(MID(K628,2,2)="01", "서울", MID(K628,2,2)="02","경기",MID(K628,2,2)="03","충청",MID(K628,2,2)="04","충청",MID(K628,2,2)="05","전라",MID(K628,2,2)="06","전라",MID(K628,2,2)="07","경북",MID(K628,2,2)="08","경남",MID(K628,2,2)="09","강원",MID(K628,2,2)="10","제주",TRUE,"국외")</f>
        <v>서울</v>
      </c>
    </row>
    <row r="629" spans="1:12" ht="17.25" thickBot="1">
      <c r="A629" s="3" t="s">
        <v>772</v>
      </c>
      <c r="B629" s="3" t="s">
        <v>93</v>
      </c>
      <c r="C629" s="3"/>
      <c r="D629" s="4" t="s">
        <v>254</v>
      </c>
      <c r="E629" s="4" t="s">
        <v>20</v>
      </c>
      <c r="F629" s="4">
        <v>2019</v>
      </c>
      <c r="G629" s="8">
        <v>-0.1</v>
      </c>
      <c r="H629" s="4" t="s">
        <v>20</v>
      </c>
      <c r="I629" s="8">
        <v>0.5</v>
      </c>
      <c r="J629" s="3">
        <v>14135</v>
      </c>
      <c r="K629" s="3">
        <v>50805</v>
      </c>
      <c r="L629" s="17" t="str" cm="1">
        <f t="array" ref="L629">_xlfn.IFS(MID(K629,2,2)="01", "서울", MID(K629,2,2)="02","경기",MID(K629,2,2)="03","충청",MID(K629,2,2)="04","충청",MID(K629,2,2)="05","전라",MID(K629,2,2)="06","전라",MID(K629,2,2)="07","경북",MID(K629,2,2)="08","경남",MID(K629,2,2)="09","강원",MID(K629,2,2)="10","제주",TRUE,"국외")</f>
        <v>경남</v>
      </c>
    </row>
    <row r="630" spans="1:12" ht="17.25" thickBot="1">
      <c r="A630" s="3" t="s">
        <v>773</v>
      </c>
      <c r="B630" s="3" t="s">
        <v>32</v>
      </c>
      <c r="C630" s="3"/>
      <c r="D630" s="4" t="s">
        <v>254</v>
      </c>
      <c r="E630" s="4" t="s">
        <v>12</v>
      </c>
      <c r="F630" s="4">
        <v>2019</v>
      </c>
      <c r="G630" s="8">
        <v>0</v>
      </c>
      <c r="H630" s="4" t="s">
        <v>12</v>
      </c>
      <c r="I630" s="8">
        <v>6</v>
      </c>
      <c r="J630" s="3">
        <v>14155</v>
      </c>
      <c r="K630" s="3">
        <v>50111</v>
      </c>
      <c r="L630" s="17" t="str" cm="1">
        <f t="array" ref="L630">_xlfn.IFS(MID(K630,2,2)="01", "서울", MID(K630,2,2)="02","경기",MID(K630,2,2)="03","충청",MID(K630,2,2)="04","충청",MID(K630,2,2)="05","전라",MID(K630,2,2)="06","전라",MID(K630,2,2)="07","경북",MID(K630,2,2)="08","경남",MID(K630,2,2)="09","강원",MID(K630,2,2)="10","제주",TRUE,"국외")</f>
        <v>서울</v>
      </c>
    </row>
    <row r="631" spans="1:12" ht="17.25" thickBot="1">
      <c r="A631" s="3" t="s">
        <v>774</v>
      </c>
      <c r="B631" s="3" t="s">
        <v>107</v>
      </c>
      <c r="C631" s="3"/>
      <c r="D631" s="4" t="s">
        <v>254</v>
      </c>
      <c r="E631" s="4" t="s">
        <v>607</v>
      </c>
      <c r="F631" s="4">
        <v>2019</v>
      </c>
      <c r="G631" s="8">
        <v>-0.3</v>
      </c>
      <c r="H631" s="4" t="s">
        <v>607</v>
      </c>
      <c r="I631" s="8">
        <v>-0.6</v>
      </c>
      <c r="J631" s="3">
        <v>14146</v>
      </c>
      <c r="K631" s="3">
        <v>50602</v>
      </c>
      <c r="L631" s="17" t="str" cm="1">
        <f t="array" ref="L631">_xlfn.IFS(MID(K631,2,2)="01", "서울", MID(K631,2,2)="02","경기",MID(K631,2,2)="03","충청",MID(K631,2,2)="04","충청",MID(K631,2,2)="05","전라",MID(K631,2,2)="06","전라",MID(K631,2,2)="07","경북",MID(K631,2,2)="08","경남",MID(K631,2,2)="09","강원",MID(K631,2,2)="10","제주",TRUE,"국외")</f>
        <v>전라</v>
      </c>
    </row>
    <row r="632" spans="1:12" ht="17.25" thickBot="1">
      <c r="A632" s="3" t="s">
        <v>775</v>
      </c>
      <c r="B632" s="3" t="s">
        <v>50</v>
      </c>
      <c r="C632" s="3"/>
      <c r="D632" s="4" t="s">
        <v>254</v>
      </c>
      <c r="E632" s="4" t="s">
        <v>18</v>
      </c>
      <c r="F632" s="4">
        <v>2019</v>
      </c>
      <c r="G632" s="8">
        <v>0</v>
      </c>
      <c r="H632" s="4" t="s">
        <v>18</v>
      </c>
      <c r="I632" s="8">
        <v>0.1</v>
      </c>
      <c r="J632" s="3">
        <v>14131</v>
      </c>
      <c r="K632" s="3">
        <v>50301</v>
      </c>
      <c r="L632" s="17" t="str" cm="1">
        <f t="array" ref="L632">_xlfn.IFS(MID(K632,2,2)="01", "서울", MID(K632,2,2)="02","경기",MID(K632,2,2)="03","충청",MID(K632,2,2)="04","충청",MID(K632,2,2)="05","전라",MID(K632,2,2)="06","전라",MID(K632,2,2)="07","경북",MID(K632,2,2)="08","경남",MID(K632,2,2)="09","강원",MID(K632,2,2)="10","제주",TRUE,"국외")</f>
        <v>충청</v>
      </c>
    </row>
    <row r="633" spans="1:12" ht="17.25" thickBot="1">
      <c r="A633" s="3" t="s">
        <v>776</v>
      </c>
      <c r="B633" s="3" t="s">
        <v>351</v>
      </c>
      <c r="C633" s="3"/>
      <c r="D633" s="4" t="s">
        <v>254</v>
      </c>
      <c r="E633" s="4" t="s">
        <v>26</v>
      </c>
      <c r="F633" s="4">
        <v>2022</v>
      </c>
      <c r="G633" s="9"/>
      <c r="H633" s="4" t="s">
        <v>26</v>
      </c>
      <c r="I633" s="8">
        <v>-0.3</v>
      </c>
      <c r="J633" s="3">
        <v>14171</v>
      </c>
      <c r="K633" s="3">
        <v>50203</v>
      </c>
      <c r="L633" s="17" t="str" cm="1">
        <f t="array" ref="L633">_xlfn.IFS(MID(K633,2,2)="01", "서울", MID(K633,2,2)="02","경기",MID(K633,2,2)="03","충청",MID(K633,2,2)="04","충청",MID(K633,2,2)="05","전라",MID(K633,2,2)="06","전라",MID(K633,2,2)="07","경북",MID(K633,2,2)="08","경남",MID(K633,2,2)="09","강원",MID(K633,2,2)="10","제주",TRUE,"국외")</f>
        <v>경기</v>
      </c>
    </row>
    <row r="634" spans="1:12" ht="17.25" thickBot="1">
      <c r="A634" s="3" t="s">
        <v>777</v>
      </c>
      <c r="B634" s="3" t="s">
        <v>25</v>
      </c>
      <c r="C634" s="3"/>
      <c r="D634" s="4" t="s">
        <v>254</v>
      </c>
      <c r="E634" s="4" t="s">
        <v>9</v>
      </c>
      <c r="F634" s="4">
        <v>2019</v>
      </c>
      <c r="G634" s="8">
        <v>-0.1</v>
      </c>
      <c r="H634" s="4" t="s">
        <v>9</v>
      </c>
      <c r="I634" s="8">
        <v>2.2000000000000002</v>
      </c>
      <c r="J634" s="3">
        <v>14160</v>
      </c>
      <c r="K634" s="3">
        <v>50403</v>
      </c>
      <c r="L634" s="17" t="str" cm="1">
        <f t="array" ref="L634">_xlfn.IFS(MID(K634,2,2)="01", "서울", MID(K634,2,2)="02","경기",MID(K634,2,2)="03","충청",MID(K634,2,2)="04","충청",MID(K634,2,2)="05","전라",MID(K634,2,2)="06","전라",MID(K634,2,2)="07","경북",MID(K634,2,2)="08","경남",MID(K634,2,2)="09","강원",MID(K634,2,2)="10","제주",TRUE,"국외")</f>
        <v>충청</v>
      </c>
    </row>
    <row r="635" spans="1:12" ht="17.25" thickBot="1">
      <c r="A635" s="3" t="s">
        <v>778</v>
      </c>
      <c r="B635" s="3" t="s">
        <v>5</v>
      </c>
      <c r="C635" s="3"/>
      <c r="D635" s="4" t="s">
        <v>254</v>
      </c>
      <c r="E635" s="4" t="s">
        <v>23</v>
      </c>
      <c r="F635" s="4">
        <v>2019</v>
      </c>
      <c r="G635" s="8">
        <v>2.6</v>
      </c>
      <c r="H635" s="4" t="s">
        <v>23</v>
      </c>
      <c r="I635" s="8">
        <v>3</v>
      </c>
      <c r="J635" s="3">
        <v>14114</v>
      </c>
      <c r="K635" s="3">
        <v>50114</v>
      </c>
      <c r="L635" s="17" t="str" cm="1">
        <f t="array" ref="L635">_xlfn.IFS(MID(K635,2,2)="01", "서울", MID(K635,2,2)="02","경기",MID(K635,2,2)="03","충청",MID(K635,2,2)="04","충청",MID(K635,2,2)="05","전라",MID(K635,2,2)="06","전라",MID(K635,2,2)="07","경북",MID(K635,2,2)="08","경남",MID(K635,2,2)="09","강원",MID(K635,2,2)="10","제주",TRUE,"국외")</f>
        <v>서울</v>
      </c>
    </row>
    <row r="636" spans="1:12" ht="17.25" thickBot="1">
      <c r="A636" s="3" t="s">
        <v>779</v>
      </c>
      <c r="B636" s="3" t="s">
        <v>11</v>
      </c>
      <c r="C636" s="3"/>
      <c r="D636" s="4" t="s">
        <v>254</v>
      </c>
      <c r="E636" s="4" t="s">
        <v>3</v>
      </c>
      <c r="F636" s="4">
        <v>2019</v>
      </c>
      <c r="G636" s="8">
        <v>-1.3</v>
      </c>
      <c r="H636" s="4" t="s">
        <v>3</v>
      </c>
      <c r="I636" s="8">
        <v>12.2</v>
      </c>
      <c r="J636" s="3">
        <v>14125</v>
      </c>
      <c r="K636" s="3">
        <v>50802</v>
      </c>
      <c r="L636" s="17" t="str" cm="1">
        <f t="array" ref="L636">_xlfn.IFS(MID(K636,2,2)="01", "서울", MID(K636,2,2)="02","경기",MID(K636,2,2)="03","충청",MID(K636,2,2)="04","충청",MID(K636,2,2)="05","전라",MID(K636,2,2)="06","전라",MID(K636,2,2)="07","경북",MID(K636,2,2)="08","경남",MID(K636,2,2)="09","강원",MID(K636,2,2)="10","제주",TRUE,"국외")</f>
        <v>경남</v>
      </c>
    </row>
    <row r="637" spans="1:12" ht="17.25" thickBot="1">
      <c r="A637" s="3" t="s">
        <v>780</v>
      </c>
      <c r="B637" s="3" t="s">
        <v>40</v>
      </c>
      <c r="C637" s="3"/>
      <c r="D637" s="4" t="s">
        <v>254</v>
      </c>
      <c r="E637" s="4" t="s">
        <v>6</v>
      </c>
      <c r="F637" s="4">
        <v>2019</v>
      </c>
      <c r="G637" s="8">
        <v>-0.2</v>
      </c>
      <c r="H637" s="4" t="s">
        <v>6</v>
      </c>
      <c r="I637" s="8">
        <v>0.1</v>
      </c>
      <c r="J637" s="3">
        <v>14178</v>
      </c>
      <c r="K637" s="3">
        <v>50108</v>
      </c>
      <c r="L637" s="17" t="str" cm="1">
        <f t="array" ref="L637">_xlfn.IFS(MID(K637,2,2)="01", "서울", MID(K637,2,2)="02","경기",MID(K637,2,2)="03","충청",MID(K637,2,2)="04","충청",MID(K637,2,2)="05","전라",MID(K637,2,2)="06","전라",MID(K637,2,2)="07","경북",MID(K637,2,2)="08","경남",MID(K637,2,2)="09","강원",MID(K637,2,2)="10","제주",TRUE,"국외")</f>
        <v>서울</v>
      </c>
    </row>
    <row r="638" spans="1:12" ht="17.25" thickBot="1">
      <c r="A638" s="3" t="s">
        <v>781</v>
      </c>
      <c r="B638" s="3" t="s">
        <v>11</v>
      </c>
      <c r="C638" s="3"/>
      <c r="D638" s="4" t="s">
        <v>254</v>
      </c>
      <c r="E638" s="4" t="s">
        <v>28</v>
      </c>
      <c r="F638" s="4"/>
      <c r="G638" s="9"/>
      <c r="H638" s="4"/>
      <c r="I638" s="9"/>
      <c r="J638" s="3">
        <v>14107</v>
      </c>
      <c r="K638" s="3">
        <v>50802</v>
      </c>
      <c r="L638" s="17" t="str" cm="1">
        <f t="array" ref="L638">_xlfn.IFS(MID(K638,2,2)="01", "서울", MID(K638,2,2)="02","경기",MID(K638,2,2)="03","충청",MID(K638,2,2)="04","충청",MID(K638,2,2)="05","전라",MID(K638,2,2)="06","전라",MID(K638,2,2)="07","경북",MID(K638,2,2)="08","경남",MID(K638,2,2)="09","강원",MID(K638,2,2)="10","제주",TRUE,"국외")</f>
        <v>경남</v>
      </c>
    </row>
    <row r="639" spans="1:12" ht="17.25" thickBot="1">
      <c r="A639" s="3" t="s">
        <v>782</v>
      </c>
      <c r="B639" s="3" t="s">
        <v>1</v>
      </c>
      <c r="C639" s="3"/>
      <c r="D639" s="4" t="s">
        <v>254</v>
      </c>
      <c r="E639" s="4" t="s">
        <v>20</v>
      </c>
      <c r="F639" s="4">
        <v>2019</v>
      </c>
      <c r="G639" s="8">
        <v>0.6</v>
      </c>
      <c r="H639" s="4" t="s">
        <v>20</v>
      </c>
      <c r="I639" s="8">
        <v>5.2</v>
      </c>
      <c r="J639" s="3">
        <v>14136</v>
      </c>
      <c r="K639" s="3">
        <v>50107</v>
      </c>
      <c r="L639" s="17" t="str" cm="1">
        <f t="array" ref="L639">_xlfn.IFS(MID(K639,2,2)="01", "서울", MID(K639,2,2)="02","경기",MID(K639,2,2)="03","충청",MID(K639,2,2)="04","충청",MID(K639,2,2)="05","전라",MID(K639,2,2)="06","전라",MID(K639,2,2)="07","경북",MID(K639,2,2)="08","경남",MID(K639,2,2)="09","강원",MID(K639,2,2)="10","제주",TRUE,"국외")</f>
        <v>서울</v>
      </c>
    </row>
    <row r="640" spans="1:12" ht="17.25" thickBot="1">
      <c r="A640" s="3" t="s">
        <v>783</v>
      </c>
      <c r="B640" s="3" t="s">
        <v>322</v>
      </c>
      <c r="C640" s="3"/>
      <c r="D640" s="4" t="s">
        <v>254</v>
      </c>
      <c r="E640" s="4" t="s">
        <v>12</v>
      </c>
      <c r="F640" s="4">
        <v>2019</v>
      </c>
      <c r="G640" s="8">
        <v>0</v>
      </c>
      <c r="H640" s="4" t="s">
        <v>12</v>
      </c>
      <c r="I640" s="8">
        <v>0.1</v>
      </c>
      <c r="J640" s="3">
        <v>14156</v>
      </c>
      <c r="K640" s="3">
        <v>50810</v>
      </c>
      <c r="L640" s="17" t="str" cm="1">
        <f t="array" ref="L640">_xlfn.IFS(MID(K640,2,2)="01", "서울", MID(K640,2,2)="02","경기",MID(K640,2,2)="03","충청",MID(K640,2,2)="04","충청",MID(K640,2,2)="05","전라",MID(K640,2,2)="06","전라",MID(K640,2,2)="07","경북",MID(K640,2,2)="08","경남",MID(K640,2,2)="09","강원",MID(K640,2,2)="10","제주",TRUE,"국외")</f>
        <v>경남</v>
      </c>
    </row>
    <row r="641" spans="1:12" ht="17.25" thickBot="1">
      <c r="A641" s="3" t="s">
        <v>784</v>
      </c>
      <c r="B641" s="3" t="s">
        <v>63</v>
      </c>
      <c r="C641" s="3"/>
      <c r="D641" s="4" t="s">
        <v>254</v>
      </c>
      <c r="E641" s="4" t="s">
        <v>607</v>
      </c>
      <c r="F641" s="4">
        <v>2019</v>
      </c>
      <c r="G641" s="8">
        <v>3.2</v>
      </c>
      <c r="H641" s="4" t="s">
        <v>607</v>
      </c>
      <c r="I641" s="8">
        <v>3.3</v>
      </c>
      <c r="J641" s="3">
        <v>14147</v>
      </c>
      <c r="K641" s="3">
        <v>50807</v>
      </c>
      <c r="L641" s="17" t="str" cm="1">
        <f t="array" ref="L641">_xlfn.IFS(MID(K641,2,2)="01", "서울", MID(K641,2,2)="02","경기",MID(K641,2,2)="03","충청",MID(K641,2,2)="04","충청",MID(K641,2,2)="05","전라",MID(K641,2,2)="06","전라",MID(K641,2,2)="07","경북",MID(K641,2,2)="08","경남",MID(K641,2,2)="09","강원",MID(K641,2,2)="10","제주",TRUE,"국외")</f>
        <v>경남</v>
      </c>
    </row>
    <row r="642" spans="1:12" ht="17.25" thickBot="1">
      <c r="A642" s="3" t="s">
        <v>785</v>
      </c>
      <c r="B642" s="3" t="s">
        <v>271</v>
      </c>
      <c r="C642" s="3"/>
      <c r="D642" s="4" t="s">
        <v>254</v>
      </c>
      <c r="E642" s="4" t="s">
        <v>18</v>
      </c>
      <c r="F642" s="4">
        <v>2019</v>
      </c>
      <c r="G642" s="8">
        <v>0</v>
      </c>
      <c r="H642" s="4" t="s">
        <v>18</v>
      </c>
      <c r="I642" s="8">
        <v>0.5</v>
      </c>
      <c r="J642" s="3">
        <v>14132</v>
      </c>
      <c r="K642" s="3">
        <v>50213</v>
      </c>
      <c r="L642" s="17" t="str" cm="1">
        <f t="array" ref="L642">_xlfn.IFS(MID(K642,2,2)="01", "서울", MID(K642,2,2)="02","경기",MID(K642,2,2)="03","충청",MID(K642,2,2)="04","충청",MID(K642,2,2)="05","전라",MID(K642,2,2)="06","전라",MID(K642,2,2)="07","경북",MID(K642,2,2)="08","경남",MID(K642,2,2)="09","강원",MID(K642,2,2)="10","제주",TRUE,"국외")</f>
        <v>경기</v>
      </c>
    </row>
    <row r="643" spans="1:12" ht="17.25" thickBot="1">
      <c r="A643" s="3" t="s">
        <v>786</v>
      </c>
      <c r="B643" s="3" t="s">
        <v>1</v>
      </c>
      <c r="C643" s="3"/>
      <c r="D643" s="4" t="s">
        <v>254</v>
      </c>
      <c r="E643" s="4" t="s">
        <v>26</v>
      </c>
      <c r="F643" s="4">
        <v>2019</v>
      </c>
      <c r="G643" s="8">
        <v>-0.1</v>
      </c>
      <c r="H643" s="4" t="s">
        <v>26</v>
      </c>
      <c r="I643" s="8">
        <v>-0.1</v>
      </c>
      <c r="J643" s="3">
        <v>14172</v>
      </c>
      <c r="K643" s="3">
        <v>50107</v>
      </c>
      <c r="L643" s="17" t="str" cm="1">
        <f t="array" ref="L643">_xlfn.IFS(MID(K643,2,2)="01", "서울", MID(K643,2,2)="02","경기",MID(K643,2,2)="03","충청",MID(K643,2,2)="04","충청",MID(K643,2,2)="05","전라",MID(K643,2,2)="06","전라",MID(K643,2,2)="07","경북",MID(K643,2,2)="08","경남",MID(K643,2,2)="09","강원",MID(K643,2,2)="10","제주",TRUE,"국외")</f>
        <v>서울</v>
      </c>
    </row>
    <row r="644" spans="1:12" ht="17.25" thickBot="1">
      <c r="A644" s="3" t="s">
        <v>787</v>
      </c>
      <c r="B644" s="3" t="s">
        <v>40</v>
      </c>
      <c r="C644" s="3"/>
      <c r="D644" s="4" t="s">
        <v>254</v>
      </c>
      <c r="E644" s="4" t="s">
        <v>9</v>
      </c>
      <c r="F644" s="4"/>
      <c r="G644" s="9"/>
      <c r="H644" s="4"/>
      <c r="I644" s="9"/>
      <c r="J644" s="3">
        <v>14161</v>
      </c>
      <c r="K644" s="3">
        <v>50108</v>
      </c>
      <c r="L644" s="17" t="str" cm="1">
        <f t="array" ref="L644">_xlfn.IFS(MID(K644,2,2)="01", "서울", MID(K644,2,2)="02","경기",MID(K644,2,2)="03","충청",MID(K644,2,2)="04","충청",MID(K644,2,2)="05","전라",MID(K644,2,2)="06","전라",MID(K644,2,2)="07","경북",MID(K644,2,2)="08","경남",MID(K644,2,2)="09","강원",MID(K644,2,2)="10","제주",TRUE,"국외")</f>
        <v>서울</v>
      </c>
    </row>
    <row r="645" spans="1:12" ht="17.25" thickBot="1">
      <c r="A645" s="3" t="s">
        <v>741</v>
      </c>
      <c r="B645" s="3" t="s">
        <v>66</v>
      </c>
      <c r="C645" s="3"/>
      <c r="D645" s="4" t="s">
        <v>254</v>
      </c>
      <c r="E645" s="4" t="s">
        <v>23</v>
      </c>
      <c r="F645" s="4">
        <v>2019</v>
      </c>
      <c r="G645" s="8">
        <v>-0.1</v>
      </c>
      <c r="H645" s="4" t="s">
        <v>23</v>
      </c>
      <c r="I645" s="8">
        <v>-0.6</v>
      </c>
      <c r="J645" s="3">
        <v>14115</v>
      </c>
      <c r="K645" s="3">
        <v>50110</v>
      </c>
      <c r="L645" s="17" t="str" cm="1">
        <f t="array" ref="L645">_xlfn.IFS(MID(K645,2,2)="01", "서울", MID(K645,2,2)="02","경기",MID(K645,2,2)="03","충청",MID(K645,2,2)="04","충청",MID(K645,2,2)="05","전라",MID(K645,2,2)="06","전라",MID(K645,2,2)="07","경북",MID(K645,2,2)="08","경남",MID(K645,2,2)="09","강원",MID(K645,2,2)="10","제주",TRUE,"국외")</f>
        <v>서울</v>
      </c>
    </row>
    <row r="646" spans="1:12" ht="17.25" thickBot="1">
      <c r="A646" s="3" t="s">
        <v>788</v>
      </c>
      <c r="B646" s="3" t="s">
        <v>107</v>
      </c>
      <c r="C646" s="3"/>
      <c r="D646" s="4" t="s">
        <v>254</v>
      </c>
      <c r="E646" s="4" t="s">
        <v>3</v>
      </c>
      <c r="F646" s="4">
        <v>2019</v>
      </c>
      <c r="G646" s="8">
        <v>0</v>
      </c>
      <c r="H646" s="4" t="s">
        <v>3</v>
      </c>
      <c r="I646" s="8">
        <v>-2.4</v>
      </c>
      <c r="J646" s="3">
        <v>14126</v>
      </c>
      <c r="K646" s="3">
        <v>50602</v>
      </c>
      <c r="L646" s="17" t="str" cm="1">
        <f t="array" ref="L646">_xlfn.IFS(MID(K646,2,2)="01", "서울", MID(K646,2,2)="02","경기",MID(K646,2,2)="03","충청",MID(K646,2,2)="04","충청",MID(K646,2,2)="05","전라",MID(K646,2,2)="06","전라",MID(K646,2,2)="07","경북",MID(K646,2,2)="08","경남",MID(K646,2,2)="09","강원",MID(K646,2,2)="10","제주",TRUE,"국외")</f>
        <v>전라</v>
      </c>
    </row>
    <row r="647" spans="1:12" ht="17.25" thickBot="1">
      <c r="A647" s="3" t="s">
        <v>789</v>
      </c>
      <c r="B647" s="3" t="s">
        <v>179</v>
      </c>
      <c r="C647" s="3"/>
      <c r="D647" s="4" t="s">
        <v>254</v>
      </c>
      <c r="E647" s="4" t="s">
        <v>6</v>
      </c>
      <c r="F647" s="4"/>
      <c r="G647" s="9"/>
      <c r="H647" s="4"/>
      <c r="I647" s="9"/>
      <c r="J647" s="3">
        <v>14179</v>
      </c>
      <c r="K647" s="3">
        <v>50211</v>
      </c>
      <c r="L647" s="17" t="str" cm="1">
        <f t="array" ref="L647">_xlfn.IFS(MID(K647,2,2)="01", "서울", MID(K647,2,2)="02","경기",MID(K647,2,2)="03","충청",MID(K647,2,2)="04","충청",MID(K647,2,2)="05","전라",MID(K647,2,2)="06","전라",MID(K647,2,2)="07","경북",MID(K647,2,2)="08","경남",MID(K647,2,2)="09","강원",MID(K647,2,2)="10","제주",TRUE,"국외")</f>
        <v>경기</v>
      </c>
    </row>
    <row r="648" spans="1:12" ht="17.25" thickBot="1">
      <c r="A648" s="3" t="s">
        <v>790</v>
      </c>
      <c r="B648" s="3" t="s">
        <v>40</v>
      </c>
      <c r="C648" s="3"/>
      <c r="D648" s="4" t="s">
        <v>254</v>
      </c>
      <c r="E648" s="4" t="s">
        <v>28</v>
      </c>
      <c r="F648" s="4">
        <v>2019</v>
      </c>
      <c r="G648" s="8">
        <v>-0.1</v>
      </c>
      <c r="H648" s="4" t="s">
        <v>28</v>
      </c>
      <c r="I648" s="8">
        <v>1.3</v>
      </c>
      <c r="J648" s="3">
        <v>14108</v>
      </c>
      <c r="K648" s="3">
        <v>50108</v>
      </c>
      <c r="L648" s="17" t="str" cm="1">
        <f t="array" ref="L648">_xlfn.IFS(MID(K648,2,2)="01", "서울", MID(K648,2,2)="02","경기",MID(K648,2,2)="03","충청",MID(K648,2,2)="04","충청",MID(K648,2,2)="05","전라",MID(K648,2,2)="06","전라",MID(K648,2,2)="07","경북",MID(K648,2,2)="08","경남",MID(K648,2,2)="09","강원",MID(K648,2,2)="10","제주",TRUE,"국외")</f>
        <v>서울</v>
      </c>
    </row>
    <row r="649" spans="1:12" ht="17.25" thickBot="1">
      <c r="A649" s="3" t="s">
        <v>791</v>
      </c>
      <c r="B649" s="3" t="s">
        <v>66</v>
      </c>
      <c r="C649" s="3"/>
      <c r="D649" s="4" t="s">
        <v>254</v>
      </c>
      <c r="E649" s="4" t="s">
        <v>20</v>
      </c>
      <c r="F649" s="4">
        <v>2021</v>
      </c>
      <c r="G649" s="9"/>
      <c r="H649" s="4" t="s">
        <v>20</v>
      </c>
      <c r="I649" s="8">
        <v>11.2</v>
      </c>
      <c r="J649" s="3">
        <v>14137</v>
      </c>
      <c r="K649" s="3">
        <v>50110</v>
      </c>
      <c r="L649" s="17" t="str" cm="1">
        <f t="array" ref="L649">_xlfn.IFS(MID(K649,2,2)="01", "서울", MID(K649,2,2)="02","경기",MID(K649,2,2)="03","충청",MID(K649,2,2)="04","충청",MID(K649,2,2)="05","전라",MID(K649,2,2)="06","전라",MID(K649,2,2)="07","경북",MID(K649,2,2)="08","경남",MID(K649,2,2)="09","강원",MID(K649,2,2)="10","제주",TRUE,"국외")</f>
        <v>서울</v>
      </c>
    </row>
    <row r="650" spans="1:12" ht="17.25" thickBot="1">
      <c r="A650" s="3" t="s">
        <v>792</v>
      </c>
      <c r="B650" s="3" t="s">
        <v>25</v>
      </c>
      <c r="C650" s="3"/>
      <c r="D650" s="4" t="s">
        <v>254</v>
      </c>
      <c r="E650" s="4" t="s">
        <v>12</v>
      </c>
      <c r="F650" s="4"/>
      <c r="G650" s="9"/>
      <c r="H650" s="4"/>
      <c r="I650" s="9"/>
      <c r="J650" s="3">
        <v>14157</v>
      </c>
      <c r="K650" s="3">
        <v>50403</v>
      </c>
      <c r="L650" s="17" t="str" cm="1">
        <f t="array" ref="L650">_xlfn.IFS(MID(K650,2,2)="01", "서울", MID(K650,2,2)="02","경기",MID(K650,2,2)="03","충청",MID(K650,2,2)="04","충청",MID(K650,2,2)="05","전라",MID(K650,2,2)="06","전라",MID(K650,2,2)="07","경북",MID(K650,2,2)="08","경남",MID(K650,2,2)="09","강원",MID(K650,2,2)="10","제주",TRUE,"국외")</f>
        <v>충청</v>
      </c>
    </row>
    <row r="651" spans="1:12" ht="17.25" thickBot="1">
      <c r="A651" s="3" t="s">
        <v>793</v>
      </c>
      <c r="B651" s="3" t="s">
        <v>25</v>
      </c>
      <c r="C651" s="3"/>
      <c r="D651" s="4" t="s">
        <v>254</v>
      </c>
      <c r="E651" s="4" t="s">
        <v>607</v>
      </c>
      <c r="F651" s="4"/>
      <c r="G651" s="9"/>
      <c r="H651" s="4"/>
      <c r="I651" s="9"/>
      <c r="J651" s="3">
        <v>14148</v>
      </c>
      <c r="K651" s="3">
        <v>50403</v>
      </c>
      <c r="L651" s="17" t="str" cm="1">
        <f t="array" ref="L651">_xlfn.IFS(MID(K651,2,2)="01", "서울", MID(K651,2,2)="02","경기",MID(K651,2,2)="03","충청",MID(K651,2,2)="04","충청",MID(K651,2,2)="05","전라",MID(K651,2,2)="06","전라",MID(K651,2,2)="07","경북",MID(K651,2,2)="08","경남",MID(K651,2,2)="09","강원",MID(K651,2,2)="10","제주",TRUE,"국외")</f>
        <v>충청</v>
      </c>
    </row>
    <row r="652" spans="1:12" ht="17.25" thickBot="1">
      <c r="A652" s="3" t="s">
        <v>794</v>
      </c>
      <c r="B652" s="3" t="s">
        <v>140</v>
      </c>
      <c r="C652" s="3"/>
      <c r="D652" s="4" t="s">
        <v>254</v>
      </c>
      <c r="E652" s="4" t="s">
        <v>18</v>
      </c>
      <c r="F652" s="4">
        <v>2023</v>
      </c>
      <c r="G652" s="9"/>
      <c r="H652" s="4" t="s">
        <v>18</v>
      </c>
      <c r="I652" s="8">
        <v>-0.5</v>
      </c>
      <c r="J652" s="3">
        <v>14133</v>
      </c>
      <c r="K652" s="3">
        <v>50801</v>
      </c>
      <c r="L652" s="17" t="str" cm="1">
        <f t="array" ref="L652">_xlfn.IFS(MID(K652,2,2)="01", "서울", MID(K652,2,2)="02","경기",MID(K652,2,2)="03","충청",MID(K652,2,2)="04","충청",MID(K652,2,2)="05","전라",MID(K652,2,2)="06","전라",MID(K652,2,2)="07","경북",MID(K652,2,2)="08","경남",MID(K652,2,2)="09","강원",MID(K652,2,2)="10","제주",TRUE,"국외")</f>
        <v>경남</v>
      </c>
    </row>
    <row r="653" spans="1:12" ht="17.25" thickBot="1">
      <c r="A653" s="3" t="s">
        <v>795</v>
      </c>
      <c r="B653" s="3" t="s">
        <v>1</v>
      </c>
      <c r="C653" s="3"/>
      <c r="D653" s="4" t="s">
        <v>254</v>
      </c>
      <c r="E653" s="4" t="s">
        <v>26</v>
      </c>
      <c r="F653" s="4">
        <v>2020</v>
      </c>
      <c r="G653" s="9"/>
      <c r="H653" s="4" t="s">
        <v>26</v>
      </c>
      <c r="I653" s="8">
        <v>-0.2</v>
      </c>
      <c r="J653" s="3">
        <v>14173</v>
      </c>
      <c r="K653" s="3">
        <v>50107</v>
      </c>
      <c r="L653" s="17" t="str" cm="1">
        <f t="array" ref="L653">_xlfn.IFS(MID(K653,2,2)="01", "서울", MID(K653,2,2)="02","경기",MID(K653,2,2)="03","충청",MID(K653,2,2)="04","충청",MID(K653,2,2)="05","전라",MID(K653,2,2)="06","전라",MID(K653,2,2)="07","경북",MID(K653,2,2)="08","경남",MID(K653,2,2)="09","강원",MID(K653,2,2)="10","제주",TRUE,"국외")</f>
        <v>서울</v>
      </c>
    </row>
    <row r="654" spans="1:12" ht="17.25" thickBot="1">
      <c r="A654" s="3" t="s">
        <v>796</v>
      </c>
      <c r="B654" s="3" t="s">
        <v>32</v>
      </c>
      <c r="C654" s="3"/>
      <c r="D654" s="4" t="s">
        <v>254</v>
      </c>
      <c r="E654" s="4" t="s">
        <v>9</v>
      </c>
      <c r="F654" s="4">
        <v>2019</v>
      </c>
      <c r="G654" s="8">
        <v>0.2</v>
      </c>
      <c r="H654" s="4" t="s">
        <v>6</v>
      </c>
      <c r="I654" s="8">
        <v>0</v>
      </c>
      <c r="J654" s="3">
        <v>14162</v>
      </c>
      <c r="K654" s="3">
        <v>50111</v>
      </c>
      <c r="L654" s="17" t="str" cm="1">
        <f t="array" ref="L654">_xlfn.IFS(MID(K654,2,2)="01", "서울", MID(K654,2,2)="02","경기",MID(K654,2,2)="03","충청",MID(K654,2,2)="04","충청",MID(K654,2,2)="05","전라",MID(K654,2,2)="06","전라",MID(K654,2,2)="07","경북",MID(K654,2,2)="08","경남",MID(K654,2,2)="09","강원",MID(K654,2,2)="10","제주",TRUE,"국외")</f>
        <v>서울</v>
      </c>
    </row>
    <row r="655" spans="1:12" ht="17.25" thickBot="1">
      <c r="A655" s="3" t="s">
        <v>797</v>
      </c>
      <c r="B655" s="3" t="s">
        <v>5</v>
      </c>
      <c r="C655" s="3"/>
      <c r="D655" s="4" t="s">
        <v>254</v>
      </c>
      <c r="E655" s="4" t="s">
        <v>23</v>
      </c>
      <c r="F655" s="4">
        <v>2019</v>
      </c>
      <c r="G655" s="8">
        <v>0</v>
      </c>
      <c r="H655" s="4" t="s">
        <v>23</v>
      </c>
      <c r="I655" s="8">
        <v>-0.5</v>
      </c>
      <c r="J655" s="3">
        <v>14116</v>
      </c>
      <c r="K655" s="3">
        <v>50114</v>
      </c>
      <c r="L655" s="17" t="str" cm="1">
        <f t="array" ref="L655">_xlfn.IFS(MID(K655,2,2)="01", "서울", MID(K655,2,2)="02","경기",MID(K655,2,2)="03","충청",MID(K655,2,2)="04","충청",MID(K655,2,2)="05","전라",MID(K655,2,2)="06","전라",MID(K655,2,2)="07","경북",MID(K655,2,2)="08","경남",MID(K655,2,2)="09","강원",MID(K655,2,2)="10","제주",TRUE,"국외")</f>
        <v>서울</v>
      </c>
    </row>
    <row r="656" spans="1:12" ht="17.25" thickBot="1">
      <c r="A656" s="3" t="s">
        <v>798</v>
      </c>
      <c r="B656" s="3" t="s">
        <v>93</v>
      </c>
      <c r="C656" s="3"/>
      <c r="D656" s="4" t="s">
        <v>254</v>
      </c>
      <c r="E656" s="4" t="s">
        <v>3</v>
      </c>
      <c r="F656" s="4"/>
      <c r="G656" s="9"/>
      <c r="H656" s="4"/>
      <c r="I656" s="9"/>
      <c r="J656" s="3">
        <v>14127</v>
      </c>
      <c r="K656" s="3">
        <v>50805</v>
      </c>
      <c r="L656" s="17" t="str" cm="1">
        <f t="array" ref="L656">_xlfn.IFS(MID(K656,2,2)="01", "서울", MID(K656,2,2)="02","경기",MID(K656,2,2)="03","충청",MID(K656,2,2)="04","충청",MID(K656,2,2)="05","전라",MID(K656,2,2)="06","전라",MID(K656,2,2)="07","경북",MID(K656,2,2)="08","경남",MID(K656,2,2)="09","강원",MID(K656,2,2)="10","제주",TRUE,"국외")</f>
        <v>경남</v>
      </c>
    </row>
    <row r="657" spans="1:12" ht="17.25" thickBot="1">
      <c r="A657" s="3" t="s">
        <v>799</v>
      </c>
      <c r="B657" s="3" t="s">
        <v>121</v>
      </c>
      <c r="C657" s="3" t="s">
        <v>172</v>
      </c>
      <c r="D657" s="4" t="s">
        <v>254</v>
      </c>
      <c r="E657" s="4" t="s">
        <v>6</v>
      </c>
      <c r="F657" s="4">
        <v>2019</v>
      </c>
      <c r="G657" s="8">
        <v>-0.4</v>
      </c>
      <c r="H657" s="4" t="s">
        <v>6</v>
      </c>
      <c r="I657" s="8">
        <v>-0.6</v>
      </c>
      <c r="J657" s="3">
        <v>14180</v>
      </c>
      <c r="K657" s="3">
        <v>50604</v>
      </c>
      <c r="L657" s="17" t="str" cm="1">
        <f t="array" ref="L657">_xlfn.IFS(MID(K657,2,2)="01", "서울", MID(K657,2,2)="02","경기",MID(K657,2,2)="03","충청",MID(K657,2,2)="04","충청",MID(K657,2,2)="05","전라",MID(K657,2,2)="06","전라",MID(K657,2,2)="07","경북",MID(K657,2,2)="08","경남",MID(K657,2,2)="09","강원",MID(K657,2,2)="10","제주",TRUE,"국외")</f>
        <v>전라</v>
      </c>
    </row>
    <row r="658" spans="1:12" ht="17.25" thickBot="1">
      <c r="A658" s="3" t="s">
        <v>800</v>
      </c>
      <c r="B658" s="3" t="s">
        <v>34</v>
      </c>
      <c r="C658" s="3" t="s">
        <v>538</v>
      </c>
      <c r="D658" s="4" t="s">
        <v>254</v>
      </c>
      <c r="E658" s="4" t="s">
        <v>28</v>
      </c>
      <c r="F658" s="4">
        <v>2019</v>
      </c>
      <c r="G658" s="8">
        <v>-0.1</v>
      </c>
      <c r="H658" s="4" t="s">
        <v>28</v>
      </c>
      <c r="I658" s="8">
        <v>0.2</v>
      </c>
      <c r="J658" s="3">
        <v>14109</v>
      </c>
      <c r="K658" s="3">
        <v>50701</v>
      </c>
      <c r="L658" s="17" t="str" cm="1">
        <f t="array" ref="L658">_xlfn.IFS(MID(K658,2,2)="01", "서울", MID(K658,2,2)="02","경기",MID(K658,2,2)="03","충청",MID(K658,2,2)="04","충청",MID(K658,2,2)="05","전라",MID(K658,2,2)="06","전라",MID(K658,2,2)="07","경북",MID(K658,2,2)="08","경남",MID(K658,2,2)="09","강원",MID(K658,2,2)="10","제주",TRUE,"국외")</f>
        <v>경북</v>
      </c>
    </row>
    <row r="659" spans="1:12" ht="17.25" thickBot="1">
      <c r="A659" s="3" t="s">
        <v>801</v>
      </c>
      <c r="B659" s="3" t="s">
        <v>335</v>
      </c>
      <c r="C659" s="3" t="s">
        <v>172</v>
      </c>
      <c r="D659" s="4" t="s">
        <v>254</v>
      </c>
      <c r="E659" s="4" t="s">
        <v>20</v>
      </c>
      <c r="F659" s="4">
        <v>2019</v>
      </c>
      <c r="G659" s="8">
        <v>0.1</v>
      </c>
      <c r="H659" s="4" t="s">
        <v>20</v>
      </c>
      <c r="I659" s="8">
        <v>0.1</v>
      </c>
      <c r="J659" s="3">
        <v>14138</v>
      </c>
      <c r="K659" s="3">
        <v>50804</v>
      </c>
      <c r="L659" s="17" t="str" cm="1">
        <f t="array" ref="L659">_xlfn.IFS(MID(K659,2,2)="01", "서울", MID(K659,2,2)="02","경기",MID(K659,2,2)="03","충청",MID(K659,2,2)="04","충청",MID(K659,2,2)="05","전라",MID(K659,2,2)="06","전라",MID(K659,2,2)="07","경북",MID(K659,2,2)="08","경남",MID(K659,2,2)="09","강원",MID(K659,2,2)="10","제주",TRUE,"국외")</f>
        <v>경남</v>
      </c>
    </row>
    <row r="660" spans="1:12" ht="17.25" thickBot="1">
      <c r="A660" s="3" t="s">
        <v>802</v>
      </c>
      <c r="B660" s="3" t="s">
        <v>332</v>
      </c>
      <c r="C660" s="3"/>
      <c r="D660" s="4" t="s">
        <v>254</v>
      </c>
      <c r="E660" s="4" t="s">
        <v>12</v>
      </c>
      <c r="F660" s="4">
        <v>2019</v>
      </c>
      <c r="G660" s="8">
        <v>0</v>
      </c>
      <c r="H660" s="4" t="s">
        <v>12</v>
      </c>
      <c r="I660" s="8">
        <v>0.1</v>
      </c>
      <c r="J660" s="3">
        <v>14158</v>
      </c>
      <c r="K660" s="3">
        <v>50705</v>
      </c>
      <c r="L660" s="17" t="str" cm="1">
        <f t="array" ref="L660">_xlfn.IFS(MID(K660,2,2)="01", "서울", MID(K660,2,2)="02","경기",MID(K660,2,2)="03","충청",MID(K660,2,2)="04","충청",MID(K660,2,2)="05","전라",MID(K660,2,2)="06","전라",MID(K660,2,2)="07","경북",MID(K660,2,2)="08","경남",MID(K660,2,2)="09","강원",MID(K660,2,2)="10","제주",TRUE,"국외")</f>
        <v>경북</v>
      </c>
    </row>
    <row r="661" spans="1:12" ht="17.25" thickBot="1">
      <c r="A661" s="3" t="s">
        <v>803</v>
      </c>
      <c r="B661" s="3" t="s">
        <v>78</v>
      </c>
      <c r="C661" s="3"/>
      <c r="D661" s="4" t="s">
        <v>254</v>
      </c>
      <c r="E661" s="4" t="s">
        <v>607</v>
      </c>
      <c r="F661" s="4"/>
      <c r="G661" s="9"/>
      <c r="H661" s="4"/>
      <c r="I661" s="9"/>
      <c r="J661" s="3">
        <v>14149</v>
      </c>
      <c r="K661" s="3">
        <v>50401</v>
      </c>
      <c r="L661" s="17" t="str" cm="1">
        <f t="array" ref="L661">_xlfn.IFS(MID(K661,2,2)="01", "서울", MID(K661,2,2)="02","경기",MID(K661,2,2)="03","충청",MID(K661,2,2)="04","충청",MID(K661,2,2)="05","전라",MID(K661,2,2)="06","전라",MID(K661,2,2)="07","경북",MID(K661,2,2)="08","경남",MID(K661,2,2)="09","강원",MID(K661,2,2)="10","제주",TRUE,"국외")</f>
        <v>충청</v>
      </c>
    </row>
    <row r="662" spans="1:12" ht="17.25" thickBot="1">
      <c r="A662" s="3" t="s">
        <v>804</v>
      </c>
      <c r="B662" s="3" t="s">
        <v>42</v>
      </c>
      <c r="C662" s="3"/>
      <c r="D662" s="4" t="s">
        <v>254</v>
      </c>
      <c r="E662" s="4" t="s">
        <v>18</v>
      </c>
      <c r="F662" s="4">
        <v>2021</v>
      </c>
      <c r="G662" s="9"/>
      <c r="H662" s="4" t="s">
        <v>18</v>
      </c>
      <c r="I662" s="8">
        <v>0.2</v>
      </c>
      <c r="J662" s="3">
        <v>14480</v>
      </c>
      <c r="K662" s="3">
        <v>50502</v>
      </c>
      <c r="L662" s="17" t="str" cm="1">
        <f t="array" ref="L662">_xlfn.IFS(MID(K662,2,2)="01", "서울", MID(K662,2,2)="02","경기",MID(K662,2,2)="03","충청",MID(K662,2,2)="04","충청",MID(K662,2,2)="05","전라",MID(K662,2,2)="06","전라",MID(K662,2,2)="07","경북",MID(K662,2,2)="08","경남",MID(K662,2,2)="09","강원",MID(K662,2,2)="10","제주",TRUE,"국외")</f>
        <v>전라</v>
      </c>
    </row>
    <row r="663" spans="1:12" ht="17.25" thickBot="1">
      <c r="A663" s="3" t="s">
        <v>345</v>
      </c>
      <c r="B663" s="3" t="s">
        <v>32</v>
      </c>
      <c r="C663" s="3" t="s">
        <v>234</v>
      </c>
      <c r="D663" s="4" t="s">
        <v>254</v>
      </c>
      <c r="E663" s="4" t="s">
        <v>26</v>
      </c>
      <c r="F663" s="4"/>
      <c r="G663" s="9"/>
      <c r="H663" s="4"/>
      <c r="I663" s="9"/>
      <c r="J663" s="3">
        <v>14174</v>
      </c>
      <c r="K663" s="3">
        <v>50111</v>
      </c>
      <c r="L663" s="17" t="str" cm="1">
        <f t="array" ref="L663">_xlfn.IFS(MID(K663,2,2)="01", "서울", MID(K663,2,2)="02","경기",MID(K663,2,2)="03","충청",MID(K663,2,2)="04","충청",MID(K663,2,2)="05","전라",MID(K663,2,2)="06","전라",MID(K663,2,2)="07","경북",MID(K663,2,2)="08","경남",MID(K663,2,2)="09","강원",MID(K663,2,2)="10","제주",TRUE,"국외")</f>
        <v>서울</v>
      </c>
    </row>
    <row r="664" spans="1:12" ht="17.25" thickBot="1">
      <c r="A664" s="3" t="s">
        <v>805</v>
      </c>
      <c r="B664" s="3" t="s">
        <v>93</v>
      </c>
      <c r="C664" s="3"/>
      <c r="D664" s="4" t="s">
        <v>254</v>
      </c>
      <c r="E664" s="4" t="s">
        <v>9</v>
      </c>
      <c r="F664" s="4">
        <v>2019</v>
      </c>
      <c r="G664" s="8">
        <v>0</v>
      </c>
      <c r="H664" s="4" t="s">
        <v>9</v>
      </c>
      <c r="I664" s="8">
        <v>-0.1</v>
      </c>
      <c r="J664" s="3">
        <v>14163</v>
      </c>
      <c r="K664" s="3">
        <v>50805</v>
      </c>
      <c r="L664" s="17" t="str" cm="1">
        <f t="array" ref="L664">_xlfn.IFS(MID(K664,2,2)="01", "서울", MID(K664,2,2)="02","경기",MID(K664,2,2)="03","충청",MID(K664,2,2)="04","충청",MID(K664,2,2)="05","전라",MID(K664,2,2)="06","전라",MID(K664,2,2)="07","경북",MID(K664,2,2)="08","경남",MID(K664,2,2)="09","강원",MID(K664,2,2)="10","제주",TRUE,"국외")</f>
        <v>경남</v>
      </c>
    </row>
    <row r="665" spans="1:12" ht="17.25" thickBot="1">
      <c r="A665" s="3" t="s">
        <v>248</v>
      </c>
      <c r="B665" s="3" t="s">
        <v>153</v>
      </c>
      <c r="C665" s="3"/>
      <c r="D665" s="4" t="s">
        <v>254</v>
      </c>
      <c r="E665" s="4" t="s">
        <v>23</v>
      </c>
      <c r="F665" s="4">
        <v>2022</v>
      </c>
      <c r="G665" s="9"/>
      <c r="H665" s="4" t="s">
        <v>23</v>
      </c>
      <c r="I665" s="8">
        <v>-0.1</v>
      </c>
      <c r="J665" s="3">
        <v>14117</v>
      </c>
      <c r="K665" s="3">
        <v>50210</v>
      </c>
      <c r="L665" s="17" t="str" cm="1">
        <f t="array" ref="L665">_xlfn.IFS(MID(K665,2,2)="01", "서울", MID(K665,2,2)="02","경기",MID(K665,2,2)="03","충청",MID(K665,2,2)="04","충청",MID(K665,2,2)="05","전라",MID(K665,2,2)="06","전라",MID(K665,2,2)="07","경북",MID(K665,2,2)="08","경남",MID(K665,2,2)="09","강원",MID(K665,2,2)="10","제주",TRUE,"국외")</f>
        <v>경기</v>
      </c>
    </row>
    <row r="666" spans="1:12" ht="17.25" thickBot="1">
      <c r="A666" s="3" t="s">
        <v>806</v>
      </c>
      <c r="B666" s="3" t="s">
        <v>66</v>
      </c>
      <c r="C666" s="3"/>
      <c r="D666" s="4" t="s">
        <v>254</v>
      </c>
      <c r="E666" s="4" t="s">
        <v>3</v>
      </c>
      <c r="F666" s="4">
        <v>2019</v>
      </c>
      <c r="G666" s="8">
        <v>0.8</v>
      </c>
      <c r="H666" s="4" t="s">
        <v>3</v>
      </c>
      <c r="I666" s="8">
        <v>0.9</v>
      </c>
      <c r="J666" s="3">
        <v>14128</v>
      </c>
      <c r="K666" s="3">
        <v>50110</v>
      </c>
      <c r="L666" s="17" t="str" cm="1">
        <f t="array" ref="L666">_xlfn.IFS(MID(K666,2,2)="01", "서울", MID(K666,2,2)="02","경기",MID(K666,2,2)="03","충청",MID(K666,2,2)="04","충청",MID(K666,2,2)="05","전라",MID(K666,2,2)="06","전라",MID(K666,2,2)="07","경북",MID(K666,2,2)="08","경남",MID(K666,2,2)="09","강원",MID(K666,2,2)="10","제주",TRUE,"국외")</f>
        <v>서울</v>
      </c>
    </row>
    <row r="667" spans="1:12" ht="17.25" thickBot="1">
      <c r="A667" s="3" t="s">
        <v>807</v>
      </c>
      <c r="B667" s="3" t="s">
        <v>81</v>
      </c>
      <c r="C667" s="3" t="s">
        <v>221</v>
      </c>
      <c r="D667" s="4" t="s">
        <v>254</v>
      </c>
      <c r="E667" s="4" t="s">
        <v>6</v>
      </c>
      <c r="F667" s="4">
        <v>2019</v>
      </c>
      <c r="G667" s="8">
        <v>-0.5</v>
      </c>
      <c r="H667" s="4" t="s">
        <v>6</v>
      </c>
      <c r="I667" s="8">
        <v>-1.1000000000000001</v>
      </c>
      <c r="J667" s="3">
        <v>14181</v>
      </c>
      <c r="K667" s="3">
        <v>50105</v>
      </c>
      <c r="L667" s="17" t="str" cm="1">
        <f t="array" ref="L667">_xlfn.IFS(MID(K667,2,2)="01", "서울", MID(K667,2,2)="02","경기",MID(K667,2,2)="03","충청",MID(K667,2,2)="04","충청",MID(K667,2,2)="05","전라",MID(K667,2,2)="06","전라",MID(K667,2,2)="07","경북",MID(K667,2,2)="08","경남",MID(K667,2,2)="09","강원",MID(K667,2,2)="10","제주",TRUE,"국외")</f>
        <v>서울</v>
      </c>
    </row>
    <row r="668" spans="1:12" ht="17.25" thickBot="1">
      <c r="A668" s="3" t="s">
        <v>808</v>
      </c>
      <c r="B668" s="3" t="s">
        <v>32</v>
      </c>
      <c r="C668" s="3"/>
      <c r="D668" s="4" t="s">
        <v>254</v>
      </c>
      <c r="E668" s="4" t="s">
        <v>28</v>
      </c>
      <c r="F668" s="4">
        <v>2019</v>
      </c>
      <c r="G668" s="8">
        <v>0</v>
      </c>
      <c r="H668" s="4" t="s">
        <v>28</v>
      </c>
      <c r="I668" s="8">
        <v>-0.1</v>
      </c>
      <c r="J668" s="3">
        <v>14110</v>
      </c>
      <c r="K668" s="3">
        <v>50111</v>
      </c>
      <c r="L668" s="17" t="str" cm="1">
        <f t="array" ref="L668">_xlfn.IFS(MID(K668,2,2)="01", "서울", MID(K668,2,2)="02","경기",MID(K668,2,2)="03","충청",MID(K668,2,2)="04","충청",MID(K668,2,2)="05","전라",MID(K668,2,2)="06","전라",MID(K668,2,2)="07","경북",MID(K668,2,2)="08","경남",MID(K668,2,2)="09","강원",MID(K668,2,2)="10","제주",TRUE,"국외")</f>
        <v>서울</v>
      </c>
    </row>
    <row r="669" spans="1:12" ht="17.25" thickBot="1">
      <c r="A669" s="3" t="s">
        <v>809</v>
      </c>
      <c r="B669" s="3" t="s">
        <v>147</v>
      </c>
      <c r="C669" s="3"/>
      <c r="D669" s="4" t="s">
        <v>254</v>
      </c>
      <c r="E669" s="4" t="s">
        <v>20</v>
      </c>
      <c r="F669" s="4">
        <v>2020</v>
      </c>
      <c r="G669" s="9"/>
      <c r="H669" s="4" t="s">
        <v>20</v>
      </c>
      <c r="I669" s="8">
        <v>0.2</v>
      </c>
      <c r="J669" s="3">
        <v>14139</v>
      </c>
      <c r="K669" s="3">
        <v>50208</v>
      </c>
      <c r="L669" s="17" t="str" cm="1">
        <f t="array" ref="L669">_xlfn.IFS(MID(K669,2,2)="01", "서울", MID(K669,2,2)="02","경기",MID(K669,2,2)="03","충청",MID(K669,2,2)="04","충청",MID(K669,2,2)="05","전라",MID(K669,2,2)="06","전라",MID(K669,2,2)="07","경북",MID(K669,2,2)="08","경남",MID(K669,2,2)="09","강원",MID(K669,2,2)="10","제주",TRUE,"국외")</f>
        <v>경기</v>
      </c>
    </row>
    <row r="670" spans="1:12" ht="17.25" thickBot="1">
      <c r="A670" s="3" t="s">
        <v>696</v>
      </c>
      <c r="B670" s="3" t="s">
        <v>14</v>
      </c>
      <c r="C670" s="3"/>
      <c r="D670" s="4" t="s">
        <v>254</v>
      </c>
      <c r="E670" s="4" t="s">
        <v>12</v>
      </c>
      <c r="F670" s="4"/>
      <c r="G670" s="9"/>
      <c r="H670" s="4"/>
      <c r="I670" s="9"/>
      <c r="J670" s="3">
        <v>14222</v>
      </c>
      <c r="K670" s="3">
        <v>50703</v>
      </c>
      <c r="L670" s="17" t="str" cm="1">
        <f t="array" ref="L670">_xlfn.IFS(MID(K670,2,2)="01", "서울", MID(K670,2,2)="02","경기",MID(K670,2,2)="03","충청",MID(K670,2,2)="04","충청",MID(K670,2,2)="05","전라",MID(K670,2,2)="06","전라",MID(K670,2,2)="07","경북",MID(K670,2,2)="08","경남",MID(K670,2,2)="09","강원",MID(K670,2,2)="10","제주",TRUE,"국외")</f>
        <v>경북</v>
      </c>
    </row>
    <row r="671" spans="1:12" ht="17.25" thickBot="1">
      <c r="A671" s="3" t="s">
        <v>625</v>
      </c>
      <c r="B671" s="3" t="s">
        <v>101</v>
      </c>
      <c r="C671" s="3"/>
      <c r="D671" s="4" t="s">
        <v>254</v>
      </c>
      <c r="E671" s="4" t="s">
        <v>607</v>
      </c>
      <c r="F671" s="4">
        <v>2019</v>
      </c>
      <c r="G671" s="8">
        <v>0</v>
      </c>
      <c r="H671" s="4" t="s">
        <v>607</v>
      </c>
      <c r="I671" s="8">
        <v>0</v>
      </c>
      <c r="J671" s="3">
        <v>14150</v>
      </c>
      <c r="K671" s="3">
        <v>50207</v>
      </c>
      <c r="L671" s="17" t="str" cm="1">
        <f t="array" ref="L671">_xlfn.IFS(MID(K671,2,2)="01", "서울", MID(K671,2,2)="02","경기",MID(K671,2,2)="03","충청",MID(K671,2,2)="04","충청",MID(K671,2,2)="05","전라",MID(K671,2,2)="06","전라",MID(K671,2,2)="07","경북",MID(K671,2,2)="08","경남",MID(K671,2,2)="09","강원",MID(K671,2,2)="10","제주",TRUE,"국외")</f>
        <v>경기</v>
      </c>
    </row>
    <row r="672" spans="1:12" ht="17.25" thickBot="1">
      <c r="A672" s="3" t="s">
        <v>810</v>
      </c>
      <c r="B672" s="3" t="s">
        <v>96</v>
      </c>
      <c r="C672" s="3"/>
      <c r="D672" s="4" t="s">
        <v>254</v>
      </c>
      <c r="E672" s="4" t="s">
        <v>18</v>
      </c>
      <c r="F672" s="4">
        <v>2021</v>
      </c>
      <c r="G672" s="9"/>
      <c r="H672" s="4" t="s">
        <v>18</v>
      </c>
      <c r="I672" s="8">
        <v>0</v>
      </c>
      <c r="J672" s="3">
        <v>14212</v>
      </c>
      <c r="K672" s="3">
        <v>50601</v>
      </c>
      <c r="L672" s="17" t="str" cm="1">
        <f t="array" ref="L672">_xlfn.IFS(MID(K672,2,2)="01", "서울", MID(K672,2,2)="02","경기",MID(K672,2,2)="03","충청",MID(K672,2,2)="04","충청",MID(K672,2,2)="05","전라",MID(K672,2,2)="06","전라",MID(K672,2,2)="07","경북",MID(K672,2,2)="08","경남",MID(K672,2,2)="09","강원",MID(K672,2,2)="10","제주",TRUE,"국외")</f>
        <v>전라</v>
      </c>
    </row>
    <row r="673" spans="1:12" ht="17.25" thickBot="1">
      <c r="A673" s="3" t="s">
        <v>811</v>
      </c>
      <c r="B673" s="3" t="s">
        <v>81</v>
      </c>
      <c r="C673" s="3" t="s">
        <v>208</v>
      </c>
      <c r="D673" s="4" t="s">
        <v>254</v>
      </c>
      <c r="E673" s="4" t="s">
        <v>26</v>
      </c>
      <c r="F673" s="4">
        <v>2019</v>
      </c>
      <c r="G673" s="8">
        <v>-0.1</v>
      </c>
      <c r="H673" s="4" t="s">
        <v>26</v>
      </c>
      <c r="I673" s="8">
        <v>-0.8</v>
      </c>
      <c r="J673" s="3">
        <v>14175</v>
      </c>
      <c r="K673" s="3">
        <v>50105</v>
      </c>
      <c r="L673" s="17" t="str" cm="1">
        <f t="array" ref="L673">_xlfn.IFS(MID(K673,2,2)="01", "서울", MID(K673,2,2)="02","경기",MID(K673,2,2)="03","충청",MID(K673,2,2)="04","충청",MID(K673,2,2)="05","전라",MID(K673,2,2)="06","전라",MID(K673,2,2)="07","경북",MID(K673,2,2)="08","경남",MID(K673,2,2)="09","강원",MID(K673,2,2)="10","제주",TRUE,"국외")</f>
        <v>서울</v>
      </c>
    </row>
    <row r="674" spans="1:12" ht="17.25" thickBot="1">
      <c r="A674" s="3" t="s">
        <v>812</v>
      </c>
      <c r="B674" s="3" t="s">
        <v>14</v>
      </c>
      <c r="C674" s="3"/>
      <c r="D674" s="4" t="s">
        <v>254</v>
      </c>
      <c r="E674" s="4" t="s">
        <v>9</v>
      </c>
      <c r="F674" s="4">
        <v>2023</v>
      </c>
      <c r="G674" s="9"/>
      <c r="H674" s="4"/>
      <c r="I674" s="9"/>
      <c r="J674" s="3">
        <v>14164</v>
      </c>
      <c r="K674" s="3">
        <v>50703</v>
      </c>
      <c r="L674" s="17" t="str" cm="1">
        <f t="array" ref="L674">_xlfn.IFS(MID(K674,2,2)="01", "서울", MID(K674,2,2)="02","경기",MID(K674,2,2)="03","충청",MID(K674,2,2)="04","충청",MID(K674,2,2)="05","전라",MID(K674,2,2)="06","전라",MID(K674,2,2)="07","경북",MID(K674,2,2)="08","경남",MID(K674,2,2)="09","강원",MID(K674,2,2)="10","제주",TRUE,"국외")</f>
        <v>경북</v>
      </c>
    </row>
    <row r="675" spans="1:12" ht="17.25" thickBot="1">
      <c r="A675" s="3" t="s">
        <v>813</v>
      </c>
      <c r="B675" s="3" t="s">
        <v>34</v>
      </c>
      <c r="C675" s="3"/>
      <c r="D675" s="4" t="s">
        <v>254</v>
      </c>
      <c r="E675" s="4" t="s">
        <v>23</v>
      </c>
      <c r="F675" s="4"/>
      <c r="G675" s="9"/>
      <c r="H675" s="4"/>
      <c r="I675" s="9"/>
      <c r="J675" s="3">
        <v>14118</v>
      </c>
      <c r="K675" s="3">
        <v>50701</v>
      </c>
      <c r="L675" s="17" t="str" cm="1">
        <f t="array" ref="L675">_xlfn.IFS(MID(K675,2,2)="01", "서울", MID(K675,2,2)="02","경기",MID(K675,2,2)="03","충청",MID(K675,2,2)="04","충청",MID(K675,2,2)="05","전라",MID(K675,2,2)="06","전라",MID(K675,2,2)="07","경북",MID(K675,2,2)="08","경남",MID(K675,2,2)="09","강원",MID(K675,2,2)="10","제주",TRUE,"국외")</f>
        <v>경북</v>
      </c>
    </row>
    <row r="676" spans="1:12" ht="17.25" thickBot="1">
      <c r="A676" s="3" t="s">
        <v>814</v>
      </c>
      <c r="B676" s="3" t="s">
        <v>11</v>
      </c>
      <c r="C676" s="3"/>
      <c r="D676" s="4" t="s">
        <v>254</v>
      </c>
      <c r="E676" s="4" t="s">
        <v>3</v>
      </c>
      <c r="F676" s="4">
        <v>2020</v>
      </c>
      <c r="G676" s="9"/>
      <c r="H676" s="4" t="s">
        <v>3</v>
      </c>
      <c r="I676" s="8">
        <v>-0.5</v>
      </c>
      <c r="J676" s="3">
        <v>14209</v>
      </c>
      <c r="K676" s="3">
        <v>50802</v>
      </c>
      <c r="L676" s="17" t="str" cm="1">
        <f t="array" ref="L676">_xlfn.IFS(MID(K676,2,2)="01", "서울", MID(K676,2,2)="02","경기",MID(K676,2,2)="03","충청",MID(K676,2,2)="04","충청",MID(K676,2,2)="05","전라",MID(K676,2,2)="06","전라",MID(K676,2,2)="07","경북",MID(K676,2,2)="08","경남",MID(K676,2,2)="09","강원",MID(K676,2,2)="10","제주",TRUE,"국외")</f>
        <v>경남</v>
      </c>
    </row>
    <row r="677" spans="1:12" ht="17.25" thickBot="1">
      <c r="A677" s="3" t="s">
        <v>815</v>
      </c>
      <c r="B677" s="3" t="s">
        <v>553</v>
      </c>
      <c r="C677" s="3"/>
      <c r="D677" s="4" t="s">
        <v>254</v>
      </c>
      <c r="E677" s="4" t="s">
        <v>6</v>
      </c>
      <c r="F677" s="4"/>
      <c r="G677" s="9"/>
      <c r="H677" s="4"/>
      <c r="I677" s="9"/>
      <c r="J677" s="3">
        <v>14182</v>
      </c>
      <c r="K677" s="3">
        <v>50709</v>
      </c>
      <c r="L677" s="17" t="str" cm="1">
        <f t="array" ref="L677">_xlfn.IFS(MID(K677,2,2)="01", "서울", MID(K677,2,2)="02","경기",MID(K677,2,2)="03","충청",MID(K677,2,2)="04","충청",MID(K677,2,2)="05","전라",MID(K677,2,2)="06","전라",MID(K677,2,2)="07","경북",MID(K677,2,2)="08","경남",MID(K677,2,2)="09","강원",MID(K677,2,2)="10","제주",TRUE,"국외")</f>
        <v>경북</v>
      </c>
    </row>
    <row r="678" spans="1:12" ht="17.25" thickBot="1">
      <c r="A678" s="3" t="s">
        <v>787</v>
      </c>
      <c r="B678" s="3" t="s">
        <v>34</v>
      </c>
      <c r="C678" s="3"/>
      <c r="D678" s="4" t="s">
        <v>254</v>
      </c>
      <c r="E678" s="4" t="s">
        <v>28</v>
      </c>
      <c r="F678" s="4">
        <v>2023</v>
      </c>
      <c r="G678" s="9"/>
      <c r="H678" s="4" t="s">
        <v>28</v>
      </c>
      <c r="I678" s="8">
        <v>0.3</v>
      </c>
      <c r="J678" s="3">
        <v>14191</v>
      </c>
      <c r="K678" s="3">
        <v>50701</v>
      </c>
      <c r="L678" s="17" t="str" cm="1">
        <f t="array" ref="L678">_xlfn.IFS(MID(K678,2,2)="01", "서울", MID(K678,2,2)="02","경기",MID(K678,2,2)="03","충청",MID(K678,2,2)="04","충청",MID(K678,2,2)="05","전라",MID(K678,2,2)="06","전라",MID(K678,2,2)="07","경북",MID(K678,2,2)="08","경남",MID(K678,2,2)="09","강원",MID(K678,2,2)="10","제주",TRUE,"국외")</f>
        <v>경북</v>
      </c>
    </row>
    <row r="679" spans="1:12" ht="17.25" thickBot="1">
      <c r="A679" s="3" t="s">
        <v>816</v>
      </c>
      <c r="B679" s="3" t="s">
        <v>32</v>
      </c>
      <c r="C679" s="3" t="s">
        <v>133</v>
      </c>
      <c r="D679" s="4" t="s">
        <v>254</v>
      </c>
      <c r="E679" s="4" t="s">
        <v>20</v>
      </c>
      <c r="F679" s="4">
        <v>2019</v>
      </c>
      <c r="G679" s="8">
        <v>-0.2</v>
      </c>
      <c r="H679" s="4" t="s">
        <v>20</v>
      </c>
      <c r="I679" s="8">
        <v>-0.5</v>
      </c>
      <c r="J679" s="3">
        <v>14140</v>
      </c>
      <c r="K679" s="3">
        <v>50111</v>
      </c>
      <c r="L679" s="17" t="str" cm="1">
        <f t="array" ref="L679">_xlfn.IFS(MID(K679,2,2)="01", "서울", MID(K679,2,2)="02","경기",MID(K679,2,2)="03","충청",MID(K679,2,2)="04","충청",MID(K679,2,2)="05","전라",MID(K679,2,2)="06","전라",MID(K679,2,2)="07","경북",MID(K679,2,2)="08","경남",MID(K679,2,2)="09","강원",MID(K679,2,2)="10","제주",TRUE,"국외")</f>
        <v>서울</v>
      </c>
    </row>
    <row r="680" spans="1:12" ht="17.25" thickBot="1">
      <c r="A680" s="3" t="s">
        <v>817</v>
      </c>
      <c r="B680" s="3" t="s">
        <v>335</v>
      </c>
      <c r="C680" s="3"/>
      <c r="D680" s="4" t="s">
        <v>254</v>
      </c>
      <c r="E680" s="4" t="s">
        <v>12</v>
      </c>
      <c r="F680" s="4">
        <v>2022</v>
      </c>
      <c r="G680" s="9"/>
      <c r="H680" s="4" t="s">
        <v>12</v>
      </c>
      <c r="I680" s="8">
        <v>0</v>
      </c>
      <c r="J680" s="3">
        <v>14654</v>
      </c>
      <c r="K680" s="3">
        <v>50804</v>
      </c>
      <c r="L680" s="17" t="str" cm="1">
        <f t="array" ref="L680">_xlfn.IFS(MID(K680,2,2)="01", "서울", MID(K680,2,2)="02","경기",MID(K680,2,2)="03","충청",MID(K680,2,2)="04","충청",MID(K680,2,2)="05","전라",MID(K680,2,2)="06","전라",MID(K680,2,2)="07","경북",MID(K680,2,2)="08","경남",MID(K680,2,2)="09","강원",MID(K680,2,2)="10","제주",TRUE,"국외")</f>
        <v>경남</v>
      </c>
    </row>
    <row r="681" spans="1:12" ht="17.25" thickBot="1">
      <c r="A681" s="3" t="s">
        <v>818</v>
      </c>
      <c r="B681" s="3" t="s">
        <v>34</v>
      </c>
      <c r="C681" s="3" t="s">
        <v>174</v>
      </c>
      <c r="D681" s="4" t="s">
        <v>254</v>
      </c>
      <c r="E681" s="4" t="s">
        <v>607</v>
      </c>
      <c r="F681" s="4">
        <v>2019</v>
      </c>
      <c r="G681" s="8">
        <v>-0.2</v>
      </c>
      <c r="H681" s="4" t="s">
        <v>15</v>
      </c>
      <c r="I681" s="8">
        <v>-0.1</v>
      </c>
      <c r="J681" s="3">
        <v>14151</v>
      </c>
      <c r="K681" s="3">
        <v>50701</v>
      </c>
      <c r="L681" s="17" t="str" cm="1">
        <f t="array" ref="L681">_xlfn.IFS(MID(K681,2,2)="01", "서울", MID(K681,2,2)="02","경기",MID(K681,2,2)="03","충청",MID(K681,2,2)="04","충청",MID(K681,2,2)="05","전라",MID(K681,2,2)="06","전라",MID(K681,2,2)="07","경북",MID(K681,2,2)="08","경남",MID(K681,2,2)="09","강원",MID(K681,2,2)="10","제주",TRUE,"국외")</f>
        <v>경북</v>
      </c>
    </row>
    <row r="682" spans="1:12" ht="17.25" thickBot="1">
      <c r="A682" s="3" t="s">
        <v>819</v>
      </c>
      <c r="B682" s="3" t="s">
        <v>107</v>
      </c>
      <c r="C682" s="3"/>
      <c r="D682" s="4" t="s">
        <v>254</v>
      </c>
      <c r="E682" s="4" t="s">
        <v>18</v>
      </c>
      <c r="F682" s="4"/>
      <c r="G682" s="9"/>
      <c r="H682" s="4"/>
      <c r="I682" s="9"/>
      <c r="J682" s="3">
        <v>14211</v>
      </c>
      <c r="K682" s="3">
        <v>50602</v>
      </c>
      <c r="L682" s="17" t="str" cm="1">
        <f t="array" ref="L682">_xlfn.IFS(MID(K682,2,2)="01", "서울", MID(K682,2,2)="02","경기",MID(K682,2,2)="03","충청",MID(K682,2,2)="04","충청",MID(K682,2,2)="05","전라",MID(K682,2,2)="06","전라",MID(K682,2,2)="07","경북",MID(K682,2,2)="08","경남",MID(K682,2,2)="09","강원",MID(K682,2,2)="10","제주",TRUE,"국외")</f>
        <v>전라</v>
      </c>
    </row>
    <row r="683" spans="1:12" ht="17.25" thickBot="1">
      <c r="A683" s="3" t="s">
        <v>820</v>
      </c>
      <c r="B683" s="3" t="s">
        <v>105</v>
      </c>
      <c r="C683" s="3"/>
      <c r="D683" s="4" t="s">
        <v>254</v>
      </c>
      <c r="E683" s="4" t="s">
        <v>26</v>
      </c>
      <c r="F683" s="4"/>
      <c r="G683" s="9"/>
      <c r="H683" s="4"/>
      <c r="I683" s="9"/>
      <c r="J683" s="3">
        <v>14569</v>
      </c>
      <c r="K683" s="3">
        <v>50212</v>
      </c>
      <c r="L683" s="17" t="str" cm="1">
        <f t="array" ref="L683">_xlfn.IFS(MID(K683,2,2)="01", "서울", MID(K683,2,2)="02","경기",MID(K683,2,2)="03","충청",MID(K683,2,2)="04","충청",MID(K683,2,2)="05","전라",MID(K683,2,2)="06","전라",MID(K683,2,2)="07","경북",MID(K683,2,2)="08","경남",MID(K683,2,2)="09","강원",MID(K683,2,2)="10","제주",TRUE,"국외")</f>
        <v>경기</v>
      </c>
    </row>
    <row r="684" spans="1:12" ht="17.25" thickBot="1">
      <c r="A684" s="3" t="s">
        <v>39</v>
      </c>
      <c r="B684" s="3" t="s">
        <v>215</v>
      </c>
      <c r="C684" s="3"/>
      <c r="D684" s="4" t="s">
        <v>254</v>
      </c>
      <c r="E684" s="4" t="s">
        <v>9</v>
      </c>
      <c r="F684" s="4"/>
      <c r="G684" s="9"/>
      <c r="H684" s="4"/>
      <c r="I684" s="9"/>
      <c r="J684" s="3">
        <v>14165</v>
      </c>
      <c r="K684" s="3">
        <v>50710</v>
      </c>
      <c r="L684" s="17" t="str" cm="1">
        <f t="array" ref="L684">_xlfn.IFS(MID(K684,2,2)="01", "서울", MID(K684,2,2)="02","경기",MID(K684,2,2)="03","충청",MID(K684,2,2)="04","충청",MID(K684,2,2)="05","전라",MID(K684,2,2)="06","전라",MID(K684,2,2)="07","경북",MID(K684,2,2)="08","경남",MID(K684,2,2)="09","강원",MID(K684,2,2)="10","제주",TRUE,"국외")</f>
        <v>경북</v>
      </c>
    </row>
    <row r="685" spans="1:12" ht="17.25" thickBot="1">
      <c r="A685" s="3" t="s">
        <v>821</v>
      </c>
      <c r="B685" s="3" t="s">
        <v>34</v>
      </c>
      <c r="C685" s="3"/>
      <c r="D685" s="4" t="s">
        <v>254</v>
      </c>
      <c r="E685" s="4" t="s">
        <v>23</v>
      </c>
      <c r="F685" s="4"/>
      <c r="G685" s="9"/>
      <c r="H685" s="4"/>
      <c r="I685" s="9"/>
      <c r="J685" s="3">
        <v>14119</v>
      </c>
      <c r="K685" s="3">
        <v>50701</v>
      </c>
      <c r="L685" s="17" t="str" cm="1">
        <f t="array" ref="L685">_xlfn.IFS(MID(K685,2,2)="01", "서울", MID(K685,2,2)="02","경기",MID(K685,2,2)="03","충청",MID(K685,2,2)="04","충청",MID(K685,2,2)="05","전라",MID(K685,2,2)="06","전라",MID(K685,2,2)="07","경북",MID(K685,2,2)="08","경남",MID(K685,2,2)="09","강원",MID(K685,2,2)="10","제주",TRUE,"국외")</f>
        <v>경북</v>
      </c>
    </row>
    <row r="686" spans="1:12" ht="17.25" thickBot="1">
      <c r="A686" s="3" t="s">
        <v>822</v>
      </c>
      <c r="B686" s="3" t="s">
        <v>121</v>
      </c>
      <c r="C686" s="3"/>
      <c r="D686" s="4" t="s">
        <v>254</v>
      </c>
      <c r="E686" s="4" t="s">
        <v>3</v>
      </c>
      <c r="F686" s="4">
        <v>2020</v>
      </c>
      <c r="G686" s="9"/>
      <c r="H686" s="4" t="s">
        <v>3</v>
      </c>
      <c r="I686" s="8">
        <v>-0.3</v>
      </c>
      <c r="J686" s="3">
        <v>14713</v>
      </c>
      <c r="K686" s="3">
        <v>50604</v>
      </c>
      <c r="L686" s="17" t="str" cm="1">
        <f t="array" ref="L686">_xlfn.IFS(MID(K686,2,2)="01", "서울", MID(K686,2,2)="02","경기",MID(K686,2,2)="03","충청",MID(K686,2,2)="04","충청",MID(K686,2,2)="05","전라",MID(K686,2,2)="06","전라",MID(K686,2,2)="07","경북",MID(K686,2,2)="08","경남",MID(K686,2,2)="09","강원",MID(K686,2,2)="10","제주",TRUE,"국외")</f>
        <v>전라</v>
      </c>
    </row>
    <row r="687" spans="1:12" ht="17.25" thickBot="1">
      <c r="A687" s="3" t="s">
        <v>369</v>
      </c>
      <c r="B687" s="3" t="s">
        <v>11</v>
      </c>
      <c r="C687" s="3"/>
      <c r="D687" s="4" t="s">
        <v>254</v>
      </c>
      <c r="E687" s="4" t="s">
        <v>6</v>
      </c>
      <c r="F687" s="4"/>
      <c r="G687" s="9"/>
      <c r="H687" s="4"/>
      <c r="I687" s="9"/>
      <c r="J687" s="3">
        <v>14183</v>
      </c>
      <c r="K687" s="3">
        <v>50802</v>
      </c>
      <c r="L687" s="17" t="str" cm="1">
        <f t="array" ref="L687">_xlfn.IFS(MID(K687,2,2)="01", "서울", MID(K687,2,2)="02","경기",MID(K687,2,2)="03","충청",MID(K687,2,2)="04","충청",MID(K687,2,2)="05","전라",MID(K687,2,2)="06","전라",MID(K687,2,2)="07","경북",MID(K687,2,2)="08","경남",MID(K687,2,2)="09","강원",MID(K687,2,2)="10","제주",TRUE,"국외")</f>
        <v>경남</v>
      </c>
    </row>
    <row r="688" spans="1:12" ht="17.25" thickBot="1">
      <c r="A688" s="3" t="s">
        <v>823</v>
      </c>
      <c r="B688" s="3" t="s">
        <v>147</v>
      </c>
      <c r="C688" s="3"/>
      <c r="D688" s="4" t="s">
        <v>254</v>
      </c>
      <c r="E688" s="4" t="s">
        <v>28</v>
      </c>
      <c r="F688" s="4">
        <v>2019</v>
      </c>
      <c r="G688" s="8">
        <v>0</v>
      </c>
      <c r="H688" s="4" t="s">
        <v>28</v>
      </c>
      <c r="I688" s="8">
        <v>-0.1</v>
      </c>
      <c r="J688" s="3">
        <v>14111</v>
      </c>
      <c r="K688" s="3">
        <v>50208</v>
      </c>
      <c r="L688" s="17" t="str" cm="1">
        <f t="array" ref="L688">_xlfn.IFS(MID(K688,2,2)="01", "서울", MID(K688,2,2)="02","경기",MID(K688,2,2)="03","충청",MID(K688,2,2)="04","충청",MID(K688,2,2)="05","전라",MID(K688,2,2)="06","전라",MID(K688,2,2)="07","경북",MID(K688,2,2)="08","경남",MID(K688,2,2)="09","강원",MID(K688,2,2)="10","제주",TRUE,"국외")</f>
        <v>경기</v>
      </c>
    </row>
    <row r="689" spans="1:12" ht="17.25" thickBot="1">
      <c r="A689" s="3" t="s">
        <v>482</v>
      </c>
      <c r="B689" s="3" t="s">
        <v>101</v>
      </c>
      <c r="C689" s="3"/>
      <c r="D689" s="4" t="s">
        <v>254</v>
      </c>
      <c r="E689" s="4" t="s">
        <v>20</v>
      </c>
      <c r="F689" s="4"/>
      <c r="G689" s="9"/>
      <c r="H689" s="4"/>
      <c r="I689" s="9"/>
      <c r="J689" s="3">
        <v>14141</v>
      </c>
      <c r="K689" s="3">
        <v>50207</v>
      </c>
      <c r="L689" s="17" t="str" cm="1">
        <f t="array" ref="L689">_xlfn.IFS(MID(K689,2,2)="01", "서울", MID(K689,2,2)="02","경기",MID(K689,2,2)="03","충청",MID(K689,2,2)="04","충청",MID(K689,2,2)="05","전라",MID(K689,2,2)="06","전라",MID(K689,2,2)="07","경북",MID(K689,2,2)="08","경남",MID(K689,2,2)="09","강원",MID(K689,2,2)="10","제주",TRUE,"국외")</f>
        <v>경기</v>
      </c>
    </row>
    <row r="690" spans="1:12" ht="17.25" thickBot="1">
      <c r="A690" s="3" t="s">
        <v>824</v>
      </c>
      <c r="B690" s="3" t="s">
        <v>176</v>
      </c>
      <c r="C690" s="3"/>
      <c r="D690" s="4" t="s">
        <v>254</v>
      </c>
      <c r="E690" s="4" t="s">
        <v>12</v>
      </c>
      <c r="F690" s="4">
        <v>2020</v>
      </c>
      <c r="G690" s="9"/>
      <c r="H690" s="4" t="s">
        <v>12</v>
      </c>
      <c r="I690" s="8">
        <v>1.9</v>
      </c>
      <c r="J690" s="3">
        <v>14221</v>
      </c>
      <c r="K690" s="3">
        <v>50302</v>
      </c>
      <c r="L690" s="17" t="str" cm="1">
        <f t="array" ref="L690">_xlfn.IFS(MID(K690,2,2)="01", "서울", MID(K690,2,2)="02","경기",MID(K690,2,2)="03","충청",MID(K690,2,2)="04","충청",MID(K690,2,2)="05","전라",MID(K690,2,2)="06","전라",MID(K690,2,2)="07","경북",MID(K690,2,2)="08","경남",MID(K690,2,2)="09","강원",MID(K690,2,2)="10","제주",TRUE,"국외")</f>
        <v>충청</v>
      </c>
    </row>
    <row r="691" spans="1:12" ht="17.25" thickBot="1">
      <c r="A691" s="3" t="s">
        <v>825</v>
      </c>
      <c r="B691" s="3" t="s">
        <v>553</v>
      </c>
      <c r="C691" s="3"/>
      <c r="D691" s="4" t="s">
        <v>254</v>
      </c>
      <c r="E691" s="4" t="s">
        <v>607</v>
      </c>
      <c r="F691" s="4">
        <v>2023</v>
      </c>
      <c r="G691" s="9"/>
      <c r="H691" s="4" t="s">
        <v>15</v>
      </c>
      <c r="I691" s="8">
        <v>0</v>
      </c>
      <c r="J691" s="3">
        <v>14152</v>
      </c>
      <c r="K691" s="3">
        <v>50709</v>
      </c>
      <c r="L691" s="17" t="str" cm="1">
        <f t="array" ref="L691">_xlfn.IFS(MID(K691,2,2)="01", "서울", MID(K691,2,2)="02","경기",MID(K691,2,2)="03","충청",MID(K691,2,2)="04","충청",MID(K691,2,2)="05","전라",MID(K691,2,2)="06","전라",MID(K691,2,2)="07","경북",MID(K691,2,2)="08","경남",MID(K691,2,2)="09","강원",MID(K691,2,2)="10","제주",TRUE,"국외")</f>
        <v>경북</v>
      </c>
    </row>
    <row r="692" spans="1:12" ht="17.25" thickBot="1">
      <c r="A692" s="3" t="s">
        <v>826</v>
      </c>
      <c r="B692" s="3" t="s">
        <v>241</v>
      </c>
      <c r="C692" s="3" t="s">
        <v>234</v>
      </c>
      <c r="D692" s="4" t="s">
        <v>254</v>
      </c>
      <c r="E692" s="4" t="s">
        <v>18</v>
      </c>
      <c r="F692" s="4"/>
      <c r="G692" s="9"/>
      <c r="H692" s="4"/>
      <c r="I692" s="9"/>
      <c r="J692" s="3">
        <v>14677</v>
      </c>
      <c r="K692" s="3">
        <v>50202</v>
      </c>
      <c r="L692" s="17" t="str" cm="1">
        <f t="array" ref="L692">_xlfn.IFS(MID(K692,2,2)="01", "서울", MID(K692,2,2)="02","경기",MID(K692,2,2)="03","충청",MID(K692,2,2)="04","충청",MID(K692,2,2)="05","전라",MID(K692,2,2)="06","전라",MID(K692,2,2)="07","경북",MID(K692,2,2)="08","경남",MID(K692,2,2)="09","강원",MID(K692,2,2)="10","제주",TRUE,"국외")</f>
        <v>경기</v>
      </c>
    </row>
    <row r="693" spans="1:12" ht="17.25" thickBot="1">
      <c r="A693" s="3" t="s">
        <v>513</v>
      </c>
      <c r="B693" s="3" t="s">
        <v>63</v>
      </c>
      <c r="C693" s="3"/>
      <c r="D693" s="4" t="s">
        <v>254</v>
      </c>
      <c r="E693" s="4" t="s">
        <v>9</v>
      </c>
      <c r="F693" s="4"/>
      <c r="G693" s="9"/>
      <c r="H693" s="4"/>
      <c r="I693" s="9"/>
      <c r="J693" s="3">
        <v>14166</v>
      </c>
      <c r="K693" s="3">
        <v>50807</v>
      </c>
      <c r="L693" s="17" t="str" cm="1">
        <f t="array" ref="L693">_xlfn.IFS(MID(K693,2,2)="01", "서울", MID(K693,2,2)="02","경기",MID(K693,2,2)="03","충청",MID(K693,2,2)="04","충청",MID(K693,2,2)="05","전라",MID(K693,2,2)="06","전라",MID(K693,2,2)="07","경북",MID(K693,2,2)="08","경남",MID(K693,2,2)="09","강원",MID(K693,2,2)="10","제주",TRUE,"국외")</f>
        <v>경남</v>
      </c>
    </row>
    <row r="694" spans="1:12" ht="17.25" thickBot="1">
      <c r="A694" s="3" t="s">
        <v>827</v>
      </c>
      <c r="B694" s="3" t="s">
        <v>128</v>
      </c>
      <c r="C694" s="3"/>
      <c r="D694" s="4" t="s">
        <v>254</v>
      </c>
      <c r="E694" s="4" t="s">
        <v>23</v>
      </c>
      <c r="F694" s="4"/>
      <c r="G694" s="9"/>
      <c r="H694" s="4"/>
      <c r="I694" s="9"/>
      <c r="J694" s="3">
        <v>14120</v>
      </c>
      <c r="K694" s="3">
        <v>50901</v>
      </c>
      <c r="L694" s="17" t="str" cm="1">
        <f t="array" ref="L694">_xlfn.IFS(MID(K694,2,2)="01", "서울", MID(K694,2,2)="02","경기",MID(K694,2,2)="03","충청",MID(K694,2,2)="04","충청",MID(K694,2,2)="05","전라",MID(K694,2,2)="06","전라",MID(K694,2,2)="07","경북",MID(K694,2,2)="08","경남",MID(K694,2,2)="09","강원",MID(K694,2,2)="10","제주",TRUE,"국외")</f>
        <v>강원</v>
      </c>
    </row>
    <row r="695" spans="1:12" ht="17.25" thickBot="1">
      <c r="A695" s="3" t="s">
        <v>7</v>
      </c>
      <c r="B695" s="3" t="s">
        <v>56</v>
      </c>
      <c r="C695" s="3"/>
      <c r="D695" s="4" t="s">
        <v>254</v>
      </c>
      <c r="E695" s="4" t="s">
        <v>3</v>
      </c>
      <c r="F695" s="4"/>
      <c r="G695" s="9"/>
      <c r="H695" s="4"/>
      <c r="I695" s="9"/>
      <c r="J695" s="3">
        <v>14709</v>
      </c>
      <c r="K695" s="3">
        <v>50215</v>
      </c>
      <c r="L695" s="17" t="str" cm="1">
        <f t="array" ref="L695">_xlfn.IFS(MID(K695,2,2)="01", "서울", MID(K695,2,2)="02","경기",MID(K695,2,2)="03","충청",MID(K695,2,2)="04","충청",MID(K695,2,2)="05","전라",MID(K695,2,2)="06","전라",MID(K695,2,2)="07","경북",MID(K695,2,2)="08","경남",MID(K695,2,2)="09","강원",MID(K695,2,2)="10","제주",TRUE,"국외")</f>
        <v>경기</v>
      </c>
    </row>
    <row r="696" spans="1:12" ht="17.25" thickBot="1">
      <c r="A696" s="3" t="s">
        <v>828</v>
      </c>
      <c r="B696" s="3" t="s">
        <v>34</v>
      </c>
      <c r="C696" s="3" t="s">
        <v>83</v>
      </c>
      <c r="D696" s="4" t="s">
        <v>254</v>
      </c>
      <c r="E696" s="4" t="s">
        <v>6</v>
      </c>
      <c r="F696" s="4"/>
      <c r="G696" s="9"/>
      <c r="H696" s="4"/>
      <c r="I696" s="9"/>
      <c r="J696" s="3">
        <v>14184</v>
      </c>
      <c r="K696" s="3">
        <v>50701</v>
      </c>
      <c r="L696" s="17" t="str" cm="1">
        <f t="array" ref="L696">_xlfn.IFS(MID(K696,2,2)="01", "서울", MID(K696,2,2)="02","경기",MID(K696,2,2)="03","충청",MID(K696,2,2)="04","충청",MID(K696,2,2)="05","전라",MID(K696,2,2)="06","전라",MID(K696,2,2)="07","경북",MID(K696,2,2)="08","경남",MID(K696,2,2)="09","강원",MID(K696,2,2)="10","제주",TRUE,"국외")</f>
        <v>경북</v>
      </c>
    </row>
    <row r="697" spans="1:12" ht="17.25" thickBot="1">
      <c r="A697" s="3" t="s">
        <v>829</v>
      </c>
      <c r="B697" s="3" t="s">
        <v>93</v>
      </c>
      <c r="C697" s="3" t="s">
        <v>329</v>
      </c>
      <c r="D697" s="4" t="s">
        <v>254</v>
      </c>
      <c r="E697" s="4" t="s">
        <v>28</v>
      </c>
      <c r="F697" s="4"/>
      <c r="G697" s="9"/>
      <c r="H697" s="4"/>
      <c r="I697" s="9"/>
      <c r="J697" s="3">
        <v>14112</v>
      </c>
      <c r="K697" s="3">
        <v>50805</v>
      </c>
      <c r="L697" s="17" t="str" cm="1">
        <f t="array" ref="L697">_xlfn.IFS(MID(K697,2,2)="01", "서울", MID(K697,2,2)="02","경기",MID(K697,2,2)="03","충청",MID(K697,2,2)="04","충청",MID(K697,2,2)="05","전라",MID(K697,2,2)="06","전라",MID(K697,2,2)="07","경북",MID(K697,2,2)="08","경남",MID(K697,2,2)="09","강원",MID(K697,2,2)="10","제주",TRUE,"국외")</f>
        <v>경남</v>
      </c>
    </row>
    <row r="698" spans="1:12" ht="17.25" thickBot="1">
      <c r="A698" s="3" t="s">
        <v>341</v>
      </c>
      <c r="B698" s="3" t="s">
        <v>121</v>
      </c>
      <c r="C698" s="3"/>
      <c r="D698" s="4" t="s">
        <v>254</v>
      </c>
      <c r="E698" s="4" t="s">
        <v>20</v>
      </c>
      <c r="F698" s="4">
        <v>2021</v>
      </c>
      <c r="G698" s="9"/>
      <c r="H698" s="4" t="s">
        <v>20</v>
      </c>
      <c r="I698" s="8">
        <v>0.4</v>
      </c>
      <c r="J698" s="3">
        <v>14142</v>
      </c>
      <c r="K698" s="3">
        <v>50604</v>
      </c>
      <c r="L698" s="17" t="str" cm="1">
        <f t="array" ref="L698">_xlfn.IFS(MID(K698,2,2)="01", "서울", MID(K698,2,2)="02","경기",MID(K698,2,2)="03","충청",MID(K698,2,2)="04","충청",MID(K698,2,2)="05","전라",MID(K698,2,2)="06","전라",MID(K698,2,2)="07","경북",MID(K698,2,2)="08","경남",MID(K698,2,2)="09","강원",MID(K698,2,2)="10","제주",TRUE,"국외")</f>
        <v>전라</v>
      </c>
    </row>
    <row r="699" spans="1:12" ht="17.25" thickBot="1">
      <c r="A699" s="3" t="s">
        <v>830</v>
      </c>
      <c r="B699" s="3" t="s">
        <v>93</v>
      </c>
      <c r="C699" s="3"/>
      <c r="D699" s="4" t="s">
        <v>254</v>
      </c>
      <c r="E699" s="4" t="s">
        <v>12</v>
      </c>
      <c r="F699" s="4"/>
      <c r="G699" s="9"/>
      <c r="H699" s="4"/>
      <c r="I699" s="9"/>
      <c r="J699" s="3">
        <v>14650</v>
      </c>
      <c r="K699" s="3">
        <v>50805</v>
      </c>
      <c r="L699" s="17" t="str" cm="1">
        <f t="array" ref="L699">_xlfn.IFS(MID(K699,2,2)="01", "서울", MID(K699,2,2)="02","경기",MID(K699,2,2)="03","충청",MID(K699,2,2)="04","충청",MID(K699,2,2)="05","전라",MID(K699,2,2)="06","전라",MID(K699,2,2)="07","경북",MID(K699,2,2)="08","경남",MID(K699,2,2)="09","강원",MID(K699,2,2)="10","제주",TRUE,"국외")</f>
        <v>경남</v>
      </c>
    </row>
    <row r="700" spans="1:12" ht="17.25" thickBot="1">
      <c r="A700" s="3" t="s">
        <v>831</v>
      </c>
      <c r="B700" s="3" t="s">
        <v>332</v>
      </c>
      <c r="C700" s="3" t="s">
        <v>156</v>
      </c>
      <c r="D700" s="4" t="s">
        <v>254</v>
      </c>
      <c r="E700" s="4" t="s">
        <v>607</v>
      </c>
      <c r="F700" s="4">
        <v>2019</v>
      </c>
      <c r="G700" s="8">
        <v>0.1</v>
      </c>
      <c r="H700" s="4" t="s">
        <v>607</v>
      </c>
      <c r="I700" s="8">
        <v>-0.3</v>
      </c>
      <c r="J700" s="3">
        <v>14153</v>
      </c>
      <c r="K700" s="3">
        <v>50705</v>
      </c>
      <c r="L700" s="17" t="str" cm="1">
        <f t="array" ref="L700">_xlfn.IFS(MID(K700,2,2)="01", "서울", MID(K700,2,2)="02","경기",MID(K700,2,2)="03","충청",MID(K700,2,2)="04","충청",MID(K700,2,2)="05","전라",MID(K700,2,2)="06","전라",MID(K700,2,2)="07","경북",MID(K700,2,2)="08","경남",MID(K700,2,2)="09","강원",MID(K700,2,2)="10","제주",TRUE,"국외")</f>
        <v>경북</v>
      </c>
    </row>
    <row r="701" spans="1:12" ht="17.25" thickBot="1">
      <c r="A701" s="3" t="s">
        <v>832</v>
      </c>
      <c r="B701" s="3" t="s">
        <v>153</v>
      </c>
      <c r="C701" s="3"/>
      <c r="D701" s="4" t="s">
        <v>254</v>
      </c>
      <c r="E701" s="4" t="s">
        <v>18</v>
      </c>
      <c r="F701" s="4"/>
      <c r="G701" s="9"/>
      <c r="H701" s="4"/>
      <c r="I701" s="9"/>
      <c r="J701" s="3">
        <v>14218</v>
      </c>
      <c r="K701" s="3">
        <v>50210</v>
      </c>
      <c r="L701" s="17" t="str" cm="1">
        <f t="array" ref="L701">_xlfn.IFS(MID(K701,2,2)="01", "서울", MID(K701,2,2)="02","경기",MID(K701,2,2)="03","충청",MID(K701,2,2)="04","충청",MID(K701,2,2)="05","전라",MID(K701,2,2)="06","전라",MID(K701,2,2)="07","경북",MID(K701,2,2)="08","경남",MID(K701,2,2)="09","강원",MID(K701,2,2)="10","제주",TRUE,"국외")</f>
        <v>경기</v>
      </c>
    </row>
    <row r="702" spans="1:12" ht="17.25" thickBot="1">
      <c r="A702" s="3" t="s">
        <v>150</v>
      </c>
      <c r="B702" s="3" t="s">
        <v>14</v>
      </c>
      <c r="C702" s="3" t="s">
        <v>161</v>
      </c>
      <c r="D702" s="4" t="s">
        <v>254</v>
      </c>
      <c r="E702" s="4" t="s">
        <v>26</v>
      </c>
      <c r="F702" s="4"/>
      <c r="G702" s="9"/>
      <c r="H702" s="4"/>
      <c r="I702" s="9"/>
      <c r="J702" s="3">
        <v>14205</v>
      </c>
      <c r="K702" s="3">
        <v>50703</v>
      </c>
      <c r="L702" s="17" t="str" cm="1">
        <f t="array" ref="L702">_xlfn.IFS(MID(K702,2,2)="01", "서울", MID(K702,2,2)="02","경기",MID(K702,2,2)="03","충청",MID(K702,2,2)="04","충청",MID(K702,2,2)="05","전라",MID(K702,2,2)="06","전라",MID(K702,2,2)="07","경북",MID(K702,2,2)="08","경남",MID(K702,2,2)="09","강원",MID(K702,2,2)="10","제주",TRUE,"국외")</f>
        <v>경북</v>
      </c>
    </row>
    <row r="703" spans="1:12" ht="17.25" thickBot="1">
      <c r="A703" s="3" t="s">
        <v>833</v>
      </c>
      <c r="B703" s="3" t="s">
        <v>70</v>
      </c>
      <c r="C703" s="3"/>
      <c r="D703" s="4" t="s">
        <v>254</v>
      </c>
      <c r="E703" s="4" t="s">
        <v>9</v>
      </c>
      <c r="F703" s="4"/>
      <c r="G703" s="9"/>
      <c r="H703" s="4"/>
      <c r="I703" s="9"/>
      <c r="J703" s="3">
        <v>14167</v>
      </c>
      <c r="K703" s="3">
        <v>50103</v>
      </c>
      <c r="L703" s="17" t="str" cm="1">
        <f t="array" ref="L703">_xlfn.IFS(MID(K703,2,2)="01", "서울", MID(K703,2,2)="02","경기",MID(K703,2,2)="03","충청",MID(K703,2,2)="04","충청",MID(K703,2,2)="05","전라",MID(K703,2,2)="06","전라",MID(K703,2,2)="07","경북",MID(K703,2,2)="08","경남",MID(K703,2,2)="09","강원",MID(K703,2,2)="10","제주",TRUE,"국외")</f>
        <v>서울</v>
      </c>
    </row>
    <row r="704" spans="1:12" ht="17.25" thickBot="1">
      <c r="A704" s="3" t="s">
        <v>834</v>
      </c>
      <c r="B704" s="3" t="s">
        <v>22</v>
      </c>
      <c r="C704" s="3"/>
      <c r="D704" s="4" t="s">
        <v>254</v>
      </c>
      <c r="E704" s="4" t="s">
        <v>23</v>
      </c>
      <c r="F704" s="4">
        <v>2022</v>
      </c>
      <c r="G704" s="9"/>
      <c r="H704" s="4" t="s">
        <v>23</v>
      </c>
      <c r="I704" s="8">
        <v>-0.2</v>
      </c>
      <c r="J704" s="3">
        <v>14121</v>
      </c>
      <c r="K704" s="3">
        <v>50209</v>
      </c>
      <c r="L704" s="17" t="str" cm="1">
        <f t="array" ref="L704">_xlfn.IFS(MID(K704,2,2)="01", "서울", MID(K704,2,2)="02","경기",MID(K704,2,2)="03","충청",MID(K704,2,2)="04","충청",MID(K704,2,2)="05","전라",MID(K704,2,2)="06","전라",MID(K704,2,2)="07","경북",MID(K704,2,2)="08","경남",MID(K704,2,2)="09","강원",MID(K704,2,2)="10","제주",TRUE,"국외")</f>
        <v>경기</v>
      </c>
    </row>
    <row r="705" spans="1:12" ht="17.25" thickBot="1">
      <c r="A705" s="3" t="s">
        <v>835</v>
      </c>
      <c r="B705" s="3" t="s">
        <v>36</v>
      </c>
      <c r="C705" s="3"/>
      <c r="D705" s="4" t="s">
        <v>254</v>
      </c>
      <c r="E705" s="4" t="s">
        <v>3</v>
      </c>
      <c r="F705" s="4">
        <v>2020</v>
      </c>
      <c r="G705" s="9"/>
      <c r="H705" s="4" t="s">
        <v>3</v>
      </c>
      <c r="I705" s="8">
        <v>-0.7</v>
      </c>
      <c r="J705" s="3">
        <v>14210</v>
      </c>
      <c r="K705" s="3">
        <v>50402</v>
      </c>
      <c r="L705" s="17" t="str" cm="1">
        <f t="array" ref="L705">_xlfn.IFS(MID(K705,2,2)="01", "서울", MID(K705,2,2)="02","경기",MID(K705,2,2)="03","충청",MID(K705,2,2)="04","충청",MID(K705,2,2)="05","전라",MID(K705,2,2)="06","전라",MID(K705,2,2)="07","경북",MID(K705,2,2)="08","경남",MID(K705,2,2)="09","강원",MID(K705,2,2)="10","제주",TRUE,"국외")</f>
        <v>충청</v>
      </c>
    </row>
    <row r="706" spans="1:12" ht="17.25" thickBot="1">
      <c r="A706" s="3" t="s">
        <v>836</v>
      </c>
      <c r="B706" s="3" t="s">
        <v>68</v>
      </c>
      <c r="C706" s="3"/>
      <c r="D706" s="4" t="s">
        <v>254</v>
      </c>
      <c r="E706" s="4" t="s">
        <v>6</v>
      </c>
      <c r="F706" s="4"/>
      <c r="G706" s="9"/>
      <c r="H706" s="4"/>
      <c r="I706" s="9"/>
      <c r="J706" s="3">
        <v>14185</v>
      </c>
      <c r="K706" s="3">
        <v>50101</v>
      </c>
      <c r="L706" s="17" t="str" cm="1">
        <f t="array" ref="L706">_xlfn.IFS(MID(K706,2,2)="01", "서울", MID(K706,2,2)="02","경기",MID(K706,2,2)="03","충청",MID(K706,2,2)="04","충청",MID(K706,2,2)="05","전라",MID(K706,2,2)="06","전라",MID(K706,2,2)="07","경북",MID(K706,2,2)="08","경남",MID(K706,2,2)="09","강원",MID(K706,2,2)="10","제주",TRUE,"국외")</f>
        <v>서울</v>
      </c>
    </row>
    <row r="707" spans="1:12" ht="17.25" thickBot="1">
      <c r="A707" s="3" t="s">
        <v>837</v>
      </c>
      <c r="B707" s="3" t="s">
        <v>275</v>
      </c>
      <c r="C707" s="3"/>
      <c r="D707" s="4" t="s">
        <v>254</v>
      </c>
      <c r="E707" s="4" t="s">
        <v>28</v>
      </c>
      <c r="F707" s="4"/>
      <c r="G707" s="9"/>
      <c r="H707" s="4"/>
      <c r="I707" s="9"/>
      <c r="J707" s="3">
        <v>14190</v>
      </c>
      <c r="K707" s="3">
        <v>51001</v>
      </c>
      <c r="L707" s="17" t="str" cm="1">
        <f t="array" ref="L707">_xlfn.IFS(MID(K707,2,2)="01", "서울", MID(K707,2,2)="02","경기",MID(K707,2,2)="03","충청",MID(K707,2,2)="04","충청",MID(K707,2,2)="05","전라",MID(K707,2,2)="06","전라",MID(K707,2,2)="07","경북",MID(K707,2,2)="08","경남",MID(K707,2,2)="09","강원",MID(K707,2,2)="10","제주",TRUE,"국외")</f>
        <v>제주</v>
      </c>
    </row>
    <row r="708" spans="1:12" ht="17.25" thickBot="1">
      <c r="A708" s="3" t="s">
        <v>838</v>
      </c>
      <c r="B708" s="3" t="s">
        <v>469</v>
      </c>
      <c r="C708" s="3"/>
      <c r="D708" s="4" t="s">
        <v>254</v>
      </c>
      <c r="E708" s="4" t="s">
        <v>20</v>
      </c>
      <c r="F708" s="4">
        <v>2022</v>
      </c>
      <c r="G708" s="9"/>
      <c r="H708" s="4" t="s">
        <v>20</v>
      </c>
      <c r="I708" s="8">
        <v>0.3</v>
      </c>
      <c r="J708" s="3">
        <v>14143</v>
      </c>
      <c r="K708" s="3">
        <v>50205</v>
      </c>
      <c r="L708" s="17" t="str" cm="1">
        <f t="array" ref="L708">_xlfn.IFS(MID(K708,2,2)="01", "서울", MID(K708,2,2)="02","경기",MID(K708,2,2)="03","충청",MID(K708,2,2)="04","충청",MID(K708,2,2)="05","전라",MID(K708,2,2)="06","전라",MID(K708,2,2)="07","경북",MID(K708,2,2)="08","경남",MID(K708,2,2)="09","강원",MID(K708,2,2)="10","제주",TRUE,"국외")</f>
        <v>경기</v>
      </c>
    </row>
    <row r="709" spans="1:12" ht="17.25" thickBot="1">
      <c r="A709" s="3" t="s">
        <v>839</v>
      </c>
      <c r="B709" s="3" t="s">
        <v>169</v>
      </c>
      <c r="C709" s="3" t="s">
        <v>90</v>
      </c>
      <c r="D709" s="4" t="s">
        <v>254</v>
      </c>
      <c r="E709" s="4" t="s">
        <v>12</v>
      </c>
      <c r="F709" s="4">
        <v>2020</v>
      </c>
      <c r="G709" s="9"/>
      <c r="H709" s="4" t="s">
        <v>12</v>
      </c>
      <c r="I709" s="8">
        <v>2.5</v>
      </c>
      <c r="J709" s="3">
        <v>14220</v>
      </c>
      <c r="K709" s="3">
        <v>50606</v>
      </c>
      <c r="L709" s="17" t="str" cm="1">
        <f t="array" ref="L709">_xlfn.IFS(MID(K709,2,2)="01", "서울", MID(K709,2,2)="02","경기",MID(K709,2,2)="03","충청",MID(K709,2,2)="04","충청",MID(K709,2,2)="05","전라",MID(K709,2,2)="06","전라",MID(K709,2,2)="07","경북",MID(K709,2,2)="08","경남",MID(K709,2,2)="09","강원",MID(K709,2,2)="10","제주",TRUE,"국외")</f>
        <v>전라</v>
      </c>
    </row>
    <row r="710" spans="1:12" ht="17.25" thickBot="1">
      <c r="A710" s="3" t="s">
        <v>840</v>
      </c>
      <c r="B710" s="3" t="s">
        <v>241</v>
      </c>
      <c r="C710" s="3" t="s">
        <v>83</v>
      </c>
      <c r="D710" s="4" t="s">
        <v>254</v>
      </c>
      <c r="E710" s="4" t="s">
        <v>607</v>
      </c>
      <c r="F710" s="4"/>
      <c r="G710" s="9"/>
      <c r="H710" s="4"/>
      <c r="I710" s="9"/>
      <c r="J710" s="3">
        <v>14154</v>
      </c>
      <c r="K710" s="3">
        <v>50202</v>
      </c>
      <c r="L710" s="17" t="str" cm="1">
        <f t="array" ref="L710">_xlfn.IFS(MID(K710,2,2)="01", "서울", MID(K710,2,2)="02","경기",MID(K710,2,2)="03","충청",MID(K710,2,2)="04","충청",MID(K710,2,2)="05","전라",MID(K710,2,2)="06","전라",MID(K710,2,2)="07","경북",MID(K710,2,2)="08","경남",MID(K710,2,2)="09","강원",MID(K710,2,2)="10","제주",TRUE,"국외")</f>
        <v>경기</v>
      </c>
    </row>
    <row r="711" spans="1:12" ht="17.25" thickBot="1">
      <c r="A711" s="3" t="s">
        <v>841</v>
      </c>
      <c r="B711" s="3" t="s">
        <v>105</v>
      </c>
      <c r="C711" s="3"/>
      <c r="D711" s="4" t="s">
        <v>254</v>
      </c>
      <c r="E711" s="4" t="s">
        <v>18</v>
      </c>
      <c r="F711" s="4"/>
      <c r="G711" s="9"/>
      <c r="H711" s="4"/>
      <c r="I711" s="9"/>
      <c r="J711" s="3">
        <v>14216</v>
      </c>
      <c r="K711" s="3">
        <v>50212</v>
      </c>
      <c r="L711" s="17" t="str" cm="1">
        <f t="array" ref="L711">_xlfn.IFS(MID(K711,2,2)="01", "서울", MID(K711,2,2)="02","경기",MID(K711,2,2)="03","충청",MID(K711,2,2)="04","충청",MID(K711,2,2)="05","전라",MID(K711,2,2)="06","전라",MID(K711,2,2)="07","경북",MID(K711,2,2)="08","경남",MID(K711,2,2)="09","강원",MID(K711,2,2)="10","제주",TRUE,"국외")</f>
        <v>경기</v>
      </c>
    </row>
    <row r="712" spans="1:12" ht="17.25" thickBot="1">
      <c r="A712" s="3" t="s">
        <v>842</v>
      </c>
      <c r="B712" s="3" t="s">
        <v>8</v>
      </c>
      <c r="C712" s="3"/>
      <c r="D712" s="4" t="s">
        <v>254</v>
      </c>
      <c r="E712" s="4" t="s">
        <v>26</v>
      </c>
      <c r="F712" s="4"/>
      <c r="G712" s="9"/>
      <c r="H712" s="4"/>
      <c r="I712" s="9"/>
      <c r="J712" s="3">
        <v>14652</v>
      </c>
      <c r="K712" s="3">
        <v>50116</v>
      </c>
      <c r="L712" s="17" t="str" cm="1">
        <f t="array" ref="L712">_xlfn.IFS(MID(K712,2,2)="01", "서울", MID(K712,2,2)="02","경기",MID(K712,2,2)="03","충청",MID(K712,2,2)="04","충청",MID(K712,2,2)="05","전라",MID(K712,2,2)="06","전라",MID(K712,2,2)="07","경북",MID(K712,2,2)="08","경남",MID(K712,2,2)="09","강원",MID(K712,2,2)="10","제주",TRUE,"국외")</f>
        <v>서울</v>
      </c>
    </row>
    <row r="713" spans="1:12" ht="17.25" thickBot="1">
      <c r="A713" s="3" t="s">
        <v>369</v>
      </c>
      <c r="B713" s="3" t="s">
        <v>52</v>
      </c>
      <c r="C713" s="3"/>
      <c r="D713" s="4" t="s">
        <v>254</v>
      </c>
      <c r="E713" s="4" t="s">
        <v>9</v>
      </c>
      <c r="F713" s="4">
        <v>2022</v>
      </c>
      <c r="G713" s="9"/>
      <c r="H713" s="4" t="s">
        <v>9</v>
      </c>
      <c r="I713" s="8">
        <v>-0.1</v>
      </c>
      <c r="J713" s="3">
        <v>14168</v>
      </c>
      <c r="K713" s="3">
        <v>50803</v>
      </c>
      <c r="L713" s="17" t="str" cm="1">
        <f t="array" ref="L713">_xlfn.IFS(MID(K713,2,2)="01", "서울", MID(K713,2,2)="02","경기",MID(K713,2,2)="03","충청",MID(K713,2,2)="04","충청",MID(K713,2,2)="05","전라",MID(K713,2,2)="06","전라",MID(K713,2,2)="07","경북",MID(K713,2,2)="08","경남",MID(K713,2,2)="09","강원",MID(K713,2,2)="10","제주",TRUE,"국외")</f>
        <v>경남</v>
      </c>
    </row>
    <row r="714" spans="1:12" ht="17.25" thickBot="1">
      <c r="A714" s="3" t="s">
        <v>843</v>
      </c>
      <c r="B714" s="3" t="s">
        <v>68</v>
      </c>
      <c r="C714" s="3"/>
      <c r="D714" s="4" t="s">
        <v>254</v>
      </c>
      <c r="E714" s="4" t="s">
        <v>23</v>
      </c>
      <c r="F714" s="4">
        <v>2019</v>
      </c>
      <c r="G714" s="8">
        <v>0.1</v>
      </c>
      <c r="H714" s="4" t="s">
        <v>23</v>
      </c>
      <c r="I714" s="8">
        <v>1.9</v>
      </c>
      <c r="J714" s="3">
        <v>14122</v>
      </c>
      <c r="K714" s="3">
        <v>50101</v>
      </c>
      <c r="L714" s="17" t="str" cm="1">
        <f t="array" ref="L714">_xlfn.IFS(MID(K714,2,2)="01", "서울", MID(K714,2,2)="02","경기",MID(K714,2,2)="03","충청",MID(K714,2,2)="04","충청",MID(K714,2,2)="05","전라",MID(K714,2,2)="06","전라",MID(K714,2,2)="07","경북",MID(K714,2,2)="08","경남",MID(K714,2,2)="09","강원",MID(K714,2,2)="10","제주",TRUE,"국외")</f>
        <v>서울</v>
      </c>
    </row>
    <row r="715" spans="1:12" ht="17.25" thickBot="1">
      <c r="A715" s="3" t="s">
        <v>844</v>
      </c>
      <c r="B715" s="3" t="s">
        <v>68</v>
      </c>
      <c r="C715" s="3"/>
      <c r="D715" s="4" t="s">
        <v>254</v>
      </c>
      <c r="E715" s="4" t="s">
        <v>3</v>
      </c>
      <c r="F715" s="4">
        <v>2020</v>
      </c>
      <c r="G715" s="9"/>
      <c r="H715" s="4" t="s">
        <v>3</v>
      </c>
      <c r="I715" s="8">
        <v>-0.8</v>
      </c>
      <c r="J715" s="3">
        <v>14204</v>
      </c>
      <c r="K715" s="3">
        <v>50101</v>
      </c>
      <c r="L715" s="17" t="str" cm="1">
        <f t="array" ref="L715">_xlfn.IFS(MID(K715,2,2)="01", "서울", MID(K715,2,2)="02","경기",MID(K715,2,2)="03","충청",MID(K715,2,2)="04","충청",MID(K715,2,2)="05","전라",MID(K715,2,2)="06","전라",MID(K715,2,2)="07","경북",MID(K715,2,2)="08","경남",MID(K715,2,2)="09","강원",MID(K715,2,2)="10","제주",TRUE,"국외")</f>
        <v>서울</v>
      </c>
    </row>
    <row r="716" spans="1:12" ht="17.25" thickBot="1">
      <c r="A716" s="3" t="s">
        <v>845</v>
      </c>
      <c r="B716" s="3" t="s">
        <v>25</v>
      </c>
      <c r="C716" s="3" t="s">
        <v>136</v>
      </c>
      <c r="D716" s="4" t="s">
        <v>254</v>
      </c>
      <c r="E716" s="4" t="s">
        <v>6</v>
      </c>
      <c r="F716" s="4"/>
      <c r="G716" s="9"/>
      <c r="H716" s="4"/>
      <c r="I716" s="9"/>
      <c r="J716" s="3">
        <v>14186</v>
      </c>
      <c r="K716" s="3">
        <v>50403</v>
      </c>
      <c r="L716" s="17" t="str" cm="1">
        <f t="array" ref="L716">_xlfn.IFS(MID(K716,2,2)="01", "서울", MID(K716,2,2)="02","경기",MID(K716,2,2)="03","충청",MID(K716,2,2)="04","충청",MID(K716,2,2)="05","전라",MID(K716,2,2)="06","전라",MID(K716,2,2)="07","경북",MID(K716,2,2)="08","경남",MID(K716,2,2)="09","강원",MID(K716,2,2)="10","제주",TRUE,"국외")</f>
        <v>충청</v>
      </c>
    </row>
    <row r="717" spans="1:12" ht="17.25" thickBot="1">
      <c r="A717" s="3" t="s">
        <v>846</v>
      </c>
      <c r="B717" s="3" t="s">
        <v>96</v>
      </c>
      <c r="C717" s="3"/>
      <c r="D717" s="4" t="s">
        <v>254</v>
      </c>
      <c r="E717" s="4" t="s">
        <v>28</v>
      </c>
      <c r="F717" s="4"/>
      <c r="G717" s="9"/>
      <c r="H717" s="4"/>
      <c r="I717" s="9"/>
      <c r="J717" s="3">
        <v>14192</v>
      </c>
      <c r="K717" s="3">
        <v>50601</v>
      </c>
      <c r="L717" s="17" t="str" cm="1">
        <f t="array" ref="L717">_xlfn.IFS(MID(K717,2,2)="01", "서울", MID(K717,2,2)="02","경기",MID(K717,2,2)="03","충청",MID(K717,2,2)="04","충청",MID(K717,2,2)="05","전라",MID(K717,2,2)="06","전라",MID(K717,2,2)="07","경북",MID(K717,2,2)="08","경남",MID(K717,2,2)="09","강원",MID(K717,2,2)="10","제주",TRUE,"국외")</f>
        <v>전라</v>
      </c>
    </row>
    <row r="718" spans="1:12" ht="17.25" thickBot="1">
      <c r="A718" s="3" t="s">
        <v>847</v>
      </c>
      <c r="B718" s="3" t="s">
        <v>848</v>
      </c>
      <c r="C718" s="3"/>
      <c r="D718" s="4" t="s">
        <v>254</v>
      </c>
      <c r="E718" s="4" t="s">
        <v>20</v>
      </c>
      <c r="F718" s="4">
        <v>2019</v>
      </c>
      <c r="G718" s="8">
        <v>0.1</v>
      </c>
      <c r="H718" s="4" t="s">
        <v>20</v>
      </c>
      <c r="I718" s="8">
        <v>0.1</v>
      </c>
      <c r="J718" s="3">
        <v>14144</v>
      </c>
      <c r="K718" s="3">
        <v>50214</v>
      </c>
      <c r="L718" s="17" t="str" cm="1">
        <f t="array" ref="L718">_xlfn.IFS(MID(K718,2,2)="01", "서울", MID(K718,2,2)="02","경기",MID(K718,2,2)="03","충청",MID(K718,2,2)="04","충청",MID(K718,2,2)="05","전라",MID(K718,2,2)="06","전라",MID(K718,2,2)="07","경북",MID(K718,2,2)="08","경남",MID(K718,2,2)="09","강원",MID(K718,2,2)="10","제주",TRUE,"국외")</f>
        <v>경기</v>
      </c>
    </row>
    <row r="719" spans="1:12" ht="17.25" thickBot="1">
      <c r="A719" s="3" t="s">
        <v>849</v>
      </c>
      <c r="B719" s="3" t="s">
        <v>63</v>
      </c>
      <c r="C719" s="3"/>
      <c r="D719" s="4" t="s">
        <v>254</v>
      </c>
      <c r="E719" s="4" t="s">
        <v>12</v>
      </c>
      <c r="F719" s="4">
        <v>2021</v>
      </c>
      <c r="G719" s="9"/>
      <c r="H719" s="4" t="s">
        <v>12</v>
      </c>
      <c r="I719" s="8">
        <v>0.1</v>
      </c>
      <c r="J719" s="3">
        <v>14649</v>
      </c>
      <c r="K719" s="3">
        <v>50807</v>
      </c>
      <c r="L719" s="17" t="str" cm="1">
        <f t="array" ref="L719">_xlfn.IFS(MID(K719,2,2)="01", "서울", MID(K719,2,2)="02","경기",MID(K719,2,2)="03","충청",MID(K719,2,2)="04","충청",MID(K719,2,2)="05","전라",MID(K719,2,2)="06","전라",MID(K719,2,2)="07","경북",MID(K719,2,2)="08","경남",MID(K719,2,2)="09","강원",MID(K719,2,2)="10","제주",TRUE,"국외")</f>
        <v>경남</v>
      </c>
    </row>
    <row r="720" spans="1:12" ht="17.25" thickBot="1">
      <c r="A720" s="3" t="s">
        <v>850</v>
      </c>
      <c r="B720" s="3" t="s">
        <v>11</v>
      </c>
      <c r="C720" s="3" t="s">
        <v>174</v>
      </c>
      <c r="D720" s="4" t="s">
        <v>254</v>
      </c>
      <c r="E720" s="4" t="s">
        <v>18</v>
      </c>
      <c r="F720" s="4">
        <v>2019</v>
      </c>
      <c r="G720" s="8">
        <v>0</v>
      </c>
      <c r="H720" s="4" t="s">
        <v>18</v>
      </c>
      <c r="I720" s="8">
        <v>-0.8</v>
      </c>
      <c r="J720" s="3">
        <v>14214</v>
      </c>
      <c r="K720" s="3">
        <v>50802</v>
      </c>
      <c r="L720" s="17" t="str" cm="1">
        <f t="array" ref="L720">_xlfn.IFS(MID(K720,2,2)="01", "서울", MID(K720,2,2)="02","경기",MID(K720,2,2)="03","충청",MID(K720,2,2)="04","충청",MID(K720,2,2)="05","전라",MID(K720,2,2)="06","전라",MID(K720,2,2)="07","경북",MID(K720,2,2)="08","경남",MID(K720,2,2)="09","강원",MID(K720,2,2)="10","제주",TRUE,"국외")</f>
        <v>경남</v>
      </c>
    </row>
    <row r="721" spans="1:12" ht="17.25" thickBot="1">
      <c r="A721" s="3" t="s">
        <v>851</v>
      </c>
      <c r="B721" s="3" t="s">
        <v>158</v>
      </c>
      <c r="C721" s="3"/>
      <c r="D721" s="4" t="s">
        <v>254</v>
      </c>
      <c r="E721" s="4" t="s">
        <v>26</v>
      </c>
      <c r="F721" s="4"/>
      <c r="G721" s="9"/>
      <c r="H721" s="4"/>
      <c r="I721" s="9"/>
      <c r="J721" s="3">
        <v>14653</v>
      </c>
      <c r="K721" s="3">
        <v>50501</v>
      </c>
      <c r="L721" s="17" t="str" cm="1">
        <f t="array" ref="L721">_xlfn.IFS(MID(K721,2,2)="01", "서울", MID(K721,2,2)="02","경기",MID(K721,2,2)="03","충청",MID(K721,2,2)="04","충청",MID(K721,2,2)="05","전라",MID(K721,2,2)="06","전라",MID(K721,2,2)="07","경북",MID(K721,2,2)="08","경남",MID(K721,2,2)="09","강원",MID(K721,2,2)="10","제주",TRUE,"국외")</f>
        <v>전라</v>
      </c>
    </row>
    <row r="722" spans="1:12" ht="17.25" thickBot="1">
      <c r="A722" s="3" t="s">
        <v>852</v>
      </c>
      <c r="B722" s="3" t="s">
        <v>52</v>
      </c>
      <c r="C722" s="3" t="s">
        <v>90</v>
      </c>
      <c r="D722" s="4" t="s">
        <v>254</v>
      </c>
      <c r="E722" s="4" t="s">
        <v>9</v>
      </c>
      <c r="F722" s="4">
        <v>2019</v>
      </c>
      <c r="G722" s="8">
        <v>-0.4</v>
      </c>
      <c r="H722" s="4" t="s">
        <v>9</v>
      </c>
      <c r="I722" s="8">
        <v>-0.5</v>
      </c>
      <c r="J722" s="3">
        <v>14169</v>
      </c>
      <c r="K722" s="3">
        <v>50803</v>
      </c>
      <c r="L722" s="17" t="str" cm="1">
        <f t="array" ref="L722">_xlfn.IFS(MID(K722,2,2)="01", "서울", MID(K722,2,2)="02","경기",MID(K722,2,2)="03","충청",MID(K722,2,2)="04","충청",MID(K722,2,2)="05","전라",MID(K722,2,2)="06","전라",MID(K722,2,2)="07","경북",MID(K722,2,2)="08","경남",MID(K722,2,2)="09","강원",MID(K722,2,2)="10","제주",TRUE,"국외")</f>
        <v>경남</v>
      </c>
    </row>
    <row r="723" spans="1:12" ht="17.25" thickBot="1">
      <c r="A723" s="3" t="s">
        <v>734</v>
      </c>
      <c r="B723" s="3" t="s">
        <v>32</v>
      </c>
      <c r="C723" s="3"/>
      <c r="D723" s="4" t="s">
        <v>254</v>
      </c>
      <c r="E723" s="4" t="s">
        <v>23</v>
      </c>
      <c r="F723" s="4"/>
      <c r="G723" s="9"/>
      <c r="H723" s="4"/>
      <c r="I723" s="9"/>
      <c r="J723" s="3">
        <v>14123</v>
      </c>
      <c r="K723" s="3">
        <v>50111</v>
      </c>
      <c r="L723" s="17" t="str" cm="1">
        <f t="array" ref="L723">_xlfn.IFS(MID(K723,2,2)="01", "서울", MID(K723,2,2)="02","경기",MID(K723,2,2)="03","충청",MID(K723,2,2)="04","충청",MID(K723,2,2)="05","전라",MID(K723,2,2)="06","전라",MID(K723,2,2)="07","경북",MID(K723,2,2)="08","경남",MID(K723,2,2)="09","강원",MID(K723,2,2)="10","제주",TRUE,"국외")</f>
        <v>서울</v>
      </c>
    </row>
    <row r="724" spans="1:12" ht="17.25" thickBot="1">
      <c r="A724" s="3" t="s">
        <v>853</v>
      </c>
      <c r="B724" s="3" t="s">
        <v>1</v>
      </c>
      <c r="C724" s="3" t="s">
        <v>83</v>
      </c>
      <c r="D724" s="4" t="s">
        <v>254</v>
      </c>
      <c r="E724" s="4" t="s">
        <v>3</v>
      </c>
      <c r="F724" s="4">
        <v>2019</v>
      </c>
      <c r="G724" s="8">
        <v>0.1</v>
      </c>
      <c r="H724" s="4" t="s">
        <v>3</v>
      </c>
      <c r="I724" s="8">
        <v>0.1</v>
      </c>
      <c r="J724" s="3">
        <v>14129</v>
      </c>
      <c r="K724" s="3">
        <v>50107</v>
      </c>
      <c r="L724" s="17" t="str" cm="1">
        <f t="array" ref="L724">_xlfn.IFS(MID(K724,2,2)="01", "서울", MID(K724,2,2)="02","경기",MID(K724,2,2)="03","충청",MID(K724,2,2)="04","충청",MID(K724,2,2)="05","전라",MID(K724,2,2)="06","전라",MID(K724,2,2)="07","경북",MID(K724,2,2)="08","경남",MID(K724,2,2)="09","강원",MID(K724,2,2)="10","제주",TRUE,"국외")</f>
        <v>서울</v>
      </c>
    </row>
    <row r="725" spans="1:12" ht="17.25" thickBot="1">
      <c r="A725" s="3" t="s">
        <v>854</v>
      </c>
      <c r="B725" s="3"/>
      <c r="C725" s="3" t="s">
        <v>855</v>
      </c>
      <c r="D725" s="4" t="s">
        <v>181</v>
      </c>
      <c r="E725" s="4" t="s">
        <v>6</v>
      </c>
      <c r="F725" s="4">
        <v>2019</v>
      </c>
      <c r="G725" s="8">
        <v>1.9</v>
      </c>
      <c r="H725" s="4" t="s">
        <v>6</v>
      </c>
      <c r="I725" s="8">
        <v>5.8</v>
      </c>
      <c r="J725" s="3">
        <v>14224</v>
      </c>
      <c r="K725" s="3"/>
      <c r="L725" s="17" t="str" cm="1">
        <f t="array" ref="L725">_xlfn.IFS(MID(K725,2,2)="01", "서울", MID(K725,2,2)="02","경기",MID(K725,2,2)="03","충청",MID(K725,2,2)="04","충청",MID(K725,2,2)="05","전라",MID(K725,2,2)="06","전라",MID(K725,2,2)="07","경북",MID(K725,2,2)="08","경남",MID(K725,2,2)="09","강원",MID(K725,2,2)="10","제주",TRUE,"국외")</f>
        <v>국외</v>
      </c>
    </row>
    <row r="726" spans="1:12" ht="17.25" thickBot="1">
      <c r="A726" s="3" t="s">
        <v>856</v>
      </c>
      <c r="B726" s="3"/>
      <c r="C726" s="3"/>
      <c r="D726" s="4" t="s">
        <v>181</v>
      </c>
      <c r="E726" s="4" t="s">
        <v>6</v>
      </c>
      <c r="F726" s="4">
        <v>2019</v>
      </c>
      <c r="G726" s="8">
        <v>3</v>
      </c>
      <c r="H726" s="4" t="s">
        <v>6</v>
      </c>
      <c r="I726" s="8">
        <v>3</v>
      </c>
      <c r="J726" s="3">
        <v>13924</v>
      </c>
      <c r="K726" s="3"/>
      <c r="L726" s="17" t="str" cm="1">
        <f t="array" ref="L726">_xlfn.IFS(MID(K726,2,2)="01", "서울", MID(K726,2,2)="02","경기",MID(K726,2,2)="03","충청",MID(K726,2,2)="04","충청",MID(K726,2,2)="05","전라",MID(K726,2,2)="06","전라",MID(K726,2,2)="07","경북",MID(K726,2,2)="08","경남",MID(K726,2,2)="09","강원",MID(K726,2,2)="10","제주",TRUE,"국외")</f>
        <v>국외</v>
      </c>
    </row>
    <row r="727" spans="1:12" ht="17.25" thickBot="1">
      <c r="A727" s="3" t="s">
        <v>857</v>
      </c>
      <c r="B727" s="3"/>
      <c r="C727" s="3"/>
      <c r="D727" s="4" t="s">
        <v>181</v>
      </c>
      <c r="E727" s="4" t="s">
        <v>6</v>
      </c>
      <c r="F727" s="4">
        <v>2019</v>
      </c>
      <c r="G727" s="8">
        <v>0</v>
      </c>
      <c r="H727" s="4" t="s">
        <v>6</v>
      </c>
      <c r="I727" s="8">
        <v>0</v>
      </c>
      <c r="J727" s="3">
        <v>13926</v>
      </c>
      <c r="K727" s="3"/>
      <c r="L727" s="17" t="str" cm="1">
        <f t="array" ref="L727">_xlfn.IFS(MID(K727,2,2)="01", "서울", MID(K727,2,2)="02","경기",MID(K727,2,2)="03","충청",MID(K727,2,2)="04","충청",MID(K727,2,2)="05","전라",MID(K727,2,2)="06","전라",MID(K727,2,2)="07","경북",MID(K727,2,2)="08","경남",MID(K727,2,2)="09","강원",MID(K727,2,2)="10","제주",TRUE,"국외")</f>
        <v>국외</v>
      </c>
    </row>
    <row r="728" spans="1:12" ht="17.25" thickBot="1">
      <c r="A728" s="3" t="s">
        <v>858</v>
      </c>
      <c r="B728" s="3"/>
      <c r="C728" s="3"/>
      <c r="D728" s="4" t="s">
        <v>181</v>
      </c>
      <c r="E728" s="4" t="s">
        <v>6</v>
      </c>
      <c r="F728" s="4">
        <v>2019</v>
      </c>
      <c r="G728" s="8">
        <v>0.7</v>
      </c>
      <c r="H728" s="4" t="s">
        <v>6</v>
      </c>
      <c r="I728" s="8">
        <v>0.7</v>
      </c>
      <c r="J728" s="3">
        <v>13925</v>
      </c>
      <c r="K728" s="3"/>
      <c r="L728" s="17" t="str" cm="1">
        <f t="array" ref="L728">_xlfn.IFS(MID(K728,2,2)="01", "서울", MID(K728,2,2)="02","경기",MID(K728,2,2)="03","충청",MID(K728,2,2)="04","충청",MID(K728,2,2)="05","전라",MID(K728,2,2)="06","전라",MID(K728,2,2)="07","경북",MID(K728,2,2)="08","경남",MID(K728,2,2)="09","강원",MID(K728,2,2)="10","제주",TRUE,"국외")</f>
        <v>국외</v>
      </c>
    </row>
    <row r="729" spans="1:12" ht="17.25" thickBot="1">
      <c r="A729" s="3" t="s">
        <v>859</v>
      </c>
      <c r="B729" s="3"/>
      <c r="C729" s="3" t="s">
        <v>860</v>
      </c>
      <c r="D729" s="4" t="s">
        <v>181</v>
      </c>
      <c r="E729" s="4" t="s">
        <v>28</v>
      </c>
      <c r="F729" s="4">
        <v>2019</v>
      </c>
      <c r="G729" s="8">
        <v>3.3</v>
      </c>
      <c r="H729" s="4" t="s">
        <v>28</v>
      </c>
      <c r="I729" s="8">
        <v>14.3</v>
      </c>
      <c r="J729" s="3">
        <v>13942</v>
      </c>
      <c r="K729" s="3"/>
      <c r="L729" s="17" t="str" cm="1">
        <f t="array" ref="L729">_xlfn.IFS(MID(K729,2,2)="01", "서울", MID(K729,2,2)="02","경기",MID(K729,2,2)="03","충청",MID(K729,2,2)="04","충청",MID(K729,2,2)="05","전라",MID(K729,2,2)="06","전라",MID(K729,2,2)="07","경북",MID(K729,2,2)="08","경남",MID(K729,2,2)="09","강원",MID(K729,2,2)="10","제주",TRUE,"국외")</f>
        <v>국외</v>
      </c>
    </row>
    <row r="730" spans="1:12" ht="17.25" thickBot="1">
      <c r="A730" s="3" t="s">
        <v>861</v>
      </c>
      <c r="B730" s="3"/>
      <c r="C730" s="3"/>
      <c r="D730" s="4" t="s">
        <v>181</v>
      </c>
      <c r="E730" s="4" t="s">
        <v>28</v>
      </c>
      <c r="F730" s="4">
        <v>2019</v>
      </c>
      <c r="G730" s="8">
        <v>3</v>
      </c>
      <c r="H730" s="4" t="s">
        <v>26</v>
      </c>
      <c r="I730" s="8">
        <v>17.7</v>
      </c>
      <c r="J730" s="3">
        <v>13941</v>
      </c>
      <c r="K730" s="3"/>
      <c r="L730" s="17" t="str" cm="1">
        <f t="array" ref="L730">_xlfn.IFS(MID(K730,2,2)="01", "서울", MID(K730,2,2)="02","경기",MID(K730,2,2)="03","충청",MID(K730,2,2)="04","충청",MID(K730,2,2)="05","전라",MID(K730,2,2)="06","전라",MID(K730,2,2)="07","경북",MID(K730,2,2)="08","경남",MID(K730,2,2)="09","강원",MID(K730,2,2)="10","제주",TRUE,"국외")</f>
        <v>국외</v>
      </c>
    </row>
    <row r="731" spans="1:12" ht="17.25" thickBot="1">
      <c r="A731" s="3" t="s">
        <v>862</v>
      </c>
      <c r="B731" s="3" t="s">
        <v>863</v>
      </c>
      <c r="C731" s="3"/>
      <c r="D731" s="4" t="s">
        <v>181</v>
      </c>
      <c r="E731" s="4" t="s">
        <v>20</v>
      </c>
      <c r="F731" s="4">
        <v>2019</v>
      </c>
      <c r="G731" s="8">
        <v>4</v>
      </c>
      <c r="H731" s="4" t="s">
        <v>20</v>
      </c>
      <c r="I731" s="8">
        <v>23.9</v>
      </c>
      <c r="J731" s="3">
        <v>13934</v>
      </c>
      <c r="K731" s="3">
        <v>51111</v>
      </c>
      <c r="L731" s="17" t="str" cm="1">
        <f t="array" ref="L731">_xlfn.IFS(MID(K731,2,2)="01", "서울", MID(K731,2,2)="02","경기",MID(K731,2,2)="03","충청",MID(K731,2,2)="04","충청",MID(K731,2,2)="05","전라",MID(K731,2,2)="06","전라",MID(K731,2,2)="07","경북",MID(K731,2,2)="08","경남",MID(K731,2,2)="09","강원",MID(K731,2,2)="10","제주",TRUE,"국외")</f>
        <v>국외</v>
      </c>
    </row>
    <row r="732" spans="1:12" ht="17.25" thickBot="1">
      <c r="A732" s="3" t="s">
        <v>864</v>
      </c>
      <c r="B732" s="3"/>
      <c r="C732" s="3"/>
      <c r="D732" s="4" t="s">
        <v>181</v>
      </c>
      <c r="E732" s="4" t="s">
        <v>20</v>
      </c>
      <c r="F732" s="4">
        <v>2019</v>
      </c>
      <c r="G732" s="8">
        <v>1.4</v>
      </c>
      <c r="H732" s="4" t="s">
        <v>20</v>
      </c>
      <c r="I732" s="8">
        <v>1.4</v>
      </c>
      <c r="J732" s="3">
        <v>14228</v>
      </c>
      <c r="K732" s="3"/>
      <c r="L732" s="17" t="str" cm="1">
        <f t="array" ref="L732">_xlfn.IFS(MID(K732,2,2)="01", "서울", MID(K732,2,2)="02","경기",MID(K732,2,2)="03","충청",MID(K732,2,2)="04","충청",MID(K732,2,2)="05","전라",MID(K732,2,2)="06","전라",MID(K732,2,2)="07","경북",MID(K732,2,2)="08","경남",MID(K732,2,2)="09","강원",MID(K732,2,2)="10","제주",TRUE,"국외")</f>
        <v>국외</v>
      </c>
    </row>
    <row r="733" spans="1:12" ht="17.25" thickBot="1">
      <c r="A733" s="3" t="s">
        <v>865</v>
      </c>
      <c r="B733" s="3"/>
      <c r="C733" s="3"/>
      <c r="D733" s="4" t="s">
        <v>181</v>
      </c>
      <c r="E733" s="4" t="s">
        <v>20</v>
      </c>
      <c r="F733" s="4">
        <v>2019</v>
      </c>
      <c r="G733" s="8">
        <v>1.8</v>
      </c>
      <c r="H733" s="4" t="s">
        <v>20</v>
      </c>
      <c r="I733" s="8">
        <v>1.8</v>
      </c>
      <c r="J733" s="3">
        <v>13935</v>
      </c>
      <c r="K733" s="3"/>
      <c r="L733" s="17" t="str" cm="1">
        <f t="array" ref="L733">_xlfn.IFS(MID(K733,2,2)="01", "서울", MID(K733,2,2)="02","경기",MID(K733,2,2)="03","충청",MID(K733,2,2)="04","충청",MID(K733,2,2)="05","전라",MID(K733,2,2)="06","전라",MID(K733,2,2)="07","경북",MID(K733,2,2)="08","경남",MID(K733,2,2)="09","강원",MID(K733,2,2)="10","제주",TRUE,"국외")</f>
        <v>국외</v>
      </c>
    </row>
    <row r="734" spans="1:12" ht="17.25" thickBot="1">
      <c r="A734" s="3" t="s">
        <v>866</v>
      </c>
      <c r="B734" s="3" t="s">
        <v>867</v>
      </c>
      <c r="C734" s="3" t="s">
        <v>868</v>
      </c>
      <c r="D734" s="4" t="s">
        <v>181</v>
      </c>
      <c r="E734" s="4" t="s">
        <v>12</v>
      </c>
      <c r="F734" s="4">
        <v>2019</v>
      </c>
      <c r="G734" s="8">
        <v>5.5</v>
      </c>
      <c r="H734" s="4" t="s">
        <v>12</v>
      </c>
      <c r="I734" s="8">
        <v>23.9</v>
      </c>
      <c r="J734" s="3">
        <v>13932</v>
      </c>
      <c r="K734" s="3">
        <v>51105</v>
      </c>
      <c r="L734" s="17" t="str" cm="1">
        <f t="array" ref="L734">_xlfn.IFS(MID(K734,2,2)="01", "서울", MID(K734,2,2)="02","경기",MID(K734,2,2)="03","충청",MID(K734,2,2)="04","충청",MID(K734,2,2)="05","전라",MID(K734,2,2)="06","전라",MID(K734,2,2)="07","경북",MID(K734,2,2)="08","경남",MID(K734,2,2)="09","강원",MID(K734,2,2)="10","제주",TRUE,"국외")</f>
        <v>국외</v>
      </c>
    </row>
    <row r="735" spans="1:12" ht="17.25" thickBot="1">
      <c r="A735" s="3" t="s">
        <v>869</v>
      </c>
      <c r="B735" s="3"/>
      <c r="C735" s="3"/>
      <c r="D735" s="4" t="s">
        <v>181</v>
      </c>
      <c r="E735" s="4" t="s">
        <v>12</v>
      </c>
      <c r="F735" s="4">
        <v>2019</v>
      </c>
      <c r="G735" s="8">
        <v>-0.6</v>
      </c>
      <c r="H735" s="4" t="s">
        <v>12</v>
      </c>
      <c r="I735" s="8">
        <v>-0.6</v>
      </c>
      <c r="J735" s="3">
        <v>13930</v>
      </c>
      <c r="K735" s="3"/>
      <c r="L735" s="17" t="str" cm="1">
        <f t="array" ref="L735">_xlfn.IFS(MID(K735,2,2)="01", "서울", MID(K735,2,2)="02","경기",MID(K735,2,2)="03","충청",MID(K735,2,2)="04","충청",MID(K735,2,2)="05","전라",MID(K735,2,2)="06","전라",MID(K735,2,2)="07","경북",MID(K735,2,2)="08","경남",MID(K735,2,2)="09","강원",MID(K735,2,2)="10","제주",TRUE,"국외")</f>
        <v>국외</v>
      </c>
    </row>
    <row r="736" spans="1:12" ht="17.25" thickBot="1">
      <c r="A736" s="3" t="s">
        <v>870</v>
      </c>
      <c r="B736" s="3"/>
      <c r="C736" s="3"/>
      <c r="D736" s="4" t="s">
        <v>181</v>
      </c>
      <c r="E736" s="4" t="s">
        <v>12</v>
      </c>
      <c r="F736" s="4">
        <v>2019</v>
      </c>
      <c r="G736" s="8">
        <v>0.8</v>
      </c>
      <c r="H736" s="4" t="s">
        <v>12</v>
      </c>
      <c r="I736" s="8">
        <v>0.8</v>
      </c>
      <c r="J736" s="3">
        <v>13931</v>
      </c>
      <c r="K736" s="3"/>
      <c r="L736" s="17" t="str" cm="1">
        <f t="array" ref="L736">_xlfn.IFS(MID(K736,2,2)="01", "서울", MID(K736,2,2)="02","경기",MID(K736,2,2)="03","충청",MID(K736,2,2)="04","충청",MID(K736,2,2)="05","전라",MID(K736,2,2)="06","전라",MID(K736,2,2)="07","경북",MID(K736,2,2)="08","경남",MID(K736,2,2)="09","강원",MID(K736,2,2)="10","제주",TRUE,"국외")</f>
        <v>국외</v>
      </c>
    </row>
    <row r="737" spans="1:12" ht="17.25" thickBot="1">
      <c r="A737" s="3" t="s">
        <v>871</v>
      </c>
      <c r="B737" s="3"/>
      <c r="C737" s="3"/>
      <c r="D737" s="4" t="s">
        <v>181</v>
      </c>
      <c r="E737" s="4" t="s">
        <v>12</v>
      </c>
      <c r="F737" s="4">
        <v>2019</v>
      </c>
      <c r="G737" s="8">
        <v>0.6</v>
      </c>
      <c r="H737" s="4" t="s">
        <v>12</v>
      </c>
      <c r="I737" s="8">
        <v>0.6</v>
      </c>
      <c r="J737" s="3">
        <v>14226</v>
      </c>
      <c r="K737" s="3"/>
      <c r="L737" s="17" t="str" cm="1">
        <f t="array" ref="L737">_xlfn.IFS(MID(K737,2,2)="01", "서울", MID(K737,2,2)="02","경기",MID(K737,2,2)="03","충청",MID(K737,2,2)="04","충청",MID(K737,2,2)="05","전라",MID(K737,2,2)="06","전라",MID(K737,2,2)="07","경북",MID(K737,2,2)="08","경남",MID(K737,2,2)="09","강원",MID(K737,2,2)="10","제주",TRUE,"국외")</f>
        <v>국외</v>
      </c>
    </row>
    <row r="738" spans="1:12" ht="17.25" thickBot="1">
      <c r="A738" s="3" t="s">
        <v>872</v>
      </c>
      <c r="B738" s="3"/>
      <c r="C738" s="3"/>
      <c r="D738" s="4" t="s">
        <v>181</v>
      </c>
      <c r="E738" s="4" t="s">
        <v>12</v>
      </c>
      <c r="F738" s="4">
        <v>2019</v>
      </c>
      <c r="G738" s="8">
        <v>2.8</v>
      </c>
      <c r="H738" s="4" t="s">
        <v>12</v>
      </c>
      <c r="I738" s="8">
        <v>2.8</v>
      </c>
      <c r="J738" s="3">
        <v>14227</v>
      </c>
      <c r="K738" s="3"/>
      <c r="L738" s="17" t="str" cm="1">
        <f t="array" ref="L738">_xlfn.IFS(MID(K738,2,2)="01", "서울", MID(K738,2,2)="02","경기",MID(K738,2,2)="03","충청",MID(K738,2,2)="04","충청",MID(K738,2,2)="05","전라",MID(K738,2,2)="06","전라",MID(K738,2,2)="07","경북",MID(K738,2,2)="08","경남",MID(K738,2,2)="09","강원",MID(K738,2,2)="10","제주",TRUE,"국외")</f>
        <v>국외</v>
      </c>
    </row>
    <row r="739" spans="1:12" ht="17.25" thickBot="1">
      <c r="A739" s="3" t="s">
        <v>873</v>
      </c>
      <c r="B739" s="3"/>
      <c r="C739" s="3"/>
      <c r="D739" s="4" t="s">
        <v>181</v>
      </c>
      <c r="E739" s="4" t="s">
        <v>607</v>
      </c>
      <c r="F739" s="4">
        <v>2019</v>
      </c>
      <c r="G739" s="8">
        <v>3.2</v>
      </c>
      <c r="H739" s="4" t="s">
        <v>9</v>
      </c>
      <c r="I739" s="8">
        <v>3.2</v>
      </c>
      <c r="J739" s="3">
        <v>13933</v>
      </c>
      <c r="K739" s="3"/>
      <c r="L739" s="17" t="str" cm="1">
        <f t="array" ref="L739">_xlfn.IFS(MID(K739,2,2)="01", "서울", MID(K739,2,2)="02","경기",MID(K739,2,2)="03","충청",MID(K739,2,2)="04","충청",MID(K739,2,2)="05","전라",MID(K739,2,2)="06","전라",MID(K739,2,2)="07","경북",MID(K739,2,2)="08","경남",MID(K739,2,2)="09","강원",MID(K739,2,2)="10","제주",TRUE,"국외")</f>
        <v>국외</v>
      </c>
    </row>
    <row r="740" spans="1:12" ht="17.25" thickBot="1">
      <c r="A740" s="3" t="s">
        <v>874</v>
      </c>
      <c r="B740" s="3"/>
      <c r="C740" s="3" t="s">
        <v>875</v>
      </c>
      <c r="D740" s="4" t="s">
        <v>181</v>
      </c>
      <c r="E740" s="4" t="s">
        <v>18</v>
      </c>
      <c r="F740" s="4">
        <v>2019</v>
      </c>
      <c r="G740" s="8">
        <v>5.0999999999999996</v>
      </c>
      <c r="H740" s="4" t="s">
        <v>18</v>
      </c>
      <c r="I740" s="8">
        <v>24</v>
      </c>
      <c r="J740" s="3">
        <v>13940</v>
      </c>
      <c r="K740" s="3"/>
      <c r="L740" s="17" t="str" cm="1">
        <f t="array" ref="L740">_xlfn.IFS(MID(K740,2,2)="01", "서울", MID(K740,2,2)="02","경기",MID(K740,2,2)="03","충청",MID(K740,2,2)="04","충청",MID(K740,2,2)="05","전라",MID(K740,2,2)="06","전라",MID(K740,2,2)="07","경북",MID(K740,2,2)="08","경남",MID(K740,2,2)="09","강원",MID(K740,2,2)="10","제주",TRUE,"국외")</f>
        <v>국외</v>
      </c>
    </row>
    <row r="741" spans="1:12" ht="17.25" thickBot="1">
      <c r="A741" s="3" t="s">
        <v>876</v>
      </c>
      <c r="B741" s="3"/>
      <c r="C741" s="3"/>
      <c r="D741" s="4" t="s">
        <v>181</v>
      </c>
      <c r="E741" s="4" t="s">
        <v>26</v>
      </c>
      <c r="F741" s="4">
        <v>2019</v>
      </c>
      <c r="G741" s="8">
        <v>5.7</v>
      </c>
      <c r="H741" s="4" t="s">
        <v>26</v>
      </c>
      <c r="I741" s="8">
        <v>14.3</v>
      </c>
      <c r="J741" s="3">
        <v>13927</v>
      </c>
      <c r="K741" s="3"/>
      <c r="L741" s="17" t="str" cm="1">
        <f t="array" ref="L741">_xlfn.IFS(MID(K741,2,2)="01", "서울", MID(K741,2,2)="02","경기",MID(K741,2,2)="03","충청",MID(K741,2,2)="04","충청",MID(K741,2,2)="05","전라",MID(K741,2,2)="06","전라",MID(K741,2,2)="07","경북",MID(K741,2,2)="08","경남",MID(K741,2,2)="09","강원",MID(K741,2,2)="10","제주",TRUE,"국외")</f>
        <v>국외</v>
      </c>
    </row>
    <row r="742" spans="1:12" ht="17.25" thickBot="1">
      <c r="A742" s="3" t="s">
        <v>877</v>
      </c>
      <c r="B742" s="3"/>
      <c r="C742" s="3"/>
      <c r="D742" s="4" t="s">
        <v>181</v>
      </c>
      <c r="E742" s="4" t="s">
        <v>9</v>
      </c>
      <c r="F742" s="4">
        <v>2019</v>
      </c>
      <c r="G742" s="8">
        <v>1.3</v>
      </c>
      <c r="H742" s="4" t="s">
        <v>9</v>
      </c>
      <c r="I742" s="8">
        <v>1.3</v>
      </c>
      <c r="J742" s="3">
        <v>13929</v>
      </c>
      <c r="K742" s="3"/>
      <c r="L742" s="17" t="str" cm="1">
        <f t="array" ref="L742">_xlfn.IFS(MID(K742,2,2)="01", "서울", MID(K742,2,2)="02","경기",MID(K742,2,2)="03","충청",MID(K742,2,2)="04","충청",MID(K742,2,2)="05","전라",MID(K742,2,2)="06","전라",MID(K742,2,2)="07","경북",MID(K742,2,2)="08","경남",MID(K742,2,2)="09","강원",MID(K742,2,2)="10","제주",TRUE,"국외")</f>
        <v>국외</v>
      </c>
    </row>
    <row r="743" spans="1:12" ht="17.25" thickBot="1">
      <c r="A743" s="3" t="s">
        <v>878</v>
      </c>
      <c r="B743" s="3"/>
      <c r="C743" s="3"/>
      <c r="D743" s="4" t="s">
        <v>181</v>
      </c>
      <c r="E743" s="4" t="s">
        <v>9</v>
      </c>
      <c r="F743" s="4">
        <v>2019</v>
      </c>
      <c r="G743" s="8">
        <v>1.2</v>
      </c>
      <c r="H743" s="4" t="s">
        <v>9</v>
      </c>
      <c r="I743" s="8">
        <v>1.2</v>
      </c>
      <c r="J743" s="3">
        <v>13928</v>
      </c>
      <c r="K743" s="3"/>
      <c r="L743" s="17" t="str" cm="1">
        <f t="array" ref="L743">_xlfn.IFS(MID(K743,2,2)="01", "서울", MID(K743,2,2)="02","경기",MID(K743,2,2)="03","충청",MID(K743,2,2)="04","충청",MID(K743,2,2)="05","전라",MID(K743,2,2)="06","전라",MID(K743,2,2)="07","경북",MID(K743,2,2)="08","경남",MID(K743,2,2)="09","강원",MID(K743,2,2)="10","제주",TRUE,"국외")</f>
        <v>국외</v>
      </c>
    </row>
    <row r="744" spans="1:12" ht="17.25" thickBot="1">
      <c r="A744" s="3" t="s">
        <v>879</v>
      </c>
      <c r="B744" s="3"/>
      <c r="C744" s="3"/>
      <c r="D744" s="4" t="s">
        <v>181</v>
      </c>
      <c r="E744" s="4" t="s">
        <v>9</v>
      </c>
      <c r="F744" s="4">
        <v>2019</v>
      </c>
      <c r="G744" s="8">
        <v>0.8</v>
      </c>
      <c r="H744" s="4" t="s">
        <v>9</v>
      </c>
      <c r="I744" s="8">
        <v>0.8</v>
      </c>
      <c r="J744" s="3">
        <v>14225</v>
      </c>
      <c r="K744" s="3"/>
      <c r="L744" s="17" t="str" cm="1">
        <f t="array" ref="L744">_xlfn.IFS(MID(K744,2,2)="01", "서울", MID(K744,2,2)="02","경기",MID(K744,2,2)="03","충청",MID(K744,2,2)="04","충청",MID(K744,2,2)="05","전라",MID(K744,2,2)="06","전라",MID(K744,2,2)="07","경북",MID(K744,2,2)="08","경남",MID(K744,2,2)="09","강원",MID(K744,2,2)="10","제주",TRUE,"국외")</f>
        <v>국외</v>
      </c>
    </row>
    <row r="745" spans="1:12" ht="17.25" thickBot="1">
      <c r="A745" s="3" t="s">
        <v>880</v>
      </c>
      <c r="B745" s="3"/>
      <c r="C745" s="3"/>
      <c r="D745" s="4" t="s">
        <v>181</v>
      </c>
      <c r="E745" s="4" t="s">
        <v>23</v>
      </c>
      <c r="F745" s="4">
        <v>2019</v>
      </c>
      <c r="G745" s="8">
        <v>1.6</v>
      </c>
      <c r="H745" s="4" t="s">
        <v>23</v>
      </c>
      <c r="I745" s="8">
        <v>1.6</v>
      </c>
      <c r="J745" s="3">
        <v>13936</v>
      </c>
      <c r="K745" s="3"/>
      <c r="L745" s="17" t="str" cm="1">
        <f t="array" ref="L745">_xlfn.IFS(MID(K745,2,2)="01", "서울", MID(K745,2,2)="02","경기",MID(K745,2,2)="03","충청",MID(K745,2,2)="04","충청",MID(K745,2,2)="05","전라",MID(K745,2,2)="06","전라",MID(K745,2,2)="07","경북",MID(K745,2,2)="08","경남",MID(K745,2,2)="09","강원",MID(K745,2,2)="10","제주",TRUE,"국외")</f>
        <v>국외</v>
      </c>
    </row>
    <row r="746" spans="1:12" ht="17.25" thickBot="1">
      <c r="A746" s="3" t="s">
        <v>881</v>
      </c>
      <c r="B746" s="3"/>
      <c r="C746" s="3"/>
      <c r="D746" s="4" t="s">
        <v>181</v>
      </c>
      <c r="E746" s="4" t="s">
        <v>23</v>
      </c>
      <c r="F746" s="4">
        <v>2019</v>
      </c>
      <c r="G746" s="8">
        <v>0.6</v>
      </c>
      <c r="H746" s="4" t="s">
        <v>23</v>
      </c>
      <c r="I746" s="8">
        <v>0.6</v>
      </c>
      <c r="J746" s="3">
        <v>13937</v>
      </c>
      <c r="K746" s="3"/>
      <c r="L746" s="17" t="str" cm="1">
        <f t="array" ref="L746">_xlfn.IFS(MID(K746,2,2)="01", "서울", MID(K746,2,2)="02","경기",MID(K746,2,2)="03","충청",MID(K746,2,2)="04","충청",MID(K746,2,2)="05","전라",MID(K746,2,2)="06","전라",MID(K746,2,2)="07","경북",MID(K746,2,2)="08","경남",MID(K746,2,2)="09","강원",MID(K746,2,2)="10","제주",TRUE,"국외")</f>
        <v>국외</v>
      </c>
    </row>
    <row r="747" spans="1:12" ht="17.25" thickBot="1">
      <c r="A747" s="3" t="s">
        <v>882</v>
      </c>
      <c r="B747" s="3"/>
      <c r="C747" s="3" t="s">
        <v>883</v>
      </c>
      <c r="D747" s="4" t="s">
        <v>181</v>
      </c>
      <c r="E747" s="4" t="s">
        <v>23</v>
      </c>
      <c r="F747" s="4">
        <v>2019</v>
      </c>
      <c r="G747" s="8">
        <v>1.5</v>
      </c>
      <c r="H747" s="4" t="s">
        <v>23</v>
      </c>
      <c r="I747" s="8">
        <v>5.5</v>
      </c>
      <c r="J747" s="3">
        <v>14232</v>
      </c>
      <c r="K747" s="3"/>
      <c r="L747" s="17" t="str" cm="1">
        <f t="array" ref="L747">_xlfn.IFS(MID(K747,2,2)="01", "서울", MID(K747,2,2)="02","경기",MID(K747,2,2)="03","충청",MID(K747,2,2)="04","충청",MID(K747,2,2)="05","전라",MID(K747,2,2)="06","전라",MID(K747,2,2)="07","경북",MID(K747,2,2)="08","경남",MID(K747,2,2)="09","강원",MID(K747,2,2)="10","제주",TRUE,"국외")</f>
        <v>국외</v>
      </c>
    </row>
    <row r="748" spans="1:12" ht="17.25" thickBot="1">
      <c r="A748" s="3" t="s">
        <v>884</v>
      </c>
      <c r="B748" s="3"/>
      <c r="C748" s="3"/>
      <c r="D748" s="4" t="s">
        <v>181</v>
      </c>
      <c r="E748" s="4" t="s">
        <v>23</v>
      </c>
      <c r="F748" s="4">
        <v>2019</v>
      </c>
      <c r="G748" s="8">
        <v>-0.2</v>
      </c>
      <c r="H748" s="4" t="s">
        <v>23</v>
      </c>
      <c r="I748" s="8">
        <v>-0.2</v>
      </c>
      <c r="J748" s="3">
        <v>14230</v>
      </c>
      <c r="K748" s="3"/>
      <c r="L748" s="17" t="str" cm="1">
        <f t="array" ref="L748">_xlfn.IFS(MID(K748,2,2)="01", "서울", MID(K748,2,2)="02","경기",MID(K748,2,2)="03","충청",MID(K748,2,2)="04","충청",MID(K748,2,2)="05","전라",MID(K748,2,2)="06","전라",MID(K748,2,2)="07","경북",MID(K748,2,2)="08","경남",MID(K748,2,2)="09","강원",MID(K748,2,2)="10","제주",TRUE,"국외")</f>
        <v>국외</v>
      </c>
    </row>
    <row r="749" spans="1:12" ht="17.25" thickBot="1">
      <c r="A749" s="3" t="s">
        <v>885</v>
      </c>
      <c r="B749" s="3"/>
      <c r="C749" s="3"/>
      <c r="D749" s="4" t="s">
        <v>181</v>
      </c>
      <c r="E749" s="4" t="s">
        <v>3</v>
      </c>
      <c r="F749" s="4">
        <v>2019</v>
      </c>
      <c r="G749" s="8">
        <v>5.0999999999999996</v>
      </c>
      <c r="H749" s="4" t="s">
        <v>3</v>
      </c>
      <c r="I749" s="8">
        <v>5.7</v>
      </c>
      <c r="J749" s="3">
        <v>13939</v>
      </c>
      <c r="K749" s="3"/>
      <c r="L749" s="17" t="str" cm="1">
        <f t="array" ref="L749">_xlfn.IFS(MID(K749,2,2)="01", "서울", MID(K749,2,2)="02","경기",MID(K749,2,2)="03","충청",MID(K749,2,2)="04","충청",MID(K749,2,2)="05","전라",MID(K749,2,2)="06","전라",MID(K749,2,2)="07","경북",MID(K749,2,2)="08","경남",MID(K749,2,2)="09","강원",MID(K749,2,2)="10","제주",TRUE,"국외")</f>
        <v>국외</v>
      </c>
    </row>
    <row r="750" spans="1:12" ht="17.25" thickBot="1">
      <c r="A750" s="3" t="s">
        <v>886</v>
      </c>
      <c r="B750" s="3"/>
      <c r="C750" s="3"/>
      <c r="D750" s="4" t="s">
        <v>181</v>
      </c>
      <c r="E750" s="4" t="s">
        <v>3</v>
      </c>
      <c r="F750" s="4">
        <v>2019</v>
      </c>
      <c r="G750" s="8">
        <v>5</v>
      </c>
      <c r="H750" s="4" t="s">
        <v>3</v>
      </c>
      <c r="I750" s="8">
        <v>7.2</v>
      </c>
      <c r="J750" s="3">
        <v>13938</v>
      </c>
      <c r="K750" s="3"/>
      <c r="L750" s="17" t="str" cm="1">
        <f t="array" ref="L750">_xlfn.IFS(MID(K750,2,2)="01", "서울", MID(K750,2,2)="02","경기",MID(K750,2,2)="03","충청",MID(K750,2,2)="04","충청",MID(K750,2,2)="05","전라",MID(K750,2,2)="06","전라",MID(K750,2,2)="07","경북",MID(K750,2,2)="08","경남",MID(K750,2,2)="09","강원",MID(K750,2,2)="10","제주",TRUE,"국외")</f>
        <v>국외</v>
      </c>
    </row>
    <row r="751" spans="1:12" ht="17.25" thickBot="1">
      <c r="A751" s="3" t="s">
        <v>887</v>
      </c>
      <c r="B751" s="3" t="s">
        <v>153</v>
      </c>
      <c r="C751" s="3"/>
      <c r="D751" s="4" t="s">
        <v>205</v>
      </c>
      <c r="E751" s="4" t="s">
        <v>6</v>
      </c>
      <c r="F751" s="4"/>
      <c r="G751" s="9"/>
      <c r="H751" s="4"/>
      <c r="I751" s="9"/>
      <c r="J751" s="3">
        <v>14679</v>
      </c>
      <c r="K751" s="3">
        <v>50210</v>
      </c>
      <c r="L751" s="17" t="str" cm="1">
        <f t="array" ref="L751">_xlfn.IFS(MID(K751,2,2)="01", "서울", MID(K751,2,2)="02","경기",MID(K751,2,2)="03","충청",MID(K751,2,2)="04","충청",MID(K751,2,2)="05","전라",MID(K751,2,2)="06","전라",MID(K751,2,2)="07","경북",MID(K751,2,2)="08","경남",MID(K751,2,2)="09","강원",MID(K751,2,2)="10","제주",TRUE,"국외")</f>
        <v>경기</v>
      </c>
    </row>
    <row r="752" spans="1:12" ht="17.25" thickBot="1">
      <c r="A752" s="3" t="s">
        <v>888</v>
      </c>
      <c r="B752" s="3" t="s">
        <v>74</v>
      </c>
      <c r="C752" s="3" t="s">
        <v>172</v>
      </c>
      <c r="D752" s="4" t="s">
        <v>205</v>
      </c>
      <c r="E752" s="4" t="s">
        <v>28</v>
      </c>
      <c r="F752" s="4">
        <v>2020</v>
      </c>
      <c r="G752" s="9"/>
      <c r="H752" s="4" t="s">
        <v>28</v>
      </c>
      <c r="I752" s="8">
        <v>0.1</v>
      </c>
      <c r="J752" s="3">
        <v>14189</v>
      </c>
      <c r="K752" s="3">
        <v>50102</v>
      </c>
      <c r="L752" s="17" t="str" cm="1">
        <f t="array" ref="L752">_xlfn.IFS(MID(K752,2,2)="01", "서울", MID(K752,2,2)="02","경기",MID(K752,2,2)="03","충청",MID(K752,2,2)="04","충청",MID(K752,2,2)="05","전라",MID(K752,2,2)="06","전라",MID(K752,2,2)="07","경북",MID(K752,2,2)="08","경남",MID(K752,2,2)="09","강원",MID(K752,2,2)="10","제주",TRUE,"국외")</f>
        <v>서울</v>
      </c>
    </row>
    <row r="753" spans="1:12" ht="17.25" thickBot="1">
      <c r="A753" s="3" t="s">
        <v>889</v>
      </c>
      <c r="B753" s="3" t="s">
        <v>128</v>
      </c>
      <c r="C753" s="3" t="s">
        <v>119</v>
      </c>
      <c r="D753" s="4" t="s">
        <v>205</v>
      </c>
      <c r="E753" s="4" t="s">
        <v>12</v>
      </c>
      <c r="F753" s="4">
        <v>2023</v>
      </c>
      <c r="G753" s="9"/>
      <c r="H753" s="4" t="s">
        <v>12</v>
      </c>
      <c r="I753" s="8">
        <v>-0.2</v>
      </c>
      <c r="J753" s="3">
        <v>14219</v>
      </c>
      <c r="K753" s="3">
        <v>50901</v>
      </c>
      <c r="L753" s="17" t="str" cm="1">
        <f t="array" ref="L753">_xlfn.IFS(MID(K753,2,2)="01", "서울", MID(K753,2,2)="02","경기",MID(K753,2,2)="03","충청",MID(K753,2,2)="04","충청",MID(K753,2,2)="05","전라",MID(K753,2,2)="06","전라",MID(K753,2,2)="07","경북",MID(K753,2,2)="08","경남",MID(K753,2,2)="09","강원",MID(K753,2,2)="10","제주",TRUE,"국외")</f>
        <v>강원</v>
      </c>
    </row>
    <row r="754" spans="1:12" ht="17.25" thickBot="1">
      <c r="A754" s="3" t="s">
        <v>890</v>
      </c>
      <c r="B754" s="3" t="s">
        <v>70</v>
      </c>
      <c r="C754" s="3" t="s">
        <v>45</v>
      </c>
      <c r="D754" s="4" t="s">
        <v>205</v>
      </c>
      <c r="E754" s="4" t="s">
        <v>607</v>
      </c>
      <c r="F754" s="4">
        <v>2021</v>
      </c>
      <c r="G754" s="9"/>
      <c r="H754" s="4" t="s">
        <v>15</v>
      </c>
      <c r="I754" s="8">
        <v>-0.4</v>
      </c>
      <c r="J754" s="3">
        <v>14200</v>
      </c>
      <c r="K754" s="3">
        <v>50103</v>
      </c>
      <c r="L754" s="17" t="str" cm="1">
        <f t="array" ref="L754">_xlfn.IFS(MID(K754,2,2)="01", "서울", MID(K754,2,2)="02","경기",MID(K754,2,2)="03","충청",MID(K754,2,2)="04","충청",MID(K754,2,2)="05","전라",MID(K754,2,2)="06","전라",MID(K754,2,2)="07","경북",MID(K754,2,2)="08","경남",MID(K754,2,2)="09","강원",MID(K754,2,2)="10","제주",TRUE,"국외")</f>
        <v>서울</v>
      </c>
    </row>
    <row r="755" spans="1:12" ht="17.25" thickBot="1">
      <c r="A755" s="3" t="s">
        <v>264</v>
      </c>
      <c r="B755" s="3" t="s">
        <v>68</v>
      </c>
      <c r="C755" s="3" t="s">
        <v>99</v>
      </c>
      <c r="D755" s="4" t="s">
        <v>205</v>
      </c>
      <c r="E755" s="4" t="s">
        <v>607</v>
      </c>
      <c r="F755" s="4"/>
      <c r="G755" s="9"/>
      <c r="H755" s="4"/>
      <c r="I755" s="9"/>
      <c r="J755" s="3">
        <v>14199</v>
      </c>
      <c r="K755" s="3">
        <v>50101</v>
      </c>
      <c r="L755" s="17" t="str" cm="1">
        <f t="array" ref="L755">_xlfn.IFS(MID(K755,2,2)="01", "서울", MID(K755,2,2)="02","경기",MID(K755,2,2)="03","충청",MID(K755,2,2)="04","충청",MID(K755,2,2)="05","전라",MID(K755,2,2)="06","전라",MID(K755,2,2)="07","경북",MID(K755,2,2)="08","경남",MID(K755,2,2)="09","강원",MID(K755,2,2)="10","제주",TRUE,"국외")</f>
        <v>서울</v>
      </c>
    </row>
    <row r="756" spans="1:12" ht="17.25" thickBot="1">
      <c r="A756" s="3" t="s">
        <v>891</v>
      </c>
      <c r="B756" s="3" t="s">
        <v>5</v>
      </c>
      <c r="C756" s="3" t="s">
        <v>133</v>
      </c>
      <c r="D756" s="4" t="s">
        <v>205</v>
      </c>
      <c r="E756" s="4" t="s">
        <v>607</v>
      </c>
      <c r="F756" s="4"/>
      <c r="G756" s="9"/>
      <c r="H756" s="4"/>
      <c r="I756" s="9"/>
      <c r="J756" s="3">
        <v>14198</v>
      </c>
      <c r="K756" s="3">
        <v>50114</v>
      </c>
      <c r="L756" s="17" t="str" cm="1">
        <f t="array" ref="L756">_xlfn.IFS(MID(K756,2,2)="01", "서울", MID(K756,2,2)="02","경기",MID(K756,2,2)="03","충청",MID(K756,2,2)="04","충청",MID(K756,2,2)="05","전라",MID(K756,2,2)="06","전라",MID(K756,2,2)="07","경북",MID(K756,2,2)="08","경남",MID(K756,2,2)="09","강원",MID(K756,2,2)="10","제주",TRUE,"국외")</f>
        <v>서울</v>
      </c>
    </row>
    <row r="757" spans="1:12" ht="17.25" thickBot="1">
      <c r="A757" s="3" t="s">
        <v>892</v>
      </c>
      <c r="B757" s="3" t="s">
        <v>63</v>
      </c>
      <c r="C757" s="3" t="s">
        <v>119</v>
      </c>
      <c r="D757" s="4" t="s">
        <v>205</v>
      </c>
      <c r="E757" s="4" t="s">
        <v>18</v>
      </c>
      <c r="F757" s="4"/>
      <c r="G757" s="9"/>
      <c r="H757" s="4"/>
      <c r="I757" s="9"/>
      <c r="J757" s="3">
        <v>14213</v>
      </c>
      <c r="K757" s="3">
        <v>50807</v>
      </c>
      <c r="L757" s="17" t="str" cm="1">
        <f t="array" ref="L757">_xlfn.IFS(MID(K757,2,2)="01", "서울", MID(K757,2,2)="02","경기",MID(K757,2,2)="03","충청",MID(K757,2,2)="04","충청",MID(K757,2,2)="05","전라",MID(K757,2,2)="06","전라",MID(K757,2,2)="07","경북",MID(K757,2,2)="08","경남",MID(K757,2,2)="09","강원",MID(K757,2,2)="10","제주",TRUE,"국외")</f>
        <v>경남</v>
      </c>
    </row>
    <row r="758" spans="1:12" ht="17.25" thickBot="1">
      <c r="A758" s="3" t="s">
        <v>893</v>
      </c>
      <c r="B758" s="3" t="s">
        <v>592</v>
      </c>
      <c r="C758" s="3"/>
      <c r="D758" s="4" t="s">
        <v>205</v>
      </c>
      <c r="E758" s="4" t="s">
        <v>26</v>
      </c>
      <c r="F758" s="4">
        <v>2021</v>
      </c>
      <c r="G758" s="9"/>
      <c r="H758" s="4" t="s">
        <v>3</v>
      </c>
      <c r="I758" s="8">
        <v>0.7</v>
      </c>
      <c r="J758" s="3">
        <v>14196</v>
      </c>
      <c r="K758" s="3">
        <v>50503</v>
      </c>
      <c r="L758" s="17" t="str" cm="1">
        <f t="array" ref="L758">_xlfn.IFS(MID(K758,2,2)="01", "서울", MID(K758,2,2)="02","경기",MID(K758,2,2)="03","충청",MID(K758,2,2)="04","충청",MID(K758,2,2)="05","전라",MID(K758,2,2)="06","전라",MID(K758,2,2)="07","경북",MID(K758,2,2)="08","경남",MID(K758,2,2)="09","강원",MID(K758,2,2)="10","제주",TRUE,"국외")</f>
        <v>전라</v>
      </c>
    </row>
    <row r="759" spans="1:12" ht="17.25" thickBot="1">
      <c r="A759" s="3" t="s">
        <v>894</v>
      </c>
      <c r="B759" s="3" t="s">
        <v>147</v>
      </c>
      <c r="C759" s="3" t="s">
        <v>234</v>
      </c>
      <c r="D759" s="4" t="s">
        <v>205</v>
      </c>
      <c r="E759" s="4" t="s">
        <v>26</v>
      </c>
      <c r="F759" s="4"/>
      <c r="G759" s="9"/>
      <c r="H759" s="4"/>
      <c r="I759" s="9"/>
      <c r="J759" s="3">
        <v>14195</v>
      </c>
      <c r="K759" s="3">
        <v>50208</v>
      </c>
      <c r="L759" s="17" t="str" cm="1">
        <f t="array" ref="L759">_xlfn.IFS(MID(K759,2,2)="01", "서울", MID(K759,2,2)="02","경기",MID(K759,2,2)="03","충청",MID(K759,2,2)="04","충청",MID(K759,2,2)="05","전라",MID(K759,2,2)="06","전라",MID(K759,2,2)="07","경북",MID(K759,2,2)="08","경남",MID(K759,2,2)="09","강원",MID(K759,2,2)="10","제주",TRUE,"국외")</f>
        <v>경기</v>
      </c>
    </row>
    <row r="760" spans="1:12" ht="17.25" thickBot="1">
      <c r="A760" s="3" t="s">
        <v>895</v>
      </c>
      <c r="B760" s="3" t="s">
        <v>112</v>
      </c>
      <c r="C760" s="3" t="s">
        <v>739</v>
      </c>
      <c r="D760" s="4" t="s">
        <v>205</v>
      </c>
      <c r="E760" s="4" t="s">
        <v>9</v>
      </c>
      <c r="F760" s="4"/>
      <c r="G760" s="9"/>
      <c r="H760" s="4"/>
      <c r="I760" s="9"/>
      <c r="J760" s="3">
        <v>14202</v>
      </c>
      <c r="K760" s="3">
        <v>50113</v>
      </c>
      <c r="L760" s="17" t="str" cm="1">
        <f t="array" ref="L760">_xlfn.IFS(MID(K760,2,2)="01", "서울", MID(K760,2,2)="02","경기",MID(K760,2,2)="03","충청",MID(K760,2,2)="04","충청",MID(K760,2,2)="05","전라",MID(K760,2,2)="06","전라",MID(K760,2,2)="07","경북",MID(K760,2,2)="08","경남",MID(K760,2,2)="09","강원",MID(K760,2,2)="10","제주",TRUE,"국외")</f>
        <v>서울</v>
      </c>
    </row>
    <row r="761" spans="1:12" ht="17.25" thickBot="1">
      <c r="A761" s="3" t="s">
        <v>896</v>
      </c>
      <c r="B761" s="3" t="s">
        <v>8</v>
      </c>
      <c r="C761" s="3" t="s">
        <v>161</v>
      </c>
      <c r="D761" s="4" t="s">
        <v>205</v>
      </c>
      <c r="E761" s="4" t="s">
        <v>9</v>
      </c>
      <c r="F761" s="4"/>
      <c r="G761" s="9"/>
      <c r="H761" s="4"/>
      <c r="I761" s="9"/>
      <c r="J761" s="3">
        <v>14201</v>
      </c>
      <c r="K761" s="3">
        <v>50116</v>
      </c>
      <c r="L761" s="17" t="str" cm="1">
        <f t="array" ref="L761">_xlfn.IFS(MID(K761,2,2)="01", "서울", MID(K761,2,2)="02","경기",MID(K761,2,2)="03","충청",MID(K761,2,2)="04","충청",MID(K761,2,2)="05","전라",MID(K761,2,2)="06","전라",MID(K761,2,2)="07","경북",MID(K761,2,2)="08","경남",MID(K761,2,2)="09","강원",MID(K761,2,2)="10","제주",TRUE,"국외")</f>
        <v>서울</v>
      </c>
    </row>
    <row r="762" spans="1:12" ht="17.25" thickBot="1">
      <c r="A762" s="3" t="s">
        <v>897</v>
      </c>
      <c r="B762" s="3" t="s">
        <v>22</v>
      </c>
      <c r="C762" s="3" t="s">
        <v>174</v>
      </c>
      <c r="D762" s="4" t="s">
        <v>205</v>
      </c>
      <c r="E762" s="4" t="s">
        <v>3</v>
      </c>
      <c r="F762" s="4"/>
      <c r="G762" s="9"/>
      <c r="H762" s="4"/>
      <c r="I762" s="9"/>
      <c r="J762" s="3">
        <v>14215</v>
      </c>
      <c r="K762" s="3">
        <v>50209</v>
      </c>
      <c r="L762" s="17" t="str" cm="1">
        <f t="array" ref="L762">_xlfn.IFS(MID(K762,2,2)="01", "서울", MID(K762,2,2)="02","경기",MID(K762,2,2)="03","충청",MID(K762,2,2)="04","충청",MID(K762,2,2)="05","전라",MID(K762,2,2)="06","전라",MID(K762,2,2)="07","경북",MID(K762,2,2)="08","경남",MID(K762,2,2)="09","강원",MID(K762,2,2)="10","제주",TRUE,"국외")</f>
        <v>경기</v>
      </c>
    </row>
    <row r="763" spans="1:12" ht="17.25" thickBot="1">
      <c r="A763" s="3" t="s">
        <v>898</v>
      </c>
      <c r="B763" s="3" t="s">
        <v>101</v>
      </c>
      <c r="C763" s="3" t="s">
        <v>208</v>
      </c>
      <c r="D763" s="4" t="s">
        <v>205</v>
      </c>
      <c r="E763" s="4" t="s">
        <v>3</v>
      </c>
      <c r="F763" s="4"/>
      <c r="G763" s="9"/>
      <c r="H763" s="4"/>
      <c r="I763" s="9"/>
      <c r="J763" s="3">
        <v>14206</v>
      </c>
      <c r="K763" s="3">
        <v>50207</v>
      </c>
      <c r="L763" s="17" t="str" cm="1">
        <f t="array" ref="L763">_xlfn.IFS(MID(K763,2,2)="01", "서울", MID(K763,2,2)="02","경기",MID(K763,2,2)="03","충청",MID(K763,2,2)="04","충청",MID(K763,2,2)="05","전라",MID(K763,2,2)="06","전라",MID(K763,2,2)="07","경북",MID(K763,2,2)="08","경남",MID(K763,2,2)="09","강원",MID(K763,2,2)="10","제주",TRUE,"국외")</f>
        <v>경기</v>
      </c>
    </row>
    <row r="764" spans="1:12" ht="17.25" thickBot="1">
      <c r="A764" s="3" t="s">
        <v>899</v>
      </c>
      <c r="B764" s="3" t="s">
        <v>66</v>
      </c>
      <c r="C764" s="3" t="s">
        <v>218</v>
      </c>
      <c r="D764" s="4" t="s">
        <v>205</v>
      </c>
      <c r="E764" s="4" t="s">
        <v>3</v>
      </c>
      <c r="F764" s="4"/>
      <c r="G764" s="10"/>
      <c r="H764" s="1"/>
      <c r="I764" s="10"/>
      <c r="J764" s="3">
        <v>14207</v>
      </c>
      <c r="K764" s="3">
        <v>50110</v>
      </c>
      <c r="L764" s="17" t="str" cm="1">
        <f t="array" ref="L764">_xlfn.IFS(MID(K764,2,2)="01", "서울", MID(K764,2,2)="02","경기",MID(K764,2,2)="03","충청",MID(K764,2,2)="04","충청",MID(K764,2,2)="05","전라",MID(K764,2,2)="06","전라",MID(K764,2,2)="07","경북",MID(K764,2,2)="08","경남",MID(K764,2,2)="09","강원",MID(K764,2,2)="10","제주",TRUE,"국외")</f>
        <v>서울</v>
      </c>
    </row>
    <row r="765" spans="1:12" ht="17.25" thickBot="1">
      <c r="A765" s="3" t="s">
        <v>900</v>
      </c>
      <c r="B765" s="3" t="s">
        <v>96</v>
      </c>
      <c r="C765" s="3"/>
      <c r="D765" s="4" t="s">
        <v>243</v>
      </c>
      <c r="E765" s="4" t="s">
        <v>6</v>
      </c>
      <c r="F765" s="4">
        <v>2019</v>
      </c>
      <c r="G765" s="9"/>
      <c r="H765" s="4" t="s">
        <v>6</v>
      </c>
      <c r="I765" s="8">
        <v>1</v>
      </c>
      <c r="J765" s="3">
        <v>13113</v>
      </c>
      <c r="K765" s="3">
        <v>50601</v>
      </c>
      <c r="L765" s="17" t="str" cm="1">
        <f t="array" ref="L765">_xlfn.IFS(MID(K765,2,2)="01", "서울", MID(K765,2,2)="02","경기",MID(K765,2,2)="03","충청",MID(K765,2,2)="04","충청",MID(K765,2,2)="05","전라",MID(K765,2,2)="06","전라",MID(K765,2,2)="07","경북",MID(K765,2,2)="08","경남",MID(K765,2,2)="09","강원",MID(K765,2,2)="10","제주",TRUE,"국외")</f>
        <v>전라</v>
      </c>
    </row>
    <row r="766" spans="1:12" ht="17.25" thickBot="1">
      <c r="A766" s="3" t="s">
        <v>901</v>
      </c>
      <c r="B766" s="3" t="s">
        <v>147</v>
      </c>
      <c r="C766" s="3"/>
      <c r="D766" s="4" t="s">
        <v>243</v>
      </c>
      <c r="E766" s="4" t="s">
        <v>28</v>
      </c>
      <c r="F766" s="4">
        <v>2018</v>
      </c>
      <c r="G766" s="8">
        <v>0.7</v>
      </c>
      <c r="H766" s="4" t="s">
        <v>28</v>
      </c>
      <c r="I766" s="8">
        <v>1.1000000000000001</v>
      </c>
      <c r="J766" s="3">
        <v>13167</v>
      </c>
      <c r="K766" s="3">
        <v>50208</v>
      </c>
      <c r="L766" s="17" t="str" cm="1">
        <f t="array" ref="L766">_xlfn.IFS(MID(K766,2,2)="01", "서울", MID(K766,2,2)="02","경기",MID(K766,2,2)="03","충청",MID(K766,2,2)="04","충청",MID(K766,2,2)="05","전라",MID(K766,2,2)="06","전라",MID(K766,2,2)="07","경북",MID(K766,2,2)="08","경남",MID(K766,2,2)="09","강원",MID(K766,2,2)="10","제주",TRUE,"국외")</f>
        <v>경기</v>
      </c>
    </row>
    <row r="767" spans="1:12" ht="17.25" thickBot="1">
      <c r="A767" s="3" t="s">
        <v>902</v>
      </c>
      <c r="B767" s="3" t="s">
        <v>38</v>
      </c>
      <c r="C767" s="3"/>
      <c r="D767" s="4" t="s">
        <v>243</v>
      </c>
      <c r="E767" s="4" t="s">
        <v>20</v>
      </c>
      <c r="F767" s="4">
        <v>2018</v>
      </c>
      <c r="G767" s="8">
        <v>0.2</v>
      </c>
      <c r="H767" s="4" t="s">
        <v>20</v>
      </c>
      <c r="I767" s="8">
        <v>0.7</v>
      </c>
      <c r="J767" s="3">
        <v>13102</v>
      </c>
      <c r="K767" s="3">
        <v>50109</v>
      </c>
      <c r="L767" s="17" t="str" cm="1">
        <f t="array" ref="L767">_xlfn.IFS(MID(K767,2,2)="01", "서울", MID(K767,2,2)="02","경기",MID(K767,2,2)="03","충청",MID(K767,2,2)="04","충청",MID(K767,2,2)="05","전라",MID(K767,2,2)="06","전라",MID(K767,2,2)="07","경북",MID(K767,2,2)="08","경남",MID(K767,2,2)="09","강원",MID(K767,2,2)="10","제주",TRUE,"국외")</f>
        <v>서울</v>
      </c>
    </row>
    <row r="768" spans="1:12" ht="17.25" thickBot="1">
      <c r="A768" s="3" t="s">
        <v>903</v>
      </c>
      <c r="B768" s="3" t="s">
        <v>52</v>
      </c>
      <c r="C768" s="3"/>
      <c r="D768" s="4" t="s">
        <v>243</v>
      </c>
      <c r="E768" s="4" t="s">
        <v>12</v>
      </c>
      <c r="F768" s="4">
        <v>2022</v>
      </c>
      <c r="G768" s="9"/>
      <c r="H768" s="4" t="s">
        <v>12</v>
      </c>
      <c r="I768" s="8">
        <v>1.9</v>
      </c>
      <c r="J768" s="3">
        <v>13080</v>
      </c>
      <c r="K768" s="3">
        <v>50803</v>
      </c>
      <c r="L768" s="17" t="str" cm="1">
        <f t="array" ref="L768">_xlfn.IFS(MID(K768,2,2)="01", "서울", MID(K768,2,2)="02","경기",MID(K768,2,2)="03","충청",MID(K768,2,2)="04","충청",MID(K768,2,2)="05","전라",MID(K768,2,2)="06","전라",MID(K768,2,2)="07","경북",MID(K768,2,2)="08","경남",MID(K768,2,2)="09","강원",MID(K768,2,2)="10","제주",TRUE,"국외")</f>
        <v>경남</v>
      </c>
    </row>
    <row r="769" spans="1:12" ht="17.25" thickBot="1">
      <c r="A769" s="3" t="s">
        <v>904</v>
      </c>
      <c r="B769" s="3" t="s">
        <v>241</v>
      </c>
      <c r="C769" s="3"/>
      <c r="D769" s="4" t="s">
        <v>243</v>
      </c>
      <c r="E769" s="4" t="s">
        <v>607</v>
      </c>
      <c r="F769" s="4">
        <v>2019</v>
      </c>
      <c r="G769" s="9"/>
      <c r="H769" s="4" t="s">
        <v>26</v>
      </c>
      <c r="I769" s="8">
        <v>-0.1</v>
      </c>
      <c r="J769" s="3">
        <v>13124</v>
      </c>
      <c r="K769" s="3">
        <v>50202</v>
      </c>
      <c r="L769" s="17" t="str" cm="1">
        <f t="array" ref="L769">_xlfn.IFS(MID(K769,2,2)="01", "서울", MID(K769,2,2)="02","경기",MID(K769,2,2)="03","충청",MID(K769,2,2)="04","충청",MID(K769,2,2)="05","전라",MID(K769,2,2)="06","전라",MID(K769,2,2)="07","경북",MID(K769,2,2)="08","경남",MID(K769,2,2)="09","강원",MID(K769,2,2)="10","제주",TRUE,"국외")</f>
        <v>경기</v>
      </c>
    </row>
    <row r="770" spans="1:12" ht="17.25" thickBot="1">
      <c r="A770" s="3" t="s">
        <v>905</v>
      </c>
      <c r="B770" s="3" t="s">
        <v>8</v>
      </c>
      <c r="C770" s="3"/>
      <c r="D770" s="4" t="s">
        <v>243</v>
      </c>
      <c r="E770" s="4" t="s">
        <v>906</v>
      </c>
      <c r="F770" s="4">
        <v>2018</v>
      </c>
      <c r="G770" s="8">
        <v>-0.5</v>
      </c>
      <c r="H770" s="4" t="s">
        <v>18</v>
      </c>
      <c r="I770" s="8">
        <v>19</v>
      </c>
      <c r="J770" s="3">
        <v>13091</v>
      </c>
      <c r="K770" s="3">
        <v>50116</v>
      </c>
      <c r="L770" s="17" t="str" cm="1">
        <f t="array" ref="L770">_xlfn.IFS(MID(K770,2,2)="01", "서울", MID(K770,2,2)="02","경기",MID(K770,2,2)="03","충청",MID(K770,2,2)="04","충청",MID(K770,2,2)="05","전라",MID(K770,2,2)="06","전라",MID(K770,2,2)="07","경북",MID(K770,2,2)="08","경남",MID(K770,2,2)="09","강원",MID(K770,2,2)="10","제주",TRUE,"국외")</f>
        <v>서울</v>
      </c>
    </row>
    <row r="771" spans="1:12" ht="17.25" thickBot="1">
      <c r="A771" s="3" t="s">
        <v>907</v>
      </c>
      <c r="B771" s="3" t="s">
        <v>81</v>
      </c>
      <c r="C771" s="3"/>
      <c r="D771" s="4" t="s">
        <v>243</v>
      </c>
      <c r="E771" s="4" t="s">
        <v>26</v>
      </c>
      <c r="F771" s="4">
        <v>2018</v>
      </c>
      <c r="G771" s="8">
        <v>-0.5</v>
      </c>
      <c r="H771" s="4" t="s">
        <v>26</v>
      </c>
      <c r="I771" s="8">
        <v>9.8000000000000007</v>
      </c>
      <c r="J771" s="3">
        <v>13061</v>
      </c>
      <c r="K771" s="3">
        <v>50105</v>
      </c>
      <c r="L771" s="17" t="str" cm="1">
        <f t="array" ref="L771">_xlfn.IFS(MID(K771,2,2)="01", "서울", MID(K771,2,2)="02","경기",MID(K771,2,2)="03","충청",MID(K771,2,2)="04","충청",MID(K771,2,2)="05","전라",MID(K771,2,2)="06","전라",MID(K771,2,2)="07","경북",MID(K771,2,2)="08","경남",MID(K771,2,2)="09","강원",MID(K771,2,2)="10","제주",TRUE,"국외")</f>
        <v>서울</v>
      </c>
    </row>
    <row r="772" spans="1:12" ht="17.25" thickBot="1">
      <c r="A772" s="3" t="s">
        <v>908</v>
      </c>
      <c r="B772" s="3" t="s">
        <v>11</v>
      </c>
      <c r="C772" s="3"/>
      <c r="D772" s="4" t="s">
        <v>243</v>
      </c>
      <c r="E772" s="4" t="s">
        <v>9</v>
      </c>
      <c r="F772" s="4">
        <v>2018</v>
      </c>
      <c r="G772" s="8">
        <v>-1.1000000000000001</v>
      </c>
      <c r="H772" s="4" t="s">
        <v>9</v>
      </c>
      <c r="I772" s="8">
        <v>3.1</v>
      </c>
      <c r="J772" s="3">
        <v>13145</v>
      </c>
      <c r="K772" s="3">
        <v>50802</v>
      </c>
      <c r="L772" s="17" t="str" cm="1">
        <f t="array" ref="L772">_xlfn.IFS(MID(K772,2,2)="01", "서울", MID(K772,2,2)="02","경기",MID(K772,2,2)="03","충청",MID(K772,2,2)="04","충청",MID(K772,2,2)="05","전라",MID(K772,2,2)="06","전라",MID(K772,2,2)="07","경북",MID(K772,2,2)="08","경남",MID(K772,2,2)="09","강원",MID(K772,2,2)="10","제주",TRUE,"국외")</f>
        <v>경남</v>
      </c>
    </row>
    <row r="773" spans="1:12" ht="17.25" thickBot="1">
      <c r="A773" s="3" t="s">
        <v>909</v>
      </c>
      <c r="B773" s="3" t="s">
        <v>332</v>
      </c>
      <c r="C773" s="3" t="s">
        <v>739</v>
      </c>
      <c r="D773" s="4" t="s">
        <v>243</v>
      </c>
      <c r="E773" s="4" t="s">
        <v>23</v>
      </c>
      <c r="F773" s="4">
        <v>2018</v>
      </c>
      <c r="G773" s="8">
        <v>0.9</v>
      </c>
      <c r="H773" s="4" t="s">
        <v>23</v>
      </c>
      <c r="I773" s="8">
        <v>8.6</v>
      </c>
      <c r="J773" s="3">
        <v>13156</v>
      </c>
      <c r="K773" s="3">
        <v>50705</v>
      </c>
      <c r="L773" s="17" t="str" cm="1">
        <f t="array" ref="L773">_xlfn.IFS(MID(K773,2,2)="01", "서울", MID(K773,2,2)="02","경기",MID(K773,2,2)="03","충청",MID(K773,2,2)="04","충청",MID(K773,2,2)="05","전라",MID(K773,2,2)="06","전라",MID(K773,2,2)="07","경북",MID(K773,2,2)="08","경남",MID(K773,2,2)="09","강원",MID(K773,2,2)="10","제주",TRUE,"국외")</f>
        <v>경북</v>
      </c>
    </row>
    <row r="774" spans="1:12" ht="17.25" thickBot="1">
      <c r="A774" s="3" t="s">
        <v>910</v>
      </c>
      <c r="B774" s="3" t="s">
        <v>25</v>
      </c>
      <c r="C774" s="3"/>
      <c r="D774" s="4" t="s">
        <v>243</v>
      </c>
      <c r="E774" s="4" t="s">
        <v>3</v>
      </c>
      <c r="F774" s="4"/>
      <c r="G774" s="9"/>
      <c r="H774" s="4"/>
      <c r="I774" s="9"/>
      <c r="J774" s="3">
        <v>13134</v>
      </c>
      <c r="K774" s="3">
        <v>50403</v>
      </c>
      <c r="L774" s="17" t="str" cm="1">
        <f t="array" ref="L774">_xlfn.IFS(MID(K774,2,2)="01", "서울", MID(K774,2,2)="02","경기",MID(K774,2,2)="03","충청",MID(K774,2,2)="04","충청",MID(K774,2,2)="05","전라",MID(K774,2,2)="06","전라",MID(K774,2,2)="07","경북",MID(K774,2,2)="08","경남",MID(K774,2,2)="09","강원",MID(K774,2,2)="10","제주",TRUE,"국외")</f>
        <v>충청</v>
      </c>
    </row>
    <row r="775" spans="1:12" ht="17.25" thickBot="1">
      <c r="A775" s="3" t="s">
        <v>911</v>
      </c>
      <c r="B775" s="3" t="s">
        <v>50</v>
      </c>
      <c r="C775" s="3"/>
      <c r="D775" s="4" t="s">
        <v>254</v>
      </c>
      <c r="E775" s="4" t="s">
        <v>6</v>
      </c>
      <c r="F775" s="4">
        <v>2018</v>
      </c>
      <c r="G775" s="8">
        <v>0</v>
      </c>
      <c r="H775" s="4" t="s">
        <v>6</v>
      </c>
      <c r="I775" s="8">
        <v>-0.6</v>
      </c>
      <c r="J775" s="3">
        <v>13114</v>
      </c>
      <c r="K775" s="3">
        <v>50301</v>
      </c>
      <c r="L775" s="17" t="str" cm="1">
        <f t="array" ref="L775">_xlfn.IFS(MID(K775,2,2)="01", "서울", MID(K775,2,2)="02","경기",MID(K775,2,2)="03","충청",MID(K775,2,2)="04","충청",MID(K775,2,2)="05","전라",MID(K775,2,2)="06","전라",MID(K775,2,2)="07","경북",MID(K775,2,2)="08","경남",MID(K775,2,2)="09","강원",MID(K775,2,2)="10","제주",TRUE,"국외")</f>
        <v>충청</v>
      </c>
    </row>
    <row r="776" spans="1:12" ht="17.25" thickBot="1">
      <c r="A776" s="3" t="s">
        <v>912</v>
      </c>
      <c r="B776" s="3" t="s">
        <v>1</v>
      </c>
      <c r="C776" s="3"/>
      <c r="D776" s="4" t="s">
        <v>254</v>
      </c>
      <c r="E776" s="4" t="s">
        <v>28</v>
      </c>
      <c r="F776" s="4">
        <v>2018</v>
      </c>
      <c r="G776" s="8">
        <v>2.1</v>
      </c>
      <c r="H776" s="4" t="s">
        <v>28</v>
      </c>
      <c r="I776" s="8">
        <v>20.7</v>
      </c>
      <c r="J776" s="3">
        <v>13168</v>
      </c>
      <c r="K776" s="3">
        <v>50107</v>
      </c>
      <c r="L776" s="17" t="str" cm="1">
        <f t="array" ref="L776">_xlfn.IFS(MID(K776,2,2)="01", "서울", MID(K776,2,2)="02","경기",MID(K776,2,2)="03","충청",MID(K776,2,2)="04","충청",MID(K776,2,2)="05","전라",MID(K776,2,2)="06","전라",MID(K776,2,2)="07","경북",MID(K776,2,2)="08","경남",MID(K776,2,2)="09","강원",MID(K776,2,2)="10","제주",TRUE,"국외")</f>
        <v>서울</v>
      </c>
    </row>
    <row r="777" spans="1:12" ht="17.25" thickBot="1">
      <c r="A777" s="3" t="s">
        <v>913</v>
      </c>
      <c r="B777" s="3" t="s">
        <v>32</v>
      </c>
      <c r="C777" s="3"/>
      <c r="D777" s="4" t="s">
        <v>254</v>
      </c>
      <c r="E777" s="4" t="s">
        <v>20</v>
      </c>
      <c r="F777" s="4">
        <v>2018</v>
      </c>
      <c r="G777" s="8">
        <v>0</v>
      </c>
      <c r="H777" s="4" t="s">
        <v>20</v>
      </c>
      <c r="I777" s="8">
        <v>0</v>
      </c>
      <c r="J777" s="3">
        <v>13103</v>
      </c>
      <c r="K777" s="3">
        <v>50111</v>
      </c>
      <c r="L777" s="17" t="str" cm="1">
        <f t="array" ref="L777">_xlfn.IFS(MID(K777,2,2)="01", "서울", MID(K777,2,2)="02","경기",MID(K777,2,2)="03","충청",MID(K777,2,2)="04","충청",MID(K777,2,2)="05","전라",MID(K777,2,2)="06","전라",MID(K777,2,2)="07","경북",MID(K777,2,2)="08","경남",MID(K777,2,2)="09","강원",MID(K777,2,2)="10","제주",TRUE,"국외")</f>
        <v>서울</v>
      </c>
    </row>
    <row r="778" spans="1:12" ht="17.25" thickBot="1">
      <c r="A778" s="3" t="s">
        <v>914</v>
      </c>
      <c r="B778" s="3" t="s">
        <v>50</v>
      </c>
      <c r="C778" s="3"/>
      <c r="D778" s="4" t="s">
        <v>254</v>
      </c>
      <c r="E778" s="4" t="s">
        <v>12</v>
      </c>
      <c r="F778" s="4">
        <v>2018</v>
      </c>
      <c r="G778" s="8">
        <v>-0.8</v>
      </c>
      <c r="H778" s="4" t="s">
        <v>12</v>
      </c>
      <c r="I778" s="8">
        <v>0.8</v>
      </c>
      <c r="J778" s="3">
        <v>13081</v>
      </c>
      <c r="K778" s="3">
        <v>50301</v>
      </c>
      <c r="L778" s="17" t="str" cm="1">
        <f t="array" ref="L778">_xlfn.IFS(MID(K778,2,2)="01", "서울", MID(K778,2,2)="02","경기",MID(K778,2,2)="03","충청",MID(K778,2,2)="04","충청",MID(K778,2,2)="05","전라",MID(K778,2,2)="06","전라",MID(K778,2,2)="07","경북",MID(K778,2,2)="08","경남",MID(K778,2,2)="09","강원",MID(K778,2,2)="10","제주",TRUE,"국외")</f>
        <v>충청</v>
      </c>
    </row>
    <row r="779" spans="1:12" ht="17.25" thickBot="1">
      <c r="A779" s="3" t="s">
        <v>915</v>
      </c>
      <c r="B779" s="3" t="s">
        <v>112</v>
      </c>
      <c r="C779" s="3"/>
      <c r="D779" s="4" t="s">
        <v>254</v>
      </c>
      <c r="E779" s="4" t="s">
        <v>607</v>
      </c>
      <c r="F779" s="4">
        <v>2018</v>
      </c>
      <c r="G779" s="8">
        <v>0</v>
      </c>
      <c r="H779" s="4" t="s">
        <v>15</v>
      </c>
      <c r="I779" s="8">
        <v>0</v>
      </c>
      <c r="J779" s="3">
        <v>13125</v>
      </c>
      <c r="K779" s="3">
        <v>50113</v>
      </c>
      <c r="L779" s="17" t="str" cm="1">
        <f t="array" ref="L779">_xlfn.IFS(MID(K779,2,2)="01", "서울", MID(K779,2,2)="02","경기",MID(K779,2,2)="03","충청",MID(K779,2,2)="04","충청",MID(K779,2,2)="05","전라",MID(K779,2,2)="06","전라",MID(K779,2,2)="07","경북",MID(K779,2,2)="08","경남",MID(K779,2,2)="09","강원",MID(K779,2,2)="10","제주",TRUE,"국외")</f>
        <v>서울</v>
      </c>
    </row>
    <row r="780" spans="1:12" ht="17.25" thickBot="1">
      <c r="A780" s="3" t="s">
        <v>916</v>
      </c>
      <c r="B780" s="3" t="s">
        <v>50</v>
      </c>
      <c r="C780" s="3"/>
      <c r="D780" s="4" t="s">
        <v>254</v>
      </c>
      <c r="E780" s="4" t="s">
        <v>906</v>
      </c>
      <c r="F780" s="4">
        <v>2018</v>
      </c>
      <c r="G780" s="8">
        <v>-0.4</v>
      </c>
      <c r="H780" s="4" t="s">
        <v>18</v>
      </c>
      <c r="I780" s="8">
        <v>0</v>
      </c>
      <c r="J780" s="3">
        <v>13092</v>
      </c>
      <c r="K780" s="3">
        <v>50301</v>
      </c>
      <c r="L780" s="17" t="str" cm="1">
        <f t="array" ref="L780">_xlfn.IFS(MID(K780,2,2)="01", "서울", MID(K780,2,2)="02","경기",MID(K780,2,2)="03","충청",MID(K780,2,2)="04","충청",MID(K780,2,2)="05","전라",MID(K780,2,2)="06","전라",MID(K780,2,2)="07","경북",MID(K780,2,2)="08","경남",MID(K780,2,2)="09","강원",MID(K780,2,2)="10","제주",TRUE,"국외")</f>
        <v>충청</v>
      </c>
    </row>
    <row r="781" spans="1:12" ht="17.25" thickBot="1">
      <c r="A781" s="3" t="s">
        <v>917</v>
      </c>
      <c r="B781" s="3" t="s">
        <v>68</v>
      </c>
      <c r="C781" s="3"/>
      <c r="D781" s="4" t="s">
        <v>254</v>
      </c>
      <c r="E781" s="4" t="s">
        <v>26</v>
      </c>
      <c r="F781" s="4">
        <v>2018</v>
      </c>
      <c r="G781" s="8">
        <v>0.3</v>
      </c>
      <c r="H781" s="4" t="s">
        <v>26</v>
      </c>
      <c r="I781" s="8">
        <v>-0.3</v>
      </c>
      <c r="J781" s="3">
        <v>13070</v>
      </c>
      <c r="K781" s="3">
        <v>50101</v>
      </c>
      <c r="L781" s="17" t="str" cm="1">
        <f t="array" ref="L781">_xlfn.IFS(MID(K781,2,2)="01", "서울", MID(K781,2,2)="02","경기",MID(K781,2,2)="03","충청",MID(K781,2,2)="04","충청",MID(K781,2,2)="05","전라",MID(K781,2,2)="06","전라",MID(K781,2,2)="07","경북",MID(K781,2,2)="08","경남",MID(K781,2,2)="09","강원",MID(K781,2,2)="10","제주",TRUE,"국외")</f>
        <v>서울</v>
      </c>
    </row>
    <row r="782" spans="1:12" ht="17.25" thickBot="1">
      <c r="A782" s="3" t="s">
        <v>918</v>
      </c>
      <c r="B782" s="3" t="s">
        <v>63</v>
      </c>
      <c r="C782" s="3"/>
      <c r="D782" s="4" t="s">
        <v>254</v>
      </c>
      <c r="E782" s="4" t="s">
        <v>9</v>
      </c>
      <c r="F782" s="4">
        <v>2019</v>
      </c>
      <c r="G782" s="9"/>
      <c r="H782" s="4" t="s">
        <v>9</v>
      </c>
      <c r="I782" s="8">
        <v>1.2</v>
      </c>
      <c r="J782" s="3">
        <v>13146</v>
      </c>
      <c r="K782" s="3">
        <v>50807</v>
      </c>
      <c r="L782" s="17" t="str" cm="1">
        <f t="array" ref="L782">_xlfn.IFS(MID(K782,2,2)="01", "서울", MID(K782,2,2)="02","경기",MID(K782,2,2)="03","충청",MID(K782,2,2)="04","충청",MID(K782,2,2)="05","전라",MID(K782,2,2)="06","전라",MID(K782,2,2)="07","경북",MID(K782,2,2)="08","경남",MID(K782,2,2)="09","강원",MID(K782,2,2)="10","제주",TRUE,"국외")</f>
        <v>경남</v>
      </c>
    </row>
    <row r="783" spans="1:12" ht="17.25" thickBot="1">
      <c r="A783" s="3" t="s">
        <v>919</v>
      </c>
      <c r="B783" s="3" t="s">
        <v>70</v>
      </c>
      <c r="C783" s="3"/>
      <c r="D783" s="4" t="s">
        <v>254</v>
      </c>
      <c r="E783" s="4" t="s">
        <v>23</v>
      </c>
      <c r="F783" s="4">
        <v>2018</v>
      </c>
      <c r="G783" s="8">
        <v>2.2000000000000002</v>
      </c>
      <c r="H783" s="4" t="s">
        <v>23</v>
      </c>
      <c r="I783" s="8">
        <v>1.9</v>
      </c>
      <c r="J783" s="3">
        <v>13157</v>
      </c>
      <c r="K783" s="3">
        <v>50103</v>
      </c>
      <c r="L783" s="17" t="str" cm="1">
        <f t="array" ref="L783">_xlfn.IFS(MID(K783,2,2)="01", "서울", MID(K783,2,2)="02","경기",MID(K783,2,2)="03","충청",MID(K783,2,2)="04","충청",MID(K783,2,2)="05","전라",MID(K783,2,2)="06","전라",MID(K783,2,2)="07","경북",MID(K783,2,2)="08","경남",MID(K783,2,2)="09","강원",MID(K783,2,2)="10","제주",TRUE,"국외")</f>
        <v>서울</v>
      </c>
    </row>
    <row r="784" spans="1:12" ht="17.25" thickBot="1">
      <c r="A784" s="3" t="s">
        <v>920</v>
      </c>
      <c r="B784" s="3" t="s">
        <v>101</v>
      </c>
      <c r="C784" s="3"/>
      <c r="D784" s="4" t="s">
        <v>254</v>
      </c>
      <c r="E784" s="4" t="s">
        <v>3</v>
      </c>
      <c r="F784" s="4">
        <v>2021</v>
      </c>
      <c r="G784" s="9"/>
      <c r="H784" s="4" t="s">
        <v>3</v>
      </c>
      <c r="I784" s="8">
        <v>-0.3</v>
      </c>
      <c r="J784" s="3">
        <v>13135</v>
      </c>
      <c r="K784" s="3">
        <v>50207</v>
      </c>
      <c r="L784" s="17" t="str" cm="1">
        <f t="array" ref="L784">_xlfn.IFS(MID(K784,2,2)="01", "서울", MID(K784,2,2)="02","경기",MID(K784,2,2)="03","충청",MID(K784,2,2)="04","충청",MID(K784,2,2)="05","전라",MID(K784,2,2)="06","전라",MID(K784,2,2)="07","경북",MID(K784,2,2)="08","경남",MID(K784,2,2)="09","강원",MID(K784,2,2)="10","제주",TRUE,"국외")</f>
        <v>경기</v>
      </c>
    </row>
    <row r="785" spans="1:12" ht="17.25" thickBot="1">
      <c r="A785" s="3" t="s">
        <v>921</v>
      </c>
      <c r="B785" s="3" t="s">
        <v>40</v>
      </c>
      <c r="C785" s="3"/>
      <c r="D785" s="4" t="s">
        <v>254</v>
      </c>
      <c r="E785" s="4" t="s">
        <v>6</v>
      </c>
      <c r="F785" s="4">
        <v>2018</v>
      </c>
      <c r="G785" s="8">
        <v>-0.1</v>
      </c>
      <c r="H785" s="4" t="s">
        <v>12</v>
      </c>
      <c r="I785" s="8">
        <v>0.2</v>
      </c>
      <c r="J785" s="3">
        <v>13115</v>
      </c>
      <c r="K785" s="3">
        <v>50108</v>
      </c>
      <c r="L785" s="17" t="str" cm="1">
        <f t="array" ref="L785">_xlfn.IFS(MID(K785,2,2)="01", "서울", MID(K785,2,2)="02","경기",MID(K785,2,2)="03","충청",MID(K785,2,2)="04","충청",MID(K785,2,2)="05","전라",MID(K785,2,2)="06","전라",MID(K785,2,2)="07","경북",MID(K785,2,2)="08","경남",MID(K785,2,2)="09","강원",MID(K785,2,2)="10","제주",TRUE,"국외")</f>
        <v>서울</v>
      </c>
    </row>
    <row r="786" spans="1:12" ht="17.25" thickBot="1">
      <c r="A786" s="3" t="s">
        <v>922</v>
      </c>
      <c r="B786" s="3" t="s">
        <v>32</v>
      </c>
      <c r="C786" s="3"/>
      <c r="D786" s="4" t="s">
        <v>254</v>
      </c>
      <c r="E786" s="4" t="s">
        <v>28</v>
      </c>
      <c r="F786" s="4">
        <v>2018</v>
      </c>
      <c r="G786" s="8">
        <v>0</v>
      </c>
      <c r="H786" s="4" t="s">
        <v>9</v>
      </c>
      <c r="I786" s="8">
        <v>-0.1</v>
      </c>
      <c r="J786" s="3">
        <v>13169</v>
      </c>
      <c r="K786" s="3">
        <v>50111</v>
      </c>
      <c r="L786" s="17" t="str" cm="1">
        <f t="array" ref="L786">_xlfn.IFS(MID(K786,2,2)="01", "서울", MID(K786,2,2)="02","경기",MID(K786,2,2)="03","충청",MID(K786,2,2)="04","충청",MID(K786,2,2)="05","전라",MID(K786,2,2)="06","전라",MID(K786,2,2)="07","경북",MID(K786,2,2)="08","경남",MID(K786,2,2)="09","강원",MID(K786,2,2)="10","제주",TRUE,"국외")</f>
        <v>서울</v>
      </c>
    </row>
    <row r="787" spans="1:12" ht="17.25" thickBot="1">
      <c r="A787" s="3" t="s">
        <v>923</v>
      </c>
      <c r="B787" s="3" t="s">
        <v>1</v>
      </c>
      <c r="C787" s="3"/>
      <c r="D787" s="4" t="s">
        <v>254</v>
      </c>
      <c r="E787" s="4" t="s">
        <v>20</v>
      </c>
      <c r="F787" s="4">
        <v>2020</v>
      </c>
      <c r="G787" s="9"/>
      <c r="H787" s="4" t="s">
        <v>20</v>
      </c>
      <c r="I787" s="8">
        <v>2.1</v>
      </c>
      <c r="J787" s="3">
        <v>13104</v>
      </c>
      <c r="K787" s="3">
        <v>50107</v>
      </c>
      <c r="L787" s="17" t="str" cm="1">
        <f t="array" ref="L787">_xlfn.IFS(MID(K787,2,2)="01", "서울", MID(K787,2,2)="02","경기",MID(K787,2,2)="03","충청",MID(K787,2,2)="04","충청",MID(K787,2,2)="05","전라",MID(K787,2,2)="06","전라",MID(K787,2,2)="07","경북",MID(K787,2,2)="08","경남",MID(K787,2,2)="09","강원",MID(K787,2,2)="10","제주",TRUE,"국외")</f>
        <v>서울</v>
      </c>
    </row>
    <row r="788" spans="1:12" ht="17.25" thickBot="1">
      <c r="A788" s="3" t="s">
        <v>924</v>
      </c>
      <c r="B788" s="3" t="s">
        <v>63</v>
      </c>
      <c r="C788" s="3"/>
      <c r="D788" s="4" t="s">
        <v>254</v>
      </c>
      <c r="E788" s="4" t="s">
        <v>12</v>
      </c>
      <c r="F788" s="4">
        <v>2018</v>
      </c>
      <c r="G788" s="8">
        <v>-0.2</v>
      </c>
      <c r="H788" s="4" t="s">
        <v>12</v>
      </c>
      <c r="I788" s="8">
        <v>-0.3</v>
      </c>
      <c r="J788" s="3">
        <v>13082</v>
      </c>
      <c r="K788" s="3">
        <v>50807</v>
      </c>
      <c r="L788" s="17" t="str" cm="1">
        <f t="array" ref="L788">_xlfn.IFS(MID(K788,2,2)="01", "서울", MID(K788,2,2)="02","경기",MID(K788,2,2)="03","충청",MID(K788,2,2)="04","충청",MID(K788,2,2)="05","전라",MID(K788,2,2)="06","전라",MID(K788,2,2)="07","경북",MID(K788,2,2)="08","경남",MID(K788,2,2)="09","강원",MID(K788,2,2)="10","제주",TRUE,"국외")</f>
        <v>경남</v>
      </c>
    </row>
    <row r="789" spans="1:12" ht="17.25" thickBot="1">
      <c r="A789" s="3" t="s">
        <v>925</v>
      </c>
      <c r="B789" s="3" t="s">
        <v>11</v>
      </c>
      <c r="C789" s="3"/>
      <c r="D789" s="4" t="s">
        <v>254</v>
      </c>
      <c r="E789" s="4" t="s">
        <v>607</v>
      </c>
      <c r="F789" s="4">
        <v>2018</v>
      </c>
      <c r="G789" s="8">
        <v>-0.1</v>
      </c>
      <c r="H789" s="4" t="s">
        <v>15</v>
      </c>
      <c r="I789" s="8">
        <v>1.1000000000000001</v>
      </c>
      <c r="J789" s="3">
        <v>13126</v>
      </c>
      <c r="K789" s="3">
        <v>50802</v>
      </c>
      <c r="L789" s="17" t="str" cm="1">
        <f t="array" ref="L789">_xlfn.IFS(MID(K789,2,2)="01", "서울", MID(K789,2,2)="02","경기",MID(K789,2,2)="03","충청",MID(K789,2,2)="04","충청",MID(K789,2,2)="05","전라",MID(K789,2,2)="06","전라",MID(K789,2,2)="07","경북",MID(K789,2,2)="08","경남",MID(K789,2,2)="09","강원",MID(K789,2,2)="10","제주",TRUE,"국외")</f>
        <v>경남</v>
      </c>
    </row>
    <row r="790" spans="1:12" ht="17.25" thickBot="1">
      <c r="A790" s="3" t="s">
        <v>926</v>
      </c>
      <c r="B790" s="3" t="s">
        <v>11</v>
      </c>
      <c r="C790" s="3"/>
      <c r="D790" s="4" t="s">
        <v>254</v>
      </c>
      <c r="E790" s="4" t="s">
        <v>906</v>
      </c>
      <c r="F790" s="4">
        <v>2018</v>
      </c>
      <c r="G790" s="8">
        <v>-0.2</v>
      </c>
      <c r="H790" s="4" t="s">
        <v>18</v>
      </c>
      <c r="I790" s="8">
        <v>-0.2</v>
      </c>
      <c r="J790" s="3">
        <v>13093</v>
      </c>
      <c r="K790" s="3">
        <v>50802</v>
      </c>
      <c r="L790" s="17" t="str" cm="1">
        <f t="array" ref="L790">_xlfn.IFS(MID(K790,2,2)="01", "서울", MID(K790,2,2)="02","경기",MID(K790,2,2)="03","충청",MID(K790,2,2)="04","충청",MID(K790,2,2)="05","전라",MID(K790,2,2)="06","전라",MID(K790,2,2)="07","경북",MID(K790,2,2)="08","경남",MID(K790,2,2)="09","강원",MID(K790,2,2)="10","제주",TRUE,"국외")</f>
        <v>경남</v>
      </c>
    </row>
    <row r="791" spans="1:12" ht="17.25" thickBot="1">
      <c r="A791" s="3" t="s">
        <v>927</v>
      </c>
      <c r="B791" s="3" t="s">
        <v>126</v>
      </c>
      <c r="C791" s="3"/>
      <c r="D791" s="4" t="s">
        <v>254</v>
      </c>
      <c r="E791" s="4" t="s">
        <v>26</v>
      </c>
      <c r="F791" s="4">
        <v>2022</v>
      </c>
      <c r="G791" s="9"/>
      <c r="H791" s="4" t="s">
        <v>26</v>
      </c>
      <c r="I791" s="8">
        <v>1.6</v>
      </c>
      <c r="J791" s="3">
        <v>13071</v>
      </c>
      <c r="K791" s="3">
        <v>50206</v>
      </c>
      <c r="L791" s="17" t="str" cm="1">
        <f t="array" ref="L791">_xlfn.IFS(MID(K791,2,2)="01", "서울", MID(K791,2,2)="02","경기",MID(K791,2,2)="03","충청",MID(K791,2,2)="04","충청",MID(K791,2,2)="05","전라",MID(K791,2,2)="06","전라",MID(K791,2,2)="07","경북",MID(K791,2,2)="08","경남",MID(K791,2,2)="09","강원",MID(K791,2,2)="10","제주",TRUE,"국외")</f>
        <v>경기</v>
      </c>
    </row>
    <row r="792" spans="1:12" ht="17.25" thickBot="1">
      <c r="A792" s="3" t="s">
        <v>928</v>
      </c>
      <c r="B792" s="3" t="s">
        <v>107</v>
      </c>
      <c r="C792" s="3" t="s">
        <v>221</v>
      </c>
      <c r="D792" s="4" t="s">
        <v>254</v>
      </c>
      <c r="E792" s="4" t="s">
        <v>9</v>
      </c>
      <c r="F792" s="4">
        <v>2018</v>
      </c>
      <c r="G792" s="8">
        <v>0.1</v>
      </c>
      <c r="H792" s="4" t="s">
        <v>9</v>
      </c>
      <c r="I792" s="8">
        <v>0.2</v>
      </c>
      <c r="J792" s="3">
        <v>13147</v>
      </c>
      <c r="K792" s="3">
        <v>50602</v>
      </c>
      <c r="L792" s="17" t="str" cm="1">
        <f t="array" ref="L792">_xlfn.IFS(MID(K792,2,2)="01", "서울", MID(K792,2,2)="02","경기",MID(K792,2,2)="03","충청",MID(K792,2,2)="04","충청",MID(K792,2,2)="05","전라",MID(K792,2,2)="06","전라",MID(K792,2,2)="07","경북",MID(K792,2,2)="08","경남",MID(K792,2,2)="09","강원",MID(K792,2,2)="10","제주",TRUE,"국외")</f>
        <v>전라</v>
      </c>
    </row>
    <row r="793" spans="1:12" ht="17.25" thickBot="1">
      <c r="A793" s="3" t="s">
        <v>743</v>
      </c>
      <c r="B793" s="3" t="s">
        <v>34</v>
      </c>
      <c r="C793" s="3"/>
      <c r="D793" s="4" t="s">
        <v>254</v>
      </c>
      <c r="E793" s="4" t="s">
        <v>23</v>
      </c>
      <c r="F793" s="4"/>
      <c r="G793" s="9"/>
      <c r="H793" s="4"/>
      <c r="I793" s="9"/>
      <c r="J793" s="3">
        <v>13158</v>
      </c>
      <c r="K793" s="3">
        <v>50701</v>
      </c>
      <c r="L793" s="17" t="str" cm="1">
        <f t="array" ref="L793">_xlfn.IFS(MID(K793,2,2)="01", "서울", MID(K793,2,2)="02","경기",MID(K793,2,2)="03","충청",MID(K793,2,2)="04","충청",MID(K793,2,2)="05","전라",MID(K793,2,2)="06","전라",MID(K793,2,2)="07","경북",MID(K793,2,2)="08","경남",MID(K793,2,2)="09","강원",MID(K793,2,2)="10","제주",TRUE,"국외")</f>
        <v>경북</v>
      </c>
    </row>
    <row r="794" spans="1:12" ht="17.25" thickBot="1">
      <c r="A794" s="3" t="s">
        <v>611</v>
      </c>
      <c r="B794" s="3" t="s">
        <v>107</v>
      </c>
      <c r="C794" s="3"/>
      <c r="D794" s="4" t="s">
        <v>254</v>
      </c>
      <c r="E794" s="4" t="s">
        <v>3</v>
      </c>
      <c r="F794" s="4">
        <v>2018</v>
      </c>
      <c r="G794" s="8">
        <v>-0.2</v>
      </c>
      <c r="H794" s="4" t="s">
        <v>3</v>
      </c>
      <c r="I794" s="8">
        <v>-1</v>
      </c>
      <c r="J794" s="3">
        <v>13136</v>
      </c>
      <c r="K794" s="3">
        <v>50602</v>
      </c>
      <c r="L794" s="17" t="str" cm="1">
        <f t="array" ref="L794">_xlfn.IFS(MID(K794,2,2)="01", "서울", MID(K794,2,2)="02","경기",MID(K794,2,2)="03","충청",MID(K794,2,2)="04","충청",MID(K794,2,2)="05","전라",MID(K794,2,2)="06","전라",MID(K794,2,2)="07","경북",MID(K794,2,2)="08","경남",MID(K794,2,2)="09","강원",MID(K794,2,2)="10","제주",TRUE,"국외")</f>
        <v>전라</v>
      </c>
    </row>
    <row r="795" spans="1:12" ht="17.25" thickBot="1">
      <c r="A795" s="3" t="s">
        <v>929</v>
      </c>
      <c r="B795" s="3" t="s">
        <v>93</v>
      </c>
      <c r="C795" s="3"/>
      <c r="D795" s="4" t="s">
        <v>254</v>
      </c>
      <c r="E795" s="4" t="s">
        <v>6</v>
      </c>
      <c r="F795" s="4"/>
      <c r="G795" s="9"/>
      <c r="H795" s="4"/>
      <c r="I795" s="9"/>
      <c r="J795" s="3">
        <v>13116</v>
      </c>
      <c r="K795" s="3">
        <v>50805</v>
      </c>
      <c r="L795" s="17" t="str" cm="1">
        <f t="array" ref="L795">_xlfn.IFS(MID(K795,2,2)="01", "서울", MID(K795,2,2)="02","경기",MID(K795,2,2)="03","충청",MID(K795,2,2)="04","충청",MID(K795,2,2)="05","전라",MID(K795,2,2)="06","전라",MID(K795,2,2)="07","경북",MID(K795,2,2)="08","경남",MID(K795,2,2)="09","강원",MID(K795,2,2)="10","제주",TRUE,"국외")</f>
        <v>경남</v>
      </c>
    </row>
    <row r="796" spans="1:12" ht="17.25" thickBot="1">
      <c r="A796" s="3" t="s">
        <v>930</v>
      </c>
      <c r="B796" s="3" t="s">
        <v>63</v>
      </c>
      <c r="C796" s="3"/>
      <c r="D796" s="4" t="s">
        <v>254</v>
      </c>
      <c r="E796" s="4" t="s">
        <v>28</v>
      </c>
      <c r="F796" s="4"/>
      <c r="G796" s="9"/>
      <c r="H796" s="4"/>
      <c r="I796" s="9"/>
      <c r="J796" s="3">
        <v>13170</v>
      </c>
      <c r="K796" s="3">
        <v>50807</v>
      </c>
      <c r="L796" s="17" t="str" cm="1">
        <f t="array" ref="L796">_xlfn.IFS(MID(K796,2,2)="01", "서울", MID(K796,2,2)="02","경기",MID(K796,2,2)="03","충청",MID(K796,2,2)="04","충청",MID(K796,2,2)="05","전라",MID(K796,2,2)="06","전라",MID(K796,2,2)="07","경북",MID(K796,2,2)="08","경남",MID(K796,2,2)="09","강원",MID(K796,2,2)="10","제주",TRUE,"국외")</f>
        <v>경남</v>
      </c>
    </row>
    <row r="797" spans="1:12" ht="17.25" thickBot="1">
      <c r="A797" s="3" t="s">
        <v>441</v>
      </c>
      <c r="B797" s="3" t="s">
        <v>1</v>
      </c>
      <c r="C797" s="3"/>
      <c r="D797" s="4" t="s">
        <v>254</v>
      </c>
      <c r="E797" s="4" t="s">
        <v>20</v>
      </c>
      <c r="F797" s="4">
        <v>2022</v>
      </c>
      <c r="G797" s="9"/>
      <c r="H797" s="4"/>
      <c r="I797" s="9"/>
      <c r="J797" s="3">
        <v>13105</v>
      </c>
      <c r="K797" s="3">
        <v>50107</v>
      </c>
      <c r="L797" s="17" t="str" cm="1">
        <f t="array" ref="L797">_xlfn.IFS(MID(K797,2,2)="01", "서울", MID(K797,2,2)="02","경기",MID(K797,2,2)="03","충청",MID(K797,2,2)="04","충청",MID(K797,2,2)="05","전라",MID(K797,2,2)="06","전라",MID(K797,2,2)="07","경북",MID(K797,2,2)="08","경남",MID(K797,2,2)="09","강원",MID(K797,2,2)="10","제주",TRUE,"국외")</f>
        <v>서울</v>
      </c>
    </row>
    <row r="798" spans="1:12" ht="17.25" thickBot="1">
      <c r="A798" s="3" t="s">
        <v>931</v>
      </c>
      <c r="B798" s="3" t="s">
        <v>105</v>
      </c>
      <c r="C798" s="3"/>
      <c r="D798" s="4" t="s">
        <v>254</v>
      </c>
      <c r="E798" s="4" t="s">
        <v>12</v>
      </c>
      <c r="F798" s="4">
        <v>2018</v>
      </c>
      <c r="G798" s="8">
        <v>0</v>
      </c>
      <c r="H798" s="4" t="s">
        <v>12</v>
      </c>
      <c r="I798" s="8">
        <v>-0.1</v>
      </c>
      <c r="J798" s="3">
        <v>13083</v>
      </c>
      <c r="K798" s="3">
        <v>50212</v>
      </c>
      <c r="L798" s="17" t="str" cm="1">
        <f t="array" ref="L798">_xlfn.IFS(MID(K798,2,2)="01", "서울", MID(K798,2,2)="02","경기",MID(K798,2,2)="03","충청",MID(K798,2,2)="04","충청",MID(K798,2,2)="05","전라",MID(K798,2,2)="06","전라",MID(K798,2,2)="07","경북",MID(K798,2,2)="08","경남",MID(K798,2,2)="09","강원",MID(K798,2,2)="10","제주",TRUE,"국외")</f>
        <v>경기</v>
      </c>
    </row>
    <row r="799" spans="1:12" ht="17.25" thickBot="1">
      <c r="A799" s="3" t="s">
        <v>932</v>
      </c>
      <c r="B799" s="3" t="s">
        <v>40</v>
      </c>
      <c r="C799" s="3"/>
      <c r="D799" s="4" t="s">
        <v>254</v>
      </c>
      <c r="E799" s="4" t="s">
        <v>607</v>
      </c>
      <c r="F799" s="4">
        <v>2022</v>
      </c>
      <c r="G799" s="9"/>
      <c r="H799" s="4"/>
      <c r="I799" s="9"/>
      <c r="J799" s="3">
        <v>13127</v>
      </c>
      <c r="K799" s="3">
        <v>50108</v>
      </c>
      <c r="L799" s="17" t="str" cm="1">
        <f t="array" ref="L799">_xlfn.IFS(MID(K799,2,2)="01", "서울", MID(K799,2,2)="02","경기",MID(K799,2,2)="03","충청",MID(K799,2,2)="04","충청",MID(K799,2,2)="05","전라",MID(K799,2,2)="06","전라",MID(K799,2,2)="07","경북",MID(K799,2,2)="08","경남",MID(K799,2,2)="09","강원",MID(K799,2,2)="10","제주",TRUE,"국외")</f>
        <v>서울</v>
      </c>
    </row>
    <row r="800" spans="1:12" ht="17.25" thickBot="1">
      <c r="A800" s="3" t="s">
        <v>933</v>
      </c>
      <c r="B800" s="3" t="s">
        <v>66</v>
      </c>
      <c r="C800" s="3"/>
      <c r="D800" s="4" t="s">
        <v>254</v>
      </c>
      <c r="E800" s="4" t="s">
        <v>906</v>
      </c>
      <c r="F800" s="4">
        <v>2019</v>
      </c>
      <c r="G800" s="9"/>
      <c r="H800" s="4" t="s">
        <v>9</v>
      </c>
      <c r="I800" s="8">
        <v>0.9</v>
      </c>
      <c r="J800" s="3">
        <v>13094</v>
      </c>
      <c r="K800" s="3">
        <v>50110</v>
      </c>
      <c r="L800" s="17" t="str" cm="1">
        <f t="array" ref="L800">_xlfn.IFS(MID(K800,2,2)="01", "서울", MID(K800,2,2)="02","경기",MID(K800,2,2)="03","충청",MID(K800,2,2)="04","충청",MID(K800,2,2)="05","전라",MID(K800,2,2)="06","전라",MID(K800,2,2)="07","경북",MID(K800,2,2)="08","경남",MID(K800,2,2)="09","강원",MID(K800,2,2)="10","제주",TRUE,"국외")</f>
        <v>서울</v>
      </c>
    </row>
    <row r="801" spans="1:12" ht="17.25" thickBot="1">
      <c r="A801" s="3" t="s">
        <v>934</v>
      </c>
      <c r="B801" s="3" t="s">
        <v>8</v>
      </c>
      <c r="C801" s="3"/>
      <c r="D801" s="4" t="s">
        <v>254</v>
      </c>
      <c r="E801" s="4" t="s">
        <v>26</v>
      </c>
      <c r="F801" s="4">
        <v>2018</v>
      </c>
      <c r="G801" s="8">
        <v>0</v>
      </c>
      <c r="H801" s="4" t="s">
        <v>26</v>
      </c>
      <c r="I801" s="8">
        <v>1.1000000000000001</v>
      </c>
      <c r="J801" s="3">
        <v>13072</v>
      </c>
      <c r="K801" s="3">
        <v>50116</v>
      </c>
      <c r="L801" s="17" t="str" cm="1">
        <f t="array" ref="L801">_xlfn.IFS(MID(K801,2,2)="01", "서울", MID(K801,2,2)="02","경기",MID(K801,2,2)="03","충청",MID(K801,2,2)="04","충청",MID(K801,2,2)="05","전라",MID(K801,2,2)="06","전라",MID(K801,2,2)="07","경북",MID(K801,2,2)="08","경남",MID(K801,2,2)="09","강원",MID(K801,2,2)="10","제주",TRUE,"국외")</f>
        <v>서울</v>
      </c>
    </row>
    <row r="802" spans="1:12" ht="17.25" thickBot="1">
      <c r="A802" s="3" t="s">
        <v>935</v>
      </c>
      <c r="B802" s="3" t="s">
        <v>126</v>
      </c>
      <c r="C802" s="3"/>
      <c r="D802" s="4" t="s">
        <v>254</v>
      </c>
      <c r="E802" s="4" t="s">
        <v>9</v>
      </c>
      <c r="F802" s="4">
        <v>2021</v>
      </c>
      <c r="G802" s="9"/>
      <c r="H802" s="4" t="s">
        <v>9</v>
      </c>
      <c r="I802" s="8">
        <v>1.4</v>
      </c>
      <c r="J802" s="3">
        <v>13148</v>
      </c>
      <c r="K802" s="3">
        <v>50206</v>
      </c>
      <c r="L802" s="17" t="str" cm="1">
        <f t="array" ref="L802">_xlfn.IFS(MID(K802,2,2)="01", "서울", MID(K802,2,2)="02","경기",MID(K802,2,2)="03","충청",MID(K802,2,2)="04","충청",MID(K802,2,2)="05","전라",MID(K802,2,2)="06","전라",MID(K802,2,2)="07","경북",MID(K802,2,2)="08","경남",MID(K802,2,2)="09","강원",MID(K802,2,2)="10","제주",TRUE,"국외")</f>
        <v>경기</v>
      </c>
    </row>
    <row r="803" spans="1:12" ht="17.25" thickBot="1">
      <c r="A803" s="3" t="s">
        <v>936</v>
      </c>
      <c r="B803" s="3" t="s">
        <v>107</v>
      </c>
      <c r="C803" s="3"/>
      <c r="D803" s="4" t="s">
        <v>254</v>
      </c>
      <c r="E803" s="4" t="s">
        <v>23</v>
      </c>
      <c r="F803" s="4">
        <v>2018</v>
      </c>
      <c r="G803" s="8">
        <v>0</v>
      </c>
      <c r="H803" s="4" t="s">
        <v>23</v>
      </c>
      <c r="I803" s="8">
        <v>0</v>
      </c>
      <c r="J803" s="3">
        <v>13159</v>
      </c>
      <c r="K803" s="3">
        <v>50602</v>
      </c>
      <c r="L803" s="17" t="str" cm="1">
        <f t="array" ref="L803">_xlfn.IFS(MID(K803,2,2)="01", "서울", MID(K803,2,2)="02","경기",MID(K803,2,2)="03","충청",MID(K803,2,2)="04","충청",MID(K803,2,2)="05","전라",MID(K803,2,2)="06","전라",MID(K803,2,2)="07","경북",MID(K803,2,2)="08","경남",MID(K803,2,2)="09","강원",MID(K803,2,2)="10","제주",TRUE,"국외")</f>
        <v>전라</v>
      </c>
    </row>
    <row r="804" spans="1:12" ht="17.25" thickBot="1">
      <c r="A804" s="3" t="s">
        <v>937</v>
      </c>
      <c r="B804" s="3" t="s">
        <v>22</v>
      </c>
      <c r="C804" s="3"/>
      <c r="D804" s="4" t="s">
        <v>254</v>
      </c>
      <c r="E804" s="4" t="s">
        <v>3</v>
      </c>
      <c r="F804" s="4">
        <v>2018</v>
      </c>
      <c r="G804" s="8">
        <v>0.5</v>
      </c>
      <c r="H804" s="4" t="s">
        <v>3</v>
      </c>
      <c r="I804" s="8">
        <v>12.1</v>
      </c>
      <c r="J804" s="3">
        <v>13137</v>
      </c>
      <c r="K804" s="3">
        <v>50209</v>
      </c>
      <c r="L804" s="17" t="str" cm="1">
        <f t="array" ref="L804">_xlfn.IFS(MID(K804,2,2)="01", "서울", MID(K804,2,2)="02","경기",MID(K804,2,2)="03","충청",MID(K804,2,2)="04","충청",MID(K804,2,2)="05","전라",MID(K804,2,2)="06","전라",MID(K804,2,2)="07","경북",MID(K804,2,2)="08","경남",MID(K804,2,2)="09","강원",MID(K804,2,2)="10","제주",TRUE,"국외")</f>
        <v>경기</v>
      </c>
    </row>
    <row r="805" spans="1:12" ht="17.25" thickBot="1">
      <c r="A805" s="3" t="s">
        <v>938</v>
      </c>
      <c r="B805" s="3" t="s">
        <v>68</v>
      </c>
      <c r="C805" s="3"/>
      <c r="D805" s="4" t="s">
        <v>254</v>
      </c>
      <c r="E805" s="4" t="s">
        <v>6</v>
      </c>
      <c r="F805" s="4">
        <v>2019</v>
      </c>
      <c r="G805" s="9"/>
      <c r="H805" s="4" t="s">
        <v>6</v>
      </c>
      <c r="I805" s="8">
        <v>-1</v>
      </c>
      <c r="J805" s="3">
        <v>13117</v>
      </c>
      <c r="K805" s="3">
        <v>50101</v>
      </c>
      <c r="L805" s="17" t="str" cm="1">
        <f t="array" ref="L805">_xlfn.IFS(MID(K805,2,2)="01", "서울", MID(K805,2,2)="02","경기",MID(K805,2,2)="03","충청",MID(K805,2,2)="04","충청",MID(K805,2,2)="05","전라",MID(K805,2,2)="06","전라",MID(K805,2,2)="07","경북",MID(K805,2,2)="08","경남",MID(K805,2,2)="09","강원",MID(K805,2,2)="10","제주",TRUE,"국외")</f>
        <v>서울</v>
      </c>
    </row>
    <row r="806" spans="1:12" ht="17.25" thickBot="1">
      <c r="A806" s="3" t="s">
        <v>939</v>
      </c>
      <c r="B806" s="3" t="s">
        <v>158</v>
      </c>
      <c r="C806" s="3"/>
      <c r="D806" s="4" t="s">
        <v>254</v>
      </c>
      <c r="E806" s="4" t="s">
        <v>28</v>
      </c>
      <c r="F806" s="4">
        <v>2018</v>
      </c>
      <c r="G806" s="8">
        <v>-0.1</v>
      </c>
      <c r="H806" s="4" t="s">
        <v>28</v>
      </c>
      <c r="I806" s="8">
        <v>-0.3</v>
      </c>
      <c r="J806" s="3">
        <v>13171</v>
      </c>
      <c r="K806" s="3">
        <v>50501</v>
      </c>
      <c r="L806" s="17" t="str" cm="1">
        <f t="array" ref="L806">_xlfn.IFS(MID(K806,2,2)="01", "서울", MID(K806,2,2)="02","경기",MID(K806,2,2)="03","충청",MID(K806,2,2)="04","충청",MID(K806,2,2)="05","전라",MID(K806,2,2)="06","전라",MID(K806,2,2)="07","경북",MID(K806,2,2)="08","경남",MID(K806,2,2)="09","강원",MID(K806,2,2)="10","제주",TRUE,"국외")</f>
        <v>전라</v>
      </c>
    </row>
    <row r="807" spans="1:12" ht="17.25" thickBot="1">
      <c r="A807" s="3" t="s">
        <v>940</v>
      </c>
      <c r="B807" s="3" t="s">
        <v>529</v>
      </c>
      <c r="C807" s="3"/>
      <c r="D807" s="4" t="s">
        <v>254</v>
      </c>
      <c r="E807" s="4" t="s">
        <v>20</v>
      </c>
      <c r="F807" s="4"/>
      <c r="G807" s="9"/>
      <c r="H807" s="4"/>
      <c r="I807" s="9"/>
      <c r="J807" s="3">
        <v>13106</v>
      </c>
      <c r="K807" s="3">
        <v>50118</v>
      </c>
      <c r="L807" s="17" t="str" cm="1">
        <f t="array" ref="L807">_xlfn.IFS(MID(K807,2,2)="01", "서울", MID(K807,2,2)="02","경기",MID(K807,2,2)="03","충청",MID(K807,2,2)="04","충청",MID(K807,2,2)="05","전라",MID(K807,2,2)="06","전라",MID(K807,2,2)="07","경북",MID(K807,2,2)="08","경남",MID(K807,2,2)="09","강원",MID(K807,2,2)="10","제주",TRUE,"국외")</f>
        <v>서울</v>
      </c>
    </row>
    <row r="808" spans="1:12" ht="17.25" thickBot="1">
      <c r="A808" s="3" t="s">
        <v>941</v>
      </c>
      <c r="B808" s="3" t="s">
        <v>5</v>
      </c>
      <c r="C808" s="3"/>
      <c r="D808" s="4" t="s">
        <v>254</v>
      </c>
      <c r="E808" s="4" t="s">
        <v>12</v>
      </c>
      <c r="F808" s="4">
        <v>2018</v>
      </c>
      <c r="G808" s="8">
        <v>0.1</v>
      </c>
      <c r="H808" s="4" t="s">
        <v>12</v>
      </c>
      <c r="I808" s="8">
        <v>0.1</v>
      </c>
      <c r="J808" s="3">
        <v>13084</v>
      </c>
      <c r="K808" s="3">
        <v>50114</v>
      </c>
      <c r="L808" s="17" t="str" cm="1">
        <f t="array" ref="L808">_xlfn.IFS(MID(K808,2,2)="01", "서울", MID(K808,2,2)="02","경기",MID(K808,2,2)="03","충청",MID(K808,2,2)="04","충청",MID(K808,2,2)="05","전라",MID(K808,2,2)="06","전라",MID(K808,2,2)="07","경북",MID(K808,2,2)="08","경남",MID(K808,2,2)="09","강원",MID(K808,2,2)="10","제주",TRUE,"국외")</f>
        <v>서울</v>
      </c>
    </row>
    <row r="809" spans="1:12" ht="17.25" thickBot="1">
      <c r="A809" s="3" t="s">
        <v>942</v>
      </c>
      <c r="B809" s="3" t="s">
        <v>32</v>
      </c>
      <c r="C809" s="3"/>
      <c r="D809" s="4" t="s">
        <v>254</v>
      </c>
      <c r="E809" s="4" t="s">
        <v>607</v>
      </c>
      <c r="F809" s="4">
        <v>2019</v>
      </c>
      <c r="G809" s="9"/>
      <c r="H809" s="4" t="s">
        <v>607</v>
      </c>
      <c r="I809" s="8">
        <v>0.5</v>
      </c>
      <c r="J809" s="3">
        <v>13128</v>
      </c>
      <c r="K809" s="3">
        <v>50111</v>
      </c>
      <c r="L809" s="17" t="str" cm="1">
        <f t="array" ref="L809">_xlfn.IFS(MID(K809,2,2)="01", "서울", MID(K809,2,2)="02","경기",MID(K809,2,2)="03","충청",MID(K809,2,2)="04","충청",MID(K809,2,2)="05","전라",MID(K809,2,2)="06","전라",MID(K809,2,2)="07","경북",MID(K809,2,2)="08","경남",MID(K809,2,2)="09","강원",MID(K809,2,2)="10","제주",TRUE,"국외")</f>
        <v>서울</v>
      </c>
    </row>
    <row r="810" spans="1:12" ht="17.25" thickBot="1">
      <c r="A810" s="3" t="s">
        <v>943</v>
      </c>
      <c r="B810" s="3" t="s">
        <v>34</v>
      </c>
      <c r="C810" s="3"/>
      <c r="D810" s="4" t="s">
        <v>254</v>
      </c>
      <c r="E810" s="4" t="s">
        <v>906</v>
      </c>
      <c r="F810" s="4"/>
      <c r="G810" s="9"/>
      <c r="H810" s="4"/>
      <c r="I810" s="9"/>
      <c r="J810" s="3">
        <v>13095</v>
      </c>
      <c r="K810" s="3">
        <v>50701</v>
      </c>
      <c r="L810" s="17" t="str" cm="1">
        <f t="array" ref="L810">_xlfn.IFS(MID(K810,2,2)="01", "서울", MID(K810,2,2)="02","경기",MID(K810,2,2)="03","충청",MID(K810,2,2)="04","충청",MID(K810,2,2)="05","전라",MID(K810,2,2)="06","전라",MID(K810,2,2)="07","경북",MID(K810,2,2)="08","경남",MID(K810,2,2)="09","강원",MID(K810,2,2)="10","제주",TRUE,"국외")</f>
        <v>경북</v>
      </c>
    </row>
    <row r="811" spans="1:12" ht="17.25" thickBot="1">
      <c r="A811" s="3" t="s">
        <v>944</v>
      </c>
      <c r="B811" s="3" t="s">
        <v>36</v>
      </c>
      <c r="C811" s="3"/>
      <c r="D811" s="4" t="s">
        <v>254</v>
      </c>
      <c r="E811" s="4" t="s">
        <v>26</v>
      </c>
      <c r="F811" s="4">
        <v>2018</v>
      </c>
      <c r="G811" s="8">
        <v>0</v>
      </c>
      <c r="H811" s="4" t="s">
        <v>26</v>
      </c>
      <c r="I811" s="8">
        <v>-0.1</v>
      </c>
      <c r="J811" s="3">
        <v>13073</v>
      </c>
      <c r="K811" s="3">
        <v>50402</v>
      </c>
      <c r="L811" s="17" t="str" cm="1">
        <f t="array" ref="L811">_xlfn.IFS(MID(K811,2,2)="01", "서울", MID(K811,2,2)="02","경기",MID(K811,2,2)="03","충청",MID(K811,2,2)="04","충청",MID(K811,2,2)="05","전라",MID(K811,2,2)="06","전라",MID(K811,2,2)="07","경북",MID(K811,2,2)="08","경남",MID(K811,2,2)="09","강원",MID(K811,2,2)="10","제주",TRUE,"국외")</f>
        <v>충청</v>
      </c>
    </row>
    <row r="812" spans="1:12" ht="17.25" thickBot="1">
      <c r="A812" s="3" t="s">
        <v>945</v>
      </c>
      <c r="B812" s="3" t="s">
        <v>101</v>
      </c>
      <c r="C812" s="3" t="s">
        <v>83</v>
      </c>
      <c r="D812" s="4" t="s">
        <v>254</v>
      </c>
      <c r="E812" s="4" t="s">
        <v>9</v>
      </c>
      <c r="F812" s="4">
        <v>2021</v>
      </c>
      <c r="G812" s="9"/>
      <c r="H812" s="4" t="s">
        <v>9</v>
      </c>
      <c r="I812" s="8">
        <v>-0.1</v>
      </c>
      <c r="J812" s="3">
        <v>13149</v>
      </c>
      <c r="K812" s="3">
        <v>50207</v>
      </c>
      <c r="L812" s="17" t="str" cm="1">
        <f t="array" ref="L812">_xlfn.IFS(MID(K812,2,2)="01", "서울", MID(K812,2,2)="02","경기",MID(K812,2,2)="03","충청",MID(K812,2,2)="04","충청",MID(K812,2,2)="05","전라",MID(K812,2,2)="06","전라",MID(K812,2,2)="07","경북",MID(K812,2,2)="08","경남",MID(K812,2,2)="09","강원",MID(K812,2,2)="10","제주",TRUE,"국외")</f>
        <v>경기</v>
      </c>
    </row>
    <row r="813" spans="1:12" ht="17.25" thickBot="1">
      <c r="A813" s="3" t="s">
        <v>946</v>
      </c>
      <c r="B813" s="3" t="s">
        <v>96</v>
      </c>
      <c r="C813" s="3" t="s">
        <v>174</v>
      </c>
      <c r="D813" s="4" t="s">
        <v>254</v>
      </c>
      <c r="E813" s="4" t="s">
        <v>23</v>
      </c>
      <c r="F813" s="4">
        <v>2021</v>
      </c>
      <c r="G813" s="9"/>
      <c r="H813" s="4" t="s">
        <v>23</v>
      </c>
      <c r="I813" s="8">
        <v>-0.2</v>
      </c>
      <c r="J813" s="3">
        <v>13160</v>
      </c>
      <c r="K813" s="3">
        <v>50601</v>
      </c>
      <c r="L813" s="17" t="str" cm="1">
        <f t="array" ref="L813">_xlfn.IFS(MID(K813,2,2)="01", "서울", MID(K813,2,2)="02","경기",MID(K813,2,2)="03","충청",MID(K813,2,2)="04","충청",MID(K813,2,2)="05","전라",MID(K813,2,2)="06","전라",MID(K813,2,2)="07","경북",MID(K813,2,2)="08","경남",MID(K813,2,2)="09","강원",MID(K813,2,2)="10","제주",TRUE,"국외")</f>
        <v>전라</v>
      </c>
    </row>
    <row r="814" spans="1:12" ht="17.25" thickBot="1">
      <c r="A814" s="3" t="s">
        <v>947</v>
      </c>
      <c r="B814" s="3" t="s">
        <v>5</v>
      </c>
      <c r="C814" s="3"/>
      <c r="D814" s="4" t="s">
        <v>254</v>
      </c>
      <c r="E814" s="4" t="s">
        <v>3</v>
      </c>
      <c r="F814" s="4">
        <v>2019</v>
      </c>
      <c r="G814" s="9"/>
      <c r="H814" s="4" t="s">
        <v>3</v>
      </c>
      <c r="I814" s="8">
        <v>-1.2</v>
      </c>
      <c r="J814" s="3">
        <v>13138</v>
      </c>
      <c r="K814" s="3">
        <v>50114</v>
      </c>
      <c r="L814" s="17" t="str" cm="1">
        <f t="array" ref="L814">_xlfn.IFS(MID(K814,2,2)="01", "서울", MID(K814,2,2)="02","경기",MID(K814,2,2)="03","충청",MID(K814,2,2)="04","충청",MID(K814,2,2)="05","전라",MID(K814,2,2)="06","전라",MID(K814,2,2)="07","경북",MID(K814,2,2)="08","경남",MID(K814,2,2)="09","강원",MID(K814,2,2)="10","제주",TRUE,"국외")</f>
        <v>서울</v>
      </c>
    </row>
    <row r="815" spans="1:12" ht="17.25" thickBot="1">
      <c r="A815" s="3" t="s">
        <v>948</v>
      </c>
      <c r="B815" s="3" t="s">
        <v>1</v>
      </c>
      <c r="C815" s="3" t="s">
        <v>329</v>
      </c>
      <c r="D815" s="4" t="s">
        <v>254</v>
      </c>
      <c r="E815" s="4" t="s">
        <v>6</v>
      </c>
      <c r="F815" s="4"/>
      <c r="G815" s="9"/>
      <c r="H815" s="4"/>
      <c r="I815" s="9"/>
      <c r="J815" s="3">
        <v>13118</v>
      </c>
      <c r="K815" s="3">
        <v>50107</v>
      </c>
      <c r="L815" s="17" t="str" cm="1">
        <f t="array" ref="L815">_xlfn.IFS(MID(K815,2,2)="01", "서울", MID(K815,2,2)="02","경기",MID(K815,2,2)="03","충청",MID(K815,2,2)="04","충청",MID(K815,2,2)="05","전라",MID(K815,2,2)="06","전라",MID(K815,2,2)="07","경북",MID(K815,2,2)="08","경남",MID(K815,2,2)="09","강원",MID(K815,2,2)="10","제주",TRUE,"국외")</f>
        <v>서울</v>
      </c>
    </row>
    <row r="816" spans="1:12" ht="17.25" thickBot="1">
      <c r="A816" s="3" t="s">
        <v>949</v>
      </c>
      <c r="B816" s="3" t="s">
        <v>44</v>
      </c>
      <c r="C816" s="3"/>
      <c r="D816" s="4" t="s">
        <v>254</v>
      </c>
      <c r="E816" s="4" t="s">
        <v>28</v>
      </c>
      <c r="F816" s="4"/>
      <c r="G816" s="9"/>
      <c r="H816" s="4"/>
      <c r="I816" s="9"/>
      <c r="J816" s="3">
        <v>13172</v>
      </c>
      <c r="K816" s="3">
        <v>50809</v>
      </c>
      <c r="L816" s="17" t="str" cm="1">
        <f t="array" ref="L816">_xlfn.IFS(MID(K816,2,2)="01", "서울", MID(K816,2,2)="02","경기",MID(K816,2,2)="03","충청",MID(K816,2,2)="04","충청",MID(K816,2,2)="05","전라",MID(K816,2,2)="06","전라",MID(K816,2,2)="07","경북",MID(K816,2,2)="08","경남",MID(K816,2,2)="09","강원",MID(K816,2,2)="10","제주",TRUE,"국외")</f>
        <v>경남</v>
      </c>
    </row>
    <row r="817" spans="1:12" ht="17.25" thickBot="1">
      <c r="A817" s="3" t="s">
        <v>950</v>
      </c>
      <c r="B817" s="3" t="s">
        <v>5</v>
      </c>
      <c r="C817" s="3" t="s">
        <v>83</v>
      </c>
      <c r="D817" s="4" t="s">
        <v>254</v>
      </c>
      <c r="E817" s="4" t="s">
        <v>20</v>
      </c>
      <c r="F817" s="4"/>
      <c r="G817" s="9"/>
      <c r="H817" s="4"/>
      <c r="I817" s="9"/>
      <c r="J817" s="3">
        <v>13107</v>
      </c>
      <c r="K817" s="3">
        <v>50114</v>
      </c>
      <c r="L817" s="17" t="str" cm="1">
        <f t="array" ref="L817">_xlfn.IFS(MID(K817,2,2)="01", "서울", MID(K817,2,2)="02","경기",MID(K817,2,2)="03","충청",MID(K817,2,2)="04","충청",MID(K817,2,2)="05","전라",MID(K817,2,2)="06","전라",MID(K817,2,2)="07","경북",MID(K817,2,2)="08","경남",MID(K817,2,2)="09","강원",MID(K817,2,2)="10","제주",TRUE,"국외")</f>
        <v>서울</v>
      </c>
    </row>
    <row r="818" spans="1:12" ht="17.25" thickBot="1">
      <c r="A818" s="3" t="s">
        <v>951</v>
      </c>
      <c r="B818" s="3" t="s">
        <v>101</v>
      </c>
      <c r="C818" s="3"/>
      <c r="D818" s="4" t="s">
        <v>254</v>
      </c>
      <c r="E818" s="4" t="s">
        <v>12</v>
      </c>
      <c r="F818" s="4">
        <v>2020</v>
      </c>
      <c r="G818" s="9"/>
      <c r="H818" s="4" t="s">
        <v>12</v>
      </c>
      <c r="I818" s="8">
        <v>7.6</v>
      </c>
      <c r="J818" s="3">
        <v>13085</v>
      </c>
      <c r="K818" s="3">
        <v>50207</v>
      </c>
      <c r="L818" s="17" t="str" cm="1">
        <f t="array" ref="L818">_xlfn.IFS(MID(K818,2,2)="01", "서울", MID(K818,2,2)="02","경기",MID(K818,2,2)="03","충청",MID(K818,2,2)="04","충청",MID(K818,2,2)="05","전라",MID(K818,2,2)="06","전라",MID(K818,2,2)="07","경북",MID(K818,2,2)="08","경남",MID(K818,2,2)="09","강원",MID(K818,2,2)="10","제주",TRUE,"국외")</f>
        <v>경기</v>
      </c>
    </row>
    <row r="819" spans="1:12" ht="17.25" thickBot="1">
      <c r="A819" s="3" t="s">
        <v>952</v>
      </c>
      <c r="B819" s="3" t="s">
        <v>40</v>
      </c>
      <c r="C819" s="3"/>
      <c r="D819" s="4" t="s">
        <v>254</v>
      </c>
      <c r="E819" s="4" t="s">
        <v>607</v>
      </c>
      <c r="F819" s="4">
        <v>2022</v>
      </c>
      <c r="G819" s="9"/>
      <c r="H819" s="4" t="s">
        <v>15</v>
      </c>
      <c r="I819" s="8">
        <v>0</v>
      </c>
      <c r="J819" s="3">
        <v>13129</v>
      </c>
      <c r="K819" s="3">
        <v>50108</v>
      </c>
      <c r="L819" s="17" t="str" cm="1">
        <f t="array" ref="L819">_xlfn.IFS(MID(K819,2,2)="01", "서울", MID(K819,2,2)="02","경기",MID(K819,2,2)="03","충청",MID(K819,2,2)="04","충청",MID(K819,2,2)="05","전라",MID(K819,2,2)="06","전라",MID(K819,2,2)="07","경북",MID(K819,2,2)="08","경남",MID(K819,2,2)="09","강원",MID(K819,2,2)="10","제주",TRUE,"국외")</f>
        <v>서울</v>
      </c>
    </row>
    <row r="820" spans="1:12" ht="17.25" thickBot="1">
      <c r="A820" s="3" t="s">
        <v>953</v>
      </c>
      <c r="B820" s="3" t="s">
        <v>153</v>
      </c>
      <c r="C820" s="3"/>
      <c r="D820" s="4" t="s">
        <v>254</v>
      </c>
      <c r="E820" s="4" t="s">
        <v>906</v>
      </c>
      <c r="F820" s="4">
        <v>2020</v>
      </c>
      <c r="G820" s="9"/>
      <c r="H820" s="4" t="s">
        <v>18</v>
      </c>
      <c r="I820" s="8">
        <v>-0.3</v>
      </c>
      <c r="J820" s="3">
        <v>13096</v>
      </c>
      <c r="K820" s="3">
        <v>50210</v>
      </c>
      <c r="L820" s="17" t="str" cm="1">
        <f t="array" ref="L820">_xlfn.IFS(MID(K820,2,2)="01", "서울", MID(K820,2,2)="02","경기",MID(K820,2,2)="03","충청",MID(K820,2,2)="04","충청",MID(K820,2,2)="05","전라",MID(K820,2,2)="06","전라",MID(K820,2,2)="07","경북",MID(K820,2,2)="08","경남",MID(K820,2,2)="09","강원",MID(K820,2,2)="10","제주",TRUE,"국외")</f>
        <v>경기</v>
      </c>
    </row>
    <row r="821" spans="1:12" ht="17.25" thickBot="1">
      <c r="A821" s="3" t="s">
        <v>954</v>
      </c>
      <c r="B821" s="3" t="s">
        <v>34</v>
      </c>
      <c r="C821" s="3"/>
      <c r="D821" s="4" t="s">
        <v>254</v>
      </c>
      <c r="E821" s="4" t="s">
        <v>26</v>
      </c>
      <c r="F821" s="4">
        <v>2020</v>
      </c>
      <c r="G821" s="9"/>
      <c r="H821" s="4" t="s">
        <v>26</v>
      </c>
      <c r="I821" s="8">
        <v>0</v>
      </c>
      <c r="J821" s="3">
        <v>13074</v>
      </c>
      <c r="K821" s="3">
        <v>50701</v>
      </c>
      <c r="L821" s="17" t="str" cm="1">
        <f t="array" ref="L821">_xlfn.IFS(MID(K821,2,2)="01", "서울", MID(K821,2,2)="02","경기",MID(K821,2,2)="03","충청",MID(K821,2,2)="04","충청",MID(K821,2,2)="05","전라",MID(K821,2,2)="06","전라",MID(K821,2,2)="07","경북",MID(K821,2,2)="08","경남",MID(K821,2,2)="09","강원",MID(K821,2,2)="10","제주",TRUE,"국외")</f>
        <v>경북</v>
      </c>
    </row>
    <row r="822" spans="1:12" ht="17.25" thickBot="1">
      <c r="A822" s="3" t="s">
        <v>955</v>
      </c>
      <c r="B822" s="3" t="s">
        <v>332</v>
      </c>
      <c r="C822" s="3"/>
      <c r="D822" s="4" t="s">
        <v>254</v>
      </c>
      <c r="E822" s="4" t="s">
        <v>9</v>
      </c>
      <c r="F822" s="4"/>
      <c r="G822" s="9"/>
      <c r="H822" s="4"/>
      <c r="I822" s="9"/>
      <c r="J822" s="3">
        <v>13150</v>
      </c>
      <c r="K822" s="3">
        <v>50705</v>
      </c>
      <c r="L822" s="17" t="str" cm="1">
        <f t="array" ref="L822">_xlfn.IFS(MID(K822,2,2)="01", "서울", MID(K822,2,2)="02","경기",MID(K822,2,2)="03","충청",MID(K822,2,2)="04","충청",MID(K822,2,2)="05","전라",MID(K822,2,2)="06","전라",MID(K822,2,2)="07","경북",MID(K822,2,2)="08","경남",MID(K822,2,2)="09","강원",MID(K822,2,2)="10","제주",TRUE,"국외")</f>
        <v>경북</v>
      </c>
    </row>
    <row r="823" spans="1:12" ht="17.25" thickBot="1">
      <c r="A823" s="3" t="s">
        <v>956</v>
      </c>
      <c r="B823" s="3" t="s">
        <v>351</v>
      </c>
      <c r="C823" s="3"/>
      <c r="D823" s="4" t="s">
        <v>254</v>
      </c>
      <c r="E823" s="4" t="s">
        <v>23</v>
      </c>
      <c r="F823" s="4">
        <v>2018</v>
      </c>
      <c r="G823" s="9"/>
      <c r="H823" s="4" t="s">
        <v>23</v>
      </c>
      <c r="I823" s="8">
        <v>-0.1</v>
      </c>
      <c r="J823" s="3">
        <v>13161</v>
      </c>
      <c r="K823" s="3">
        <v>50203</v>
      </c>
      <c r="L823" s="17" t="str" cm="1">
        <f t="array" ref="L823">_xlfn.IFS(MID(K823,2,2)="01", "서울", MID(K823,2,2)="02","경기",MID(K823,2,2)="03","충청",MID(K823,2,2)="04","충청",MID(K823,2,2)="05","전라",MID(K823,2,2)="06","전라",MID(K823,2,2)="07","경북",MID(K823,2,2)="08","경남",MID(K823,2,2)="09","강원",MID(K823,2,2)="10","제주",TRUE,"국외")</f>
        <v>경기</v>
      </c>
    </row>
    <row r="824" spans="1:12" ht="17.25" thickBot="1">
      <c r="A824" s="3" t="s">
        <v>957</v>
      </c>
      <c r="B824" s="3" t="s">
        <v>158</v>
      </c>
      <c r="C824" s="3"/>
      <c r="D824" s="4" t="s">
        <v>254</v>
      </c>
      <c r="E824" s="4" t="s">
        <v>3</v>
      </c>
      <c r="F824" s="4"/>
      <c r="G824" s="9"/>
      <c r="H824" s="4"/>
      <c r="I824" s="9"/>
      <c r="J824" s="3">
        <v>13139</v>
      </c>
      <c r="K824" s="3">
        <v>50501</v>
      </c>
      <c r="L824" s="17" t="str" cm="1">
        <f t="array" ref="L824">_xlfn.IFS(MID(K824,2,2)="01", "서울", MID(K824,2,2)="02","경기",MID(K824,2,2)="03","충청",MID(K824,2,2)="04","충청",MID(K824,2,2)="05","전라",MID(K824,2,2)="06","전라",MID(K824,2,2)="07","경북",MID(K824,2,2)="08","경남",MID(K824,2,2)="09","강원",MID(K824,2,2)="10","제주",TRUE,"국외")</f>
        <v>전라</v>
      </c>
    </row>
    <row r="825" spans="1:12" ht="17.25" thickBot="1">
      <c r="A825" s="3" t="s">
        <v>958</v>
      </c>
      <c r="B825" s="3" t="s">
        <v>241</v>
      </c>
      <c r="C825" s="3"/>
      <c r="D825" s="4" t="s">
        <v>254</v>
      </c>
      <c r="E825" s="4" t="s">
        <v>6</v>
      </c>
      <c r="F825" s="4">
        <v>2019</v>
      </c>
      <c r="G825" s="9"/>
      <c r="H825" s="4" t="s">
        <v>6</v>
      </c>
      <c r="I825" s="8">
        <v>0</v>
      </c>
      <c r="J825" s="3">
        <v>13119</v>
      </c>
      <c r="K825" s="3">
        <v>50202</v>
      </c>
      <c r="L825" s="17" t="str" cm="1">
        <f t="array" ref="L825">_xlfn.IFS(MID(K825,2,2)="01", "서울", MID(K825,2,2)="02","경기",MID(K825,2,2)="03","충청",MID(K825,2,2)="04","충청",MID(K825,2,2)="05","전라",MID(K825,2,2)="06","전라",MID(K825,2,2)="07","경북",MID(K825,2,2)="08","경남",MID(K825,2,2)="09","강원",MID(K825,2,2)="10","제주",TRUE,"국외")</f>
        <v>경기</v>
      </c>
    </row>
    <row r="826" spans="1:12" ht="17.25" thickBot="1">
      <c r="A826" s="3" t="s">
        <v>959</v>
      </c>
      <c r="B826" s="3" t="s">
        <v>8</v>
      </c>
      <c r="C826" s="3" t="s">
        <v>122</v>
      </c>
      <c r="D826" s="4" t="s">
        <v>254</v>
      </c>
      <c r="E826" s="4" t="s">
        <v>28</v>
      </c>
      <c r="F826" s="4">
        <v>2018</v>
      </c>
      <c r="G826" s="8">
        <v>-0.2</v>
      </c>
      <c r="H826" s="4" t="s">
        <v>28</v>
      </c>
      <c r="I826" s="8">
        <v>-0.2</v>
      </c>
      <c r="J826" s="3">
        <v>13173</v>
      </c>
      <c r="K826" s="3">
        <v>50116</v>
      </c>
      <c r="L826" s="17" t="str" cm="1">
        <f t="array" ref="L826">_xlfn.IFS(MID(K826,2,2)="01", "서울", MID(K826,2,2)="02","경기",MID(K826,2,2)="03","충청",MID(K826,2,2)="04","충청",MID(K826,2,2)="05","전라",MID(K826,2,2)="06","전라",MID(K826,2,2)="07","경북",MID(K826,2,2)="08","경남",MID(K826,2,2)="09","강원",MID(K826,2,2)="10","제주",TRUE,"국외")</f>
        <v>서울</v>
      </c>
    </row>
    <row r="827" spans="1:12" ht="17.25" thickBot="1">
      <c r="A827" s="3" t="s">
        <v>960</v>
      </c>
      <c r="B827" s="3" t="s">
        <v>96</v>
      </c>
      <c r="C827" s="3"/>
      <c r="D827" s="4" t="s">
        <v>254</v>
      </c>
      <c r="E827" s="4" t="s">
        <v>20</v>
      </c>
      <c r="F827" s="4"/>
      <c r="G827" s="9"/>
      <c r="H827" s="4"/>
      <c r="I827" s="9"/>
      <c r="J827" s="3">
        <v>13108</v>
      </c>
      <c r="K827" s="3">
        <v>50601</v>
      </c>
      <c r="L827" s="17" t="str" cm="1">
        <f t="array" ref="L827">_xlfn.IFS(MID(K827,2,2)="01", "서울", MID(K827,2,2)="02","경기",MID(K827,2,2)="03","충청",MID(K827,2,2)="04","충청",MID(K827,2,2)="05","전라",MID(K827,2,2)="06","전라",MID(K827,2,2)="07","경북",MID(K827,2,2)="08","경남",MID(K827,2,2)="09","강원",MID(K827,2,2)="10","제주",TRUE,"국외")</f>
        <v>전라</v>
      </c>
    </row>
    <row r="828" spans="1:12" ht="17.25" thickBot="1">
      <c r="A828" s="3" t="s">
        <v>961</v>
      </c>
      <c r="B828" s="3" t="s">
        <v>44</v>
      </c>
      <c r="C828" s="3" t="s">
        <v>329</v>
      </c>
      <c r="D828" s="4" t="s">
        <v>254</v>
      </c>
      <c r="E828" s="4" t="s">
        <v>12</v>
      </c>
      <c r="F828" s="4"/>
      <c r="G828" s="9"/>
      <c r="H828" s="4"/>
      <c r="I828" s="9"/>
      <c r="J828" s="3">
        <v>13086</v>
      </c>
      <c r="K828" s="3">
        <v>50809</v>
      </c>
      <c r="L828" s="17" t="str" cm="1">
        <f t="array" ref="L828">_xlfn.IFS(MID(K828,2,2)="01", "서울", MID(K828,2,2)="02","경기",MID(K828,2,2)="03","충청",MID(K828,2,2)="04","충청",MID(K828,2,2)="05","전라",MID(K828,2,2)="06","전라",MID(K828,2,2)="07","경북",MID(K828,2,2)="08","경남",MID(K828,2,2)="09","강원",MID(K828,2,2)="10","제주",TRUE,"국외")</f>
        <v>경남</v>
      </c>
    </row>
    <row r="829" spans="1:12" ht="17.25" thickBot="1">
      <c r="A829" s="3" t="s">
        <v>962</v>
      </c>
      <c r="B829" s="3" t="s">
        <v>63</v>
      </c>
      <c r="C829" s="3"/>
      <c r="D829" s="4" t="s">
        <v>254</v>
      </c>
      <c r="E829" s="4" t="s">
        <v>607</v>
      </c>
      <c r="F829" s="4">
        <v>2021</v>
      </c>
      <c r="G829" s="9"/>
      <c r="H829" s="4" t="s">
        <v>28</v>
      </c>
      <c r="I829" s="8">
        <v>0.2</v>
      </c>
      <c r="J829" s="3">
        <v>13130</v>
      </c>
      <c r="K829" s="3">
        <v>50807</v>
      </c>
      <c r="L829" s="17" t="str" cm="1">
        <f t="array" ref="L829">_xlfn.IFS(MID(K829,2,2)="01", "서울", MID(K829,2,2)="02","경기",MID(K829,2,2)="03","충청",MID(K829,2,2)="04","충청",MID(K829,2,2)="05","전라",MID(K829,2,2)="06","전라",MID(K829,2,2)="07","경북",MID(K829,2,2)="08","경남",MID(K829,2,2)="09","강원",MID(K829,2,2)="10","제주",TRUE,"국외")</f>
        <v>경남</v>
      </c>
    </row>
    <row r="830" spans="1:12" ht="17.25" thickBot="1">
      <c r="A830" s="3" t="s">
        <v>963</v>
      </c>
      <c r="B830" s="3" t="s">
        <v>34</v>
      </c>
      <c r="C830" s="3"/>
      <c r="D830" s="4" t="s">
        <v>254</v>
      </c>
      <c r="E830" s="4" t="s">
        <v>906</v>
      </c>
      <c r="F830" s="4"/>
      <c r="G830" s="9"/>
      <c r="H830" s="4"/>
      <c r="I830" s="9"/>
      <c r="J830" s="3">
        <v>13097</v>
      </c>
      <c r="K830" s="3">
        <v>50701</v>
      </c>
      <c r="L830" s="17" t="str" cm="1">
        <f t="array" ref="L830">_xlfn.IFS(MID(K830,2,2)="01", "서울", MID(K830,2,2)="02","경기",MID(K830,2,2)="03","충청",MID(K830,2,2)="04","충청",MID(K830,2,2)="05","전라",MID(K830,2,2)="06","전라",MID(K830,2,2)="07","경북",MID(K830,2,2)="08","경남",MID(K830,2,2)="09","강원",MID(K830,2,2)="10","제주",TRUE,"국외")</f>
        <v>경북</v>
      </c>
    </row>
    <row r="831" spans="1:12" ht="17.25" thickBot="1">
      <c r="A831" s="3" t="s">
        <v>647</v>
      </c>
      <c r="B831" s="3" t="s">
        <v>32</v>
      </c>
      <c r="C831" s="3" t="s">
        <v>133</v>
      </c>
      <c r="D831" s="4" t="s">
        <v>254</v>
      </c>
      <c r="E831" s="4" t="s">
        <v>26</v>
      </c>
      <c r="F831" s="4">
        <v>2020</v>
      </c>
      <c r="G831" s="9"/>
      <c r="H831" s="4" t="s">
        <v>26</v>
      </c>
      <c r="I831" s="8">
        <v>-0.1</v>
      </c>
      <c r="J831" s="3">
        <v>13075</v>
      </c>
      <c r="K831" s="3">
        <v>50111</v>
      </c>
      <c r="L831" s="17" t="str" cm="1">
        <f t="array" ref="L831">_xlfn.IFS(MID(K831,2,2)="01", "서울", MID(K831,2,2)="02","경기",MID(K831,2,2)="03","충청",MID(K831,2,2)="04","충청",MID(K831,2,2)="05","전라",MID(K831,2,2)="06","전라",MID(K831,2,2)="07","경북",MID(K831,2,2)="08","경남",MID(K831,2,2)="09","강원",MID(K831,2,2)="10","제주",TRUE,"국외")</f>
        <v>서울</v>
      </c>
    </row>
    <row r="832" spans="1:12" ht="17.25" thickBot="1">
      <c r="A832" s="3" t="s">
        <v>964</v>
      </c>
      <c r="B832" s="3" t="s">
        <v>107</v>
      </c>
      <c r="C832" s="3" t="s">
        <v>99</v>
      </c>
      <c r="D832" s="4" t="s">
        <v>254</v>
      </c>
      <c r="E832" s="4" t="s">
        <v>9</v>
      </c>
      <c r="F832" s="4">
        <v>2018</v>
      </c>
      <c r="G832" s="9"/>
      <c r="H832" s="4" t="s">
        <v>9</v>
      </c>
      <c r="I832" s="8">
        <v>1.1000000000000001</v>
      </c>
      <c r="J832" s="3">
        <v>13151</v>
      </c>
      <c r="K832" s="3">
        <v>50602</v>
      </c>
      <c r="L832" s="17" t="str" cm="1">
        <f t="array" ref="L832">_xlfn.IFS(MID(K832,2,2)="01", "서울", MID(K832,2,2)="02","경기",MID(K832,2,2)="03","충청",MID(K832,2,2)="04","충청",MID(K832,2,2)="05","전라",MID(K832,2,2)="06","전라",MID(K832,2,2)="07","경북",MID(K832,2,2)="08","경남",MID(K832,2,2)="09","강원",MID(K832,2,2)="10","제주",TRUE,"국외")</f>
        <v>전라</v>
      </c>
    </row>
    <row r="833" spans="1:12" ht="17.25" thickBot="1">
      <c r="A833" s="3" t="s">
        <v>965</v>
      </c>
      <c r="B833" s="3" t="s">
        <v>25</v>
      </c>
      <c r="C833" s="3"/>
      <c r="D833" s="4" t="s">
        <v>254</v>
      </c>
      <c r="E833" s="4" t="s">
        <v>23</v>
      </c>
      <c r="F833" s="4">
        <v>2019</v>
      </c>
      <c r="G833" s="9"/>
      <c r="H833" s="4" t="s">
        <v>23</v>
      </c>
      <c r="I833" s="8">
        <v>0.4</v>
      </c>
      <c r="J833" s="3">
        <v>13162</v>
      </c>
      <c r="K833" s="3">
        <v>50403</v>
      </c>
      <c r="L833" s="17" t="str" cm="1">
        <f t="array" ref="L833">_xlfn.IFS(MID(K833,2,2)="01", "서울", MID(K833,2,2)="02","경기",MID(K833,2,2)="03","충청",MID(K833,2,2)="04","충청",MID(K833,2,2)="05","전라",MID(K833,2,2)="06","전라",MID(K833,2,2)="07","경북",MID(K833,2,2)="08","경남",MID(K833,2,2)="09","강원",MID(K833,2,2)="10","제주",TRUE,"국외")</f>
        <v>충청</v>
      </c>
    </row>
    <row r="834" spans="1:12" ht="17.25" thickBot="1">
      <c r="A834" s="3" t="s">
        <v>966</v>
      </c>
      <c r="B834" s="3" t="s">
        <v>179</v>
      </c>
      <c r="C834" s="3"/>
      <c r="D834" s="4" t="s">
        <v>254</v>
      </c>
      <c r="E834" s="4" t="s">
        <v>3</v>
      </c>
      <c r="F834" s="4"/>
      <c r="G834" s="9"/>
      <c r="H834" s="4"/>
      <c r="I834" s="9"/>
      <c r="J834" s="3">
        <v>13140</v>
      </c>
      <c r="K834" s="3">
        <v>50211</v>
      </c>
      <c r="L834" s="17" t="str" cm="1">
        <f t="array" ref="L834">_xlfn.IFS(MID(K834,2,2)="01", "서울", MID(K834,2,2)="02","경기",MID(K834,2,2)="03","충청",MID(K834,2,2)="04","충청",MID(K834,2,2)="05","전라",MID(K834,2,2)="06","전라",MID(K834,2,2)="07","경북",MID(K834,2,2)="08","경남",MID(K834,2,2)="09","강원",MID(K834,2,2)="10","제주",TRUE,"국외")</f>
        <v>경기</v>
      </c>
    </row>
    <row r="835" spans="1:12" ht="17.25" thickBot="1">
      <c r="A835" s="3" t="s">
        <v>967</v>
      </c>
      <c r="B835" s="3" t="s">
        <v>70</v>
      </c>
      <c r="C835" s="3"/>
      <c r="D835" s="4" t="s">
        <v>254</v>
      </c>
      <c r="E835" s="4" t="s">
        <v>6</v>
      </c>
      <c r="F835" s="4"/>
      <c r="G835" s="9"/>
      <c r="H835" s="4"/>
      <c r="I835" s="9"/>
      <c r="J835" s="3">
        <v>13120</v>
      </c>
      <c r="K835" s="3">
        <v>50103</v>
      </c>
      <c r="L835" s="17" t="str" cm="1">
        <f t="array" ref="L835">_xlfn.IFS(MID(K835,2,2)="01", "서울", MID(K835,2,2)="02","경기",MID(K835,2,2)="03","충청",MID(K835,2,2)="04","충청",MID(K835,2,2)="05","전라",MID(K835,2,2)="06","전라",MID(K835,2,2)="07","경북",MID(K835,2,2)="08","경남",MID(K835,2,2)="09","강원",MID(K835,2,2)="10","제주",TRUE,"국외")</f>
        <v>서울</v>
      </c>
    </row>
    <row r="836" spans="1:12" ht="17.25" thickBot="1">
      <c r="A836" s="3" t="s">
        <v>968</v>
      </c>
      <c r="B836" s="3" t="s">
        <v>332</v>
      </c>
      <c r="C836" s="3"/>
      <c r="D836" s="4" t="s">
        <v>254</v>
      </c>
      <c r="E836" s="4" t="s">
        <v>28</v>
      </c>
      <c r="F836" s="4"/>
      <c r="G836" s="9"/>
      <c r="H836" s="4"/>
      <c r="I836" s="9"/>
      <c r="J836" s="3">
        <v>13174</v>
      </c>
      <c r="K836" s="3">
        <v>50705</v>
      </c>
      <c r="L836" s="17" t="str" cm="1">
        <f t="array" ref="L836">_xlfn.IFS(MID(K836,2,2)="01", "서울", MID(K836,2,2)="02","경기",MID(K836,2,2)="03","충청",MID(K836,2,2)="04","충청",MID(K836,2,2)="05","전라",MID(K836,2,2)="06","전라",MID(K836,2,2)="07","경북",MID(K836,2,2)="08","경남",MID(K836,2,2)="09","강원",MID(K836,2,2)="10","제주",TRUE,"국외")</f>
        <v>경북</v>
      </c>
    </row>
    <row r="837" spans="1:12" ht="17.25" thickBot="1">
      <c r="A837" s="3" t="s">
        <v>969</v>
      </c>
      <c r="B837" s="3" t="s">
        <v>38</v>
      </c>
      <c r="C837" s="3"/>
      <c r="D837" s="4" t="s">
        <v>254</v>
      </c>
      <c r="E837" s="4" t="s">
        <v>20</v>
      </c>
      <c r="F837" s="4">
        <v>2022</v>
      </c>
      <c r="G837" s="9"/>
      <c r="H837" s="4" t="s">
        <v>20</v>
      </c>
      <c r="I837" s="8">
        <v>0.2</v>
      </c>
      <c r="J837" s="3">
        <v>13109</v>
      </c>
      <c r="K837" s="3">
        <v>50109</v>
      </c>
      <c r="L837" s="17" t="str" cm="1">
        <f t="array" ref="L837">_xlfn.IFS(MID(K837,2,2)="01", "서울", MID(K837,2,2)="02","경기",MID(K837,2,2)="03","충청",MID(K837,2,2)="04","충청",MID(K837,2,2)="05","전라",MID(K837,2,2)="06","전라",MID(K837,2,2)="07","경북",MID(K837,2,2)="08","경남",MID(K837,2,2)="09","강원",MID(K837,2,2)="10","제주",TRUE,"국외")</f>
        <v>서울</v>
      </c>
    </row>
    <row r="838" spans="1:12" ht="17.25" thickBot="1">
      <c r="A838" s="3" t="s">
        <v>970</v>
      </c>
      <c r="B838" s="3" t="s">
        <v>140</v>
      </c>
      <c r="C838" s="3"/>
      <c r="D838" s="4" t="s">
        <v>254</v>
      </c>
      <c r="E838" s="4" t="s">
        <v>12</v>
      </c>
      <c r="F838" s="4">
        <v>2021</v>
      </c>
      <c r="G838" s="9"/>
      <c r="H838" s="4" t="s">
        <v>12</v>
      </c>
      <c r="I838" s="8">
        <v>-0.4</v>
      </c>
      <c r="J838" s="3">
        <v>13087</v>
      </c>
      <c r="K838" s="3">
        <v>50801</v>
      </c>
      <c r="L838" s="17" t="str" cm="1">
        <f t="array" ref="L838">_xlfn.IFS(MID(K838,2,2)="01", "서울", MID(K838,2,2)="02","경기",MID(K838,2,2)="03","충청",MID(K838,2,2)="04","충청",MID(K838,2,2)="05","전라",MID(K838,2,2)="06","전라",MID(K838,2,2)="07","경북",MID(K838,2,2)="08","경남",MID(K838,2,2)="09","강원",MID(K838,2,2)="10","제주",TRUE,"국외")</f>
        <v>경남</v>
      </c>
    </row>
    <row r="839" spans="1:12" ht="17.25" thickBot="1">
      <c r="A839" s="3" t="s">
        <v>971</v>
      </c>
      <c r="B839" s="3" t="s">
        <v>464</v>
      </c>
      <c r="C839" s="3"/>
      <c r="D839" s="4" t="s">
        <v>254</v>
      </c>
      <c r="E839" s="4" t="s">
        <v>607</v>
      </c>
      <c r="F839" s="4"/>
      <c r="G839" s="9"/>
      <c r="H839" s="4"/>
      <c r="I839" s="9"/>
      <c r="J839" s="3">
        <v>13131</v>
      </c>
      <c r="K839" s="3">
        <v>50706</v>
      </c>
      <c r="L839" s="17" t="str" cm="1">
        <f t="array" ref="L839">_xlfn.IFS(MID(K839,2,2)="01", "서울", MID(K839,2,2)="02","경기",MID(K839,2,2)="03","충청",MID(K839,2,2)="04","충청",MID(K839,2,2)="05","전라",MID(K839,2,2)="06","전라",MID(K839,2,2)="07","경북",MID(K839,2,2)="08","경남",MID(K839,2,2)="09","강원",MID(K839,2,2)="10","제주",TRUE,"국외")</f>
        <v>경북</v>
      </c>
    </row>
    <row r="840" spans="1:12" ht="17.25" thickBot="1">
      <c r="A840" s="3" t="s">
        <v>972</v>
      </c>
      <c r="B840" s="3" t="s">
        <v>50</v>
      </c>
      <c r="C840" s="3"/>
      <c r="D840" s="4" t="s">
        <v>254</v>
      </c>
      <c r="E840" s="4" t="s">
        <v>906</v>
      </c>
      <c r="F840" s="4"/>
      <c r="G840" s="9"/>
      <c r="H840" s="4"/>
      <c r="I840" s="9"/>
      <c r="J840" s="3">
        <v>13098</v>
      </c>
      <c r="K840" s="3">
        <v>50301</v>
      </c>
      <c r="L840" s="17" t="str" cm="1">
        <f t="array" ref="L840">_xlfn.IFS(MID(K840,2,2)="01", "서울", MID(K840,2,2)="02","경기",MID(K840,2,2)="03","충청",MID(K840,2,2)="04","충청",MID(K840,2,2)="05","전라",MID(K840,2,2)="06","전라",MID(K840,2,2)="07","경북",MID(K840,2,2)="08","경남",MID(K840,2,2)="09","강원",MID(K840,2,2)="10","제주",TRUE,"국외")</f>
        <v>충청</v>
      </c>
    </row>
    <row r="841" spans="1:12" ht="17.25" thickBot="1">
      <c r="A841" s="3" t="s">
        <v>973</v>
      </c>
      <c r="B841" s="3" t="s">
        <v>158</v>
      </c>
      <c r="C841" s="3" t="s">
        <v>221</v>
      </c>
      <c r="D841" s="4" t="s">
        <v>254</v>
      </c>
      <c r="E841" s="4" t="s">
        <v>26</v>
      </c>
      <c r="F841" s="4">
        <v>2018</v>
      </c>
      <c r="G841" s="8">
        <v>-0.1</v>
      </c>
      <c r="H841" s="4" t="s">
        <v>26</v>
      </c>
      <c r="I841" s="8">
        <v>-0.1</v>
      </c>
      <c r="J841" s="3">
        <v>13076</v>
      </c>
      <c r="K841" s="3">
        <v>50501</v>
      </c>
      <c r="L841" s="17" t="str" cm="1">
        <f t="array" ref="L841">_xlfn.IFS(MID(K841,2,2)="01", "서울", MID(K841,2,2)="02","경기",MID(K841,2,2)="03","충청",MID(K841,2,2)="04","충청",MID(K841,2,2)="05","전라",MID(K841,2,2)="06","전라",MID(K841,2,2)="07","경북",MID(K841,2,2)="08","경남",MID(K841,2,2)="09","강원",MID(K841,2,2)="10","제주",TRUE,"국외")</f>
        <v>전라</v>
      </c>
    </row>
    <row r="842" spans="1:12" ht="17.25" thickBot="1">
      <c r="A842" s="3" t="s">
        <v>974</v>
      </c>
      <c r="B842" s="3" t="s">
        <v>68</v>
      </c>
      <c r="C842" s="3"/>
      <c r="D842" s="4" t="s">
        <v>254</v>
      </c>
      <c r="E842" s="4" t="s">
        <v>9</v>
      </c>
      <c r="F842" s="4">
        <v>2019</v>
      </c>
      <c r="G842" s="9"/>
      <c r="H842" s="4" t="s">
        <v>23</v>
      </c>
      <c r="I842" s="8">
        <v>-0.1</v>
      </c>
      <c r="J842" s="3">
        <v>13152</v>
      </c>
      <c r="K842" s="3">
        <v>50101</v>
      </c>
      <c r="L842" s="17" t="str" cm="1">
        <f t="array" ref="L842">_xlfn.IFS(MID(K842,2,2)="01", "서울", MID(K842,2,2)="02","경기",MID(K842,2,2)="03","충청",MID(K842,2,2)="04","충청",MID(K842,2,2)="05","전라",MID(K842,2,2)="06","전라",MID(K842,2,2)="07","경북",MID(K842,2,2)="08","경남",MID(K842,2,2)="09","강원",MID(K842,2,2)="10","제주",TRUE,"국외")</f>
        <v>서울</v>
      </c>
    </row>
    <row r="843" spans="1:12" ht="17.25" thickBot="1">
      <c r="A843" s="3" t="s">
        <v>975</v>
      </c>
      <c r="B843" s="3" t="s">
        <v>70</v>
      </c>
      <c r="C843" s="3"/>
      <c r="D843" s="4" t="s">
        <v>254</v>
      </c>
      <c r="E843" s="4" t="s">
        <v>23</v>
      </c>
      <c r="F843" s="4">
        <v>2018</v>
      </c>
      <c r="G843" s="9"/>
      <c r="H843" s="4"/>
      <c r="I843" s="9"/>
      <c r="J843" s="3">
        <v>13163</v>
      </c>
      <c r="K843" s="3">
        <v>50103</v>
      </c>
      <c r="L843" s="17" t="str" cm="1">
        <f t="array" ref="L843">_xlfn.IFS(MID(K843,2,2)="01", "서울", MID(K843,2,2)="02","경기",MID(K843,2,2)="03","충청",MID(K843,2,2)="04","충청",MID(K843,2,2)="05","전라",MID(K843,2,2)="06","전라",MID(K843,2,2)="07","경북",MID(K843,2,2)="08","경남",MID(K843,2,2)="09","강원",MID(K843,2,2)="10","제주",TRUE,"국외")</f>
        <v>서울</v>
      </c>
    </row>
    <row r="844" spans="1:12" ht="17.25" thickBot="1">
      <c r="A844" s="3" t="s">
        <v>755</v>
      </c>
      <c r="B844" s="3" t="s">
        <v>70</v>
      </c>
      <c r="C844" s="3"/>
      <c r="D844" s="4" t="s">
        <v>254</v>
      </c>
      <c r="E844" s="4" t="s">
        <v>3</v>
      </c>
      <c r="F844" s="4"/>
      <c r="G844" s="9"/>
      <c r="H844" s="4"/>
      <c r="I844" s="9"/>
      <c r="J844" s="3">
        <v>13141</v>
      </c>
      <c r="K844" s="3">
        <v>50103</v>
      </c>
      <c r="L844" s="17" t="str" cm="1">
        <f t="array" ref="L844">_xlfn.IFS(MID(K844,2,2)="01", "서울", MID(K844,2,2)="02","경기",MID(K844,2,2)="03","충청",MID(K844,2,2)="04","충청",MID(K844,2,2)="05","전라",MID(K844,2,2)="06","전라",MID(K844,2,2)="07","경북",MID(K844,2,2)="08","경남",MID(K844,2,2)="09","강원",MID(K844,2,2)="10","제주",TRUE,"국외")</f>
        <v>서울</v>
      </c>
    </row>
    <row r="845" spans="1:12" ht="17.25" thickBot="1">
      <c r="A845" s="3" t="s">
        <v>976</v>
      </c>
      <c r="B845" s="3" t="s">
        <v>145</v>
      </c>
      <c r="C845" s="3"/>
      <c r="D845" s="4" t="s">
        <v>254</v>
      </c>
      <c r="E845" s="4" t="s">
        <v>6</v>
      </c>
      <c r="F845" s="4"/>
      <c r="G845" s="9"/>
      <c r="H845" s="4"/>
      <c r="I845" s="9"/>
      <c r="J845" s="3">
        <v>13121</v>
      </c>
      <c r="K845" s="3">
        <v>50106</v>
      </c>
      <c r="L845" s="17" t="str" cm="1">
        <f t="array" ref="L845">_xlfn.IFS(MID(K845,2,2)="01", "서울", MID(K845,2,2)="02","경기",MID(K845,2,2)="03","충청",MID(K845,2,2)="04","충청",MID(K845,2,2)="05","전라",MID(K845,2,2)="06","전라",MID(K845,2,2)="07","경북",MID(K845,2,2)="08","경남",MID(K845,2,2)="09","강원",MID(K845,2,2)="10","제주",TRUE,"국외")</f>
        <v>서울</v>
      </c>
    </row>
    <row r="846" spans="1:12" ht="17.25" thickBot="1">
      <c r="A846" s="3" t="s">
        <v>977</v>
      </c>
      <c r="B846" s="3" t="s">
        <v>5</v>
      </c>
      <c r="C846" s="3"/>
      <c r="D846" s="4" t="s">
        <v>254</v>
      </c>
      <c r="E846" s="4" t="s">
        <v>28</v>
      </c>
      <c r="F846" s="4"/>
      <c r="G846" s="9"/>
      <c r="H846" s="4"/>
      <c r="I846" s="9"/>
      <c r="J846" s="3">
        <v>13175</v>
      </c>
      <c r="K846" s="3">
        <v>50114</v>
      </c>
      <c r="L846" s="17" t="str" cm="1">
        <f t="array" ref="L846">_xlfn.IFS(MID(K846,2,2)="01", "서울", MID(K846,2,2)="02","경기",MID(K846,2,2)="03","충청",MID(K846,2,2)="04","충청",MID(K846,2,2)="05","전라",MID(K846,2,2)="06","전라",MID(K846,2,2)="07","경북",MID(K846,2,2)="08","경남",MID(K846,2,2)="09","강원",MID(K846,2,2)="10","제주",TRUE,"국외")</f>
        <v>서울</v>
      </c>
    </row>
    <row r="847" spans="1:12" ht="17.25" thickBot="1">
      <c r="A847" s="3" t="s">
        <v>978</v>
      </c>
      <c r="B847" s="3" t="s">
        <v>5</v>
      </c>
      <c r="C847" s="3"/>
      <c r="D847" s="4" t="s">
        <v>254</v>
      </c>
      <c r="E847" s="4" t="s">
        <v>20</v>
      </c>
      <c r="F847" s="4"/>
      <c r="G847" s="9"/>
      <c r="H847" s="4"/>
      <c r="I847" s="9"/>
      <c r="J847" s="3">
        <v>13110</v>
      </c>
      <c r="K847" s="3">
        <v>50114</v>
      </c>
      <c r="L847" s="17" t="str" cm="1">
        <f t="array" ref="L847">_xlfn.IFS(MID(K847,2,2)="01", "서울", MID(K847,2,2)="02","경기",MID(K847,2,2)="03","충청",MID(K847,2,2)="04","충청",MID(K847,2,2)="05","전라",MID(K847,2,2)="06","전라",MID(K847,2,2)="07","경북",MID(K847,2,2)="08","경남",MID(K847,2,2)="09","강원",MID(K847,2,2)="10","제주",TRUE,"국외")</f>
        <v>서울</v>
      </c>
    </row>
    <row r="848" spans="1:12" ht="17.25" thickBot="1">
      <c r="A848" s="3" t="s">
        <v>979</v>
      </c>
      <c r="B848" s="3" t="s">
        <v>107</v>
      </c>
      <c r="C848" s="3"/>
      <c r="D848" s="4" t="s">
        <v>254</v>
      </c>
      <c r="E848" s="4" t="s">
        <v>12</v>
      </c>
      <c r="F848" s="4">
        <v>2019</v>
      </c>
      <c r="G848" s="9"/>
      <c r="H848" s="4" t="s">
        <v>12</v>
      </c>
      <c r="I848" s="8">
        <v>3.6</v>
      </c>
      <c r="J848" s="3">
        <v>13088</v>
      </c>
      <c r="K848" s="3">
        <v>50602</v>
      </c>
      <c r="L848" s="17" t="str" cm="1">
        <f t="array" ref="L848">_xlfn.IFS(MID(K848,2,2)="01", "서울", MID(K848,2,2)="02","경기",MID(K848,2,2)="03","충청",MID(K848,2,2)="04","충청",MID(K848,2,2)="05","전라",MID(K848,2,2)="06","전라",MID(K848,2,2)="07","경북",MID(K848,2,2)="08","경남",MID(K848,2,2)="09","강원",MID(K848,2,2)="10","제주",TRUE,"국외")</f>
        <v>전라</v>
      </c>
    </row>
    <row r="849" spans="1:12" ht="17.25" thickBot="1">
      <c r="A849" s="3" t="s">
        <v>980</v>
      </c>
      <c r="B849" s="3" t="s">
        <v>63</v>
      </c>
      <c r="C849" s="3"/>
      <c r="D849" s="4" t="s">
        <v>254</v>
      </c>
      <c r="E849" s="4" t="s">
        <v>607</v>
      </c>
      <c r="F849" s="4"/>
      <c r="G849" s="9"/>
      <c r="H849" s="4"/>
      <c r="I849" s="9"/>
      <c r="J849" s="3">
        <v>13132</v>
      </c>
      <c r="K849" s="3">
        <v>50807</v>
      </c>
      <c r="L849" s="17" t="str" cm="1">
        <f t="array" ref="L849">_xlfn.IFS(MID(K849,2,2)="01", "서울", MID(K849,2,2)="02","경기",MID(K849,2,2)="03","충청",MID(K849,2,2)="04","충청",MID(K849,2,2)="05","전라",MID(K849,2,2)="06","전라",MID(K849,2,2)="07","경북",MID(K849,2,2)="08","경남",MID(K849,2,2)="09","강원",MID(K849,2,2)="10","제주",TRUE,"국외")</f>
        <v>경남</v>
      </c>
    </row>
    <row r="850" spans="1:12" ht="17.25" thickBot="1">
      <c r="A850" s="3" t="s">
        <v>981</v>
      </c>
      <c r="B850" s="3" t="s">
        <v>81</v>
      </c>
      <c r="C850" s="3"/>
      <c r="D850" s="4" t="s">
        <v>254</v>
      </c>
      <c r="E850" s="4" t="s">
        <v>906</v>
      </c>
      <c r="F850" s="4"/>
      <c r="G850" s="9"/>
      <c r="H850" s="4"/>
      <c r="I850" s="9"/>
      <c r="J850" s="3">
        <v>13099</v>
      </c>
      <c r="K850" s="3">
        <v>50105</v>
      </c>
      <c r="L850" s="17" t="str" cm="1">
        <f t="array" ref="L850">_xlfn.IFS(MID(K850,2,2)="01", "서울", MID(K850,2,2)="02","경기",MID(K850,2,2)="03","충청",MID(K850,2,2)="04","충청",MID(K850,2,2)="05","전라",MID(K850,2,2)="06","전라",MID(K850,2,2)="07","경북",MID(K850,2,2)="08","경남",MID(K850,2,2)="09","강원",MID(K850,2,2)="10","제주",TRUE,"국외")</f>
        <v>서울</v>
      </c>
    </row>
    <row r="851" spans="1:12" ht="17.25" thickBot="1">
      <c r="A851" s="3" t="s">
        <v>357</v>
      </c>
      <c r="B851" s="3" t="s">
        <v>36</v>
      </c>
      <c r="C851" s="3"/>
      <c r="D851" s="4" t="s">
        <v>254</v>
      </c>
      <c r="E851" s="4" t="s">
        <v>26</v>
      </c>
      <c r="F851" s="4"/>
      <c r="G851" s="9"/>
      <c r="H851" s="4"/>
      <c r="I851" s="9"/>
      <c r="J851" s="3">
        <v>13077</v>
      </c>
      <c r="K851" s="3">
        <v>50402</v>
      </c>
      <c r="L851" s="17" t="str" cm="1">
        <f t="array" ref="L851">_xlfn.IFS(MID(K851,2,2)="01", "서울", MID(K851,2,2)="02","경기",MID(K851,2,2)="03","충청",MID(K851,2,2)="04","충청",MID(K851,2,2)="05","전라",MID(K851,2,2)="06","전라",MID(K851,2,2)="07","경북",MID(K851,2,2)="08","경남",MID(K851,2,2)="09","강원",MID(K851,2,2)="10","제주",TRUE,"국외")</f>
        <v>충청</v>
      </c>
    </row>
    <row r="852" spans="1:12" ht="17.25" thickBot="1">
      <c r="A852" s="3" t="s">
        <v>982</v>
      </c>
      <c r="B852" s="3" t="s">
        <v>93</v>
      </c>
      <c r="C852" s="3" t="s">
        <v>538</v>
      </c>
      <c r="D852" s="4" t="s">
        <v>254</v>
      </c>
      <c r="E852" s="4" t="s">
        <v>9</v>
      </c>
      <c r="F852" s="4"/>
      <c r="G852" s="9"/>
      <c r="H852" s="4"/>
      <c r="I852" s="9"/>
      <c r="J852" s="3">
        <v>13153</v>
      </c>
      <c r="K852" s="3">
        <v>50805</v>
      </c>
      <c r="L852" s="17" t="str" cm="1">
        <f t="array" ref="L852">_xlfn.IFS(MID(K852,2,2)="01", "서울", MID(K852,2,2)="02","경기",MID(K852,2,2)="03","충청",MID(K852,2,2)="04","충청",MID(K852,2,2)="05","전라",MID(K852,2,2)="06","전라",MID(K852,2,2)="07","경북",MID(K852,2,2)="08","경남",MID(K852,2,2)="09","강원",MID(K852,2,2)="10","제주",TRUE,"국외")</f>
        <v>경남</v>
      </c>
    </row>
    <row r="853" spans="1:12" ht="17.25" thickBot="1">
      <c r="A853" s="3" t="s">
        <v>983</v>
      </c>
      <c r="B853" s="3" t="s">
        <v>22</v>
      </c>
      <c r="C853" s="3"/>
      <c r="D853" s="4" t="s">
        <v>254</v>
      </c>
      <c r="E853" s="4" t="s">
        <v>23</v>
      </c>
      <c r="F853" s="4">
        <v>2019</v>
      </c>
      <c r="G853" s="9"/>
      <c r="H853" s="4" t="s">
        <v>23</v>
      </c>
      <c r="I853" s="8">
        <v>-0.1</v>
      </c>
      <c r="J853" s="3">
        <v>13164</v>
      </c>
      <c r="K853" s="3">
        <v>50209</v>
      </c>
      <c r="L853" s="17" t="str" cm="1">
        <f t="array" ref="L853">_xlfn.IFS(MID(K853,2,2)="01", "서울", MID(K853,2,2)="02","경기",MID(K853,2,2)="03","충청",MID(K853,2,2)="04","충청",MID(K853,2,2)="05","전라",MID(K853,2,2)="06","전라",MID(K853,2,2)="07","경북",MID(K853,2,2)="08","경남",MID(K853,2,2)="09","강원",MID(K853,2,2)="10","제주",TRUE,"국외")</f>
        <v>경기</v>
      </c>
    </row>
    <row r="854" spans="1:12" ht="17.25" thickBot="1">
      <c r="A854" s="3" t="s">
        <v>984</v>
      </c>
      <c r="B854" s="3" t="s">
        <v>169</v>
      </c>
      <c r="C854" s="3"/>
      <c r="D854" s="4" t="s">
        <v>254</v>
      </c>
      <c r="E854" s="4" t="s">
        <v>3</v>
      </c>
      <c r="F854" s="4"/>
      <c r="G854" s="9"/>
      <c r="H854" s="4"/>
      <c r="I854" s="9"/>
      <c r="J854" s="3">
        <v>13142</v>
      </c>
      <c r="K854" s="3">
        <v>50606</v>
      </c>
      <c r="L854" s="17" t="str" cm="1">
        <f t="array" ref="L854">_xlfn.IFS(MID(K854,2,2)="01", "서울", MID(K854,2,2)="02","경기",MID(K854,2,2)="03","충청",MID(K854,2,2)="04","충청",MID(K854,2,2)="05","전라",MID(K854,2,2)="06","전라",MID(K854,2,2)="07","경북",MID(K854,2,2)="08","경남",MID(K854,2,2)="09","강원",MID(K854,2,2)="10","제주",TRUE,"국외")</f>
        <v>전라</v>
      </c>
    </row>
    <row r="855" spans="1:12" ht="17.25" thickBot="1">
      <c r="A855" s="3" t="s">
        <v>985</v>
      </c>
      <c r="B855" s="3" t="s">
        <v>107</v>
      </c>
      <c r="C855" s="3" t="s">
        <v>99</v>
      </c>
      <c r="D855" s="4" t="s">
        <v>254</v>
      </c>
      <c r="E855" s="4" t="s">
        <v>6</v>
      </c>
      <c r="F855" s="4">
        <v>2021</v>
      </c>
      <c r="G855" s="9"/>
      <c r="H855" s="4" t="s">
        <v>6</v>
      </c>
      <c r="I855" s="8">
        <v>1.6</v>
      </c>
      <c r="J855" s="3">
        <v>13122</v>
      </c>
      <c r="K855" s="3">
        <v>50602</v>
      </c>
      <c r="L855" s="17" t="str" cm="1">
        <f t="array" ref="L855">_xlfn.IFS(MID(K855,2,2)="01", "서울", MID(K855,2,2)="02","경기",MID(K855,2,2)="03","충청",MID(K855,2,2)="04","충청",MID(K855,2,2)="05","전라",MID(K855,2,2)="06","전라",MID(K855,2,2)="07","경북",MID(K855,2,2)="08","경남",MID(K855,2,2)="09","강원",MID(K855,2,2)="10","제주",TRUE,"국외")</f>
        <v>전라</v>
      </c>
    </row>
    <row r="856" spans="1:12" ht="17.25" thickBot="1">
      <c r="A856" s="3" t="s">
        <v>986</v>
      </c>
      <c r="B856" s="3" t="s">
        <v>332</v>
      </c>
      <c r="C856" s="3" t="s">
        <v>739</v>
      </c>
      <c r="D856" s="4" t="s">
        <v>254</v>
      </c>
      <c r="E856" s="4" t="s">
        <v>28</v>
      </c>
      <c r="F856" s="4"/>
      <c r="G856" s="9"/>
      <c r="H856" s="4"/>
      <c r="I856" s="9"/>
      <c r="J856" s="3">
        <v>13176</v>
      </c>
      <c r="K856" s="3">
        <v>50705</v>
      </c>
      <c r="L856" s="17" t="str" cm="1">
        <f t="array" ref="L856">_xlfn.IFS(MID(K856,2,2)="01", "서울", MID(K856,2,2)="02","경기",MID(K856,2,2)="03","충청",MID(K856,2,2)="04","충청",MID(K856,2,2)="05","전라",MID(K856,2,2)="06","전라",MID(K856,2,2)="07","경북",MID(K856,2,2)="08","경남",MID(K856,2,2)="09","강원",MID(K856,2,2)="10","제주",TRUE,"국외")</f>
        <v>경북</v>
      </c>
    </row>
    <row r="857" spans="1:12" ht="17.25" thickBot="1">
      <c r="A857" s="3" t="s">
        <v>987</v>
      </c>
      <c r="B857" s="3" t="s">
        <v>1</v>
      </c>
      <c r="C857" s="3" t="s">
        <v>174</v>
      </c>
      <c r="D857" s="4" t="s">
        <v>254</v>
      </c>
      <c r="E857" s="4" t="s">
        <v>20</v>
      </c>
      <c r="F857" s="4"/>
      <c r="G857" s="9"/>
      <c r="H857" s="4"/>
      <c r="I857" s="9"/>
      <c r="J857" s="3">
        <v>13111</v>
      </c>
      <c r="K857" s="3">
        <v>50107</v>
      </c>
      <c r="L857" s="17" t="str" cm="1">
        <f t="array" ref="L857">_xlfn.IFS(MID(K857,2,2)="01", "서울", MID(K857,2,2)="02","경기",MID(K857,2,2)="03","충청",MID(K857,2,2)="04","충청",MID(K857,2,2)="05","전라",MID(K857,2,2)="06","전라",MID(K857,2,2)="07","경북",MID(K857,2,2)="08","경남",MID(K857,2,2)="09","강원",MID(K857,2,2)="10","제주",TRUE,"국외")</f>
        <v>서울</v>
      </c>
    </row>
    <row r="858" spans="1:12" ht="17.25" thickBot="1">
      <c r="A858" s="3" t="s">
        <v>918</v>
      </c>
      <c r="B858" s="3" t="s">
        <v>66</v>
      </c>
      <c r="C858" s="3" t="s">
        <v>45</v>
      </c>
      <c r="D858" s="4" t="s">
        <v>254</v>
      </c>
      <c r="E858" s="4" t="s">
        <v>12</v>
      </c>
      <c r="F858" s="4">
        <v>2020</v>
      </c>
      <c r="G858" s="9"/>
      <c r="H858" s="4" t="s">
        <v>12</v>
      </c>
      <c r="I858" s="8">
        <v>0</v>
      </c>
      <c r="J858" s="3">
        <v>13089</v>
      </c>
      <c r="K858" s="3">
        <v>50110</v>
      </c>
      <c r="L858" s="17" t="str" cm="1">
        <f t="array" ref="L858">_xlfn.IFS(MID(K858,2,2)="01", "서울", MID(K858,2,2)="02","경기",MID(K858,2,2)="03","충청",MID(K858,2,2)="04","충청",MID(K858,2,2)="05","전라",MID(K858,2,2)="06","전라",MID(K858,2,2)="07","경북",MID(K858,2,2)="08","경남",MID(K858,2,2)="09","강원",MID(K858,2,2)="10","제주",TRUE,"국외")</f>
        <v>서울</v>
      </c>
    </row>
    <row r="859" spans="1:12" ht="17.25" thickBot="1">
      <c r="A859" s="3" t="s">
        <v>988</v>
      </c>
      <c r="B859" s="3" t="s">
        <v>34</v>
      </c>
      <c r="C859" s="3"/>
      <c r="D859" s="4" t="s">
        <v>254</v>
      </c>
      <c r="E859" s="4" t="s">
        <v>607</v>
      </c>
      <c r="F859" s="4"/>
      <c r="G859" s="9"/>
      <c r="H859" s="4"/>
      <c r="I859" s="9"/>
      <c r="J859" s="3">
        <v>13133</v>
      </c>
      <c r="K859" s="3">
        <v>50701</v>
      </c>
      <c r="L859" s="17" t="str" cm="1">
        <f t="array" ref="L859">_xlfn.IFS(MID(K859,2,2)="01", "서울", MID(K859,2,2)="02","경기",MID(K859,2,2)="03","충청",MID(K859,2,2)="04","충청",MID(K859,2,2)="05","전라",MID(K859,2,2)="06","전라",MID(K859,2,2)="07","경북",MID(K859,2,2)="08","경남",MID(K859,2,2)="09","강원",MID(K859,2,2)="10","제주",TRUE,"국외")</f>
        <v>경북</v>
      </c>
    </row>
    <row r="860" spans="1:12" ht="17.25" thickBot="1">
      <c r="A860" s="3" t="s">
        <v>989</v>
      </c>
      <c r="B860" s="3" t="s">
        <v>351</v>
      </c>
      <c r="C860" s="3"/>
      <c r="D860" s="4" t="s">
        <v>254</v>
      </c>
      <c r="E860" s="4" t="s">
        <v>906</v>
      </c>
      <c r="F860" s="4"/>
      <c r="G860" s="9"/>
      <c r="H860" s="4"/>
      <c r="I860" s="9"/>
      <c r="J860" s="3">
        <v>13100</v>
      </c>
      <c r="K860" s="3">
        <v>50203</v>
      </c>
      <c r="L860" s="17" t="str" cm="1">
        <f t="array" ref="L860">_xlfn.IFS(MID(K860,2,2)="01", "서울", MID(K860,2,2)="02","경기",MID(K860,2,2)="03","충청",MID(K860,2,2)="04","충청",MID(K860,2,2)="05","전라",MID(K860,2,2)="06","전라",MID(K860,2,2)="07","경북",MID(K860,2,2)="08","경남",MID(K860,2,2)="09","강원",MID(K860,2,2)="10","제주",TRUE,"국외")</f>
        <v>경기</v>
      </c>
    </row>
    <row r="861" spans="1:12" ht="17.25" thickBot="1">
      <c r="A861" s="3" t="s">
        <v>990</v>
      </c>
      <c r="B861" s="3" t="s">
        <v>66</v>
      </c>
      <c r="C861" s="3"/>
      <c r="D861" s="4" t="s">
        <v>254</v>
      </c>
      <c r="E861" s="4" t="s">
        <v>26</v>
      </c>
      <c r="F861" s="4"/>
      <c r="G861" s="9"/>
      <c r="H861" s="4"/>
      <c r="I861" s="9"/>
      <c r="J861" s="3">
        <v>13078</v>
      </c>
      <c r="K861" s="3">
        <v>50110</v>
      </c>
      <c r="L861" s="17" t="str" cm="1">
        <f t="array" ref="L861">_xlfn.IFS(MID(K861,2,2)="01", "서울", MID(K861,2,2)="02","경기",MID(K861,2,2)="03","충청",MID(K861,2,2)="04","충청",MID(K861,2,2)="05","전라",MID(K861,2,2)="06","전라",MID(K861,2,2)="07","경북",MID(K861,2,2)="08","경남",MID(K861,2,2)="09","강원",MID(K861,2,2)="10","제주",TRUE,"국외")</f>
        <v>서울</v>
      </c>
    </row>
    <row r="862" spans="1:12" ht="17.25" thickBot="1">
      <c r="A862" s="3" t="s">
        <v>991</v>
      </c>
      <c r="B862" s="3" t="s">
        <v>11</v>
      </c>
      <c r="C862" s="3"/>
      <c r="D862" s="4" t="s">
        <v>254</v>
      </c>
      <c r="E862" s="4" t="s">
        <v>9</v>
      </c>
      <c r="F862" s="4">
        <v>2019</v>
      </c>
      <c r="G862" s="9"/>
      <c r="H862" s="4" t="s">
        <v>9</v>
      </c>
      <c r="I862" s="8">
        <v>0</v>
      </c>
      <c r="J862" s="3">
        <v>13154</v>
      </c>
      <c r="K862" s="3">
        <v>50802</v>
      </c>
      <c r="L862" s="17" t="str" cm="1">
        <f t="array" ref="L862">_xlfn.IFS(MID(K862,2,2)="01", "서울", MID(K862,2,2)="02","경기",MID(K862,2,2)="03","충청",MID(K862,2,2)="04","충청",MID(K862,2,2)="05","전라",MID(K862,2,2)="06","전라",MID(K862,2,2)="07","경북",MID(K862,2,2)="08","경남",MID(K862,2,2)="09","강원",MID(K862,2,2)="10","제주",TRUE,"국외")</f>
        <v>경남</v>
      </c>
    </row>
    <row r="863" spans="1:12" ht="17.25" thickBot="1">
      <c r="A863" s="3" t="s">
        <v>992</v>
      </c>
      <c r="B863" s="3" t="s">
        <v>36</v>
      </c>
      <c r="C863" s="3"/>
      <c r="D863" s="4" t="s">
        <v>254</v>
      </c>
      <c r="E863" s="4" t="s">
        <v>23</v>
      </c>
      <c r="F863" s="4"/>
      <c r="G863" s="9"/>
      <c r="H863" s="4"/>
      <c r="I863" s="9"/>
      <c r="J863" s="3">
        <v>13165</v>
      </c>
      <c r="K863" s="3">
        <v>50402</v>
      </c>
      <c r="L863" s="17" t="str" cm="1">
        <f t="array" ref="L863">_xlfn.IFS(MID(K863,2,2)="01", "서울", MID(K863,2,2)="02","경기",MID(K863,2,2)="03","충청",MID(K863,2,2)="04","충청",MID(K863,2,2)="05","전라",MID(K863,2,2)="06","전라",MID(K863,2,2)="07","경북",MID(K863,2,2)="08","경남",MID(K863,2,2)="09","강원",MID(K863,2,2)="10","제주",TRUE,"국외")</f>
        <v>충청</v>
      </c>
    </row>
    <row r="864" spans="1:12" ht="17.25" thickBot="1">
      <c r="A864" s="3" t="s">
        <v>993</v>
      </c>
      <c r="B864" s="3" t="s">
        <v>1</v>
      </c>
      <c r="C864" s="3"/>
      <c r="D864" s="4" t="s">
        <v>254</v>
      </c>
      <c r="E864" s="4" t="s">
        <v>3</v>
      </c>
      <c r="F864" s="4"/>
      <c r="G864" s="9"/>
      <c r="H864" s="4"/>
      <c r="I864" s="9"/>
      <c r="J864" s="3">
        <v>13143</v>
      </c>
      <c r="K864" s="3">
        <v>50107</v>
      </c>
      <c r="L864" s="17" t="str" cm="1">
        <f t="array" ref="L864">_xlfn.IFS(MID(K864,2,2)="01", "서울", MID(K864,2,2)="02","경기",MID(K864,2,2)="03","충청",MID(K864,2,2)="04","충청",MID(K864,2,2)="05","전라",MID(K864,2,2)="06","전라",MID(K864,2,2)="07","경북",MID(K864,2,2)="08","경남",MID(K864,2,2)="09","강원",MID(K864,2,2)="10","제주",TRUE,"국외")</f>
        <v>서울</v>
      </c>
    </row>
    <row r="865" spans="1:12" ht="17.25" thickBot="1">
      <c r="A865" s="3" t="s">
        <v>994</v>
      </c>
      <c r="B865" s="3" t="s">
        <v>169</v>
      </c>
      <c r="C865" s="3" t="s">
        <v>90</v>
      </c>
      <c r="D865" s="4" t="s">
        <v>254</v>
      </c>
      <c r="E865" s="4" t="s">
        <v>6</v>
      </c>
      <c r="F865" s="4"/>
      <c r="G865" s="9"/>
      <c r="H865" s="4"/>
      <c r="I865" s="9"/>
      <c r="J865" s="3">
        <v>13123</v>
      </c>
      <c r="K865" s="3">
        <v>50606</v>
      </c>
      <c r="L865" s="17" t="str" cm="1">
        <f t="array" ref="L865">_xlfn.IFS(MID(K865,2,2)="01", "서울", MID(K865,2,2)="02","경기",MID(K865,2,2)="03","충청",MID(K865,2,2)="04","충청",MID(K865,2,2)="05","전라",MID(K865,2,2)="06","전라",MID(K865,2,2)="07","경북",MID(K865,2,2)="08","경남",MID(K865,2,2)="09","강원",MID(K865,2,2)="10","제주",TRUE,"국외")</f>
        <v>전라</v>
      </c>
    </row>
    <row r="866" spans="1:12" ht="17.25" thickBot="1">
      <c r="A866" s="3" t="s">
        <v>995</v>
      </c>
      <c r="B866" s="3" t="s">
        <v>147</v>
      </c>
      <c r="C866" s="3"/>
      <c r="D866" s="4" t="s">
        <v>254</v>
      </c>
      <c r="E866" s="4" t="s">
        <v>28</v>
      </c>
      <c r="F866" s="4">
        <v>2022</v>
      </c>
      <c r="G866" s="9"/>
      <c r="H866" s="4" t="s">
        <v>28</v>
      </c>
      <c r="I866" s="8">
        <v>-0.1</v>
      </c>
      <c r="J866" s="3">
        <v>13177</v>
      </c>
      <c r="K866" s="3">
        <v>50208</v>
      </c>
      <c r="L866" s="17" t="str" cm="1">
        <f t="array" ref="L866">_xlfn.IFS(MID(K866,2,2)="01", "서울", MID(K866,2,2)="02","경기",MID(K866,2,2)="03","충청",MID(K866,2,2)="04","충청",MID(K866,2,2)="05","전라",MID(K866,2,2)="06","전라",MID(K866,2,2)="07","경북",MID(K866,2,2)="08","경남",MID(K866,2,2)="09","강원",MID(K866,2,2)="10","제주",TRUE,"국외")</f>
        <v>경기</v>
      </c>
    </row>
    <row r="867" spans="1:12" ht="17.25" thickBot="1">
      <c r="A867" s="3" t="s">
        <v>996</v>
      </c>
      <c r="B867" s="3" t="s">
        <v>34</v>
      </c>
      <c r="C867" s="3" t="s">
        <v>161</v>
      </c>
      <c r="D867" s="4" t="s">
        <v>254</v>
      </c>
      <c r="E867" s="4" t="s">
        <v>20</v>
      </c>
      <c r="F867" s="4">
        <v>2018</v>
      </c>
      <c r="G867" s="8">
        <v>-0.1</v>
      </c>
      <c r="H867" s="4" t="s">
        <v>20</v>
      </c>
      <c r="I867" s="8">
        <v>8.6</v>
      </c>
      <c r="J867" s="3">
        <v>13112</v>
      </c>
      <c r="K867" s="3">
        <v>50701</v>
      </c>
      <c r="L867" s="17" t="str" cm="1">
        <f t="array" ref="L867">_xlfn.IFS(MID(K867,2,2)="01", "서울", MID(K867,2,2)="02","경기",MID(K867,2,2)="03","충청",MID(K867,2,2)="04","충청",MID(K867,2,2)="05","전라",MID(K867,2,2)="06","전라",MID(K867,2,2)="07","경북",MID(K867,2,2)="08","경남",MID(K867,2,2)="09","강원",MID(K867,2,2)="10","제주",TRUE,"국외")</f>
        <v>경북</v>
      </c>
    </row>
    <row r="868" spans="1:12" ht="17.25" thickBot="1">
      <c r="A868" s="3" t="s">
        <v>997</v>
      </c>
      <c r="B868" s="3" t="s">
        <v>70</v>
      </c>
      <c r="C868" s="3"/>
      <c r="D868" s="4" t="s">
        <v>254</v>
      </c>
      <c r="E868" s="4" t="s">
        <v>12</v>
      </c>
      <c r="F868" s="4">
        <v>2018</v>
      </c>
      <c r="G868" s="8">
        <v>0</v>
      </c>
      <c r="H868" s="4" t="s">
        <v>12</v>
      </c>
      <c r="I868" s="8">
        <v>0.1</v>
      </c>
      <c r="J868" s="3">
        <v>13090</v>
      </c>
      <c r="K868" s="3">
        <v>50103</v>
      </c>
      <c r="L868" s="17" t="str" cm="1">
        <f t="array" ref="L868">_xlfn.IFS(MID(K868,2,2)="01", "서울", MID(K868,2,2)="02","경기",MID(K868,2,2)="03","충청",MID(K868,2,2)="04","충청",MID(K868,2,2)="05","전라",MID(K868,2,2)="06","전라",MID(K868,2,2)="07","경북",MID(K868,2,2)="08","경남",MID(K868,2,2)="09","강원",MID(K868,2,2)="10","제주",TRUE,"국외")</f>
        <v>서울</v>
      </c>
    </row>
    <row r="869" spans="1:12" ht="17.25" thickBot="1">
      <c r="A869" s="3" t="s">
        <v>998</v>
      </c>
      <c r="B869" s="3" t="s">
        <v>22</v>
      </c>
      <c r="C869" s="3" t="s">
        <v>172</v>
      </c>
      <c r="D869" s="4" t="s">
        <v>254</v>
      </c>
      <c r="E869" s="4" t="s">
        <v>906</v>
      </c>
      <c r="F869" s="4">
        <v>2018</v>
      </c>
      <c r="G869" s="9"/>
      <c r="H869" s="4"/>
      <c r="I869" s="9"/>
      <c r="J869" s="3">
        <v>13101</v>
      </c>
      <c r="K869" s="3">
        <v>50209</v>
      </c>
      <c r="L869" s="17" t="str" cm="1">
        <f t="array" ref="L869">_xlfn.IFS(MID(K869,2,2)="01", "서울", MID(K869,2,2)="02","경기",MID(K869,2,2)="03","충청",MID(K869,2,2)="04","충청",MID(K869,2,2)="05","전라",MID(K869,2,2)="06","전라",MID(K869,2,2)="07","경북",MID(K869,2,2)="08","경남",MID(K869,2,2)="09","강원",MID(K869,2,2)="10","제주",TRUE,"국외")</f>
        <v>경기</v>
      </c>
    </row>
    <row r="870" spans="1:12" ht="17.25" thickBot="1">
      <c r="A870" s="3" t="s">
        <v>999</v>
      </c>
      <c r="B870" s="3" t="s">
        <v>128</v>
      </c>
      <c r="C870" s="3"/>
      <c r="D870" s="4" t="s">
        <v>254</v>
      </c>
      <c r="E870" s="4" t="s">
        <v>26</v>
      </c>
      <c r="F870" s="4">
        <v>2020</v>
      </c>
      <c r="G870" s="9"/>
      <c r="H870" s="4" t="s">
        <v>26</v>
      </c>
      <c r="I870" s="8">
        <v>-0.7</v>
      </c>
      <c r="J870" s="3">
        <v>13079</v>
      </c>
      <c r="K870" s="3">
        <v>50901</v>
      </c>
      <c r="L870" s="17" t="str" cm="1">
        <f t="array" ref="L870">_xlfn.IFS(MID(K870,2,2)="01", "서울", MID(K870,2,2)="02","경기",MID(K870,2,2)="03","충청",MID(K870,2,2)="04","충청",MID(K870,2,2)="05","전라",MID(K870,2,2)="06","전라",MID(K870,2,2)="07","경북",MID(K870,2,2)="08","경남",MID(K870,2,2)="09","강원",MID(K870,2,2)="10","제주",TRUE,"국외")</f>
        <v>강원</v>
      </c>
    </row>
    <row r="871" spans="1:12" ht="17.25" thickBot="1">
      <c r="A871" s="3" t="s">
        <v>1000</v>
      </c>
      <c r="B871" s="3" t="s">
        <v>241</v>
      </c>
      <c r="C871" s="3"/>
      <c r="D871" s="4" t="s">
        <v>254</v>
      </c>
      <c r="E871" s="4" t="s">
        <v>9</v>
      </c>
      <c r="F871" s="4">
        <v>2021</v>
      </c>
      <c r="G871" s="9"/>
      <c r="H871" s="4" t="s">
        <v>9</v>
      </c>
      <c r="I871" s="8">
        <v>-0.3</v>
      </c>
      <c r="J871" s="3">
        <v>13155</v>
      </c>
      <c r="K871" s="3">
        <v>50202</v>
      </c>
      <c r="L871" s="17" t="str" cm="1">
        <f t="array" ref="L871">_xlfn.IFS(MID(K871,2,2)="01", "서울", MID(K871,2,2)="02","경기",MID(K871,2,2)="03","충청",MID(K871,2,2)="04","충청",MID(K871,2,2)="05","전라",MID(K871,2,2)="06","전라",MID(K871,2,2)="07","경북",MID(K871,2,2)="08","경남",MID(K871,2,2)="09","강원",MID(K871,2,2)="10","제주",TRUE,"국외")</f>
        <v>경기</v>
      </c>
    </row>
    <row r="872" spans="1:12" ht="17.25" thickBot="1">
      <c r="A872" s="3" t="s">
        <v>1001</v>
      </c>
      <c r="B872" s="3" t="s">
        <v>81</v>
      </c>
      <c r="C872" s="3"/>
      <c r="D872" s="4" t="s">
        <v>254</v>
      </c>
      <c r="E872" s="4" t="s">
        <v>23</v>
      </c>
      <c r="F872" s="4">
        <v>2018</v>
      </c>
      <c r="G872" s="9"/>
      <c r="H872" s="4"/>
      <c r="I872" s="9"/>
      <c r="J872" s="3">
        <v>13166</v>
      </c>
      <c r="K872" s="3">
        <v>50105</v>
      </c>
      <c r="L872" s="17" t="str" cm="1">
        <f t="array" ref="L872">_xlfn.IFS(MID(K872,2,2)="01", "서울", MID(K872,2,2)="02","경기",MID(K872,2,2)="03","충청",MID(K872,2,2)="04","충청",MID(K872,2,2)="05","전라",MID(K872,2,2)="06","전라",MID(K872,2,2)="07","경북",MID(K872,2,2)="08","경남",MID(K872,2,2)="09","강원",MID(K872,2,2)="10","제주",TRUE,"국외")</f>
        <v>서울</v>
      </c>
    </row>
    <row r="873" spans="1:12" ht="17.25" thickBot="1">
      <c r="A873" s="3" t="s">
        <v>458</v>
      </c>
      <c r="B873" s="3" t="s">
        <v>147</v>
      </c>
      <c r="C873" s="3"/>
      <c r="D873" s="4" t="s">
        <v>254</v>
      </c>
      <c r="E873" s="4" t="s">
        <v>3</v>
      </c>
      <c r="F873" s="4">
        <v>2018</v>
      </c>
      <c r="G873" s="8">
        <v>0.1</v>
      </c>
      <c r="H873" s="4" t="s">
        <v>3</v>
      </c>
      <c r="I873" s="8">
        <v>0.4</v>
      </c>
      <c r="J873" s="3">
        <v>13144</v>
      </c>
      <c r="K873" s="3">
        <v>50208</v>
      </c>
      <c r="L873" s="17" t="str" cm="1">
        <f t="array" ref="L873">_xlfn.IFS(MID(K873,2,2)="01", "서울", MID(K873,2,2)="02","경기",MID(K873,2,2)="03","충청",MID(K873,2,2)="04","충청",MID(K873,2,2)="05","전라",MID(K873,2,2)="06","전라",MID(K873,2,2)="07","경북",MID(K873,2,2)="08","경남",MID(K873,2,2)="09","강원",MID(K873,2,2)="10","제주",TRUE,"국외")</f>
        <v>경기</v>
      </c>
    </row>
    <row r="874" spans="1:12" ht="17.25" thickBot="1">
      <c r="A874" s="3" t="s">
        <v>385</v>
      </c>
      <c r="B874" s="3"/>
      <c r="C874" s="3"/>
      <c r="D874" s="4" t="s">
        <v>181</v>
      </c>
      <c r="E874" s="4" t="s">
        <v>20</v>
      </c>
      <c r="F874" s="4">
        <v>2018</v>
      </c>
      <c r="G874" s="8">
        <v>1.3</v>
      </c>
      <c r="H874" s="4" t="s">
        <v>20</v>
      </c>
      <c r="I874" s="8">
        <v>1.3</v>
      </c>
      <c r="J874" s="3">
        <v>13060</v>
      </c>
      <c r="K874" s="3"/>
      <c r="L874" s="17" t="str" cm="1">
        <f t="array" ref="L874">_xlfn.IFS(MID(K874,2,2)="01", "서울", MID(K874,2,2)="02","경기",MID(K874,2,2)="03","충청",MID(K874,2,2)="04","충청",MID(K874,2,2)="05","전라",MID(K874,2,2)="06","전라",MID(K874,2,2)="07","경북",MID(K874,2,2)="08","경남",MID(K874,2,2)="09","강원",MID(K874,2,2)="10","제주",TRUE,"국외")</f>
        <v>국외</v>
      </c>
    </row>
    <row r="875" spans="1:12" ht="17.25" thickBot="1">
      <c r="A875" s="3" t="s">
        <v>879</v>
      </c>
      <c r="B875" s="3"/>
      <c r="C875" s="3" t="s">
        <v>571</v>
      </c>
      <c r="D875" s="4" t="s">
        <v>181</v>
      </c>
      <c r="E875" s="4" t="s">
        <v>20</v>
      </c>
      <c r="F875" s="4">
        <v>2018</v>
      </c>
      <c r="G875" s="8">
        <v>6.9</v>
      </c>
      <c r="H875" s="4" t="s">
        <v>20</v>
      </c>
      <c r="I875" s="8">
        <v>13.3</v>
      </c>
      <c r="J875" s="3">
        <v>13062</v>
      </c>
      <c r="K875" s="3"/>
      <c r="L875" s="17" t="str" cm="1">
        <f t="array" ref="L875">_xlfn.IFS(MID(K875,2,2)="01", "서울", MID(K875,2,2)="02","경기",MID(K875,2,2)="03","충청",MID(K875,2,2)="04","충청",MID(K875,2,2)="05","전라",MID(K875,2,2)="06","전라",MID(K875,2,2)="07","경북",MID(K875,2,2)="08","경남",MID(K875,2,2)="09","강원",MID(K875,2,2)="10","제주",TRUE,"국외")</f>
        <v>국외</v>
      </c>
    </row>
    <row r="876" spans="1:12" ht="17.25" thickBot="1">
      <c r="A876" s="3" t="s">
        <v>1002</v>
      </c>
      <c r="B876" s="3"/>
      <c r="C876" s="3"/>
      <c r="D876" s="4" t="s">
        <v>181</v>
      </c>
      <c r="E876" s="4" t="s">
        <v>12</v>
      </c>
      <c r="F876" s="4">
        <v>2018</v>
      </c>
      <c r="G876" s="8">
        <v>2.8</v>
      </c>
      <c r="H876" s="4" t="s">
        <v>12</v>
      </c>
      <c r="I876" s="8">
        <v>2.8</v>
      </c>
      <c r="J876" s="3">
        <v>13066</v>
      </c>
      <c r="K876" s="3"/>
      <c r="L876" s="17" t="str" cm="1">
        <f t="array" ref="L876">_xlfn.IFS(MID(K876,2,2)="01", "서울", MID(K876,2,2)="02","경기",MID(K876,2,2)="03","충청",MID(K876,2,2)="04","충청",MID(K876,2,2)="05","전라",MID(K876,2,2)="06","전라",MID(K876,2,2)="07","경북",MID(K876,2,2)="08","경남",MID(K876,2,2)="09","강원",MID(K876,2,2)="10","제주",TRUE,"국외")</f>
        <v>국외</v>
      </c>
    </row>
    <row r="877" spans="1:12" ht="17.25" thickBot="1">
      <c r="A877" s="3" t="s">
        <v>1003</v>
      </c>
      <c r="B877" s="3"/>
      <c r="C877" s="3"/>
      <c r="D877" s="4" t="s">
        <v>181</v>
      </c>
      <c r="E877" s="4" t="s">
        <v>12</v>
      </c>
      <c r="F877" s="4">
        <v>2018</v>
      </c>
      <c r="G877" s="8">
        <v>3</v>
      </c>
      <c r="H877" s="4" t="s">
        <v>12</v>
      </c>
      <c r="I877" s="8">
        <v>3</v>
      </c>
      <c r="J877" s="3">
        <v>12783</v>
      </c>
      <c r="K877" s="3"/>
      <c r="L877" s="17" t="str" cm="1">
        <f t="array" ref="L877">_xlfn.IFS(MID(K877,2,2)="01", "서울", MID(K877,2,2)="02","경기",MID(K877,2,2)="03","충청",MID(K877,2,2)="04","충청",MID(K877,2,2)="05","전라",MID(K877,2,2)="06","전라",MID(K877,2,2)="07","경북",MID(K877,2,2)="08","경남",MID(K877,2,2)="09","강원",MID(K877,2,2)="10","제주",TRUE,"국외")</f>
        <v>국외</v>
      </c>
    </row>
    <row r="878" spans="1:12" ht="17.25" thickBot="1">
      <c r="A878" s="3" t="s">
        <v>180</v>
      </c>
      <c r="B878" s="3"/>
      <c r="C878" s="3"/>
      <c r="D878" s="4" t="s">
        <v>181</v>
      </c>
      <c r="E878" s="4" t="s">
        <v>607</v>
      </c>
      <c r="F878" s="4">
        <v>2018</v>
      </c>
      <c r="G878" s="8">
        <v>3.2</v>
      </c>
      <c r="H878" s="4" t="s">
        <v>607</v>
      </c>
      <c r="I878" s="8">
        <v>9.8000000000000007</v>
      </c>
      <c r="J878" s="3">
        <v>13063</v>
      </c>
      <c r="K878" s="3"/>
      <c r="L878" s="17" t="str" cm="1">
        <f t="array" ref="L878">_xlfn.IFS(MID(K878,2,2)="01", "서울", MID(K878,2,2)="02","경기",MID(K878,2,2)="03","충청",MID(K878,2,2)="04","충청",MID(K878,2,2)="05","전라",MID(K878,2,2)="06","전라",MID(K878,2,2)="07","경북",MID(K878,2,2)="08","경남",MID(K878,2,2)="09","강원",MID(K878,2,2)="10","제주",TRUE,"국외")</f>
        <v>국외</v>
      </c>
    </row>
    <row r="879" spans="1:12" ht="17.25" thickBot="1">
      <c r="A879" s="3" t="s">
        <v>1004</v>
      </c>
      <c r="B879" s="3"/>
      <c r="C879" s="3"/>
      <c r="D879" s="4" t="s">
        <v>181</v>
      </c>
      <c r="E879" s="4" t="s">
        <v>906</v>
      </c>
      <c r="F879" s="4">
        <v>2018</v>
      </c>
      <c r="G879" s="8">
        <v>1.4</v>
      </c>
      <c r="H879" s="4" t="s">
        <v>18</v>
      </c>
      <c r="I879" s="8">
        <v>6.3</v>
      </c>
      <c r="J879" s="3">
        <v>13288</v>
      </c>
      <c r="K879" s="3"/>
      <c r="L879" s="17" t="str" cm="1">
        <f t="array" ref="L879">_xlfn.IFS(MID(K879,2,2)="01", "서울", MID(K879,2,2)="02","경기",MID(K879,2,2)="03","충청",MID(K879,2,2)="04","충청",MID(K879,2,2)="05","전라",MID(K879,2,2)="06","전라",MID(K879,2,2)="07","경북",MID(K879,2,2)="08","경남",MID(K879,2,2)="09","강원",MID(K879,2,2)="10","제주",TRUE,"국외")</f>
        <v>국외</v>
      </c>
    </row>
    <row r="880" spans="1:12" ht="17.25" thickBot="1">
      <c r="A880" s="3" t="s">
        <v>1005</v>
      </c>
      <c r="B880" s="3"/>
      <c r="C880" s="3"/>
      <c r="D880" s="4" t="s">
        <v>181</v>
      </c>
      <c r="E880" s="4" t="s">
        <v>26</v>
      </c>
      <c r="F880" s="4">
        <v>2018</v>
      </c>
      <c r="G880" s="8">
        <v>-0.8</v>
      </c>
      <c r="H880" s="4" t="s">
        <v>26</v>
      </c>
      <c r="I880" s="8">
        <v>-0.8</v>
      </c>
      <c r="J880" s="3">
        <v>13059</v>
      </c>
      <c r="K880" s="3"/>
      <c r="L880" s="17" t="str" cm="1">
        <f t="array" ref="L880">_xlfn.IFS(MID(K880,2,2)="01", "서울", MID(K880,2,2)="02","경기",MID(K880,2,2)="03","충청",MID(K880,2,2)="04","충청",MID(K880,2,2)="05","전라",MID(K880,2,2)="06","전라",MID(K880,2,2)="07","경북",MID(K880,2,2)="08","경남",MID(K880,2,2)="09","강원",MID(K880,2,2)="10","제주",TRUE,"국외")</f>
        <v>국외</v>
      </c>
    </row>
    <row r="881" spans="1:12" ht="17.25" thickBot="1">
      <c r="A881" s="3" t="s">
        <v>1006</v>
      </c>
      <c r="B881" s="3"/>
      <c r="C881" s="3"/>
      <c r="D881" s="4" t="s">
        <v>181</v>
      </c>
      <c r="E881" s="4" t="s">
        <v>26</v>
      </c>
      <c r="F881" s="4">
        <v>2018</v>
      </c>
      <c r="G881" s="8">
        <v>-0.5</v>
      </c>
      <c r="H881" s="4" t="s">
        <v>26</v>
      </c>
      <c r="I881" s="8">
        <v>-0.5</v>
      </c>
      <c r="J881" s="3">
        <v>13286</v>
      </c>
      <c r="K881" s="3"/>
      <c r="L881" s="17" t="str" cm="1">
        <f t="array" ref="L881">_xlfn.IFS(MID(K881,2,2)="01", "서울", MID(K881,2,2)="02","경기",MID(K881,2,2)="03","충청",MID(K881,2,2)="04","충청",MID(K881,2,2)="05","전라",MID(K881,2,2)="06","전라",MID(K881,2,2)="07","경북",MID(K881,2,2)="08","경남",MID(K881,2,2)="09","강원",MID(K881,2,2)="10","제주",TRUE,"국외")</f>
        <v>국외</v>
      </c>
    </row>
    <row r="882" spans="1:12" ht="17.25" thickBot="1">
      <c r="A882" s="3" t="s">
        <v>1007</v>
      </c>
      <c r="B882" s="3"/>
      <c r="C882" s="3"/>
      <c r="D882" s="4" t="s">
        <v>181</v>
      </c>
      <c r="E882" s="4" t="s">
        <v>26</v>
      </c>
      <c r="F882" s="4">
        <v>2018</v>
      </c>
      <c r="G882" s="8">
        <v>4</v>
      </c>
      <c r="H882" s="4" t="s">
        <v>26</v>
      </c>
      <c r="I882" s="8">
        <v>6.4</v>
      </c>
      <c r="J882" s="3">
        <v>13058</v>
      </c>
      <c r="K882" s="3"/>
      <c r="L882" s="17" t="str" cm="1">
        <f t="array" ref="L882">_xlfn.IFS(MID(K882,2,2)="01", "서울", MID(K882,2,2)="02","경기",MID(K882,2,2)="03","충청",MID(K882,2,2)="04","충청",MID(K882,2,2)="05","전라",MID(K882,2,2)="06","전라",MID(K882,2,2)="07","경북",MID(K882,2,2)="08","경남",MID(K882,2,2)="09","강원",MID(K882,2,2)="10","제주",TRUE,"국외")</f>
        <v>국외</v>
      </c>
    </row>
    <row r="883" spans="1:12" ht="17.25" thickBot="1">
      <c r="A883" s="3" t="s">
        <v>1008</v>
      </c>
      <c r="B883" s="3"/>
      <c r="C883" s="3"/>
      <c r="D883" s="4" t="s">
        <v>181</v>
      </c>
      <c r="E883" s="4" t="s">
        <v>9</v>
      </c>
      <c r="F883" s="4">
        <v>2018</v>
      </c>
      <c r="G883" s="8">
        <v>2.9</v>
      </c>
      <c r="H883" s="4" t="s">
        <v>9</v>
      </c>
      <c r="I883" s="8">
        <v>2.9</v>
      </c>
      <c r="J883" s="3">
        <v>13067</v>
      </c>
      <c r="K883" s="3"/>
      <c r="L883" s="17" t="str" cm="1">
        <f t="array" ref="L883">_xlfn.IFS(MID(K883,2,2)="01", "서울", MID(K883,2,2)="02","경기",MID(K883,2,2)="03","충청",MID(K883,2,2)="04","충청",MID(K883,2,2)="05","전라",MID(K883,2,2)="06","전라",MID(K883,2,2)="07","경북",MID(K883,2,2)="08","경남",MID(K883,2,2)="09","강원",MID(K883,2,2)="10","제주",TRUE,"국외")</f>
        <v>국외</v>
      </c>
    </row>
    <row r="884" spans="1:12" ht="17.25" thickBot="1">
      <c r="A884" s="3" t="s">
        <v>1009</v>
      </c>
      <c r="B884" s="3"/>
      <c r="C884" s="3"/>
      <c r="D884" s="4" t="s">
        <v>181</v>
      </c>
      <c r="E884" s="4" t="s">
        <v>23</v>
      </c>
      <c r="F884" s="4">
        <v>2018</v>
      </c>
      <c r="G884" s="8">
        <v>3.8</v>
      </c>
      <c r="H884" s="4" t="s">
        <v>23</v>
      </c>
      <c r="I884" s="8">
        <v>3.8</v>
      </c>
      <c r="J884" s="3">
        <v>13178</v>
      </c>
      <c r="K884" s="3"/>
      <c r="L884" s="17" t="str" cm="1">
        <f t="array" ref="L884">_xlfn.IFS(MID(K884,2,2)="01", "서울", MID(K884,2,2)="02","경기",MID(K884,2,2)="03","충청",MID(K884,2,2)="04","충청",MID(K884,2,2)="05","전라",MID(K884,2,2)="06","전라",MID(K884,2,2)="07","경북",MID(K884,2,2)="08","경남",MID(K884,2,2)="09","강원",MID(K884,2,2)="10","제주",TRUE,"국외")</f>
        <v>국외</v>
      </c>
    </row>
    <row r="885" spans="1:12" ht="17.25" thickBot="1">
      <c r="A885" s="3" t="s">
        <v>1010</v>
      </c>
      <c r="B885" s="3"/>
      <c r="C885" s="3"/>
      <c r="D885" s="4" t="s">
        <v>181</v>
      </c>
      <c r="E885" s="4" t="s">
        <v>23</v>
      </c>
      <c r="F885" s="4">
        <v>2018</v>
      </c>
      <c r="G885" s="8">
        <v>4.3</v>
      </c>
      <c r="H885" s="4" t="s">
        <v>23</v>
      </c>
      <c r="I885" s="8">
        <v>4.3</v>
      </c>
      <c r="J885" s="3">
        <v>13064</v>
      </c>
      <c r="K885" s="3"/>
      <c r="L885" s="17" t="str" cm="1">
        <f t="array" ref="L885">_xlfn.IFS(MID(K885,2,2)="01", "서울", MID(K885,2,2)="02","경기",MID(K885,2,2)="03","충청",MID(K885,2,2)="04","충청",MID(K885,2,2)="05","전라",MID(K885,2,2)="06","전라",MID(K885,2,2)="07","경북",MID(K885,2,2)="08","경남",MID(K885,2,2)="09","강원",MID(K885,2,2)="10","제주",TRUE,"국외")</f>
        <v>국외</v>
      </c>
    </row>
    <row r="886" spans="1:12" ht="17.25" thickBot="1">
      <c r="A886" s="3" t="s">
        <v>1011</v>
      </c>
      <c r="B886" s="3"/>
      <c r="C886" s="3"/>
      <c r="D886" s="4" t="s">
        <v>181</v>
      </c>
      <c r="E886" s="4" t="s">
        <v>3</v>
      </c>
      <c r="F886" s="4">
        <v>2018</v>
      </c>
      <c r="G886" s="8">
        <v>5.7</v>
      </c>
      <c r="H886" s="4" t="s">
        <v>3</v>
      </c>
      <c r="I886" s="8">
        <v>12</v>
      </c>
      <c r="J886" s="3">
        <v>13069</v>
      </c>
      <c r="K886" s="3"/>
      <c r="L886" s="17" t="str" cm="1">
        <f t="array" ref="L886">_xlfn.IFS(MID(K886,2,2)="01", "서울", MID(K886,2,2)="02","경기",MID(K886,2,2)="03","충청",MID(K886,2,2)="04","충청",MID(K886,2,2)="05","전라",MID(K886,2,2)="06","전라",MID(K886,2,2)="07","경북",MID(K886,2,2)="08","경남",MID(K886,2,2)="09","강원",MID(K886,2,2)="10","제주",TRUE,"국외")</f>
        <v>국외</v>
      </c>
    </row>
    <row r="887" spans="1:12" ht="17.25" thickBot="1">
      <c r="A887" s="3" t="s">
        <v>721</v>
      </c>
      <c r="B887" s="3"/>
      <c r="C887" s="3"/>
      <c r="D887" s="4" t="s">
        <v>181</v>
      </c>
      <c r="E887" s="4" t="s">
        <v>3</v>
      </c>
      <c r="F887" s="4">
        <v>2018</v>
      </c>
      <c r="G887" s="8">
        <v>3</v>
      </c>
      <c r="H887" s="4" t="s">
        <v>3</v>
      </c>
      <c r="I887" s="8">
        <v>3</v>
      </c>
      <c r="J887" s="3">
        <v>13068</v>
      </c>
      <c r="K887" s="3"/>
      <c r="L887" s="17" t="str" cm="1">
        <f t="array" ref="L887">_xlfn.IFS(MID(K887,2,2)="01", "서울", MID(K887,2,2)="02","경기",MID(K887,2,2)="03","충청",MID(K887,2,2)="04","충청",MID(K887,2,2)="05","전라",MID(K887,2,2)="06","전라",MID(K887,2,2)="07","경북",MID(K887,2,2)="08","경남",MID(K887,2,2)="09","강원",MID(K887,2,2)="10","제주",TRUE,"국외")</f>
        <v>국외</v>
      </c>
    </row>
    <row r="888" spans="1:12" ht="17.25" thickBot="1">
      <c r="A888" s="3" t="s">
        <v>1012</v>
      </c>
      <c r="B888" s="3"/>
      <c r="C888" s="3"/>
      <c r="D888" s="4" t="s">
        <v>181</v>
      </c>
      <c r="E888" s="4" t="s">
        <v>3</v>
      </c>
      <c r="F888" s="4">
        <v>2018</v>
      </c>
      <c r="G888" s="8">
        <v>1.6</v>
      </c>
      <c r="H888" s="4" t="s">
        <v>3</v>
      </c>
      <c r="I888" s="8">
        <v>1.6</v>
      </c>
      <c r="J888" s="3">
        <v>13287</v>
      </c>
      <c r="K888" s="3"/>
      <c r="L888" s="17" t="str" cm="1">
        <f t="array" ref="L888">_xlfn.IFS(MID(K888,2,2)="01", "서울", MID(K888,2,2)="02","경기",MID(K888,2,2)="03","충청",MID(K888,2,2)="04","충청",MID(K888,2,2)="05","전라",MID(K888,2,2)="06","전라",MID(K888,2,2)="07","경북",MID(K888,2,2)="08","경남",MID(K888,2,2)="09","강원",MID(K888,2,2)="10","제주",TRUE,"국외")</f>
        <v>국외</v>
      </c>
    </row>
    <row r="889" spans="1:12" ht="17.25" thickBot="1">
      <c r="A889" s="3" t="s">
        <v>1013</v>
      </c>
      <c r="B889" s="3"/>
      <c r="C889" s="3"/>
      <c r="D889" s="4" t="s">
        <v>181</v>
      </c>
      <c r="E889" s="4" t="s">
        <v>3</v>
      </c>
      <c r="F889" s="4">
        <v>2018</v>
      </c>
      <c r="G889" s="8">
        <v>1.7</v>
      </c>
      <c r="H889" s="4" t="s">
        <v>3</v>
      </c>
      <c r="I889" s="8">
        <v>1.7</v>
      </c>
      <c r="J889" s="3">
        <v>13065</v>
      </c>
      <c r="K889" s="3"/>
      <c r="L889" s="17" t="str" cm="1">
        <f t="array" ref="L889">_xlfn.IFS(MID(K889,2,2)="01", "서울", MID(K889,2,2)="02","경기",MID(K889,2,2)="03","충청",MID(K889,2,2)="04","충청",MID(K889,2,2)="05","전라",MID(K889,2,2)="06","전라",MID(K889,2,2)="07","경북",MID(K889,2,2)="08","경남",MID(K889,2,2)="09","강원",MID(K889,2,2)="10","제주",TRUE,"국외")</f>
        <v>국외</v>
      </c>
    </row>
    <row r="890" spans="1:12" ht="17.25" thickBot="1">
      <c r="A890" s="3" t="s">
        <v>1014</v>
      </c>
      <c r="B890" s="3" t="s">
        <v>153</v>
      </c>
      <c r="C890" s="3"/>
      <c r="D890" s="4" t="s">
        <v>205</v>
      </c>
      <c r="E890" s="4" t="s">
        <v>12</v>
      </c>
      <c r="F890" s="4"/>
      <c r="G890" s="9"/>
      <c r="H890" s="4"/>
      <c r="I890" s="9"/>
      <c r="J890" s="3">
        <v>13253</v>
      </c>
      <c r="K890" s="3">
        <v>50210</v>
      </c>
      <c r="L890" s="17" t="str" cm="1">
        <f t="array" ref="L890">_xlfn.IFS(MID(K890,2,2)="01", "서울", MID(K890,2,2)="02","경기",MID(K890,2,2)="03","충청",MID(K890,2,2)="04","충청",MID(K890,2,2)="05","전라",MID(K890,2,2)="06","전라",MID(K890,2,2)="07","경북",MID(K890,2,2)="08","경남",MID(K890,2,2)="09","강원",MID(K890,2,2)="10","제주",TRUE,"국외")</f>
        <v>경기</v>
      </c>
    </row>
    <row r="891" spans="1:12" ht="17.25" thickBot="1">
      <c r="A891" s="3" t="s">
        <v>1015</v>
      </c>
      <c r="B891" s="3" t="s">
        <v>107</v>
      </c>
      <c r="C891" s="3"/>
      <c r="D891" s="4" t="s">
        <v>205</v>
      </c>
      <c r="E891" s="4" t="s">
        <v>6</v>
      </c>
      <c r="F891" s="4"/>
      <c r="G891" s="9"/>
      <c r="H891" s="4"/>
      <c r="I891" s="9"/>
      <c r="J891" s="3">
        <v>14194</v>
      </c>
      <c r="K891" s="3">
        <v>50602</v>
      </c>
      <c r="L891" s="17" t="str" cm="1">
        <f t="array" ref="L891">_xlfn.IFS(MID(K891,2,2)="01", "서울", MID(K891,2,2)="02","경기",MID(K891,2,2)="03","충청",MID(K891,2,2)="04","충청",MID(K891,2,2)="05","전라",MID(K891,2,2)="06","전라",MID(K891,2,2)="07","경북",MID(K891,2,2)="08","경남",MID(K891,2,2)="09","강원",MID(K891,2,2)="10","제주",TRUE,"국외")</f>
        <v>전라</v>
      </c>
    </row>
    <row r="892" spans="1:12" ht="17.25" thickBot="1">
      <c r="A892" s="3" t="s">
        <v>1016</v>
      </c>
      <c r="B892" s="3" t="s">
        <v>112</v>
      </c>
      <c r="C892" s="3"/>
      <c r="D892" s="4" t="s">
        <v>205</v>
      </c>
      <c r="E892" s="4" t="s">
        <v>28</v>
      </c>
      <c r="F892" s="4">
        <v>2020</v>
      </c>
      <c r="G892" s="9"/>
      <c r="H892" s="4" t="s">
        <v>28</v>
      </c>
      <c r="I892" s="8">
        <v>-0.1</v>
      </c>
      <c r="J892" s="3">
        <v>13232</v>
      </c>
      <c r="K892" s="3">
        <v>50113</v>
      </c>
      <c r="L892" s="17" t="str" cm="1">
        <f t="array" ref="L892">_xlfn.IFS(MID(K892,2,2)="01", "서울", MID(K892,2,2)="02","경기",MID(K892,2,2)="03","충청",MID(K892,2,2)="04","충청",MID(K892,2,2)="05","전라",MID(K892,2,2)="06","전라",MID(K892,2,2)="07","경북",MID(K892,2,2)="08","경남",MID(K892,2,2)="09","강원",MID(K892,2,2)="10","제주",TRUE,"국외")</f>
        <v>서울</v>
      </c>
    </row>
    <row r="893" spans="1:12" ht="17.25" thickBot="1">
      <c r="A893" s="3" t="s">
        <v>1017</v>
      </c>
      <c r="B893" s="3" t="s">
        <v>107</v>
      </c>
      <c r="C893" s="3"/>
      <c r="D893" s="4" t="s">
        <v>205</v>
      </c>
      <c r="E893" s="4" t="s">
        <v>28</v>
      </c>
      <c r="F893" s="4">
        <v>2022</v>
      </c>
      <c r="G893" s="9"/>
      <c r="H893" s="4" t="s">
        <v>15</v>
      </c>
      <c r="I893" s="8">
        <v>-0.2</v>
      </c>
      <c r="J893" s="3">
        <v>13228</v>
      </c>
      <c r="K893" s="3">
        <v>50602</v>
      </c>
      <c r="L893" s="17" t="str" cm="1">
        <f t="array" ref="L893">_xlfn.IFS(MID(K893,2,2)="01", "서울", MID(K893,2,2)="02","경기",MID(K893,2,2)="03","충청",MID(K893,2,2)="04","충청",MID(K893,2,2)="05","전라",MID(K893,2,2)="06","전라",MID(K893,2,2)="07","경북",MID(K893,2,2)="08","경남",MID(K893,2,2)="09","강원",MID(K893,2,2)="10","제주",TRUE,"국외")</f>
        <v>전라</v>
      </c>
    </row>
    <row r="894" spans="1:12" ht="17.25" thickBot="1">
      <c r="A894" s="3" t="s">
        <v>1018</v>
      </c>
      <c r="B894" s="3" t="s">
        <v>1019</v>
      </c>
      <c r="C894" s="3" t="s">
        <v>90</v>
      </c>
      <c r="D894" s="4" t="s">
        <v>205</v>
      </c>
      <c r="E894" s="4" t="s">
        <v>28</v>
      </c>
      <c r="F894" s="4"/>
      <c r="G894" s="9"/>
      <c r="H894" s="4"/>
      <c r="I894" s="9"/>
      <c r="J894" s="3">
        <v>13231</v>
      </c>
      <c r="K894" s="3">
        <v>50201</v>
      </c>
      <c r="L894" s="17" t="str" cm="1">
        <f t="array" ref="L894">_xlfn.IFS(MID(K894,2,2)="01", "서울", MID(K894,2,2)="02","경기",MID(K894,2,2)="03","충청",MID(K894,2,2)="04","충청",MID(K894,2,2)="05","전라",MID(K894,2,2)="06","전라",MID(K894,2,2)="07","경북",MID(K894,2,2)="08","경남",MID(K894,2,2)="09","강원",MID(K894,2,2)="10","제주",TRUE,"국외")</f>
        <v>경기</v>
      </c>
    </row>
    <row r="895" spans="1:12" ht="17.25" thickBot="1">
      <c r="A895" s="3" t="s">
        <v>1020</v>
      </c>
      <c r="B895" s="3" t="s">
        <v>1</v>
      </c>
      <c r="C895" s="3"/>
      <c r="D895" s="4" t="s">
        <v>205</v>
      </c>
      <c r="E895" s="4" t="s">
        <v>28</v>
      </c>
      <c r="F895" s="4">
        <v>2022</v>
      </c>
      <c r="G895" s="9"/>
      <c r="H895" s="4" t="s">
        <v>28</v>
      </c>
      <c r="I895" s="8">
        <v>0</v>
      </c>
      <c r="J895" s="3">
        <v>13233</v>
      </c>
      <c r="K895" s="3">
        <v>50107</v>
      </c>
      <c r="L895" s="17" t="str" cm="1">
        <f t="array" ref="L895">_xlfn.IFS(MID(K895,2,2)="01", "서울", MID(K895,2,2)="02","경기",MID(K895,2,2)="03","충청",MID(K895,2,2)="04","충청",MID(K895,2,2)="05","전라",MID(K895,2,2)="06","전라",MID(K895,2,2)="07","경북",MID(K895,2,2)="08","경남",MID(K895,2,2)="09","강원",MID(K895,2,2)="10","제주",TRUE,"국외")</f>
        <v>서울</v>
      </c>
    </row>
    <row r="896" spans="1:12" ht="17.25" thickBot="1">
      <c r="A896" s="3" t="s">
        <v>110</v>
      </c>
      <c r="B896" s="3" t="s">
        <v>1019</v>
      </c>
      <c r="C896" s="3" t="s">
        <v>221</v>
      </c>
      <c r="D896" s="4" t="s">
        <v>205</v>
      </c>
      <c r="E896" s="4" t="s">
        <v>12</v>
      </c>
      <c r="F896" s="4"/>
      <c r="G896" s="9"/>
      <c r="H896" s="4"/>
      <c r="I896" s="9"/>
      <c r="J896" s="3">
        <v>13252</v>
      </c>
      <c r="K896" s="3">
        <v>50201</v>
      </c>
      <c r="L896" s="17" t="str" cm="1">
        <f t="array" ref="L896">_xlfn.IFS(MID(K896,2,2)="01", "서울", MID(K896,2,2)="02","경기",MID(K896,2,2)="03","충청",MID(K896,2,2)="04","충청",MID(K896,2,2)="05","전라",MID(K896,2,2)="06","전라",MID(K896,2,2)="07","경북",MID(K896,2,2)="08","경남",MID(K896,2,2)="09","강원",MID(K896,2,2)="10","제주",TRUE,"국외")</f>
        <v>경기</v>
      </c>
    </row>
    <row r="897" spans="1:12" ht="17.25" thickBot="1">
      <c r="A897" s="3" t="s">
        <v>1021</v>
      </c>
      <c r="B897" s="3" t="s">
        <v>335</v>
      </c>
      <c r="C897" s="3" t="s">
        <v>119</v>
      </c>
      <c r="D897" s="4" t="s">
        <v>205</v>
      </c>
      <c r="E897" s="4" t="s">
        <v>12</v>
      </c>
      <c r="F897" s="4"/>
      <c r="G897" s="9"/>
      <c r="H897" s="4"/>
      <c r="I897" s="9"/>
      <c r="J897" s="3">
        <v>13186</v>
      </c>
      <c r="K897" s="3">
        <v>50804</v>
      </c>
      <c r="L897" s="17" t="str" cm="1">
        <f t="array" ref="L897">_xlfn.IFS(MID(K897,2,2)="01", "서울", MID(K897,2,2)="02","경기",MID(K897,2,2)="03","충청",MID(K897,2,2)="04","충청",MID(K897,2,2)="05","전라",MID(K897,2,2)="06","전라",MID(K897,2,2)="07","경북",MID(K897,2,2)="08","경남",MID(K897,2,2)="09","강원",MID(K897,2,2)="10","제주",TRUE,"국외")</f>
        <v>경남</v>
      </c>
    </row>
    <row r="898" spans="1:12" ht="17.25" thickBot="1">
      <c r="A898" s="3" t="s">
        <v>1022</v>
      </c>
      <c r="B898" s="3" t="s">
        <v>128</v>
      </c>
      <c r="C898" s="3" t="s">
        <v>208</v>
      </c>
      <c r="D898" s="4" t="s">
        <v>205</v>
      </c>
      <c r="E898" s="4" t="s">
        <v>12</v>
      </c>
      <c r="F898" s="4"/>
      <c r="G898" s="9"/>
      <c r="H898" s="4"/>
      <c r="I898" s="9"/>
      <c r="J898" s="3">
        <v>13254</v>
      </c>
      <c r="K898" s="3">
        <v>50901</v>
      </c>
      <c r="L898" s="17" t="str" cm="1">
        <f t="array" ref="L898">_xlfn.IFS(MID(K898,2,2)="01", "서울", MID(K898,2,2)="02","경기",MID(K898,2,2)="03","충청",MID(K898,2,2)="04","충청",MID(K898,2,2)="05","전라",MID(K898,2,2)="06","전라",MID(K898,2,2)="07","경북",MID(K898,2,2)="08","경남",MID(K898,2,2)="09","강원",MID(K898,2,2)="10","제주",TRUE,"국외")</f>
        <v>강원</v>
      </c>
    </row>
    <row r="899" spans="1:12" ht="17.25" thickBot="1">
      <c r="A899" s="3" t="s">
        <v>1023</v>
      </c>
      <c r="B899" s="3" t="s">
        <v>78</v>
      </c>
      <c r="C899" s="3" t="s">
        <v>211</v>
      </c>
      <c r="D899" s="4" t="s">
        <v>205</v>
      </c>
      <c r="E899" s="4" t="s">
        <v>12</v>
      </c>
      <c r="F899" s="4"/>
      <c r="G899" s="9"/>
      <c r="H899" s="4"/>
      <c r="I899" s="9"/>
      <c r="J899" s="3">
        <v>13264</v>
      </c>
      <c r="K899" s="3">
        <v>50401</v>
      </c>
      <c r="L899" s="17" t="str" cm="1">
        <f t="array" ref="L899">_xlfn.IFS(MID(K899,2,2)="01", "서울", MID(K899,2,2)="02","경기",MID(K899,2,2)="03","충청",MID(K899,2,2)="04","충청",MID(K899,2,2)="05","전라",MID(K899,2,2)="06","전라",MID(K899,2,2)="07","경북",MID(K899,2,2)="08","경남",MID(K899,2,2)="09","강원",MID(K899,2,2)="10","제주",TRUE,"국외")</f>
        <v>충청</v>
      </c>
    </row>
    <row r="900" spans="1:12" ht="17.25" thickBot="1">
      <c r="A900" s="3" t="s">
        <v>1024</v>
      </c>
      <c r="B900" s="3" t="s">
        <v>25</v>
      </c>
      <c r="C900" s="3"/>
      <c r="D900" s="4" t="s">
        <v>205</v>
      </c>
      <c r="E900" s="4" t="s">
        <v>607</v>
      </c>
      <c r="F900" s="4">
        <v>2022</v>
      </c>
      <c r="G900" s="9"/>
      <c r="H900" s="4" t="s">
        <v>15</v>
      </c>
      <c r="I900" s="8">
        <v>0.3</v>
      </c>
      <c r="J900" s="3">
        <v>13195</v>
      </c>
      <c r="K900" s="3">
        <v>50403</v>
      </c>
      <c r="L900" s="17" t="str" cm="1">
        <f t="array" ref="L900">_xlfn.IFS(MID(K900,2,2)="01", "서울", MID(K900,2,2)="02","경기",MID(K900,2,2)="03","충청",MID(K900,2,2)="04","충청",MID(K900,2,2)="05","전라",MID(K900,2,2)="06","전라",MID(K900,2,2)="07","경북",MID(K900,2,2)="08","경남",MID(K900,2,2)="09","강원",MID(K900,2,2)="10","제주",TRUE,"국외")</f>
        <v>충청</v>
      </c>
    </row>
    <row r="901" spans="1:12" ht="17.25" thickBot="1">
      <c r="A901" s="3" t="s">
        <v>1025</v>
      </c>
      <c r="B901" s="3" t="s">
        <v>74</v>
      </c>
      <c r="C901" s="3" t="s">
        <v>172</v>
      </c>
      <c r="D901" s="4" t="s">
        <v>205</v>
      </c>
      <c r="E901" s="4" t="s">
        <v>607</v>
      </c>
      <c r="F901" s="4"/>
      <c r="G901" s="9"/>
      <c r="H901" s="4"/>
      <c r="I901" s="9"/>
      <c r="J901" s="3">
        <v>13192</v>
      </c>
      <c r="K901" s="3">
        <v>50102</v>
      </c>
      <c r="L901" s="17" t="str" cm="1">
        <f t="array" ref="L901">_xlfn.IFS(MID(K901,2,2)="01", "서울", MID(K901,2,2)="02","경기",MID(K901,2,2)="03","충청",MID(K901,2,2)="04","충청",MID(K901,2,2)="05","전라",MID(K901,2,2)="06","전라",MID(K901,2,2)="07","경북",MID(K901,2,2)="08","경남",MID(K901,2,2)="09","강원",MID(K901,2,2)="10","제주",TRUE,"국외")</f>
        <v>서울</v>
      </c>
    </row>
    <row r="902" spans="1:12" ht="17.25" thickBot="1">
      <c r="A902" s="3" t="s">
        <v>1026</v>
      </c>
      <c r="B902" s="3" t="s">
        <v>153</v>
      </c>
      <c r="C902" s="3" t="s">
        <v>234</v>
      </c>
      <c r="D902" s="4" t="s">
        <v>205</v>
      </c>
      <c r="E902" s="4" t="s">
        <v>906</v>
      </c>
      <c r="F902" s="4">
        <v>2020</v>
      </c>
      <c r="G902" s="9"/>
      <c r="H902" s="4" t="s">
        <v>18</v>
      </c>
      <c r="I902" s="8">
        <v>0.9</v>
      </c>
      <c r="J902" s="3">
        <v>13223</v>
      </c>
      <c r="K902" s="3">
        <v>50210</v>
      </c>
      <c r="L902" s="17" t="str" cm="1">
        <f t="array" ref="L902">_xlfn.IFS(MID(K902,2,2)="01", "서울", MID(K902,2,2)="02","경기",MID(K902,2,2)="03","충청",MID(K902,2,2)="04","충청",MID(K902,2,2)="05","전라",MID(K902,2,2)="06","전라",MID(K902,2,2)="07","경북",MID(K902,2,2)="08","경남",MID(K902,2,2)="09","강원",MID(K902,2,2)="10","제주",TRUE,"국외")</f>
        <v>경기</v>
      </c>
    </row>
    <row r="903" spans="1:12" ht="17.25" thickBot="1">
      <c r="A903" s="3" t="s">
        <v>1027</v>
      </c>
      <c r="B903" s="3" t="s">
        <v>70</v>
      </c>
      <c r="C903" s="3" t="s">
        <v>83</v>
      </c>
      <c r="D903" s="4" t="s">
        <v>205</v>
      </c>
      <c r="E903" s="4" t="s">
        <v>906</v>
      </c>
      <c r="F903" s="4"/>
      <c r="G903" s="9"/>
      <c r="H903" s="4"/>
      <c r="I903" s="9"/>
      <c r="J903" s="3">
        <v>13433</v>
      </c>
      <c r="K903" s="3">
        <v>50103</v>
      </c>
      <c r="L903" s="17" t="str" cm="1">
        <f t="array" ref="L903">_xlfn.IFS(MID(K903,2,2)="01", "서울", MID(K903,2,2)="02","경기",MID(K903,2,2)="03","충청",MID(K903,2,2)="04","충청",MID(K903,2,2)="05","전라",MID(K903,2,2)="06","전라",MID(K903,2,2)="07","경북",MID(K903,2,2)="08","경남",MID(K903,2,2)="09","강원",MID(K903,2,2)="10","제주",TRUE,"국외")</f>
        <v>서울</v>
      </c>
    </row>
    <row r="904" spans="1:12" ht="17.25" thickBot="1">
      <c r="A904" s="3" t="s">
        <v>1028</v>
      </c>
      <c r="B904" s="3" t="s">
        <v>1029</v>
      </c>
      <c r="C904" s="3"/>
      <c r="D904" s="4" t="s">
        <v>205</v>
      </c>
      <c r="E904" s="4" t="s">
        <v>906</v>
      </c>
      <c r="F904" s="4"/>
      <c r="G904" s="9"/>
      <c r="H904" s="4"/>
      <c r="I904" s="9"/>
      <c r="J904" s="3">
        <v>13196</v>
      </c>
      <c r="K904" s="3">
        <v>50707</v>
      </c>
      <c r="L904" s="17" t="str" cm="1">
        <f t="array" ref="L904">_xlfn.IFS(MID(K904,2,2)="01", "서울", MID(K904,2,2)="02","경기",MID(K904,2,2)="03","충청",MID(K904,2,2)="04","충청",MID(K904,2,2)="05","전라",MID(K904,2,2)="06","전라",MID(K904,2,2)="07","경북",MID(K904,2,2)="08","경남",MID(K904,2,2)="09","강원",MID(K904,2,2)="10","제주",TRUE,"국외")</f>
        <v>경북</v>
      </c>
    </row>
    <row r="905" spans="1:12" ht="17.25" thickBot="1">
      <c r="A905" s="3" t="s">
        <v>1030</v>
      </c>
      <c r="B905" s="3" t="s">
        <v>5</v>
      </c>
      <c r="C905" s="3" t="s">
        <v>83</v>
      </c>
      <c r="D905" s="4" t="s">
        <v>205</v>
      </c>
      <c r="E905" s="4" t="s">
        <v>906</v>
      </c>
      <c r="F905" s="4"/>
      <c r="G905" s="9"/>
      <c r="H905" s="4"/>
      <c r="I905" s="9"/>
      <c r="J905" s="3">
        <v>13225</v>
      </c>
      <c r="K905" s="3">
        <v>50114</v>
      </c>
      <c r="L905" s="17" t="str" cm="1">
        <f t="array" ref="L905">_xlfn.IFS(MID(K905,2,2)="01", "서울", MID(K905,2,2)="02","경기",MID(K905,2,2)="03","충청",MID(K905,2,2)="04","충청",MID(K905,2,2)="05","전라",MID(K905,2,2)="06","전라",MID(K905,2,2)="07","경북",MID(K905,2,2)="08","경남",MID(K905,2,2)="09","강원",MID(K905,2,2)="10","제주",TRUE,"국외")</f>
        <v>서울</v>
      </c>
    </row>
    <row r="906" spans="1:12" ht="17.25" thickBot="1">
      <c r="A906" s="3" t="s">
        <v>1031</v>
      </c>
      <c r="B906" s="3" t="s">
        <v>17</v>
      </c>
      <c r="C906" s="3" t="s">
        <v>739</v>
      </c>
      <c r="D906" s="4" t="s">
        <v>205</v>
      </c>
      <c r="E906" s="4" t="s">
        <v>906</v>
      </c>
      <c r="F906" s="4"/>
      <c r="G906" s="9"/>
      <c r="H906" s="4"/>
      <c r="I906" s="9"/>
      <c r="J906" s="3">
        <v>13224</v>
      </c>
      <c r="K906" s="3">
        <v>50903</v>
      </c>
      <c r="L906" s="17" t="str" cm="1">
        <f t="array" ref="L906">_xlfn.IFS(MID(K906,2,2)="01", "서울", MID(K906,2,2)="02","경기",MID(K906,2,2)="03","충청",MID(K906,2,2)="04","충청",MID(K906,2,2)="05","전라",MID(K906,2,2)="06","전라",MID(K906,2,2)="07","경북",MID(K906,2,2)="08","경남",MID(K906,2,2)="09","강원",MID(K906,2,2)="10","제주",TRUE,"국외")</f>
        <v>강원</v>
      </c>
    </row>
    <row r="907" spans="1:12" ht="17.25" thickBot="1">
      <c r="A907" s="3" t="s">
        <v>1032</v>
      </c>
      <c r="B907" s="3" t="s">
        <v>1033</v>
      </c>
      <c r="C907" s="3"/>
      <c r="D907" s="4" t="s">
        <v>205</v>
      </c>
      <c r="E907" s="4" t="s">
        <v>26</v>
      </c>
      <c r="F907" s="4">
        <v>2018</v>
      </c>
      <c r="G907" s="8">
        <v>-0.1</v>
      </c>
      <c r="H907" s="4" t="s">
        <v>26</v>
      </c>
      <c r="I907" s="8">
        <v>-0.3</v>
      </c>
      <c r="J907" s="3">
        <v>13271</v>
      </c>
      <c r="K907" s="3">
        <v>51101</v>
      </c>
      <c r="L907" s="17" t="str" cm="1">
        <f t="array" ref="L907">_xlfn.IFS(MID(K907,2,2)="01", "서울", MID(K907,2,2)="02","경기",MID(K907,2,2)="03","충청",MID(K907,2,2)="04","충청",MID(K907,2,2)="05","전라",MID(K907,2,2)="06","전라",MID(K907,2,2)="07","경북",MID(K907,2,2)="08","경남",MID(K907,2,2)="09","강원",MID(K907,2,2)="10","제주",TRUE,"국외")</f>
        <v>국외</v>
      </c>
    </row>
    <row r="908" spans="1:12" ht="17.25" thickBot="1">
      <c r="A908" s="3" t="s">
        <v>1034</v>
      </c>
      <c r="B908" s="3" t="s">
        <v>126</v>
      </c>
      <c r="C908" s="3"/>
      <c r="D908" s="4" t="s">
        <v>205</v>
      </c>
      <c r="E908" s="4" t="s">
        <v>26</v>
      </c>
      <c r="F908" s="4">
        <v>2018</v>
      </c>
      <c r="G908" s="9"/>
      <c r="H908" s="4" t="s">
        <v>26</v>
      </c>
      <c r="I908" s="8">
        <v>0</v>
      </c>
      <c r="J908" s="3">
        <v>13268</v>
      </c>
      <c r="K908" s="3">
        <v>50206</v>
      </c>
      <c r="L908" s="17" t="str" cm="1">
        <f t="array" ref="L908">_xlfn.IFS(MID(K908,2,2)="01", "서울", MID(K908,2,2)="02","경기",MID(K908,2,2)="03","충청",MID(K908,2,2)="04","충청",MID(K908,2,2)="05","전라",MID(K908,2,2)="06","전라",MID(K908,2,2)="07","경북",MID(K908,2,2)="08","경남",MID(K908,2,2)="09","강원",MID(K908,2,2)="10","제주",TRUE,"국외")</f>
        <v>경기</v>
      </c>
    </row>
    <row r="909" spans="1:12" ht="17.25" thickBot="1">
      <c r="A909" s="3" t="s">
        <v>536</v>
      </c>
      <c r="B909" s="3" t="s">
        <v>93</v>
      </c>
      <c r="C909" s="3" t="s">
        <v>329</v>
      </c>
      <c r="D909" s="4" t="s">
        <v>205</v>
      </c>
      <c r="E909" s="4" t="s">
        <v>23</v>
      </c>
      <c r="F909" s="4"/>
      <c r="G909" s="9"/>
      <c r="H909" s="4"/>
      <c r="I909" s="9"/>
      <c r="J909" s="3">
        <v>13260</v>
      </c>
      <c r="K909" s="3">
        <v>50805</v>
      </c>
      <c r="L909" s="17" t="str" cm="1">
        <f t="array" ref="L909">_xlfn.IFS(MID(K909,2,2)="01", "서울", MID(K909,2,2)="02","경기",MID(K909,2,2)="03","충청",MID(K909,2,2)="04","충청",MID(K909,2,2)="05","전라",MID(K909,2,2)="06","전라",MID(K909,2,2)="07","경북",MID(K909,2,2)="08","경남",MID(K909,2,2)="09","강원",MID(K909,2,2)="10","제주",TRUE,"국외")</f>
        <v>경남</v>
      </c>
    </row>
    <row r="910" spans="1:12" ht="17.25" thickBot="1">
      <c r="A910" s="3" t="s">
        <v>1035</v>
      </c>
      <c r="B910" s="3" t="s">
        <v>14</v>
      </c>
      <c r="C910" s="3" t="s">
        <v>538</v>
      </c>
      <c r="D910" s="4" t="s">
        <v>205</v>
      </c>
      <c r="E910" s="4" t="s">
        <v>23</v>
      </c>
      <c r="F910" s="4"/>
      <c r="G910" s="9"/>
      <c r="H910" s="4"/>
      <c r="I910" s="9"/>
      <c r="J910" s="3">
        <v>13259</v>
      </c>
      <c r="K910" s="3">
        <v>50703</v>
      </c>
      <c r="L910" s="17" t="str" cm="1">
        <f t="array" ref="L910">_xlfn.IFS(MID(K910,2,2)="01", "서울", MID(K910,2,2)="02","경기",MID(K910,2,2)="03","충청",MID(K910,2,2)="04","충청",MID(K910,2,2)="05","전라",MID(K910,2,2)="06","전라",MID(K910,2,2)="07","경북",MID(K910,2,2)="08","경남",MID(K910,2,2)="09","강원",MID(K910,2,2)="10","제주",TRUE,"국외")</f>
        <v>경북</v>
      </c>
    </row>
    <row r="911" spans="1:12" ht="17.25" thickBot="1">
      <c r="A911" s="3" t="s">
        <v>1036</v>
      </c>
      <c r="B911" s="3" t="s">
        <v>32</v>
      </c>
      <c r="C911" s="3" t="s">
        <v>174</v>
      </c>
      <c r="D911" s="4" t="s">
        <v>205</v>
      </c>
      <c r="E911" s="4" t="s">
        <v>23</v>
      </c>
      <c r="F911" s="4"/>
      <c r="G911" s="9"/>
      <c r="H911" s="4"/>
      <c r="I911" s="9"/>
      <c r="J911" s="3">
        <v>13258</v>
      </c>
      <c r="K911" s="3">
        <v>50111</v>
      </c>
      <c r="L911" s="17" t="str" cm="1">
        <f t="array" ref="L911">_xlfn.IFS(MID(K911,2,2)="01", "서울", MID(K911,2,2)="02","경기",MID(K911,2,2)="03","충청",MID(K911,2,2)="04","충청",MID(K911,2,2)="05","전라",MID(K911,2,2)="06","전라",MID(K911,2,2)="07","경북",MID(K911,2,2)="08","경남",MID(K911,2,2)="09","강원",MID(K911,2,2)="10","제주",TRUE,"국외")</f>
        <v>서울</v>
      </c>
    </row>
    <row r="912" spans="1:12" ht="17.25" thickBot="1">
      <c r="A912" s="3" t="s">
        <v>1037</v>
      </c>
      <c r="B912" s="3" t="s">
        <v>70</v>
      </c>
      <c r="C912" s="3"/>
      <c r="D912" s="4" t="s">
        <v>205</v>
      </c>
      <c r="E912" s="4" t="s">
        <v>23</v>
      </c>
      <c r="F912" s="4"/>
      <c r="G912" s="9"/>
      <c r="H912" s="4"/>
      <c r="I912" s="9"/>
      <c r="J912" s="3">
        <v>13257</v>
      </c>
      <c r="K912" s="3">
        <v>50103</v>
      </c>
      <c r="L912" s="17" t="str" cm="1">
        <f t="array" ref="L912">_xlfn.IFS(MID(K912,2,2)="01", "서울", MID(K912,2,2)="02","경기",MID(K912,2,2)="03","충청",MID(K912,2,2)="04","충청",MID(K912,2,2)="05","전라",MID(K912,2,2)="06","전라",MID(K912,2,2)="07","경북",MID(K912,2,2)="08","경남",MID(K912,2,2)="09","강원",MID(K912,2,2)="10","제주",TRUE,"국외")</f>
        <v>서울</v>
      </c>
    </row>
    <row r="913" spans="1:12" ht="17.25" thickBot="1">
      <c r="A913" s="3" t="s">
        <v>1038</v>
      </c>
      <c r="B913" s="3" t="s">
        <v>1019</v>
      </c>
      <c r="C913" s="3" t="s">
        <v>83</v>
      </c>
      <c r="D913" s="4" t="s">
        <v>205</v>
      </c>
      <c r="E913" s="4" t="s">
        <v>3</v>
      </c>
      <c r="F913" s="4"/>
      <c r="G913" s="9"/>
      <c r="H913" s="4"/>
      <c r="I913" s="9"/>
      <c r="J913" s="3">
        <v>13236</v>
      </c>
      <c r="K913" s="3">
        <v>50201</v>
      </c>
      <c r="L913" s="17" t="str" cm="1">
        <f t="array" ref="L913">_xlfn.IFS(MID(K913,2,2)="01", "서울", MID(K913,2,2)="02","경기",MID(K913,2,2)="03","충청",MID(K913,2,2)="04","충청",MID(K913,2,2)="05","전라",MID(K913,2,2)="06","전라",MID(K913,2,2)="07","경북",MID(K913,2,2)="08","경남",MID(K913,2,2)="09","강원",MID(K913,2,2)="10","제주",TRUE,"국외")</f>
        <v>경기</v>
      </c>
    </row>
    <row r="914" spans="1:12" ht="17.25" thickBot="1">
      <c r="A914" s="5" t="s">
        <v>1039</v>
      </c>
      <c r="B914" s="5" t="s">
        <v>78</v>
      </c>
      <c r="C914" s="5" t="s">
        <v>739</v>
      </c>
      <c r="D914" s="6" t="s">
        <v>205</v>
      </c>
      <c r="E914" s="6" t="s">
        <v>3</v>
      </c>
      <c r="F914" s="6"/>
      <c r="G914" s="11"/>
      <c r="H914" s="6"/>
      <c r="I914" s="10"/>
      <c r="J914" s="5">
        <v>13256</v>
      </c>
      <c r="K914" s="5">
        <v>50401</v>
      </c>
      <c r="L914" s="17" t="str" cm="1">
        <f t="array" ref="L914">_xlfn.IFS(MID(K914,2,2)="01", "서울", MID(K914,2,2)="02","경기",MID(K914,2,2)="03","충청",MID(K914,2,2)="04","충청",MID(K914,2,2)="05","전라",MID(K914,2,2)="06","전라",MID(K914,2,2)="07","경북",MID(K914,2,2)="08","경남",MID(K914,2,2)="09","강원",MID(K914,2,2)="10","제주",TRUE,"국외")</f>
        <v>충청</v>
      </c>
    </row>
    <row r="915" spans="1:12" ht="17.25" thickBot="1">
      <c r="A915" s="3" t="s">
        <v>1040</v>
      </c>
      <c r="B915" s="3" t="s">
        <v>169</v>
      </c>
      <c r="C915" s="3"/>
      <c r="D915" s="4" t="s">
        <v>243</v>
      </c>
      <c r="E915" s="4" t="s">
        <v>6</v>
      </c>
      <c r="F915" s="4">
        <v>2018</v>
      </c>
      <c r="G915" s="9"/>
      <c r="H915" s="4" t="s">
        <v>6</v>
      </c>
      <c r="I915" s="8">
        <v>-0.1</v>
      </c>
      <c r="J915" s="3">
        <v>12914</v>
      </c>
      <c r="K915" s="3">
        <v>50606</v>
      </c>
      <c r="L915" s="17" t="str" cm="1">
        <f t="array" ref="L915">_xlfn.IFS(MID(K915,2,2)="01", "서울", MID(K915,2,2)="02","경기",MID(K915,2,2)="03","충청",MID(K915,2,2)="04","충청",MID(K915,2,2)="05","전라",MID(K915,2,2)="06","전라",MID(K915,2,2)="07","경북",MID(K915,2,2)="08","경남",MID(K915,2,2)="09","강원",MID(K915,2,2)="10","제주",TRUE,"국외")</f>
        <v>전라</v>
      </c>
    </row>
    <row r="916" spans="1:12" ht="17.25" thickBot="1">
      <c r="A916" s="3" t="s">
        <v>1041</v>
      </c>
      <c r="B916" s="3" t="s">
        <v>179</v>
      </c>
      <c r="C916" s="3"/>
      <c r="D916" s="4" t="s">
        <v>243</v>
      </c>
      <c r="E916" s="4" t="s">
        <v>28</v>
      </c>
      <c r="F916" s="4">
        <v>2020</v>
      </c>
      <c r="G916" s="9"/>
      <c r="H916" s="4" t="s">
        <v>28</v>
      </c>
      <c r="I916" s="8">
        <v>-0.1</v>
      </c>
      <c r="J916" s="3">
        <v>12939</v>
      </c>
      <c r="K916" s="3">
        <v>50211</v>
      </c>
      <c r="L916" s="17" t="str" cm="1">
        <f t="array" ref="L916">_xlfn.IFS(MID(K916,2,2)="01", "서울", MID(K916,2,2)="02","경기",MID(K916,2,2)="03","충청",MID(K916,2,2)="04","충청",MID(K916,2,2)="05","전라",MID(K916,2,2)="06","전라",MID(K916,2,2)="07","경북",MID(K916,2,2)="08","경남",MID(K916,2,2)="09","강원",MID(K916,2,2)="10","제주",TRUE,"국외")</f>
        <v>경기</v>
      </c>
    </row>
    <row r="917" spans="1:12" ht="17.25" thickBot="1">
      <c r="A917" s="3" t="s">
        <v>1042</v>
      </c>
      <c r="B917" s="3" t="s">
        <v>5</v>
      </c>
      <c r="C917" s="3"/>
      <c r="D917" s="4" t="s">
        <v>243</v>
      </c>
      <c r="E917" s="4" t="s">
        <v>20</v>
      </c>
      <c r="F917" s="4">
        <v>2017</v>
      </c>
      <c r="G917" s="8">
        <v>0.1</v>
      </c>
      <c r="H917" s="4" t="s">
        <v>20</v>
      </c>
      <c r="I917" s="8">
        <v>9.6999999999999993</v>
      </c>
      <c r="J917" s="3">
        <v>12907</v>
      </c>
      <c r="K917" s="3">
        <v>50114</v>
      </c>
      <c r="L917" s="17" t="str" cm="1">
        <f t="array" ref="L917">_xlfn.IFS(MID(K917,2,2)="01", "서울", MID(K917,2,2)="02","경기",MID(K917,2,2)="03","충청",MID(K917,2,2)="04","충청",MID(K917,2,2)="05","전라",MID(K917,2,2)="06","전라",MID(K917,2,2)="07","경북",MID(K917,2,2)="08","경남",MID(K917,2,2)="09","강원",MID(K917,2,2)="10","제주",TRUE,"국외")</f>
        <v>서울</v>
      </c>
    </row>
    <row r="918" spans="1:12" ht="17.25" thickBot="1">
      <c r="A918" s="3" t="s">
        <v>1043</v>
      </c>
      <c r="B918" s="3" t="s">
        <v>44</v>
      </c>
      <c r="C918" s="3"/>
      <c r="D918" s="4" t="s">
        <v>243</v>
      </c>
      <c r="E918" s="4" t="s">
        <v>12</v>
      </c>
      <c r="F918" s="4">
        <v>2020</v>
      </c>
      <c r="G918" s="9"/>
      <c r="H918" s="4" t="s">
        <v>12</v>
      </c>
      <c r="I918" s="8">
        <v>-0.1</v>
      </c>
      <c r="J918" s="3">
        <v>12898</v>
      </c>
      <c r="K918" s="3">
        <v>50809</v>
      </c>
      <c r="L918" s="17" t="str" cm="1">
        <f t="array" ref="L918">_xlfn.IFS(MID(K918,2,2)="01", "서울", MID(K918,2,2)="02","경기",MID(K918,2,2)="03","충청",MID(K918,2,2)="04","충청",MID(K918,2,2)="05","전라",MID(K918,2,2)="06","전라",MID(K918,2,2)="07","경북",MID(K918,2,2)="08","경남",MID(K918,2,2)="09","강원",MID(K918,2,2)="10","제주",TRUE,"국외")</f>
        <v>경남</v>
      </c>
    </row>
    <row r="919" spans="1:12" ht="17.25" thickBot="1">
      <c r="A919" s="3" t="s">
        <v>1044</v>
      </c>
      <c r="B919" s="3" t="s">
        <v>101</v>
      </c>
      <c r="C919" s="3"/>
      <c r="D919" s="4" t="s">
        <v>243</v>
      </c>
      <c r="E919" s="4" t="s">
        <v>607</v>
      </c>
      <c r="F919" s="4">
        <v>2018</v>
      </c>
      <c r="G919" s="9"/>
      <c r="H919" s="4" t="s">
        <v>607</v>
      </c>
      <c r="I919" s="8">
        <v>-0.4</v>
      </c>
      <c r="J919" s="3">
        <v>12920</v>
      </c>
      <c r="K919" s="3">
        <v>50207</v>
      </c>
      <c r="L919" s="17" t="str" cm="1">
        <f t="array" ref="L919">_xlfn.IFS(MID(K919,2,2)="01", "서울", MID(K919,2,2)="02","경기",MID(K919,2,2)="03","충청",MID(K919,2,2)="04","충청",MID(K919,2,2)="05","전라",MID(K919,2,2)="06","전라",MID(K919,2,2)="07","경북",MID(K919,2,2)="08","경남",MID(K919,2,2)="09","강원",MID(K919,2,2)="10","제주",TRUE,"국외")</f>
        <v>경기</v>
      </c>
    </row>
    <row r="920" spans="1:12" ht="17.25" thickBot="1">
      <c r="A920" s="3" t="s">
        <v>1045</v>
      </c>
      <c r="B920" s="3" t="s">
        <v>8</v>
      </c>
      <c r="C920" s="3"/>
      <c r="D920" s="4" t="s">
        <v>243</v>
      </c>
      <c r="E920" s="4" t="s">
        <v>906</v>
      </c>
      <c r="F920" s="4">
        <v>2017</v>
      </c>
      <c r="G920" s="8">
        <v>3.1</v>
      </c>
      <c r="H920" s="4" t="s">
        <v>18</v>
      </c>
      <c r="I920" s="8">
        <v>40.299999999999997</v>
      </c>
      <c r="J920" s="3">
        <v>12906</v>
      </c>
      <c r="K920" s="3">
        <v>50116</v>
      </c>
      <c r="L920" s="17" t="str" cm="1">
        <f t="array" ref="L920">_xlfn.IFS(MID(K920,2,2)="01", "서울", MID(K920,2,2)="02","경기",MID(K920,2,2)="03","충청",MID(K920,2,2)="04","충청",MID(K920,2,2)="05","전라",MID(K920,2,2)="06","전라",MID(K920,2,2)="07","경북",MID(K920,2,2)="08","경남",MID(K920,2,2)="09","강원",MID(K920,2,2)="10","제주",TRUE,"국외")</f>
        <v>서울</v>
      </c>
    </row>
    <row r="921" spans="1:12" ht="17.25" thickBot="1">
      <c r="A921" s="3" t="s">
        <v>1046</v>
      </c>
      <c r="B921" s="3" t="s">
        <v>66</v>
      </c>
      <c r="C921" s="3" t="s">
        <v>133</v>
      </c>
      <c r="D921" s="4" t="s">
        <v>243</v>
      </c>
      <c r="E921" s="4" t="s">
        <v>26</v>
      </c>
      <c r="F921" s="4">
        <v>2018</v>
      </c>
      <c r="G921" s="9"/>
      <c r="H921" s="4" t="s">
        <v>26</v>
      </c>
      <c r="I921" s="8">
        <v>13.7</v>
      </c>
      <c r="J921" s="3">
        <v>12852</v>
      </c>
      <c r="K921" s="3">
        <v>50110</v>
      </c>
      <c r="L921" s="17" t="str" cm="1">
        <f t="array" ref="L921">_xlfn.IFS(MID(K921,2,2)="01", "서울", MID(K921,2,2)="02","경기",MID(K921,2,2)="03","충청",MID(K921,2,2)="04","충청",MID(K921,2,2)="05","전라",MID(K921,2,2)="06","전라",MID(K921,2,2)="07","경북",MID(K921,2,2)="08","경남",MID(K921,2,2)="09","강원",MID(K921,2,2)="10","제주",TRUE,"국외")</f>
        <v>서울</v>
      </c>
    </row>
    <row r="922" spans="1:12" ht="17.25" thickBot="1">
      <c r="A922" s="3" t="s">
        <v>1047</v>
      </c>
      <c r="B922" s="3" t="s">
        <v>93</v>
      </c>
      <c r="C922" s="3"/>
      <c r="D922" s="4" t="s">
        <v>243</v>
      </c>
      <c r="E922" s="4" t="s">
        <v>9</v>
      </c>
      <c r="F922" s="4">
        <v>2018</v>
      </c>
      <c r="G922" s="9"/>
      <c r="H922" s="4" t="s">
        <v>9</v>
      </c>
      <c r="I922" s="8">
        <v>0.7</v>
      </c>
      <c r="J922" s="3">
        <v>12928</v>
      </c>
      <c r="K922" s="3">
        <v>50805</v>
      </c>
      <c r="L922" s="17" t="str" cm="1">
        <f t="array" ref="L922">_xlfn.IFS(MID(K922,2,2)="01", "서울", MID(K922,2,2)="02","경기",MID(K922,2,2)="03","충청",MID(K922,2,2)="04","충청",MID(K922,2,2)="05","전라",MID(K922,2,2)="06","전라",MID(K922,2,2)="07","경북",MID(K922,2,2)="08","경남",MID(K922,2,2)="09","강원",MID(K922,2,2)="10","제주",TRUE,"국외")</f>
        <v>경남</v>
      </c>
    </row>
    <row r="923" spans="1:12" ht="17.25" thickBot="1">
      <c r="A923" s="3" t="s">
        <v>489</v>
      </c>
      <c r="B923" s="3" t="s">
        <v>228</v>
      </c>
      <c r="C923" s="3"/>
      <c r="D923" s="4" t="s">
        <v>243</v>
      </c>
      <c r="E923" s="4" t="s">
        <v>23</v>
      </c>
      <c r="F923" s="4">
        <v>2017</v>
      </c>
      <c r="G923" s="8">
        <v>0.1</v>
      </c>
      <c r="H923" s="4" t="s">
        <v>23</v>
      </c>
      <c r="I923" s="8">
        <v>-0.4</v>
      </c>
      <c r="J923" s="3">
        <v>12933</v>
      </c>
      <c r="K923" s="3">
        <v>50702</v>
      </c>
      <c r="L923" s="17" t="str" cm="1">
        <f t="array" ref="L923">_xlfn.IFS(MID(K923,2,2)="01", "서울", MID(K923,2,2)="02","경기",MID(K923,2,2)="03","충청",MID(K923,2,2)="04","충청",MID(K923,2,2)="05","전라",MID(K923,2,2)="06","전라",MID(K923,2,2)="07","경북",MID(K923,2,2)="08","경남",MID(K923,2,2)="09","강원",MID(K923,2,2)="10","제주",TRUE,"국외")</f>
        <v>경북</v>
      </c>
    </row>
    <row r="924" spans="1:12" ht="17.25" thickBot="1">
      <c r="A924" s="3" t="s">
        <v>1048</v>
      </c>
      <c r="B924" s="3" t="s">
        <v>25</v>
      </c>
      <c r="C924" s="3"/>
      <c r="D924" s="4" t="s">
        <v>243</v>
      </c>
      <c r="E924" s="4" t="s">
        <v>3</v>
      </c>
      <c r="F924" s="4">
        <v>2023</v>
      </c>
      <c r="G924" s="9"/>
      <c r="H924" s="4" t="s">
        <v>9</v>
      </c>
      <c r="I924" s="8">
        <v>0</v>
      </c>
      <c r="J924" s="3">
        <v>12923</v>
      </c>
      <c r="K924" s="3">
        <v>50403</v>
      </c>
      <c r="L924" s="17" t="str" cm="1">
        <f t="array" ref="L924">_xlfn.IFS(MID(K924,2,2)="01", "서울", MID(K924,2,2)="02","경기",MID(K924,2,2)="03","충청",MID(K924,2,2)="04","충청",MID(K924,2,2)="05","전라",MID(K924,2,2)="06","전라",MID(K924,2,2)="07","경북",MID(K924,2,2)="08","경남",MID(K924,2,2)="09","강원",MID(K924,2,2)="10","제주",TRUE,"국외")</f>
        <v>충청</v>
      </c>
    </row>
    <row r="925" spans="1:12" ht="17.25" thickBot="1">
      <c r="A925" s="3" t="s">
        <v>1049</v>
      </c>
      <c r="B925" s="3" t="s">
        <v>11</v>
      </c>
      <c r="C925" s="3"/>
      <c r="D925" s="4" t="s">
        <v>254</v>
      </c>
      <c r="E925" s="4" t="s">
        <v>6</v>
      </c>
      <c r="F925" s="4">
        <v>2018</v>
      </c>
      <c r="G925" s="9"/>
      <c r="H925" s="4" t="s">
        <v>18</v>
      </c>
      <c r="I925" s="8">
        <v>4.9000000000000004</v>
      </c>
      <c r="J925" s="3">
        <v>12865</v>
      </c>
      <c r="K925" s="3">
        <v>50802</v>
      </c>
      <c r="L925" s="17" t="str" cm="1">
        <f t="array" ref="L925">_xlfn.IFS(MID(K925,2,2)="01", "서울", MID(K925,2,2)="02","경기",MID(K925,2,2)="03","충청",MID(K925,2,2)="04","충청",MID(K925,2,2)="05","전라",MID(K925,2,2)="06","전라",MID(K925,2,2)="07","경북",MID(K925,2,2)="08","경남",MID(K925,2,2)="09","강원",MID(K925,2,2)="10","제주",TRUE,"국외")</f>
        <v>경남</v>
      </c>
    </row>
    <row r="926" spans="1:12" ht="17.25" thickBot="1">
      <c r="A926" s="3" t="s">
        <v>1050</v>
      </c>
      <c r="B926" s="3" t="s">
        <v>63</v>
      </c>
      <c r="C926" s="3"/>
      <c r="D926" s="4" t="s">
        <v>254</v>
      </c>
      <c r="E926" s="4" t="s">
        <v>28</v>
      </c>
      <c r="F926" s="4">
        <v>2019</v>
      </c>
      <c r="G926" s="9"/>
      <c r="H926" s="4" t="s">
        <v>28</v>
      </c>
      <c r="I926" s="8">
        <v>-0.2</v>
      </c>
      <c r="J926" s="3">
        <v>12937</v>
      </c>
      <c r="K926" s="3">
        <v>50807</v>
      </c>
      <c r="L926" s="17" t="str" cm="1">
        <f t="array" ref="L926">_xlfn.IFS(MID(K926,2,2)="01", "서울", MID(K926,2,2)="02","경기",MID(K926,2,2)="03","충청",MID(K926,2,2)="04","충청",MID(K926,2,2)="05","전라",MID(K926,2,2)="06","전라",MID(K926,2,2)="07","경북",MID(K926,2,2)="08","경남",MID(K926,2,2)="09","강원",MID(K926,2,2)="10","제주",TRUE,"국외")</f>
        <v>경남</v>
      </c>
    </row>
    <row r="927" spans="1:12" ht="17.25" thickBot="1">
      <c r="A927" s="3" t="s">
        <v>1051</v>
      </c>
      <c r="B927" s="3" t="s">
        <v>11</v>
      </c>
      <c r="C927" s="3"/>
      <c r="D927" s="4" t="s">
        <v>254</v>
      </c>
      <c r="E927" s="4" t="s">
        <v>20</v>
      </c>
      <c r="F927" s="4">
        <v>2017</v>
      </c>
      <c r="G927" s="8">
        <v>0.2</v>
      </c>
      <c r="H927" s="4" t="s">
        <v>20</v>
      </c>
      <c r="I927" s="8">
        <v>-0.2</v>
      </c>
      <c r="J927" s="3">
        <v>12908</v>
      </c>
      <c r="K927" s="3">
        <v>50802</v>
      </c>
      <c r="L927" s="17" t="str" cm="1">
        <f t="array" ref="L927">_xlfn.IFS(MID(K927,2,2)="01", "서울", MID(K927,2,2)="02","경기",MID(K927,2,2)="03","충청",MID(K927,2,2)="04","충청",MID(K927,2,2)="05","전라",MID(K927,2,2)="06","전라",MID(K927,2,2)="07","경북",MID(K927,2,2)="08","경남",MID(K927,2,2)="09","강원",MID(K927,2,2)="10","제주",TRUE,"국외")</f>
        <v>경남</v>
      </c>
    </row>
    <row r="928" spans="1:12" ht="17.25" thickBot="1">
      <c r="A928" s="3" t="s">
        <v>1052</v>
      </c>
      <c r="B928" s="3" t="s">
        <v>82</v>
      </c>
      <c r="C928" s="3"/>
      <c r="D928" s="4" t="s">
        <v>254</v>
      </c>
      <c r="E928" s="4" t="s">
        <v>12</v>
      </c>
      <c r="F928" s="4">
        <v>2017</v>
      </c>
      <c r="G928" s="8">
        <v>-0.1</v>
      </c>
      <c r="H928" s="4" t="s">
        <v>12</v>
      </c>
      <c r="I928" s="8">
        <v>-0.4</v>
      </c>
      <c r="J928" s="3">
        <v>12901</v>
      </c>
      <c r="K928" s="3">
        <v>50605</v>
      </c>
      <c r="L928" s="17" t="str" cm="1">
        <f t="array" ref="L928">_xlfn.IFS(MID(K928,2,2)="01", "서울", MID(K928,2,2)="02","경기",MID(K928,2,2)="03","충청",MID(K928,2,2)="04","충청",MID(K928,2,2)="05","전라",MID(K928,2,2)="06","전라",MID(K928,2,2)="07","경북",MID(K928,2,2)="08","경남",MID(K928,2,2)="09","강원",MID(K928,2,2)="10","제주",TRUE,"국외")</f>
        <v>전라</v>
      </c>
    </row>
    <row r="929" spans="1:12" ht="17.25" thickBot="1">
      <c r="A929" s="3" t="s">
        <v>625</v>
      </c>
      <c r="B929" s="3" t="s">
        <v>332</v>
      </c>
      <c r="C929" s="3"/>
      <c r="D929" s="4" t="s">
        <v>254</v>
      </c>
      <c r="E929" s="4" t="s">
        <v>607</v>
      </c>
      <c r="F929" s="4">
        <v>2017</v>
      </c>
      <c r="G929" s="8">
        <v>1.5</v>
      </c>
      <c r="H929" s="4" t="s">
        <v>18</v>
      </c>
      <c r="I929" s="8">
        <v>2.8</v>
      </c>
      <c r="J929" s="3">
        <v>12918</v>
      </c>
      <c r="K929" s="3">
        <v>50705</v>
      </c>
      <c r="L929" s="17" t="str" cm="1">
        <f t="array" ref="L929">_xlfn.IFS(MID(K929,2,2)="01", "서울", MID(K929,2,2)="02","경기",MID(K929,2,2)="03","충청",MID(K929,2,2)="04","충청",MID(K929,2,2)="05","전라",MID(K929,2,2)="06","전라",MID(K929,2,2)="07","경북",MID(K929,2,2)="08","경남",MID(K929,2,2)="09","강원",MID(K929,2,2)="10","제주",TRUE,"국외")</f>
        <v>경북</v>
      </c>
    </row>
    <row r="930" spans="1:12" ht="17.25" thickBot="1">
      <c r="A930" s="3" t="s">
        <v>1053</v>
      </c>
      <c r="B930" s="3" t="s">
        <v>241</v>
      </c>
      <c r="C930" s="3"/>
      <c r="D930" s="4" t="s">
        <v>254</v>
      </c>
      <c r="E930" s="4" t="s">
        <v>906</v>
      </c>
      <c r="F930" s="4">
        <v>2017</v>
      </c>
      <c r="G930" s="8">
        <v>-0.3</v>
      </c>
      <c r="H930" s="4" t="s">
        <v>18</v>
      </c>
      <c r="I930" s="8">
        <v>25.8</v>
      </c>
      <c r="J930" s="3">
        <v>12905</v>
      </c>
      <c r="K930" s="3">
        <v>50202</v>
      </c>
      <c r="L930" s="17" t="str" cm="1">
        <f t="array" ref="L930">_xlfn.IFS(MID(K930,2,2)="01", "서울", MID(K930,2,2)="02","경기",MID(K930,2,2)="03","충청",MID(K930,2,2)="04","충청",MID(K930,2,2)="05","전라",MID(K930,2,2)="06","전라",MID(K930,2,2)="07","경북",MID(K930,2,2)="08","경남",MID(K930,2,2)="09","강원",MID(K930,2,2)="10","제주",TRUE,"국외")</f>
        <v>경기</v>
      </c>
    </row>
    <row r="931" spans="1:12" ht="17.25" thickBot="1">
      <c r="A931" s="3" t="s">
        <v>1054</v>
      </c>
      <c r="B931" s="3" t="s">
        <v>153</v>
      </c>
      <c r="C931" s="3"/>
      <c r="D931" s="4" t="s">
        <v>254</v>
      </c>
      <c r="E931" s="4" t="s">
        <v>26</v>
      </c>
      <c r="F931" s="4">
        <v>2017</v>
      </c>
      <c r="G931" s="8">
        <v>-0.3</v>
      </c>
      <c r="H931" s="4" t="s">
        <v>26</v>
      </c>
      <c r="I931" s="8">
        <v>2.4</v>
      </c>
      <c r="J931" s="3">
        <v>12850</v>
      </c>
      <c r="K931" s="3">
        <v>50210</v>
      </c>
      <c r="L931" s="17" t="str" cm="1">
        <f t="array" ref="L931">_xlfn.IFS(MID(K931,2,2)="01", "서울", MID(K931,2,2)="02","경기",MID(K931,2,2)="03","충청",MID(K931,2,2)="04","충청",MID(K931,2,2)="05","전라",MID(K931,2,2)="06","전라",MID(K931,2,2)="07","경북",MID(K931,2,2)="08","경남",MID(K931,2,2)="09","강원",MID(K931,2,2)="10","제주",TRUE,"국외")</f>
        <v>경기</v>
      </c>
    </row>
    <row r="932" spans="1:12" ht="17.25" thickBot="1">
      <c r="A932" s="3" t="s">
        <v>1055</v>
      </c>
      <c r="B932" s="3" t="s">
        <v>63</v>
      </c>
      <c r="C932" s="3"/>
      <c r="D932" s="4" t="s">
        <v>254</v>
      </c>
      <c r="E932" s="4" t="s">
        <v>9</v>
      </c>
      <c r="F932" s="4">
        <v>2017</v>
      </c>
      <c r="G932" s="8">
        <v>-0.1</v>
      </c>
      <c r="H932" s="4" t="s">
        <v>9</v>
      </c>
      <c r="I932" s="8">
        <v>-3.1</v>
      </c>
      <c r="J932" s="3">
        <v>12930</v>
      </c>
      <c r="K932" s="3">
        <v>50807</v>
      </c>
      <c r="L932" s="17" t="str" cm="1">
        <f t="array" ref="L932">_xlfn.IFS(MID(K932,2,2)="01", "서울", MID(K932,2,2)="02","경기",MID(K932,2,2)="03","충청",MID(K932,2,2)="04","충청",MID(K932,2,2)="05","전라",MID(K932,2,2)="06","전라",MID(K932,2,2)="07","경북",MID(K932,2,2)="08","경남",MID(K932,2,2)="09","강원",MID(K932,2,2)="10","제주",TRUE,"국외")</f>
        <v>경남</v>
      </c>
    </row>
    <row r="933" spans="1:12" ht="17.25" thickBot="1">
      <c r="A933" s="3" t="s">
        <v>1056</v>
      </c>
      <c r="B933" s="3" t="s">
        <v>93</v>
      </c>
      <c r="C933" s="3"/>
      <c r="D933" s="4" t="s">
        <v>254</v>
      </c>
      <c r="E933" s="4" t="s">
        <v>23</v>
      </c>
      <c r="F933" s="4">
        <v>2017</v>
      </c>
      <c r="G933" s="8">
        <v>0.3</v>
      </c>
      <c r="H933" s="4" t="s">
        <v>23</v>
      </c>
      <c r="I933" s="8">
        <v>2.1</v>
      </c>
      <c r="J933" s="3">
        <v>12934</v>
      </c>
      <c r="K933" s="3">
        <v>50805</v>
      </c>
      <c r="L933" s="17" t="str" cm="1">
        <f t="array" ref="L933">_xlfn.IFS(MID(K933,2,2)="01", "서울", MID(K933,2,2)="02","경기",MID(K933,2,2)="03","충청",MID(K933,2,2)="04","충청",MID(K933,2,2)="05","전라",MID(K933,2,2)="06","전라",MID(K933,2,2)="07","경북",MID(K933,2,2)="08","경남",MID(K933,2,2)="09","강원",MID(K933,2,2)="10","제주",TRUE,"국외")</f>
        <v>경남</v>
      </c>
    </row>
    <row r="934" spans="1:12" ht="17.25" thickBot="1">
      <c r="A934" s="3" t="s">
        <v>1057</v>
      </c>
      <c r="B934" s="3" t="s">
        <v>70</v>
      </c>
      <c r="C934" s="3"/>
      <c r="D934" s="4" t="s">
        <v>254</v>
      </c>
      <c r="E934" s="4" t="s">
        <v>3</v>
      </c>
      <c r="F934" s="4">
        <v>2017</v>
      </c>
      <c r="G934" s="8">
        <v>-0.1</v>
      </c>
      <c r="H934" s="4" t="s">
        <v>3</v>
      </c>
      <c r="I934" s="8">
        <v>1.5</v>
      </c>
      <c r="J934" s="3">
        <v>12926</v>
      </c>
      <c r="K934" s="3">
        <v>50103</v>
      </c>
      <c r="L934" s="17" t="str" cm="1">
        <f t="array" ref="L934">_xlfn.IFS(MID(K934,2,2)="01", "서울", MID(K934,2,2)="02","경기",MID(K934,2,2)="03","충청",MID(K934,2,2)="04","충청",MID(K934,2,2)="05","전라",MID(K934,2,2)="06","전라",MID(K934,2,2)="07","경북",MID(K934,2,2)="08","경남",MID(K934,2,2)="09","강원",MID(K934,2,2)="10","제주",TRUE,"국외")</f>
        <v>서울</v>
      </c>
    </row>
    <row r="935" spans="1:12" ht="17.25" thickBot="1">
      <c r="A935" s="3" t="s">
        <v>1058</v>
      </c>
      <c r="B935" s="3" t="s">
        <v>40</v>
      </c>
      <c r="C935" s="3" t="s">
        <v>208</v>
      </c>
      <c r="D935" s="4" t="s">
        <v>254</v>
      </c>
      <c r="E935" s="4" t="s">
        <v>6</v>
      </c>
      <c r="F935" s="4">
        <v>2017</v>
      </c>
      <c r="G935" s="8">
        <v>-0.1</v>
      </c>
      <c r="H935" s="4" t="s">
        <v>6</v>
      </c>
      <c r="I935" s="8">
        <v>-0.2</v>
      </c>
      <c r="J935" s="3">
        <v>12913</v>
      </c>
      <c r="K935" s="3">
        <v>50108</v>
      </c>
      <c r="L935" s="17" t="str" cm="1">
        <f t="array" ref="L935">_xlfn.IFS(MID(K935,2,2)="01", "서울", MID(K935,2,2)="02","경기",MID(K935,2,2)="03","충청",MID(K935,2,2)="04","충청",MID(K935,2,2)="05","전라",MID(K935,2,2)="06","전라",MID(K935,2,2)="07","경북",MID(K935,2,2)="08","경남",MID(K935,2,2)="09","강원",MID(K935,2,2)="10","제주",TRUE,"국외")</f>
        <v>서울</v>
      </c>
    </row>
    <row r="936" spans="1:12" ht="17.25" thickBot="1">
      <c r="A936" s="3" t="s">
        <v>1059</v>
      </c>
      <c r="B936" s="3" t="s">
        <v>14</v>
      </c>
      <c r="C936" s="3"/>
      <c r="D936" s="4" t="s">
        <v>254</v>
      </c>
      <c r="E936" s="4" t="s">
        <v>28</v>
      </c>
      <c r="F936" s="4">
        <v>2017</v>
      </c>
      <c r="G936" s="8">
        <v>0</v>
      </c>
      <c r="H936" s="4" t="s">
        <v>28</v>
      </c>
      <c r="I936" s="8">
        <v>0.2</v>
      </c>
      <c r="J936" s="3">
        <v>12938</v>
      </c>
      <c r="K936" s="3">
        <v>50703</v>
      </c>
      <c r="L936" s="17" t="str" cm="1">
        <f t="array" ref="L936">_xlfn.IFS(MID(K936,2,2)="01", "서울", MID(K936,2,2)="02","경기",MID(K936,2,2)="03","충청",MID(K936,2,2)="04","충청",MID(K936,2,2)="05","전라",MID(K936,2,2)="06","전라",MID(K936,2,2)="07","경북",MID(K936,2,2)="08","경남",MID(K936,2,2)="09","강원",MID(K936,2,2)="10","제주",TRUE,"국외")</f>
        <v>경북</v>
      </c>
    </row>
    <row r="937" spans="1:12" ht="17.25" thickBot="1">
      <c r="A937" s="3" t="s">
        <v>1060</v>
      </c>
      <c r="B937" s="3" t="s">
        <v>215</v>
      </c>
      <c r="C937" s="3"/>
      <c r="D937" s="4" t="s">
        <v>254</v>
      </c>
      <c r="E937" s="4" t="s">
        <v>20</v>
      </c>
      <c r="F937" s="4"/>
      <c r="G937" s="9"/>
      <c r="H937" s="4"/>
      <c r="I937" s="9"/>
      <c r="J937" s="3">
        <v>12910</v>
      </c>
      <c r="K937" s="3">
        <v>50710</v>
      </c>
      <c r="L937" s="17" t="str" cm="1">
        <f t="array" ref="L937">_xlfn.IFS(MID(K937,2,2)="01", "서울", MID(K937,2,2)="02","경기",MID(K937,2,2)="03","충청",MID(K937,2,2)="04","충청",MID(K937,2,2)="05","전라",MID(K937,2,2)="06","전라",MID(K937,2,2)="07","경북",MID(K937,2,2)="08","경남",MID(K937,2,2)="09","강원",MID(K937,2,2)="10","제주",TRUE,"국외")</f>
        <v>경북</v>
      </c>
    </row>
    <row r="938" spans="1:12" ht="17.25" thickBot="1">
      <c r="A938" s="3" t="s">
        <v>1061</v>
      </c>
      <c r="B938" s="3" t="s">
        <v>96</v>
      </c>
      <c r="C938" s="3"/>
      <c r="D938" s="4" t="s">
        <v>254</v>
      </c>
      <c r="E938" s="4" t="s">
        <v>12</v>
      </c>
      <c r="F938" s="4">
        <v>2020</v>
      </c>
      <c r="G938" s="9"/>
      <c r="H938" s="4" t="s">
        <v>12</v>
      </c>
      <c r="I938" s="8">
        <v>-0.1</v>
      </c>
      <c r="J938" s="3">
        <v>12897</v>
      </c>
      <c r="K938" s="3">
        <v>50601</v>
      </c>
      <c r="L938" s="17" t="str" cm="1">
        <f t="array" ref="L938">_xlfn.IFS(MID(K938,2,2)="01", "서울", MID(K938,2,2)="02","경기",MID(K938,2,2)="03","충청",MID(K938,2,2)="04","충청",MID(K938,2,2)="05","전라",MID(K938,2,2)="06","전라",MID(K938,2,2)="07","경북",MID(K938,2,2)="08","경남",MID(K938,2,2)="09","강원",MID(K938,2,2)="10","제주",TRUE,"국외")</f>
        <v>전라</v>
      </c>
    </row>
    <row r="939" spans="1:12" ht="17.25" thickBot="1">
      <c r="A939" s="3" t="s">
        <v>1062</v>
      </c>
      <c r="B939" s="3" t="s">
        <v>169</v>
      </c>
      <c r="C939" s="3"/>
      <c r="D939" s="4" t="s">
        <v>254</v>
      </c>
      <c r="E939" s="4" t="s">
        <v>607</v>
      </c>
      <c r="F939" s="4">
        <v>2017</v>
      </c>
      <c r="G939" s="8">
        <v>0</v>
      </c>
      <c r="H939" s="4" t="s">
        <v>15</v>
      </c>
      <c r="I939" s="8">
        <v>15.8</v>
      </c>
      <c r="J939" s="3">
        <v>12922</v>
      </c>
      <c r="K939" s="3">
        <v>50606</v>
      </c>
      <c r="L939" s="17" t="str" cm="1">
        <f t="array" ref="L939">_xlfn.IFS(MID(K939,2,2)="01", "서울", MID(K939,2,2)="02","경기",MID(K939,2,2)="03","충청",MID(K939,2,2)="04","충청",MID(K939,2,2)="05","전라",MID(K939,2,2)="06","전라",MID(K939,2,2)="07","경북",MID(K939,2,2)="08","경남",MID(K939,2,2)="09","강원",MID(K939,2,2)="10","제주",TRUE,"국외")</f>
        <v>전라</v>
      </c>
    </row>
    <row r="940" spans="1:12" ht="17.25" thickBot="1">
      <c r="A940" s="3" t="s">
        <v>1063</v>
      </c>
      <c r="B940" s="3" t="s">
        <v>32</v>
      </c>
      <c r="C940" s="3"/>
      <c r="D940" s="4" t="s">
        <v>254</v>
      </c>
      <c r="E940" s="4" t="s">
        <v>906</v>
      </c>
      <c r="F940" s="4">
        <v>2019</v>
      </c>
      <c r="G940" s="9"/>
      <c r="H940" s="4" t="s">
        <v>18</v>
      </c>
      <c r="I940" s="8">
        <v>0.4</v>
      </c>
      <c r="J940" s="3">
        <v>12854</v>
      </c>
      <c r="K940" s="3">
        <v>50111</v>
      </c>
      <c r="L940" s="17" t="str" cm="1">
        <f t="array" ref="L940">_xlfn.IFS(MID(K940,2,2)="01", "서울", MID(K940,2,2)="02","경기",MID(K940,2,2)="03","충청",MID(K940,2,2)="04","충청",MID(K940,2,2)="05","전라",MID(K940,2,2)="06","전라",MID(K940,2,2)="07","경북",MID(K940,2,2)="08","경남",MID(K940,2,2)="09","강원",MID(K940,2,2)="10","제주",TRUE,"국외")</f>
        <v>서울</v>
      </c>
    </row>
    <row r="941" spans="1:12" ht="17.25" thickBot="1">
      <c r="A941" s="3" t="s">
        <v>1064</v>
      </c>
      <c r="B941" s="3" t="s">
        <v>34</v>
      </c>
      <c r="C941" s="3" t="s">
        <v>329</v>
      </c>
      <c r="D941" s="4" t="s">
        <v>254</v>
      </c>
      <c r="E941" s="4" t="s">
        <v>26</v>
      </c>
      <c r="F941" s="4">
        <v>2017</v>
      </c>
      <c r="G941" s="8">
        <v>0.7</v>
      </c>
      <c r="H941" s="4" t="s">
        <v>26</v>
      </c>
      <c r="I941" s="8">
        <v>3</v>
      </c>
      <c r="J941" s="3">
        <v>12847</v>
      </c>
      <c r="K941" s="3">
        <v>50701</v>
      </c>
      <c r="L941" s="17" t="str" cm="1">
        <f t="array" ref="L941">_xlfn.IFS(MID(K941,2,2)="01", "서울", MID(K941,2,2)="02","경기",MID(K941,2,2)="03","충청",MID(K941,2,2)="04","충청",MID(K941,2,2)="05","전라",MID(K941,2,2)="06","전라",MID(K941,2,2)="07","경북",MID(K941,2,2)="08","경남",MID(K941,2,2)="09","강원",MID(K941,2,2)="10","제주",TRUE,"국외")</f>
        <v>경북</v>
      </c>
    </row>
    <row r="942" spans="1:12" ht="17.25" thickBot="1">
      <c r="A942" s="3" t="s">
        <v>369</v>
      </c>
      <c r="B942" s="3" t="s">
        <v>153</v>
      </c>
      <c r="C942" s="3"/>
      <c r="D942" s="4" t="s">
        <v>254</v>
      </c>
      <c r="E942" s="4" t="s">
        <v>9</v>
      </c>
      <c r="F942" s="4">
        <v>2017</v>
      </c>
      <c r="G942" s="8">
        <v>-0.2</v>
      </c>
      <c r="H942" s="4" t="s">
        <v>9</v>
      </c>
      <c r="I942" s="8">
        <v>0</v>
      </c>
      <c r="J942" s="3">
        <v>12931</v>
      </c>
      <c r="K942" s="3">
        <v>50210</v>
      </c>
      <c r="L942" s="17" t="str" cm="1">
        <f t="array" ref="L942">_xlfn.IFS(MID(K942,2,2)="01", "서울", MID(K942,2,2)="02","경기",MID(K942,2,2)="03","충청",MID(K942,2,2)="04","충청",MID(K942,2,2)="05","전라",MID(K942,2,2)="06","전라",MID(K942,2,2)="07","경북",MID(K942,2,2)="08","경남",MID(K942,2,2)="09","강원",MID(K942,2,2)="10","제주",TRUE,"국외")</f>
        <v>경기</v>
      </c>
    </row>
    <row r="943" spans="1:12" ht="17.25" thickBot="1">
      <c r="A943" s="3" t="s">
        <v>1065</v>
      </c>
      <c r="B943" s="3" t="s">
        <v>50</v>
      </c>
      <c r="C943" s="3" t="s">
        <v>174</v>
      </c>
      <c r="D943" s="4" t="s">
        <v>254</v>
      </c>
      <c r="E943" s="4" t="s">
        <v>23</v>
      </c>
      <c r="F943" s="4">
        <v>2017</v>
      </c>
      <c r="G943" s="8">
        <v>-0.4</v>
      </c>
      <c r="H943" s="4" t="s">
        <v>9</v>
      </c>
      <c r="I943" s="8">
        <v>-0.9</v>
      </c>
      <c r="J943" s="3">
        <v>12935</v>
      </c>
      <c r="K943" s="3">
        <v>50301</v>
      </c>
      <c r="L943" s="17" t="str" cm="1">
        <f t="array" ref="L943">_xlfn.IFS(MID(K943,2,2)="01", "서울", MID(K943,2,2)="02","경기",MID(K943,2,2)="03","충청",MID(K943,2,2)="04","충청",MID(K943,2,2)="05","전라",MID(K943,2,2)="06","전라",MID(K943,2,2)="07","경북",MID(K943,2,2)="08","경남",MID(K943,2,2)="09","강원",MID(K943,2,2)="10","제주",TRUE,"국외")</f>
        <v>충청</v>
      </c>
    </row>
    <row r="944" spans="1:12" ht="17.25" thickBot="1">
      <c r="A944" s="3" t="s">
        <v>888</v>
      </c>
      <c r="B944" s="3" t="s">
        <v>68</v>
      </c>
      <c r="C944" s="3"/>
      <c r="D944" s="4" t="s">
        <v>254</v>
      </c>
      <c r="E944" s="4" t="s">
        <v>3</v>
      </c>
      <c r="F944" s="4">
        <v>2018</v>
      </c>
      <c r="G944" s="9"/>
      <c r="H944" s="4" t="s">
        <v>3</v>
      </c>
      <c r="I944" s="8">
        <v>0.7</v>
      </c>
      <c r="J944" s="3">
        <v>12924</v>
      </c>
      <c r="K944" s="3">
        <v>50101</v>
      </c>
      <c r="L944" s="17" t="str" cm="1">
        <f t="array" ref="L944">_xlfn.IFS(MID(K944,2,2)="01", "서울", MID(K944,2,2)="02","경기",MID(K944,2,2)="03","충청",MID(K944,2,2)="04","충청",MID(K944,2,2)="05","전라",MID(K944,2,2)="06","전라",MID(K944,2,2)="07","경북",MID(K944,2,2)="08","경남",MID(K944,2,2)="09","강원",MID(K944,2,2)="10","제주",TRUE,"국외")</f>
        <v>서울</v>
      </c>
    </row>
    <row r="945" spans="1:12" ht="17.25" thickBot="1">
      <c r="A945" s="3" t="s">
        <v>1066</v>
      </c>
      <c r="B945" s="3" t="s">
        <v>96</v>
      </c>
      <c r="C945" s="3"/>
      <c r="D945" s="4" t="s">
        <v>254</v>
      </c>
      <c r="E945" s="4" t="s">
        <v>6</v>
      </c>
      <c r="F945" s="4">
        <v>2018</v>
      </c>
      <c r="G945" s="9"/>
      <c r="H945" s="4" t="s">
        <v>6</v>
      </c>
      <c r="I945" s="8">
        <v>-1</v>
      </c>
      <c r="J945" s="3">
        <v>12917</v>
      </c>
      <c r="K945" s="3">
        <v>50601</v>
      </c>
      <c r="L945" s="17" t="str" cm="1">
        <f t="array" ref="L945">_xlfn.IFS(MID(K945,2,2)="01", "서울", MID(K945,2,2)="02","경기",MID(K945,2,2)="03","충청",MID(K945,2,2)="04","충청",MID(K945,2,2)="05","전라",MID(K945,2,2)="06","전라",MID(K945,2,2)="07","경북",MID(K945,2,2)="08","경남",MID(K945,2,2)="09","강원",MID(K945,2,2)="10","제주",TRUE,"국외")</f>
        <v>전라</v>
      </c>
    </row>
    <row r="946" spans="1:12" ht="17.25" thickBot="1">
      <c r="A946" s="3" t="s">
        <v>1067</v>
      </c>
      <c r="B946" s="3" t="s">
        <v>147</v>
      </c>
      <c r="C946" s="3"/>
      <c r="D946" s="4" t="s">
        <v>254</v>
      </c>
      <c r="E946" s="4" t="s">
        <v>28</v>
      </c>
      <c r="F946" s="4">
        <v>2017</v>
      </c>
      <c r="G946" s="8">
        <v>0</v>
      </c>
      <c r="H946" s="4" t="s">
        <v>28</v>
      </c>
      <c r="I946" s="8">
        <v>1.1000000000000001</v>
      </c>
      <c r="J946" s="3">
        <v>12941</v>
      </c>
      <c r="K946" s="3">
        <v>50208</v>
      </c>
      <c r="L946" s="17" t="str" cm="1">
        <f t="array" ref="L946">_xlfn.IFS(MID(K946,2,2)="01", "서울", MID(K946,2,2)="02","경기",MID(K946,2,2)="03","충청",MID(K946,2,2)="04","충청",MID(K946,2,2)="05","전라",MID(K946,2,2)="06","전라",MID(K946,2,2)="07","경북",MID(K946,2,2)="08","경남",MID(K946,2,2)="09","강원",MID(K946,2,2)="10","제주",TRUE,"국외")</f>
        <v>경기</v>
      </c>
    </row>
    <row r="947" spans="1:12" ht="17.25" thickBot="1">
      <c r="A947" s="3" t="s">
        <v>1068</v>
      </c>
      <c r="B947" s="3" t="s">
        <v>1</v>
      </c>
      <c r="C947" s="3"/>
      <c r="D947" s="4" t="s">
        <v>254</v>
      </c>
      <c r="E947" s="4" t="s">
        <v>20</v>
      </c>
      <c r="F947" s="4">
        <v>2020</v>
      </c>
      <c r="G947" s="9"/>
      <c r="H947" s="4" t="s">
        <v>20</v>
      </c>
      <c r="I947" s="8">
        <v>0</v>
      </c>
      <c r="J947" s="3">
        <v>12909</v>
      </c>
      <c r="K947" s="3">
        <v>50107</v>
      </c>
      <c r="L947" s="17" t="str" cm="1">
        <f t="array" ref="L947">_xlfn.IFS(MID(K947,2,2)="01", "서울", MID(K947,2,2)="02","경기",MID(K947,2,2)="03","충청",MID(K947,2,2)="04","충청",MID(K947,2,2)="05","전라",MID(K947,2,2)="06","전라",MID(K947,2,2)="07","경북",MID(K947,2,2)="08","경남",MID(K947,2,2)="09","강원",MID(K947,2,2)="10","제주",TRUE,"국외")</f>
        <v>서울</v>
      </c>
    </row>
    <row r="948" spans="1:12" ht="17.25" thickBot="1">
      <c r="A948" s="3" t="s">
        <v>1069</v>
      </c>
      <c r="B948" s="3" t="s">
        <v>268</v>
      </c>
      <c r="C948" s="3"/>
      <c r="D948" s="4" t="s">
        <v>254</v>
      </c>
      <c r="E948" s="4" t="s">
        <v>12</v>
      </c>
      <c r="F948" s="4">
        <v>2019</v>
      </c>
      <c r="G948" s="9"/>
      <c r="H948" s="4" t="s">
        <v>12</v>
      </c>
      <c r="I948" s="8">
        <v>0</v>
      </c>
      <c r="J948" s="3">
        <v>12900</v>
      </c>
      <c r="K948" s="3">
        <v>50117</v>
      </c>
      <c r="L948" s="17" t="str" cm="1">
        <f t="array" ref="L948">_xlfn.IFS(MID(K948,2,2)="01", "서울", MID(K948,2,2)="02","경기",MID(K948,2,2)="03","충청",MID(K948,2,2)="04","충청",MID(K948,2,2)="05","전라",MID(K948,2,2)="06","전라",MID(K948,2,2)="07","경북",MID(K948,2,2)="08","경남",MID(K948,2,2)="09","강원",MID(K948,2,2)="10","제주",TRUE,"국외")</f>
        <v>서울</v>
      </c>
    </row>
    <row r="949" spans="1:12" ht="17.25" thickBot="1">
      <c r="A949" s="3" t="s">
        <v>1070</v>
      </c>
      <c r="B949" s="3" t="s">
        <v>153</v>
      </c>
      <c r="C949" s="3"/>
      <c r="D949" s="4" t="s">
        <v>254</v>
      </c>
      <c r="E949" s="4" t="s">
        <v>607</v>
      </c>
      <c r="F949" s="4"/>
      <c r="G949" s="9"/>
      <c r="H949" s="4"/>
      <c r="I949" s="9"/>
      <c r="J949" s="3">
        <v>12921</v>
      </c>
      <c r="K949" s="3">
        <v>50210</v>
      </c>
      <c r="L949" s="17" t="str" cm="1">
        <f t="array" ref="L949">_xlfn.IFS(MID(K949,2,2)="01", "서울", MID(K949,2,2)="02","경기",MID(K949,2,2)="03","충청",MID(K949,2,2)="04","충청",MID(K949,2,2)="05","전라",MID(K949,2,2)="06","전라",MID(K949,2,2)="07","경북",MID(K949,2,2)="08","경남",MID(K949,2,2)="09","강원",MID(K949,2,2)="10","제주",TRUE,"국외")</f>
        <v>경기</v>
      </c>
    </row>
    <row r="950" spans="1:12" ht="17.25" thickBot="1">
      <c r="A950" s="3" t="s">
        <v>1071</v>
      </c>
      <c r="B950" s="3" t="s">
        <v>52</v>
      </c>
      <c r="C950" s="3"/>
      <c r="D950" s="4" t="s">
        <v>254</v>
      </c>
      <c r="E950" s="4" t="s">
        <v>906</v>
      </c>
      <c r="F950" s="4"/>
      <c r="G950" s="9"/>
      <c r="H950" s="4"/>
      <c r="I950" s="9"/>
      <c r="J950" s="3">
        <v>12855</v>
      </c>
      <c r="K950" s="3">
        <v>50803</v>
      </c>
      <c r="L950" s="17" t="str" cm="1">
        <f t="array" ref="L950">_xlfn.IFS(MID(K950,2,2)="01", "서울", MID(K950,2,2)="02","경기",MID(K950,2,2)="03","충청",MID(K950,2,2)="04","충청",MID(K950,2,2)="05","전라",MID(K950,2,2)="06","전라",MID(K950,2,2)="07","경북",MID(K950,2,2)="08","경남",MID(K950,2,2)="09","강원",MID(K950,2,2)="10","제주",TRUE,"국외")</f>
        <v>경남</v>
      </c>
    </row>
    <row r="951" spans="1:12" ht="17.25" thickBot="1">
      <c r="A951" s="3" t="s">
        <v>1072</v>
      </c>
      <c r="B951" s="3" t="s">
        <v>153</v>
      </c>
      <c r="C951" s="3"/>
      <c r="D951" s="4" t="s">
        <v>254</v>
      </c>
      <c r="E951" s="4" t="s">
        <v>26</v>
      </c>
      <c r="F951" s="4"/>
      <c r="G951" s="9"/>
      <c r="H951" s="4"/>
      <c r="I951" s="9"/>
      <c r="J951" s="3">
        <v>12891</v>
      </c>
      <c r="K951" s="3">
        <v>50210</v>
      </c>
      <c r="L951" s="17" t="str" cm="1">
        <f t="array" ref="L951">_xlfn.IFS(MID(K951,2,2)="01", "서울", MID(K951,2,2)="02","경기",MID(K951,2,2)="03","충청",MID(K951,2,2)="04","충청",MID(K951,2,2)="05","전라",MID(K951,2,2)="06","전라",MID(K951,2,2)="07","경북",MID(K951,2,2)="08","경남",MID(K951,2,2)="09","강원",MID(K951,2,2)="10","제주",TRUE,"국외")</f>
        <v>경기</v>
      </c>
    </row>
    <row r="952" spans="1:12" ht="17.25" thickBot="1">
      <c r="A952" s="3" t="s">
        <v>1073</v>
      </c>
      <c r="B952" s="3" t="s">
        <v>145</v>
      </c>
      <c r="C952" s="3" t="s">
        <v>172</v>
      </c>
      <c r="D952" s="4" t="s">
        <v>254</v>
      </c>
      <c r="E952" s="4" t="s">
        <v>9</v>
      </c>
      <c r="F952" s="4">
        <v>2017</v>
      </c>
      <c r="G952" s="8">
        <v>0.4</v>
      </c>
      <c r="H952" s="4" t="s">
        <v>9</v>
      </c>
      <c r="I952" s="8">
        <v>0.2</v>
      </c>
      <c r="J952" s="3">
        <v>12927</v>
      </c>
      <c r="K952" s="3">
        <v>50106</v>
      </c>
      <c r="L952" s="17" t="str" cm="1">
        <f t="array" ref="L952">_xlfn.IFS(MID(K952,2,2)="01", "서울", MID(K952,2,2)="02","경기",MID(K952,2,2)="03","충청",MID(K952,2,2)="04","충청",MID(K952,2,2)="05","전라",MID(K952,2,2)="06","전라",MID(K952,2,2)="07","경북",MID(K952,2,2)="08","경남",MID(K952,2,2)="09","강원",MID(K952,2,2)="10","제주",TRUE,"국외")</f>
        <v>서울</v>
      </c>
    </row>
    <row r="953" spans="1:12" ht="17.25" thickBot="1">
      <c r="A953" s="3" t="s">
        <v>1074</v>
      </c>
      <c r="B953" s="3" t="s">
        <v>128</v>
      </c>
      <c r="C953" s="3"/>
      <c r="D953" s="4" t="s">
        <v>254</v>
      </c>
      <c r="E953" s="4" t="s">
        <v>23</v>
      </c>
      <c r="F953" s="4">
        <v>2017</v>
      </c>
      <c r="G953" s="8">
        <v>0</v>
      </c>
      <c r="H953" s="4" t="s">
        <v>23</v>
      </c>
      <c r="I953" s="8">
        <v>0.1</v>
      </c>
      <c r="J953" s="3">
        <v>12932</v>
      </c>
      <c r="K953" s="3">
        <v>50901</v>
      </c>
      <c r="L953" s="17" t="str" cm="1">
        <f t="array" ref="L953">_xlfn.IFS(MID(K953,2,2)="01", "서울", MID(K953,2,2)="02","경기",MID(K953,2,2)="03","충청",MID(K953,2,2)="04","충청",MID(K953,2,2)="05","전라",MID(K953,2,2)="06","전라",MID(K953,2,2)="07","경북",MID(K953,2,2)="08","경남",MID(K953,2,2)="09","강원",MID(K953,2,2)="10","제주",TRUE,"국외")</f>
        <v>강원</v>
      </c>
    </row>
    <row r="954" spans="1:12" ht="17.25" thickBot="1">
      <c r="A954" s="3" t="s">
        <v>1075</v>
      </c>
      <c r="B954" s="3" t="s">
        <v>8</v>
      </c>
      <c r="C954" s="3" t="s">
        <v>83</v>
      </c>
      <c r="D954" s="4" t="s">
        <v>254</v>
      </c>
      <c r="E954" s="4" t="s">
        <v>3</v>
      </c>
      <c r="F954" s="4">
        <v>2017</v>
      </c>
      <c r="G954" s="8">
        <v>0.3</v>
      </c>
      <c r="H954" s="4" t="s">
        <v>3</v>
      </c>
      <c r="I954" s="8">
        <v>2.5</v>
      </c>
      <c r="J954" s="3">
        <v>12871</v>
      </c>
      <c r="K954" s="3">
        <v>50116</v>
      </c>
      <c r="L954" s="17" t="str" cm="1">
        <f t="array" ref="L954">_xlfn.IFS(MID(K954,2,2)="01", "서울", MID(K954,2,2)="02","경기",MID(K954,2,2)="03","충청",MID(K954,2,2)="04","충청",MID(K954,2,2)="05","전라",MID(K954,2,2)="06","전라",MID(K954,2,2)="07","경북",MID(K954,2,2)="08","경남",MID(K954,2,2)="09","강원",MID(K954,2,2)="10","제주",TRUE,"국외")</f>
        <v>서울</v>
      </c>
    </row>
    <row r="955" spans="1:12" ht="17.25" thickBot="1">
      <c r="A955" s="3" t="s">
        <v>1076</v>
      </c>
      <c r="B955" s="3" t="s">
        <v>1019</v>
      </c>
      <c r="C955" s="3"/>
      <c r="D955" s="4" t="s">
        <v>254</v>
      </c>
      <c r="E955" s="4" t="s">
        <v>6</v>
      </c>
      <c r="F955" s="4">
        <v>2019</v>
      </c>
      <c r="G955" s="9"/>
      <c r="H955" s="4" t="s">
        <v>6</v>
      </c>
      <c r="I955" s="8">
        <v>-0.2</v>
      </c>
      <c r="J955" s="3">
        <v>12866</v>
      </c>
      <c r="K955" s="3">
        <v>50201</v>
      </c>
      <c r="L955" s="17" t="str" cm="1">
        <f t="array" ref="L955">_xlfn.IFS(MID(K955,2,2)="01", "서울", MID(K955,2,2)="02","경기",MID(K955,2,2)="03","충청",MID(K955,2,2)="04","충청",MID(K955,2,2)="05","전라",MID(K955,2,2)="06","전라",MID(K955,2,2)="07","경북",MID(K955,2,2)="08","경남",MID(K955,2,2)="09","강원",MID(K955,2,2)="10","제주",TRUE,"국외")</f>
        <v>경기</v>
      </c>
    </row>
    <row r="956" spans="1:12" ht="17.25" thickBot="1">
      <c r="A956" s="3" t="s">
        <v>1077</v>
      </c>
      <c r="B956" s="3" t="s">
        <v>93</v>
      </c>
      <c r="C956" s="3" t="s">
        <v>218</v>
      </c>
      <c r="D956" s="4" t="s">
        <v>254</v>
      </c>
      <c r="E956" s="4" t="s">
        <v>28</v>
      </c>
      <c r="F956" s="4"/>
      <c r="G956" s="9"/>
      <c r="H956" s="4"/>
      <c r="I956" s="9"/>
      <c r="J956" s="3">
        <v>13226</v>
      </c>
      <c r="K956" s="3">
        <v>50805</v>
      </c>
      <c r="L956" s="17" t="str" cm="1">
        <f t="array" ref="L956">_xlfn.IFS(MID(K956,2,2)="01", "서울", MID(K956,2,2)="02","경기",MID(K956,2,2)="03","충청",MID(K956,2,2)="04","충청",MID(K956,2,2)="05","전라",MID(K956,2,2)="06","전라",MID(K956,2,2)="07","경북",MID(K956,2,2)="08","경남",MID(K956,2,2)="09","강원",MID(K956,2,2)="10","제주",TRUE,"국외")</f>
        <v>경남</v>
      </c>
    </row>
    <row r="957" spans="1:12" ht="17.25" thickBot="1">
      <c r="A957" s="3" t="s">
        <v>1078</v>
      </c>
      <c r="B957" s="3" t="s">
        <v>40</v>
      </c>
      <c r="C957" s="3"/>
      <c r="D957" s="4" t="s">
        <v>254</v>
      </c>
      <c r="E957" s="4" t="s">
        <v>20</v>
      </c>
      <c r="F957" s="4"/>
      <c r="G957" s="9"/>
      <c r="H957" s="4"/>
      <c r="I957" s="9"/>
      <c r="J957" s="3">
        <v>12911</v>
      </c>
      <c r="K957" s="3">
        <v>50108</v>
      </c>
      <c r="L957" s="17" t="str" cm="1">
        <f t="array" ref="L957">_xlfn.IFS(MID(K957,2,2)="01", "서울", MID(K957,2,2)="02","경기",MID(K957,2,2)="03","충청",MID(K957,2,2)="04","충청",MID(K957,2,2)="05","전라",MID(K957,2,2)="06","전라",MID(K957,2,2)="07","경북",MID(K957,2,2)="08","경남",MID(K957,2,2)="09","강원",MID(K957,2,2)="10","제주",TRUE,"국외")</f>
        <v>서울</v>
      </c>
    </row>
    <row r="958" spans="1:12" ht="17.25" thickBot="1">
      <c r="A958" s="3" t="s">
        <v>1079</v>
      </c>
      <c r="B958" s="3" t="s">
        <v>158</v>
      </c>
      <c r="C958" s="3"/>
      <c r="D958" s="4" t="s">
        <v>254</v>
      </c>
      <c r="E958" s="4" t="s">
        <v>12</v>
      </c>
      <c r="F958" s="4"/>
      <c r="G958" s="9"/>
      <c r="H958" s="4"/>
      <c r="I958" s="9"/>
      <c r="J958" s="3">
        <v>12853</v>
      </c>
      <c r="K958" s="3">
        <v>50501</v>
      </c>
      <c r="L958" s="17" t="str" cm="1">
        <f t="array" ref="L958">_xlfn.IFS(MID(K958,2,2)="01", "서울", MID(K958,2,2)="02","경기",MID(K958,2,2)="03","충청",MID(K958,2,2)="04","충청",MID(K958,2,2)="05","전라",MID(K958,2,2)="06","전라",MID(K958,2,2)="07","경북",MID(K958,2,2)="08","경남",MID(K958,2,2)="09","강원",MID(K958,2,2)="10","제주",TRUE,"국외")</f>
        <v>전라</v>
      </c>
    </row>
    <row r="959" spans="1:12" ht="17.25" thickBot="1">
      <c r="A959" s="3" t="s">
        <v>1080</v>
      </c>
      <c r="B959" s="3" t="s">
        <v>228</v>
      </c>
      <c r="C959" s="3"/>
      <c r="D959" s="4" t="s">
        <v>254</v>
      </c>
      <c r="E959" s="4" t="s">
        <v>607</v>
      </c>
      <c r="F959" s="4"/>
      <c r="G959" s="9"/>
      <c r="H959" s="4"/>
      <c r="I959" s="9"/>
      <c r="J959" s="3">
        <v>13189</v>
      </c>
      <c r="K959" s="3">
        <v>50702</v>
      </c>
      <c r="L959" s="17" t="str" cm="1">
        <f t="array" ref="L959">_xlfn.IFS(MID(K959,2,2)="01", "서울", MID(K959,2,2)="02","경기",MID(K959,2,2)="03","충청",MID(K959,2,2)="04","충청",MID(K959,2,2)="05","전라",MID(K959,2,2)="06","전라",MID(K959,2,2)="07","경북",MID(K959,2,2)="08","경남",MID(K959,2,2)="09","강원",MID(K959,2,2)="10","제주",TRUE,"국외")</f>
        <v>경북</v>
      </c>
    </row>
    <row r="960" spans="1:12" ht="17.25" thickBot="1">
      <c r="A960" s="3" t="s">
        <v>1081</v>
      </c>
      <c r="B960" s="3" t="s">
        <v>22</v>
      </c>
      <c r="C960" s="3"/>
      <c r="D960" s="4" t="s">
        <v>254</v>
      </c>
      <c r="E960" s="4" t="s">
        <v>906</v>
      </c>
      <c r="F960" s="4">
        <v>2017</v>
      </c>
      <c r="G960" s="8">
        <v>-0.1</v>
      </c>
      <c r="H960" s="4" t="s">
        <v>18</v>
      </c>
      <c r="I960" s="8">
        <v>-0.1</v>
      </c>
      <c r="J960" s="3">
        <v>12856</v>
      </c>
      <c r="K960" s="3">
        <v>50209</v>
      </c>
      <c r="L960" s="17" t="str" cm="1">
        <f t="array" ref="L960">_xlfn.IFS(MID(K960,2,2)="01", "서울", MID(K960,2,2)="02","경기",MID(K960,2,2)="03","충청",MID(K960,2,2)="04","충청",MID(K960,2,2)="05","전라",MID(K960,2,2)="06","전라",MID(K960,2,2)="07","경북",MID(K960,2,2)="08","경남",MID(K960,2,2)="09","강원",MID(K960,2,2)="10","제주",TRUE,"국외")</f>
        <v>경기</v>
      </c>
    </row>
    <row r="961" spans="1:12" ht="17.25" thickBot="1">
      <c r="A961" s="3" t="s">
        <v>1082</v>
      </c>
      <c r="B961" s="3" t="s">
        <v>128</v>
      </c>
      <c r="C961" s="3"/>
      <c r="D961" s="4" t="s">
        <v>254</v>
      </c>
      <c r="E961" s="4" t="s">
        <v>26</v>
      </c>
      <c r="F961" s="4">
        <v>2020</v>
      </c>
      <c r="G961" s="9"/>
      <c r="H961" s="4" t="s">
        <v>26</v>
      </c>
      <c r="I961" s="8">
        <v>-0.1</v>
      </c>
      <c r="J961" s="3">
        <v>12848</v>
      </c>
      <c r="K961" s="3">
        <v>50901</v>
      </c>
      <c r="L961" s="17" t="str" cm="1">
        <f t="array" ref="L961">_xlfn.IFS(MID(K961,2,2)="01", "서울", MID(K961,2,2)="02","경기",MID(K961,2,2)="03","충청",MID(K961,2,2)="04","충청",MID(K961,2,2)="05","전라",MID(K961,2,2)="06","전라",MID(K961,2,2)="07","경북",MID(K961,2,2)="08","경남",MID(K961,2,2)="09","강원",MID(K961,2,2)="10","제주",TRUE,"국외")</f>
        <v>강원</v>
      </c>
    </row>
    <row r="962" spans="1:12" ht="17.25" thickBot="1">
      <c r="A962" s="3" t="s">
        <v>1083</v>
      </c>
      <c r="B962" s="3" t="s">
        <v>1084</v>
      </c>
      <c r="C962" s="3"/>
      <c r="D962" s="4" t="s">
        <v>254</v>
      </c>
      <c r="E962" s="4" t="s">
        <v>9</v>
      </c>
      <c r="F962" s="4"/>
      <c r="G962" s="9"/>
      <c r="H962" s="4"/>
      <c r="I962" s="9"/>
      <c r="J962" s="3">
        <v>12878</v>
      </c>
      <c r="K962" s="3">
        <v>50808</v>
      </c>
      <c r="L962" s="17" t="str" cm="1">
        <f t="array" ref="L962">_xlfn.IFS(MID(K962,2,2)="01", "서울", MID(K962,2,2)="02","경기",MID(K962,2,2)="03","충청",MID(K962,2,2)="04","충청",MID(K962,2,2)="05","전라",MID(K962,2,2)="06","전라",MID(K962,2,2)="07","경북",MID(K962,2,2)="08","경남",MID(K962,2,2)="09","강원",MID(K962,2,2)="10","제주",TRUE,"국외")</f>
        <v>경남</v>
      </c>
    </row>
    <row r="963" spans="1:12" ht="17.25" thickBot="1">
      <c r="A963" s="3" t="s">
        <v>1085</v>
      </c>
      <c r="B963" s="3" t="s">
        <v>464</v>
      </c>
      <c r="C963" s="3"/>
      <c r="D963" s="4" t="s">
        <v>254</v>
      </c>
      <c r="E963" s="4" t="s">
        <v>23</v>
      </c>
      <c r="F963" s="4">
        <v>2017</v>
      </c>
      <c r="G963" s="8">
        <v>0.1</v>
      </c>
      <c r="H963" s="4" t="s">
        <v>23</v>
      </c>
      <c r="I963" s="8">
        <v>1.4</v>
      </c>
      <c r="J963" s="3">
        <v>12936</v>
      </c>
      <c r="K963" s="3">
        <v>50706</v>
      </c>
      <c r="L963" s="17" t="str" cm="1">
        <f t="array" ref="L963">_xlfn.IFS(MID(K963,2,2)="01", "서울", MID(K963,2,2)="02","경기",MID(K963,2,2)="03","충청",MID(K963,2,2)="04","충청",MID(K963,2,2)="05","전라",MID(K963,2,2)="06","전라",MID(K963,2,2)="07","경북",MID(K963,2,2)="08","경남",MID(K963,2,2)="09","강원",MID(K963,2,2)="10","제주",TRUE,"국외")</f>
        <v>경북</v>
      </c>
    </row>
    <row r="964" spans="1:12" ht="17.25" thickBot="1">
      <c r="A964" s="3" t="s">
        <v>1086</v>
      </c>
      <c r="B964" s="3" t="s">
        <v>32</v>
      </c>
      <c r="C964" s="3" t="s">
        <v>174</v>
      </c>
      <c r="D964" s="4" t="s">
        <v>254</v>
      </c>
      <c r="E964" s="4" t="s">
        <v>3</v>
      </c>
      <c r="F964" s="4">
        <v>2022</v>
      </c>
      <c r="G964" s="9"/>
      <c r="H964" s="4" t="s">
        <v>3</v>
      </c>
      <c r="I964" s="8">
        <v>-0.4</v>
      </c>
      <c r="J964" s="3">
        <v>12872</v>
      </c>
      <c r="K964" s="3">
        <v>50111</v>
      </c>
      <c r="L964" s="17" t="str" cm="1">
        <f t="array" ref="L964">_xlfn.IFS(MID(K964,2,2)="01", "서울", MID(K964,2,2)="02","경기",MID(K964,2,2)="03","충청",MID(K964,2,2)="04","충청",MID(K964,2,2)="05","전라",MID(K964,2,2)="06","전라",MID(K964,2,2)="07","경북",MID(K964,2,2)="08","경남",MID(K964,2,2)="09","강원",MID(K964,2,2)="10","제주",TRUE,"국외")</f>
        <v>서울</v>
      </c>
    </row>
    <row r="965" spans="1:12" ht="17.25" thickBot="1">
      <c r="A965" s="3" t="s">
        <v>1087</v>
      </c>
      <c r="B965" s="3" t="s">
        <v>22</v>
      </c>
      <c r="C965" s="3"/>
      <c r="D965" s="4" t="s">
        <v>254</v>
      </c>
      <c r="E965" s="4" t="s">
        <v>607</v>
      </c>
      <c r="F965" s="4">
        <v>2021</v>
      </c>
      <c r="G965" s="9"/>
      <c r="H965" s="4" t="s">
        <v>15</v>
      </c>
      <c r="I965" s="8">
        <v>-0.4</v>
      </c>
      <c r="J965" s="3">
        <v>13194</v>
      </c>
      <c r="K965" s="3">
        <v>50209</v>
      </c>
      <c r="L965" s="17" t="str" cm="1">
        <f t="array" ref="L965">_xlfn.IFS(MID(K965,2,2)="01", "서울", MID(K965,2,2)="02","경기",MID(K965,2,2)="03","충청",MID(K965,2,2)="04","충청",MID(K965,2,2)="05","전라",MID(K965,2,2)="06","전라",MID(K965,2,2)="07","경북",MID(K965,2,2)="08","경남",MID(K965,2,2)="09","강원",MID(K965,2,2)="10","제주",TRUE,"국외")</f>
        <v>경기</v>
      </c>
    </row>
    <row r="966" spans="1:12" ht="17.25" thickBot="1">
      <c r="A966" s="3" t="s">
        <v>1088</v>
      </c>
      <c r="B966" s="3" t="s">
        <v>140</v>
      </c>
      <c r="C966" s="3"/>
      <c r="D966" s="4" t="s">
        <v>254</v>
      </c>
      <c r="E966" s="4" t="s">
        <v>6</v>
      </c>
      <c r="F966" s="4">
        <v>2022</v>
      </c>
      <c r="G966" s="9"/>
      <c r="H966" s="4" t="s">
        <v>6</v>
      </c>
      <c r="I966" s="8">
        <v>0</v>
      </c>
      <c r="J966" s="3">
        <v>12867</v>
      </c>
      <c r="K966" s="3">
        <v>50801</v>
      </c>
      <c r="L966" s="17" t="str" cm="1">
        <f t="array" ref="L966">_xlfn.IFS(MID(K966,2,2)="01", "서울", MID(K966,2,2)="02","경기",MID(K966,2,2)="03","충청",MID(K966,2,2)="04","충청",MID(K966,2,2)="05","전라",MID(K966,2,2)="06","전라",MID(K966,2,2)="07","경북",MID(K966,2,2)="08","경남",MID(K966,2,2)="09","강원",MID(K966,2,2)="10","제주",TRUE,"국외")</f>
        <v>경남</v>
      </c>
    </row>
    <row r="967" spans="1:12" ht="17.25" thickBot="1">
      <c r="A967" s="3" t="s">
        <v>1089</v>
      </c>
      <c r="B967" s="3" t="s">
        <v>11</v>
      </c>
      <c r="C967" s="3"/>
      <c r="D967" s="4" t="s">
        <v>254</v>
      </c>
      <c r="E967" s="4" t="s">
        <v>28</v>
      </c>
      <c r="F967" s="4">
        <v>2020</v>
      </c>
      <c r="G967" s="9"/>
      <c r="H967" s="4" t="s">
        <v>28</v>
      </c>
      <c r="I967" s="8">
        <v>-0.1</v>
      </c>
      <c r="J967" s="3">
        <v>13227</v>
      </c>
      <c r="K967" s="3">
        <v>50802</v>
      </c>
      <c r="L967" s="17" t="str" cm="1">
        <f t="array" ref="L967">_xlfn.IFS(MID(K967,2,2)="01", "서울", MID(K967,2,2)="02","경기",MID(K967,2,2)="03","충청",MID(K967,2,2)="04","충청",MID(K967,2,2)="05","전라",MID(K967,2,2)="06","전라",MID(K967,2,2)="07","경북",MID(K967,2,2)="08","경남",MID(K967,2,2)="09","강원",MID(K967,2,2)="10","제주",TRUE,"국외")</f>
        <v>경남</v>
      </c>
    </row>
    <row r="968" spans="1:12" ht="17.25" thickBot="1">
      <c r="A968" s="3" t="s">
        <v>1090</v>
      </c>
      <c r="B968" s="3" t="s">
        <v>228</v>
      </c>
      <c r="C968" s="3"/>
      <c r="D968" s="4" t="s">
        <v>254</v>
      </c>
      <c r="E968" s="4" t="s">
        <v>20</v>
      </c>
      <c r="F968" s="4"/>
      <c r="G968" s="9"/>
      <c r="H968" s="4"/>
      <c r="I968" s="9"/>
      <c r="J968" s="3">
        <v>12912</v>
      </c>
      <c r="K968" s="3">
        <v>50702</v>
      </c>
      <c r="L968" s="17" t="str" cm="1">
        <f t="array" ref="L968">_xlfn.IFS(MID(K968,2,2)="01", "서울", MID(K968,2,2)="02","경기",MID(K968,2,2)="03","충청",MID(K968,2,2)="04","충청",MID(K968,2,2)="05","전라",MID(K968,2,2)="06","전라",MID(K968,2,2)="07","경북",MID(K968,2,2)="08","경남",MID(K968,2,2)="09","강원",MID(K968,2,2)="10","제주",TRUE,"국외")</f>
        <v>경북</v>
      </c>
    </row>
    <row r="969" spans="1:12" ht="17.25" thickBot="1">
      <c r="A969" s="3" t="s">
        <v>1091</v>
      </c>
      <c r="B969" s="3" t="s">
        <v>145</v>
      </c>
      <c r="C969" s="3"/>
      <c r="D969" s="4" t="s">
        <v>254</v>
      </c>
      <c r="E969" s="4" t="s">
        <v>12</v>
      </c>
      <c r="F969" s="4">
        <v>2022</v>
      </c>
      <c r="G969" s="9"/>
      <c r="H969" s="4" t="s">
        <v>12</v>
      </c>
      <c r="I969" s="8">
        <v>0</v>
      </c>
      <c r="J969" s="3">
        <v>12902</v>
      </c>
      <c r="K969" s="3">
        <v>50106</v>
      </c>
      <c r="L969" s="17" t="str" cm="1">
        <f t="array" ref="L969">_xlfn.IFS(MID(K969,2,2)="01", "서울", MID(K969,2,2)="02","경기",MID(K969,2,2)="03","충청",MID(K969,2,2)="04","충청",MID(K969,2,2)="05","전라",MID(K969,2,2)="06","전라",MID(K969,2,2)="07","경북",MID(K969,2,2)="08","경남",MID(K969,2,2)="09","강원",MID(K969,2,2)="10","제주",TRUE,"국외")</f>
        <v>서울</v>
      </c>
    </row>
    <row r="970" spans="1:12" ht="17.25" thickBot="1">
      <c r="A970" s="3" t="s">
        <v>1092</v>
      </c>
      <c r="B970" s="3" t="s">
        <v>32</v>
      </c>
      <c r="C970" s="3"/>
      <c r="D970" s="4" t="s">
        <v>254</v>
      </c>
      <c r="E970" s="4" t="s">
        <v>906</v>
      </c>
      <c r="F970" s="4"/>
      <c r="G970" s="9"/>
      <c r="H970" s="4"/>
      <c r="I970" s="9"/>
      <c r="J970" s="3">
        <v>12857</v>
      </c>
      <c r="K970" s="3">
        <v>50111</v>
      </c>
      <c r="L970" s="17" t="str" cm="1">
        <f t="array" ref="L970">_xlfn.IFS(MID(K970,2,2)="01", "서울", MID(K970,2,2)="02","경기",MID(K970,2,2)="03","충청",MID(K970,2,2)="04","충청",MID(K970,2,2)="05","전라",MID(K970,2,2)="06","전라",MID(K970,2,2)="07","경북",MID(K970,2,2)="08","경남",MID(K970,2,2)="09","강원",MID(K970,2,2)="10","제주",TRUE,"국외")</f>
        <v>서울</v>
      </c>
    </row>
    <row r="971" spans="1:12" ht="17.25" thickBot="1">
      <c r="A971" s="3" t="s">
        <v>1093</v>
      </c>
      <c r="B971" s="3" t="s">
        <v>25</v>
      </c>
      <c r="C971" s="3"/>
      <c r="D971" s="4" t="s">
        <v>254</v>
      </c>
      <c r="E971" s="4" t="s">
        <v>26</v>
      </c>
      <c r="F971" s="4">
        <v>2018</v>
      </c>
      <c r="G971" s="9"/>
      <c r="H971" s="4" t="s">
        <v>26</v>
      </c>
      <c r="I971" s="8">
        <v>2.1</v>
      </c>
      <c r="J971" s="3">
        <v>12894</v>
      </c>
      <c r="K971" s="3">
        <v>50403</v>
      </c>
      <c r="L971" s="17" t="str" cm="1">
        <f t="array" ref="L971">_xlfn.IFS(MID(K971,2,2)="01", "서울", MID(K971,2,2)="02","경기",MID(K971,2,2)="03","충청",MID(K971,2,2)="04","충청",MID(K971,2,2)="05","전라",MID(K971,2,2)="06","전라",MID(K971,2,2)="07","경북",MID(K971,2,2)="08","경남",MID(K971,2,2)="09","강원",MID(K971,2,2)="10","제주",TRUE,"국외")</f>
        <v>충청</v>
      </c>
    </row>
    <row r="972" spans="1:12" ht="17.25" thickBot="1">
      <c r="A972" s="3" t="s">
        <v>1094</v>
      </c>
      <c r="B972" s="3" t="s">
        <v>63</v>
      </c>
      <c r="C972" s="3"/>
      <c r="D972" s="4" t="s">
        <v>254</v>
      </c>
      <c r="E972" s="4" t="s">
        <v>9</v>
      </c>
      <c r="F972" s="4"/>
      <c r="G972" s="9"/>
      <c r="H972" s="4"/>
      <c r="I972" s="9"/>
      <c r="J972" s="3">
        <v>12879</v>
      </c>
      <c r="K972" s="3">
        <v>50807</v>
      </c>
      <c r="L972" s="17" t="str" cm="1">
        <f t="array" ref="L972">_xlfn.IFS(MID(K972,2,2)="01", "서울", MID(K972,2,2)="02","경기",MID(K972,2,2)="03","충청",MID(K972,2,2)="04","충청",MID(K972,2,2)="05","전라",MID(K972,2,2)="06","전라",MID(K972,2,2)="07","경북",MID(K972,2,2)="08","경남",MID(K972,2,2)="09","강원",MID(K972,2,2)="10","제주",TRUE,"국외")</f>
        <v>경남</v>
      </c>
    </row>
    <row r="973" spans="1:12" ht="17.25" thickBot="1">
      <c r="A973" s="3" t="s">
        <v>1095</v>
      </c>
      <c r="B973" s="3" t="s">
        <v>36</v>
      </c>
      <c r="C973" s="3" t="s">
        <v>752</v>
      </c>
      <c r="D973" s="4" t="s">
        <v>254</v>
      </c>
      <c r="E973" s="4" t="s">
        <v>23</v>
      </c>
      <c r="F973" s="4"/>
      <c r="G973" s="9"/>
      <c r="H973" s="4"/>
      <c r="I973" s="9"/>
      <c r="J973" s="3">
        <v>12884</v>
      </c>
      <c r="K973" s="3">
        <v>50402</v>
      </c>
      <c r="L973" s="17" t="str" cm="1">
        <f t="array" ref="L973">_xlfn.IFS(MID(K973,2,2)="01", "서울", MID(K973,2,2)="02","경기",MID(K973,2,2)="03","충청",MID(K973,2,2)="04","충청",MID(K973,2,2)="05","전라",MID(K973,2,2)="06","전라",MID(K973,2,2)="07","경북",MID(K973,2,2)="08","경남",MID(K973,2,2)="09","강원",MID(K973,2,2)="10","제주",TRUE,"국외")</f>
        <v>충청</v>
      </c>
    </row>
    <row r="974" spans="1:12" ht="17.25" thickBot="1">
      <c r="A974" s="3" t="s">
        <v>1096</v>
      </c>
      <c r="B974" s="3" t="s">
        <v>40</v>
      </c>
      <c r="C974" s="3"/>
      <c r="D974" s="4" t="s">
        <v>254</v>
      </c>
      <c r="E974" s="4" t="s">
        <v>3</v>
      </c>
      <c r="F974" s="4"/>
      <c r="G974" s="9"/>
      <c r="H974" s="4"/>
      <c r="I974" s="9"/>
      <c r="J974" s="3">
        <v>12873</v>
      </c>
      <c r="K974" s="3">
        <v>50108</v>
      </c>
      <c r="L974" s="17" t="str" cm="1">
        <f t="array" ref="L974">_xlfn.IFS(MID(K974,2,2)="01", "서울", MID(K974,2,2)="02","경기",MID(K974,2,2)="03","충청",MID(K974,2,2)="04","충청",MID(K974,2,2)="05","전라",MID(K974,2,2)="06","전라",MID(K974,2,2)="07","경북",MID(K974,2,2)="08","경남",MID(K974,2,2)="09","강원",MID(K974,2,2)="10","제주",TRUE,"국외")</f>
        <v>서울</v>
      </c>
    </row>
    <row r="975" spans="1:12" ht="17.25" thickBot="1">
      <c r="A975" s="3" t="s">
        <v>1097</v>
      </c>
      <c r="B975" s="3" t="s">
        <v>70</v>
      </c>
      <c r="C975" s="3" t="s">
        <v>99</v>
      </c>
      <c r="D975" s="4" t="s">
        <v>254</v>
      </c>
      <c r="E975" s="4" t="s">
        <v>6</v>
      </c>
      <c r="F975" s="4"/>
      <c r="G975" s="9"/>
      <c r="H975" s="4"/>
      <c r="I975" s="9"/>
      <c r="J975" s="3">
        <v>12868</v>
      </c>
      <c r="K975" s="3">
        <v>50103</v>
      </c>
      <c r="L975" s="17" t="str" cm="1">
        <f t="array" ref="L975">_xlfn.IFS(MID(K975,2,2)="01", "서울", MID(K975,2,2)="02","경기",MID(K975,2,2)="03","충청",MID(K975,2,2)="04","충청",MID(K975,2,2)="05","전라",MID(K975,2,2)="06","전라",MID(K975,2,2)="07","경북",MID(K975,2,2)="08","경남",MID(K975,2,2)="09","강원",MID(K975,2,2)="10","제주",TRUE,"국외")</f>
        <v>서울</v>
      </c>
    </row>
    <row r="976" spans="1:12" ht="17.25" thickBot="1">
      <c r="A976" s="3" t="s">
        <v>1098</v>
      </c>
      <c r="B976" s="3" t="s">
        <v>25</v>
      </c>
      <c r="C976" s="3"/>
      <c r="D976" s="4" t="s">
        <v>254</v>
      </c>
      <c r="E976" s="4" t="s">
        <v>28</v>
      </c>
      <c r="F976" s="4">
        <v>2017</v>
      </c>
      <c r="G976" s="8">
        <v>-0.3</v>
      </c>
      <c r="H976" s="4" t="s">
        <v>28</v>
      </c>
      <c r="I976" s="8">
        <v>-0.2</v>
      </c>
      <c r="J976" s="3">
        <v>13006</v>
      </c>
      <c r="K976" s="3">
        <v>50403</v>
      </c>
      <c r="L976" s="17" t="str" cm="1">
        <f t="array" ref="L976">_xlfn.IFS(MID(K976,2,2)="01", "서울", MID(K976,2,2)="02","경기",MID(K976,2,2)="03","충청",MID(K976,2,2)="04","충청",MID(K976,2,2)="05","전라",MID(K976,2,2)="06","전라",MID(K976,2,2)="07","경북",MID(K976,2,2)="08","경남",MID(K976,2,2)="09","강원",MID(K976,2,2)="10","제주",TRUE,"국외")</f>
        <v>충청</v>
      </c>
    </row>
    <row r="977" spans="1:12" ht="17.25" thickBot="1">
      <c r="A977" s="3" t="s">
        <v>1099</v>
      </c>
      <c r="B977" s="3" t="s">
        <v>275</v>
      </c>
      <c r="C977" s="3"/>
      <c r="D977" s="4" t="s">
        <v>254</v>
      </c>
      <c r="E977" s="4" t="s">
        <v>20</v>
      </c>
      <c r="F977" s="4">
        <v>2019</v>
      </c>
      <c r="G977" s="9"/>
      <c r="H977" s="4" t="s">
        <v>20</v>
      </c>
      <c r="I977" s="8">
        <v>0</v>
      </c>
      <c r="J977" s="3">
        <v>12860</v>
      </c>
      <c r="K977" s="3">
        <v>51001</v>
      </c>
      <c r="L977" s="17" t="str" cm="1">
        <f t="array" ref="L977">_xlfn.IFS(MID(K977,2,2)="01", "서울", MID(K977,2,2)="02","경기",MID(K977,2,2)="03","충청",MID(K977,2,2)="04","충청",MID(K977,2,2)="05","전라",MID(K977,2,2)="06","전라",MID(K977,2,2)="07","경북",MID(K977,2,2)="08","경남",MID(K977,2,2)="09","강원",MID(K977,2,2)="10","제주",TRUE,"국외")</f>
        <v>제주</v>
      </c>
    </row>
    <row r="978" spans="1:12" ht="17.25" thickBot="1">
      <c r="A978" s="3" t="s">
        <v>1100</v>
      </c>
      <c r="B978" s="3" t="s">
        <v>153</v>
      </c>
      <c r="C978" s="3"/>
      <c r="D978" s="4" t="s">
        <v>254</v>
      </c>
      <c r="E978" s="4" t="s">
        <v>12</v>
      </c>
      <c r="F978" s="4"/>
      <c r="G978" s="9"/>
      <c r="H978" s="4"/>
      <c r="I978" s="9"/>
      <c r="J978" s="3">
        <v>12904</v>
      </c>
      <c r="K978" s="3">
        <v>50210</v>
      </c>
      <c r="L978" s="17" t="str" cm="1">
        <f t="array" ref="L978">_xlfn.IFS(MID(K978,2,2)="01", "서울", MID(K978,2,2)="02","경기",MID(K978,2,2)="03","충청",MID(K978,2,2)="04","충청",MID(K978,2,2)="05","전라",MID(K978,2,2)="06","전라",MID(K978,2,2)="07","경북",MID(K978,2,2)="08","경남",MID(K978,2,2)="09","강원",MID(K978,2,2)="10","제주",TRUE,"국외")</f>
        <v>경기</v>
      </c>
    </row>
    <row r="979" spans="1:12" ht="17.25" thickBot="1">
      <c r="A979" s="3" t="s">
        <v>1101</v>
      </c>
      <c r="B979" s="3" t="s">
        <v>66</v>
      </c>
      <c r="C979" s="3"/>
      <c r="D979" s="4" t="s">
        <v>254</v>
      </c>
      <c r="E979" s="4" t="s">
        <v>607</v>
      </c>
      <c r="F979" s="4">
        <v>2018</v>
      </c>
      <c r="G979" s="9"/>
      <c r="H979" s="4" t="s">
        <v>607</v>
      </c>
      <c r="I979" s="8">
        <v>0.1</v>
      </c>
      <c r="J979" s="3">
        <v>12919</v>
      </c>
      <c r="K979" s="3">
        <v>50110</v>
      </c>
      <c r="L979" s="17" t="str" cm="1">
        <f t="array" ref="L979">_xlfn.IFS(MID(K979,2,2)="01", "서울", MID(K979,2,2)="02","경기",MID(K979,2,2)="03","충청",MID(K979,2,2)="04","충청",MID(K979,2,2)="05","전라",MID(K979,2,2)="06","전라",MID(K979,2,2)="07","경북",MID(K979,2,2)="08","경남",MID(K979,2,2)="09","강원",MID(K979,2,2)="10","제주",TRUE,"국외")</f>
        <v>서울</v>
      </c>
    </row>
    <row r="980" spans="1:12" ht="17.25" thickBot="1">
      <c r="A980" s="3" t="s">
        <v>1102</v>
      </c>
      <c r="B980" s="3" t="s">
        <v>70</v>
      </c>
      <c r="C980" s="3"/>
      <c r="D980" s="4" t="s">
        <v>254</v>
      </c>
      <c r="E980" s="4" t="s">
        <v>906</v>
      </c>
      <c r="F980" s="4">
        <v>2018</v>
      </c>
      <c r="G980" s="9"/>
      <c r="H980" s="4" t="s">
        <v>18</v>
      </c>
      <c r="I980" s="8">
        <v>4.8</v>
      </c>
      <c r="J980" s="3">
        <v>12858</v>
      </c>
      <c r="K980" s="3">
        <v>50103</v>
      </c>
      <c r="L980" s="17" t="str" cm="1">
        <f t="array" ref="L980">_xlfn.IFS(MID(K980,2,2)="01", "서울", MID(K980,2,2)="02","경기",MID(K980,2,2)="03","충청",MID(K980,2,2)="04","충청",MID(K980,2,2)="05","전라",MID(K980,2,2)="06","전라",MID(K980,2,2)="07","경북",MID(K980,2,2)="08","경남",MID(K980,2,2)="09","강원",MID(K980,2,2)="10","제주",TRUE,"국외")</f>
        <v>서울</v>
      </c>
    </row>
    <row r="981" spans="1:12" ht="17.25" thickBot="1">
      <c r="A981" s="3" t="s">
        <v>1103</v>
      </c>
      <c r="B981" s="3" t="s">
        <v>241</v>
      </c>
      <c r="C981" s="3"/>
      <c r="D981" s="4" t="s">
        <v>254</v>
      </c>
      <c r="E981" s="4" t="s">
        <v>26</v>
      </c>
      <c r="F981" s="4">
        <v>2017</v>
      </c>
      <c r="G981" s="8">
        <v>0</v>
      </c>
      <c r="H981" s="4" t="s">
        <v>26</v>
      </c>
      <c r="I981" s="8">
        <v>-0.2</v>
      </c>
      <c r="J981" s="3">
        <v>12892</v>
      </c>
      <c r="K981" s="3">
        <v>50202</v>
      </c>
      <c r="L981" s="17" t="str" cm="1">
        <f t="array" ref="L981">_xlfn.IFS(MID(K981,2,2)="01", "서울", MID(K981,2,2)="02","경기",MID(K981,2,2)="03","충청",MID(K981,2,2)="04","충청",MID(K981,2,2)="05","전라",MID(K981,2,2)="06","전라",MID(K981,2,2)="07","경북",MID(K981,2,2)="08","경남",MID(K981,2,2)="09","강원",MID(K981,2,2)="10","제주",TRUE,"국외")</f>
        <v>경기</v>
      </c>
    </row>
    <row r="982" spans="1:12" ht="17.25" thickBot="1">
      <c r="A982" s="3" t="s">
        <v>1104</v>
      </c>
      <c r="B982" s="3" t="s">
        <v>101</v>
      </c>
      <c r="C982" s="3" t="s">
        <v>45</v>
      </c>
      <c r="D982" s="4" t="s">
        <v>254</v>
      </c>
      <c r="E982" s="4" t="s">
        <v>9</v>
      </c>
      <c r="F982" s="4">
        <v>2017</v>
      </c>
      <c r="G982" s="9"/>
      <c r="H982" s="4"/>
      <c r="I982" s="9"/>
      <c r="J982" s="3">
        <v>12929</v>
      </c>
      <c r="K982" s="3">
        <v>50207</v>
      </c>
      <c r="L982" s="17" t="str" cm="1">
        <f t="array" ref="L982">_xlfn.IFS(MID(K982,2,2)="01", "서울", MID(K982,2,2)="02","경기",MID(K982,2,2)="03","충청",MID(K982,2,2)="04","충청",MID(K982,2,2)="05","전라",MID(K982,2,2)="06","전라",MID(K982,2,2)="07","경북",MID(K982,2,2)="08","경남",MID(K982,2,2)="09","강원",MID(K982,2,2)="10","제주",TRUE,"국외")</f>
        <v>경기</v>
      </c>
    </row>
    <row r="983" spans="1:12" ht="17.25" thickBot="1">
      <c r="A983" s="3" t="s">
        <v>1105</v>
      </c>
      <c r="B983" s="3" t="s">
        <v>112</v>
      </c>
      <c r="C983" s="3" t="s">
        <v>1106</v>
      </c>
      <c r="D983" s="4" t="s">
        <v>254</v>
      </c>
      <c r="E983" s="4" t="s">
        <v>23</v>
      </c>
      <c r="F983" s="4">
        <v>2021</v>
      </c>
      <c r="G983" s="9"/>
      <c r="H983" s="4" t="s">
        <v>23</v>
      </c>
      <c r="I983" s="8">
        <v>0.9</v>
      </c>
      <c r="J983" s="3">
        <v>12885</v>
      </c>
      <c r="K983" s="3">
        <v>50113</v>
      </c>
      <c r="L983" s="17" t="str" cm="1">
        <f t="array" ref="L983">_xlfn.IFS(MID(K983,2,2)="01", "서울", MID(K983,2,2)="02","경기",MID(K983,2,2)="03","충청",MID(K983,2,2)="04","충청",MID(K983,2,2)="05","전라",MID(K983,2,2)="06","전라",MID(K983,2,2)="07","경북",MID(K983,2,2)="08","경남",MID(K983,2,2)="09","강원",MID(K983,2,2)="10","제주",TRUE,"국외")</f>
        <v>서울</v>
      </c>
    </row>
    <row r="984" spans="1:12" ht="17.25" thickBot="1">
      <c r="A984" s="3" t="s">
        <v>1107</v>
      </c>
      <c r="B984" s="3" t="s">
        <v>469</v>
      </c>
      <c r="C984" s="3"/>
      <c r="D984" s="4" t="s">
        <v>254</v>
      </c>
      <c r="E984" s="4" t="s">
        <v>3</v>
      </c>
      <c r="F984" s="4"/>
      <c r="G984" s="9"/>
      <c r="H984" s="4"/>
      <c r="I984" s="9"/>
      <c r="J984" s="3">
        <v>12925</v>
      </c>
      <c r="K984" s="3">
        <v>50205</v>
      </c>
      <c r="L984" s="17" t="str" cm="1">
        <f t="array" ref="L984">_xlfn.IFS(MID(K984,2,2)="01", "서울", MID(K984,2,2)="02","경기",MID(K984,2,2)="03","충청",MID(K984,2,2)="04","충청",MID(K984,2,2)="05","전라",MID(K984,2,2)="06","전라",MID(K984,2,2)="07","경북",MID(K984,2,2)="08","경남",MID(K984,2,2)="09","강원",MID(K984,2,2)="10","제주",TRUE,"국외")</f>
        <v>경기</v>
      </c>
    </row>
    <row r="985" spans="1:12" ht="17.25" thickBot="1">
      <c r="A985" s="3" t="s">
        <v>1108</v>
      </c>
      <c r="B985" s="3" t="s">
        <v>70</v>
      </c>
      <c r="C985" s="3"/>
      <c r="D985" s="4" t="s">
        <v>254</v>
      </c>
      <c r="E985" s="4" t="s">
        <v>6</v>
      </c>
      <c r="F985" s="4">
        <v>2021</v>
      </c>
      <c r="G985" s="9"/>
      <c r="H985" s="4" t="s">
        <v>6</v>
      </c>
      <c r="I985" s="8">
        <v>0.5</v>
      </c>
      <c r="J985" s="3">
        <v>12869</v>
      </c>
      <c r="K985" s="3">
        <v>50103</v>
      </c>
      <c r="L985" s="17" t="str" cm="1">
        <f t="array" ref="L985">_xlfn.IFS(MID(K985,2,2)="01", "서울", MID(K985,2,2)="02","경기",MID(K985,2,2)="03","충청",MID(K985,2,2)="04","충청",MID(K985,2,2)="05","전라",MID(K985,2,2)="06","전라",MID(K985,2,2)="07","경북",MID(K985,2,2)="08","경남",MID(K985,2,2)="09","강원",MID(K985,2,2)="10","제주",TRUE,"국외")</f>
        <v>서울</v>
      </c>
    </row>
    <row r="986" spans="1:12" ht="17.25" thickBot="1">
      <c r="A986" s="3" t="s">
        <v>1109</v>
      </c>
      <c r="B986" s="3" t="s">
        <v>275</v>
      </c>
      <c r="C986" s="3" t="s">
        <v>329</v>
      </c>
      <c r="D986" s="4" t="s">
        <v>254</v>
      </c>
      <c r="E986" s="4" t="s">
        <v>28</v>
      </c>
      <c r="F986" s="4">
        <v>2017</v>
      </c>
      <c r="G986" s="8">
        <v>-0.1</v>
      </c>
      <c r="H986" s="4" t="s">
        <v>28</v>
      </c>
      <c r="I986" s="8">
        <v>-0.1</v>
      </c>
      <c r="J986" s="3">
        <v>12940</v>
      </c>
      <c r="K986" s="3">
        <v>51001</v>
      </c>
      <c r="L986" s="17" t="str" cm="1">
        <f t="array" ref="L986">_xlfn.IFS(MID(K986,2,2)="01", "서울", MID(K986,2,2)="02","경기",MID(K986,2,2)="03","충청",MID(K986,2,2)="04","충청",MID(K986,2,2)="05","전라",MID(K986,2,2)="06","전라",MID(K986,2,2)="07","경북",MID(K986,2,2)="08","경남",MID(K986,2,2)="09","강원",MID(K986,2,2)="10","제주",TRUE,"국외")</f>
        <v>제주</v>
      </c>
    </row>
    <row r="987" spans="1:12" ht="17.25" thickBot="1">
      <c r="A987" s="3" t="s">
        <v>1110</v>
      </c>
      <c r="B987" s="3" t="s">
        <v>36</v>
      </c>
      <c r="C987" s="3"/>
      <c r="D987" s="4" t="s">
        <v>254</v>
      </c>
      <c r="E987" s="4" t="s">
        <v>20</v>
      </c>
      <c r="F987" s="4"/>
      <c r="G987" s="9"/>
      <c r="H987" s="4"/>
      <c r="I987" s="9"/>
      <c r="J987" s="3">
        <v>12861</v>
      </c>
      <c r="K987" s="3">
        <v>50402</v>
      </c>
      <c r="L987" s="17" t="str" cm="1">
        <f t="array" ref="L987">_xlfn.IFS(MID(K987,2,2)="01", "서울", MID(K987,2,2)="02","경기",MID(K987,2,2)="03","충청",MID(K987,2,2)="04","충청",MID(K987,2,2)="05","전라",MID(K987,2,2)="06","전라",MID(K987,2,2)="07","경북",MID(K987,2,2)="08","경남",MID(K987,2,2)="09","강원",MID(K987,2,2)="10","제주",TRUE,"국외")</f>
        <v>충청</v>
      </c>
    </row>
    <row r="988" spans="1:12" ht="17.25" thickBot="1">
      <c r="A988" s="3" t="s">
        <v>369</v>
      </c>
      <c r="B988" s="3" t="s">
        <v>93</v>
      </c>
      <c r="C988" s="3"/>
      <c r="D988" s="4" t="s">
        <v>254</v>
      </c>
      <c r="E988" s="4" t="s">
        <v>12</v>
      </c>
      <c r="F988" s="4">
        <v>2021</v>
      </c>
      <c r="G988" s="9"/>
      <c r="H988" s="4" t="s">
        <v>12</v>
      </c>
      <c r="I988" s="8">
        <v>-0.4</v>
      </c>
      <c r="J988" s="3">
        <v>12903</v>
      </c>
      <c r="K988" s="3">
        <v>50805</v>
      </c>
      <c r="L988" s="17" t="str" cm="1">
        <f t="array" ref="L988">_xlfn.IFS(MID(K988,2,2)="01", "서울", MID(K988,2,2)="02","경기",MID(K988,2,2)="03","충청",MID(K988,2,2)="04","충청",MID(K988,2,2)="05","전라",MID(K988,2,2)="06","전라",MID(K988,2,2)="07","경북",MID(K988,2,2)="08","경남",MID(K988,2,2)="09","강원",MID(K988,2,2)="10","제주",TRUE,"국외")</f>
        <v>경남</v>
      </c>
    </row>
    <row r="989" spans="1:12" ht="17.25" thickBot="1">
      <c r="A989" s="3" t="s">
        <v>1111</v>
      </c>
      <c r="B989" s="3" t="s">
        <v>32</v>
      </c>
      <c r="C989" s="3" t="s">
        <v>83</v>
      </c>
      <c r="D989" s="4" t="s">
        <v>254</v>
      </c>
      <c r="E989" s="4" t="s">
        <v>607</v>
      </c>
      <c r="F989" s="4"/>
      <c r="G989" s="9"/>
      <c r="H989" s="4"/>
      <c r="I989" s="9"/>
      <c r="J989" s="3">
        <v>13193</v>
      </c>
      <c r="K989" s="3">
        <v>50111</v>
      </c>
      <c r="L989" s="17" t="str" cm="1">
        <f t="array" ref="L989">_xlfn.IFS(MID(K989,2,2)="01", "서울", MID(K989,2,2)="02","경기",MID(K989,2,2)="03","충청",MID(K989,2,2)="04","충청",MID(K989,2,2)="05","전라",MID(K989,2,2)="06","전라",MID(K989,2,2)="07","경북",MID(K989,2,2)="08","경남",MID(K989,2,2)="09","강원",MID(K989,2,2)="10","제주",TRUE,"국외")</f>
        <v>서울</v>
      </c>
    </row>
    <row r="990" spans="1:12" ht="17.25" thickBot="1">
      <c r="A990" s="3" t="s">
        <v>1112</v>
      </c>
      <c r="B990" s="3" t="s">
        <v>145</v>
      </c>
      <c r="C990" s="3" t="s">
        <v>156</v>
      </c>
      <c r="D990" s="4" t="s">
        <v>254</v>
      </c>
      <c r="E990" s="4" t="s">
        <v>906</v>
      </c>
      <c r="F990" s="4">
        <v>2017</v>
      </c>
      <c r="G990" s="9"/>
      <c r="H990" s="4" t="s">
        <v>18</v>
      </c>
      <c r="I990" s="8">
        <v>-0.1</v>
      </c>
      <c r="J990" s="3">
        <v>12859</v>
      </c>
      <c r="K990" s="3">
        <v>50106</v>
      </c>
      <c r="L990" s="17" t="str" cm="1">
        <f t="array" ref="L990">_xlfn.IFS(MID(K990,2,2)="01", "서울", MID(K990,2,2)="02","경기",MID(K990,2,2)="03","충청",MID(K990,2,2)="04","충청",MID(K990,2,2)="05","전라",MID(K990,2,2)="06","전라",MID(K990,2,2)="07","경북",MID(K990,2,2)="08","경남",MID(K990,2,2)="09","강원",MID(K990,2,2)="10","제주",TRUE,"국외")</f>
        <v>서울</v>
      </c>
    </row>
    <row r="991" spans="1:12" ht="17.25" thickBot="1">
      <c r="A991" s="3" t="s">
        <v>1113</v>
      </c>
      <c r="B991" s="3" t="s">
        <v>179</v>
      </c>
      <c r="C991" s="3"/>
      <c r="D991" s="4" t="s">
        <v>254</v>
      </c>
      <c r="E991" s="4" t="s">
        <v>26</v>
      </c>
      <c r="F991" s="4"/>
      <c r="G991" s="9"/>
      <c r="H991" s="4"/>
      <c r="I991" s="9"/>
      <c r="J991" s="3">
        <v>12893</v>
      </c>
      <c r="K991" s="3">
        <v>50211</v>
      </c>
      <c r="L991" s="17" t="str" cm="1">
        <f t="array" ref="L991">_xlfn.IFS(MID(K991,2,2)="01", "서울", MID(K991,2,2)="02","경기",MID(K991,2,2)="03","충청",MID(K991,2,2)="04","충청",MID(K991,2,2)="05","전라",MID(K991,2,2)="06","전라",MID(K991,2,2)="07","경북",MID(K991,2,2)="08","경남",MID(K991,2,2)="09","강원",MID(K991,2,2)="10","제주",TRUE,"국외")</f>
        <v>경기</v>
      </c>
    </row>
    <row r="992" spans="1:12" ht="17.25" thickBot="1">
      <c r="A992" s="3" t="s">
        <v>1114</v>
      </c>
      <c r="B992" s="3" t="s">
        <v>22</v>
      </c>
      <c r="C992" s="3"/>
      <c r="D992" s="4" t="s">
        <v>254</v>
      </c>
      <c r="E992" s="4" t="s">
        <v>9</v>
      </c>
      <c r="F992" s="4"/>
      <c r="G992" s="9"/>
      <c r="H992" s="4"/>
      <c r="I992" s="9"/>
      <c r="J992" s="3">
        <v>12880</v>
      </c>
      <c r="K992" s="3">
        <v>50209</v>
      </c>
      <c r="L992" s="17" t="str" cm="1">
        <f t="array" ref="L992">_xlfn.IFS(MID(K992,2,2)="01", "서울", MID(K992,2,2)="02","경기",MID(K992,2,2)="03","충청",MID(K992,2,2)="04","충청",MID(K992,2,2)="05","전라",MID(K992,2,2)="06","전라",MID(K992,2,2)="07","경북",MID(K992,2,2)="08","경남",MID(K992,2,2)="09","강원",MID(K992,2,2)="10","제주",TRUE,"국외")</f>
        <v>경기</v>
      </c>
    </row>
    <row r="993" spans="1:12" ht="17.25" thickBot="1">
      <c r="A993" s="3" t="s">
        <v>1115</v>
      </c>
      <c r="B993" s="3" t="s">
        <v>332</v>
      </c>
      <c r="C993" s="3" t="s">
        <v>739</v>
      </c>
      <c r="D993" s="4" t="s">
        <v>254</v>
      </c>
      <c r="E993" s="4" t="s">
        <v>23</v>
      </c>
      <c r="F993" s="4"/>
      <c r="G993" s="9"/>
      <c r="H993" s="4"/>
      <c r="I993" s="9"/>
      <c r="J993" s="3">
        <v>12886</v>
      </c>
      <c r="K993" s="3">
        <v>50705</v>
      </c>
      <c r="L993" s="17" t="str" cm="1">
        <f t="array" ref="L993">_xlfn.IFS(MID(K993,2,2)="01", "서울", MID(K993,2,2)="02","경기",MID(K993,2,2)="03","충청",MID(K993,2,2)="04","충청",MID(K993,2,2)="05","전라",MID(K993,2,2)="06","전라",MID(K993,2,2)="07","경북",MID(K993,2,2)="08","경남",MID(K993,2,2)="09","강원",MID(K993,2,2)="10","제주",TRUE,"국외")</f>
        <v>경북</v>
      </c>
    </row>
    <row r="994" spans="1:12" ht="17.25" thickBot="1">
      <c r="A994" s="3" t="s">
        <v>1116</v>
      </c>
      <c r="B994" s="3" t="s">
        <v>96</v>
      </c>
      <c r="C994" s="3"/>
      <c r="D994" s="4" t="s">
        <v>254</v>
      </c>
      <c r="E994" s="4" t="s">
        <v>3</v>
      </c>
      <c r="F994" s="4"/>
      <c r="G994" s="9"/>
      <c r="H994" s="4"/>
      <c r="I994" s="9"/>
      <c r="J994" s="3">
        <v>12874</v>
      </c>
      <c r="K994" s="3">
        <v>50601</v>
      </c>
      <c r="L994" s="17" t="str" cm="1">
        <f t="array" ref="L994">_xlfn.IFS(MID(K994,2,2)="01", "서울", MID(K994,2,2)="02","경기",MID(K994,2,2)="03","충청",MID(K994,2,2)="04","충청",MID(K994,2,2)="05","전라",MID(K994,2,2)="06","전라",MID(K994,2,2)="07","경북",MID(K994,2,2)="08","경남",MID(K994,2,2)="09","강원",MID(K994,2,2)="10","제주",TRUE,"국외")</f>
        <v>전라</v>
      </c>
    </row>
    <row r="995" spans="1:12" ht="17.25" thickBot="1">
      <c r="A995" s="3" t="s">
        <v>1117</v>
      </c>
      <c r="B995" s="3" t="s">
        <v>101</v>
      </c>
      <c r="C995" s="3"/>
      <c r="D995" s="4" t="s">
        <v>254</v>
      </c>
      <c r="E995" s="4" t="s">
        <v>6</v>
      </c>
      <c r="F995" s="4"/>
      <c r="G995" s="9"/>
      <c r="H995" s="4"/>
      <c r="I995" s="9"/>
      <c r="J995" s="3">
        <v>12870</v>
      </c>
      <c r="K995" s="3">
        <v>50207</v>
      </c>
      <c r="L995" s="17" t="str" cm="1">
        <f t="array" ref="L995">_xlfn.IFS(MID(K995,2,2)="01", "서울", MID(K995,2,2)="02","경기",MID(K995,2,2)="03","충청",MID(K995,2,2)="04","충청",MID(K995,2,2)="05","전라",MID(K995,2,2)="06","전라",MID(K995,2,2)="07","경북",MID(K995,2,2)="08","경남",MID(K995,2,2)="09","강원",MID(K995,2,2)="10","제주",TRUE,"국외")</f>
        <v>경기</v>
      </c>
    </row>
    <row r="996" spans="1:12" ht="17.25" thickBot="1">
      <c r="A996" s="3" t="s">
        <v>1118</v>
      </c>
      <c r="B996" s="3" t="s">
        <v>1</v>
      </c>
      <c r="C996" s="3" t="s">
        <v>174</v>
      </c>
      <c r="D996" s="4" t="s">
        <v>254</v>
      </c>
      <c r="E996" s="4"/>
      <c r="F996" s="4">
        <v>2018</v>
      </c>
      <c r="G996" s="9"/>
      <c r="H996" s="4"/>
      <c r="I996" s="9"/>
      <c r="J996" s="3">
        <v>13229</v>
      </c>
      <c r="K996" s="3">
        <v>50107</v>
      </c>
      <c r="L996" s="17" t="str" cm="1">
        <f t="array" ref="L996">_xlfn.IFS(MID(K996,2,2)="01", "서울", MID(K996,2,2)="02","경기",MID(K996,2,2)="03","충청",MID(K996,2,2)="04","충청",MID(K996,2,2)="05","전라",MID(K996,2,2)="06","전라",MID(K996,2,2)="07","경북",MID(K996,2,2)="08","경남",MID(K996,2,2)="09","강원",MID(K996,2,2)="10","제주",TRUE,"국외")</f>
        <v>서울</v>
      </c>
    </row>
    <row r="997" spans="1:12" ht="17.25" thickBot="1">
      <c r="A997" s="3" t="s">
        <v>1119</v>
      </c>
      <c r="B997" s="3" t="s">
        <v>50</v>
      </c>
      <c r="C997" s="3"/>
      <c r="D997" s="4" t="s">
        <v>254</v>
      </c>
      <c r="E997" s="4" t="s">
        <v>20</v>
      </c>
      <c r="F997" s="4"/>
      <c r="G997" s="9"/>
      <c r="H997" s="4"/>
      <c r="I997" s="9"/>
      <c r="J997" s="3">
        <v>12862</v>
      </c>
      <c r="K997" s="3">
        <v>50301</v>
      </c>
      <c r="L997" s="17" t="str" cm="1">
        <f t="array" ref="L997">_xlfn.IFS(MID(K997,2,2)="01", "서울", MID(K997,2,2)="02","경기",MID(K997,2,2)="03","충청",MID(K997,2,2)="04","충청",MID(K997,2,2)="05","전라",MID(K997,2,2)="06","전라",MID(K997,2,2)="07","경북",MID(K997,2,2)="08","경남",MID(K997,2,2)="09","강원",MID(K997,2,2)="10","제주",TRUE,"국외")</f>
        <v>충청</v>
      </c>
    </row>
    <row r="998" spans="1:12" ht="17.25" thickBot="1">
      <c r="A998" s="3" t="s">
        <v>1120</v>
      </c>
      <c r="B998" s="3" t="s">
        <v>335</v>
      </c>
      <c r="C998" s="3" t="s">
        <v>119</v>
      </c>
      <c r="D998" s="4" t="s">
        <v>254</v>
      </c>
      <c r="E998" s="4" t="s">
        <v>12</v>
      </c>
      <c r="F998" s="4"/>
      <c r="G998" s="9"/>
      <c r="H998" s="4"/>
      <c r="I998" s="9"/>
      <c r="J998" s="3">
        <v>12899</v>
      </c>
      <c r="K998" s="3">
        <v>50804</v>
      </c>
      <c r="L998" s="17" t="str" cm="1">
        <f t="array" ref="L998">_xlfn.IFS(MID(K998,2,2)="01", "서울", MID(K998,2,2)="02","경기",MID(K998,2,2)="03","충청",MID(K998,2,2)="04","충청",MID(K998,2,2)="05","전라",MID(K998,2,2)="06","전라",MID(K998,2,2)="07","경북",MID(K998,2,2)="08","경남",MID(K998,2,2)="09","강원",MID(K998,2,2)="10","제주",TRUE,"국외")</f>
        <v>경남</v>
      </c>
    </row>
    <row r="999" spans="1:12" ht="17.25" thickBot="1">
      <c r="A999" s="3" t="s">
        <v>1121</v>
      </c>
      <c r="B999" s="3" t="s">
        <v>121</v>
      </c>
      <c r="C999" s="3"/>
      <c r="D999" s="4" t="s">
        <v>254</v>
      </c>
      <c r="E999" s="4" t="s">
        <v>26</v>
      </c>
      <c r="F999" s="4"/>
      <c r="G999" s="9"/>
      <c r="H999" s="4"/>
      <c r="I999" s="9"/>
      <c r="J999" s="3">
        <v>12895</v>
      </c>
      <c r="K999" s="3">
        <v>50604</v>
      </c>
      <c r="L999" s="17" t="str" cm="1">
        <f t="array" ref="L999">_xlfn.IFS(MID(K999,2,2)="01", "서울", MID(K999,2,2)="02","경기",MID(K999,2,2)="03","충청",MID(K999,2,2)="04","충청",MID(K999,2,2)="05","전라",MID(K999,2,2)="06","전라",MID(K999,2,2)="07","경북",MID(K999,2,2)="08","경남",MID(K999,2,2)="09","강원",MID(K999,2,2)="10","제주",TRUE,"국외")</f>
        <v>전라</v>
      </c>
    </row>
    <row r="1000" spans="1:12" ht="17.25" thickBot="1">
      <c r="A1000" s="3" t="s">
        <v>1122</v>
      </c>
      <c r="B1000" s="3" t="s">
        <v>11</v>
      </c>
      <c r="C1000" s="3" t="s">
        <v>329</v>
      </c>
      <c r="D1000" s="4" t="s">
        <v>254</v>
      </c>
      <c r="E1000" s="4" t="s">
        <v>9</v>
      </c>
      <c r="F1000" s="4"/>
      <c r="G1000" s="9"/>
      <c r="H1000" s="4"/>
      <c r="I1000" s="9"/>
      <c r="J1000" s="3">
        <v>12881</v>
      </c>
      <c r="K1000" s="3">
        <v>50802</v>
      </c>
      <c r="L1000" s="17" t="str" cm="1">
        <f t="array" ref="L1000">_xlfn.IFS(MID(K1000,2,2)="01", "서울", MID(K1000,2,2)="02","경기",MID(K1000,2,2)="03","충청",MID(K1000,2,2)="04","충청",MID(K1000,2,2)="05","전라",MID(K1000,2,2)="06","전라",MID(K1000,2,2)="07","경북",MID(K1000,2,2)="08","경남",MID(K1000,2,2)="09","강원",MID(K1000,2,2)="10","제주",TRUE,"국외")</f>
        <v>경남</v>
      </c>
    </row>
    <row r="1001" spans="1:12" ht="17.25" thickBot="1">
      <c r="A1001" s="3" t="s">
        <v>1123</v>
      </c>
      <c r="B1001" s="3" t="s">
        <v>34</v>
      </c>
      <c r="C1001" s="3"/>
      <c r="D1001" s="4" t="s">
        <v>254</v>
      </c>
      <c r="E1001" s="4" t="s">
        <v>23</v>
      </c>
      <c r="F1001" s="4"/>
      <c r="G1001" s="9"/>
      <c r="H1001" s="4"/>
      <c r="I1001" s="9"/>
      <c r="J1001" s="3">
        <v>12887</v>
      </c>
      <c r="K1001" s="3">
        <v>50701</v>
      </c>
      <c r="L1001" s="17" t="str" cm="1">
        <f t="array" ref="L1001">_xlfn.IFS(MID(K1001,2,2)="01", "서울", MID(K1001,2,2)="02","경기",MID(K1001,2,2)="03","충청",MID(K1001,2,2)="04","충청",MID(K1001,2,2)="05","전라",MID(K1001,2,2)="06","전라",MID(K1001,2,2)="07","경북",MID(K1001,2,2)="08","경남",MID(K1001,2,2)="09","강원",MID(K1001,2,2)="10","제주",TRUE,"국외")</f>
        <v>경북</v>
      </c>
    </row>
    <row r="1002" spans="1:12" ht="17.25" thickBot="1">
      <c r="A1002" s="3" t="s">
        <v>1124</v>
      </c>
      <c r="B1002" s="3" t="s">
        <v>44</v>
      </c>
      <c r="C1002" s="3"/>
      <c r="D1002" s="4" t="s">
        <v>254</v>
      </c>
      <c r="E1002" s="4" t="s">
        <v>3</v>
      </c>
      <c r="F1002" s="4">
        <v>2020</v>
      </c>
      <c r="G1002" s="9"/>
      <c r="H1002" s="4" t="s">
        <v>3</v>
      </c>
      <c r="I1002" s="8">
        <v>-0.3</v>
      </c>
      <c r="J1002" s="3">
        <v>12875</v>
      </c>
      <c r="K1002" s="3">
        <v>50809</v>
      </c>
      <c r="L1002" s="17" t="str" cm="1">
        <f t="array" ref="L1002">_xlfn.IFS(MID(K1002,2,2)="01", "서울", MID(K1002,2,2)="02","경기",MID(K1002,2,2)="03","충청",MID(K1002,2,2)="04","충청",MID(K1002,2,2)="05","전라",MID(K1002,2,2)="06","전라",MID(K1002,2,2)="07","경북",MID(K1002,2,2)="08","경남",MID(K1002,2,2)="09","강원",MID(K1002,2,2)="10","제주",TRUE,"국외")</f>
        <v>경남</v>
      </c>
    </row>
    <row r="1003" spans="1:12" ht="17.25" thickBot="1">
      <c r="A1003" s="3" t="s">
        <v>1125</v>
      </c>
      <c r="B1003" s="3" t="s">
        <v>121</v>
      </c>
      <c r="C1003" s="3"/>
      <c r="D1003" s="4" t="s">
        <v>254</v>
      </c>
      <c r="E1003" s="4" t="s">
        <v>6</v>
      </c>
      <c r="F1003" s="4"/>
      <c r="G1003" s="9"/>
      <c r="H1003" s="4"/>
      <c r="I1003" s="9"/>
      <c r="J1003" s="3">
        <v>12915</v>
      </c>
      <c r="K1003" s="3">
        <v>50604</v>
      </c>
      <c r="L1003" s="17" t="str" cm="1">
        <f t="array" ref="L1003">_xlfn.IFS(MID(K1003,2,2)="01", "서울", MID(K1003,2,2)="02","경기",MID(K1003,2,2)="03","충청",MID(K1003,2,2)="04","충청",MID(K1003,2,2)="05","전라",MID(K1003,2,2)="06","전라",MID(K1003,2,2)="07","경북",MID(K1003,2,2)="08","경남",MID(K1003,2,2)="09","강원",MID(K1003,2,2)="10","제주",TRUE,"국외")</f>
        <v>전라</v>
      </c>
    </row>
    <row r="1004" spans="1:12" ht="17.25" thickBot="1">
      <c r="A1004" s="3" t="s">
        <v>1126</v>
      </c>
      <c r="B1004" s="3" t="s">
        <v>93</v>
      </c>
      <c r="C1004" s="3"/>
      <c r="D1004" s="4" t="s">
        <v>254</v>
      </c>
      <c r="E1004" s="4" t="s">
        <v>28</v>
      </c>
      <c r="F1004" s="4"/>
      <c r="G1004" s="9"/>
      <c r="H1004" s="4"/>
      <c r="I1004" s="9"/>
      <c r="J1004" s="3">
        <v>13230</v>
      </c>
      <c r="K1004" s="3">
        <v>50805</v>
      </c>
      <c r="L1004" s="17" t="str" cm="1">
        <f t="array" ref="L1004">_xlfn.IFS(MID(K1004,2,2)="01", "서울", MID(K1004,2,2)="02","경기",MID(K1004,2,2)="03","충청",MID(K1004,2,2)="04","충청",MID(K1004,2,2)="05","전라",MID(K1004,2,2)="06","전라",MID(K1004,2,2)="07","경북",MID(K1004,2,2)="08","경남",MID(K1004,2,2)="09","강원",MID(K1004,2,2)="10","제주",TRUE,"국외")</f>
        <v>경남</v>
      </c>
    </row>
    <row r="1005" spans="1:12" ht="17.25" thickBot="1">
      <c r="A1005" s="3" t="s">
        <v>1127</v>
      </c>
      <c r="B1005" s="3" t="s">
        <v>38</v>
      </c>
      <c r="C1005" s="3"/>
      <c r="D1005" s="4" t="s">
        <v>254</v>
      </c>
      <c r="E1005" s="4" t="s">
        <v>20</v>
      </c>
      <c r="F1005" s="4">
        <v>2018</v>
      </c>
      <c r="G1005" s="9"/>
      <c r="H1005" s="4" t="s">
        <v>20</v>
      </c>
      <c r="I1005" s="8">
        <v>0</v>
      </c>
      <c r="J1005" s="3">
        <v>12863</v>
      </c>
      <c r="K1005" s="3">
        <v>50109</v>
      </c>
      <c r="L1005" s="17" t="str" cm="1">
        <f t="array" ref="L1005">_xlfn.IFS(MID(K1005,2,2)="01", "서울", MID(K1005,2,2)="02","경기",MID(K1005,2,2)="03","충청",MID(K1005,2,2)="04","충청",MID(K1005,2,2)="05","전라",MID(K1005,2,2)="06","전라",MID(K1005,2,2)="07","경북",MID(K1005,2,2)="08","경남",MID(K1005,2,2)="09","강원",MID(K1005,2,2)="10","제주",TRUE,"국외")</f>
        <v>서울</v>
      </c>
    </row>
    <row r="1006" spans="1:12" ht="17.25" thickBot="1">
      <c r="A1006" s="3" t="s">
        <v>1128</v>
      </c>
      <c r="B1006" s="3" t="s">
        <v>63</v>
      </c>
      <c r="C1006" s="3"/>
      <c r="D1006" s="4" t="s">
        <v>254</v>
      </c>
      <c r="E1006" s="4" t="s">
        <v>12</v>
      </c>
      <c r="F1006" s="4"/>
      <c r="G1006" s="9"/>
      <c r="H1006" s="4"/>
      <c r="I1006" s="9"/>
      <c r="J1006" s="3">
        <v>12896</v>
      </c>
      <c r="K1006" s="3">
        <v>50807</v>
      </c>
      <c r="L1006" s="17" t="str" cm="1">
        <f t="array" ref="L1006">_xlfn.IFS(MID(K1006,2,2)="01", "서울", MID(K1006,2,2)="02","경기",MID(K1006,2,2)="03","충청",MID(K1006,2,2)="04","충청",MID(K1006,2,2)="05","전라",MID(K1006,2,2)="06","전라",MID(K1006,2,2)="07","경북",MID(K1006,2,2)="08","경남",MID(K1006,2,2)="09","강원",MID(K1006,2,2)="10","제주",TRUE,"국외")</f>
        <v>경남</v>
      </c>
    </row>
    <row r="1007" spans="1:12" ht="17.25" thickBot="1">
      <c r="A1007" s="3" t="s">
        <v>1129</v>
      </c>
      <c r="B1007" s="3" t="s">
        <v>8</v>
      </c>
      <c r="C1007" s="3"/>
      <c r="D1007" s="4" t="s">
        <v>254</v>
      </c>
      <c r="E1007" s="4" t="s">
        <v>607</v>
      </c>
      <c r="F1007" s="4"/>
      <c r="G1007" s="9"/>
      <c r="H1007" s="4"/>
      <c r="I1007" s="9"/>
      <c r="J1007" s="3">
        <v>13274</v>
      </c>
      <c r="K1007" s="3">
        <v>50116</v>
      </c>
      <c r="L1007" s="17" t="str" cm="1">
        <f t="array" ref="L1007">_xlfn.IFS(MID(K1007,2,2)="01", "서울", MID(K1007,2,2)="02","경기",MID(K1007,2,2)="03","충청",MID(K1007,2,2)="04","충청",MID(K1007,2,2)="05","전라",MID(K1007,2,2)="06","전라",MID(K1007,2,2)="07","경북",MID(K1007,2,2)="08","경남",MID(K1007,2,2)="09","강원",MID(K1007,2,2)="10","제주",TRUE,"국외")</f>
        <v>서울</v>
      </c>
    </row>
    <row r="1008" spans="1:12" ht="17.25" thickBot="1">
      <c r="A1008" s="3" t="s">
        <v>1130</v>
      </c>
      <c r="B1008" s="3" t="s">
        <v>592</v>
      </c>
      <c r="C1008" s="3"/>
      <c r="D1008" s="4" t="s">
        <v>254</v>
      </c>
      <c r="E1008" s="4" t="s">
        <v>26</v>
      </c>
      <c r="F1008" s="4"/>
      <c r="G1008" s="9"/>
      <c r="H1008" s="4"/>
      <c r="I1008" s="9"/>
      <c r="J1008" s="3">
        <v>12890</v>
      </c>
      <c r="K1008" s="3">
        <v>50503</v>
      </c>
      <c r="L1008" s="17" t="str" cm="1">
        <f t="array" ref="L1008">_xlfn.IFS(MID(K1008,2,2)="01", "서울", MID(K1008,2,2)="02","경기",MID(K1008,2,2)="03","충청",MID(K1008,2,2)="04","충청",MID(K1008,2,2)="05","전라",MID(K1008,2,2)="06","전라",MID(K1008,2,2)="07","경북",MID(K1008,2,2)="08","경남",MID(K1008,2,2)="09","강원",MID(K1008,2,2)="10","제주",TRUE,"국외")</f>
        <v>전라</v>
      </c>
    </row>
    <row r="1009" spans="1:12" ht="17.25" thickBot="1">
      <c r="A1009" s="3" t="s">
        <v>1131</v>
      </c>
      <c r="B1009" s="3" t="s">
        <v>121</v>
      </c>
      <c r="C1009" s="3" t="s">
        <v>234</v>
      </c>
      <c r="D1009" s="4" t="s">
        <v>254</v>
      </c>
      <c r="E1009" s="4" t="s">
        <v>9</v>
      </c>
      <c r="F1009" s="4"/>
      <c r="G1009" s="9"/>
      <c r="H1009" s="4"/>
      <c r="I1009" s="9"/>
      <c r="J1009" s="3">
        <v>12882</v>
      </c>
      <c r="K1009" s="3">
        <v>50604</v>
      </c>
      <c r="L1009" s="17" t="str" cm="1">
        <f t="array" ref="L1009">_xlfn.IFS(MID(K1009,2,2)="01", "서울", MID(K1009,2,2)="02","경기",MID(K1009,2,2)="03","충청",MID(K1009,2,2)="04","충청",MID(K1009,2,2)="05","전라",MID(K1009,2,2)="06","전라",MID(K1009,2,2)="07","경북",MID(K1009,2,2)="08","경남",MID(K1009,2,2)="09","강원",MID(K1009,2,2)="10","제주",TRUE,"국외")</f>
        <v>전라</v>
      </c>
    </row>
    <row r="1010" spans="1:12" ht="17.25" thickBot="1">
      <c r="A1010" s="3" t="s">
        <v>1132</v>
      </c>
      <c r="B1010" s="3" t="s">
        <v>14</v>
      </c>
      <c r="C1010" s="3"/>
      <c r="D1010" s="4" t="s">
        <v>254</v>
      </c>
      <c r="E1010" s="4" t="s">
        <v>23</v>
      </c>
      <c r="F1010" s="4"/>
      <c r="G1010" s="9"/>
      <c r="H1010" s="4"/>
      <c r="I1010" s="9"/>
      <c r="J1010" s="3">
        <v>12888</v>
      </c>
      <c r="K1010" s="3">
        <v>50703</v>
      </c>
      <c r="L1010" s="17" t="str" cm="1">
        <f t="array" ref="L1010">_xlfn.IFS(MID(K1010,2,2)="01", "서울", MID(K1010,2,2)="02","경기",MID(K1010,2,2)="03","충청",MID(K1010,2,2)="04","충청",MID(K1010,2,2)="05","전라",MID(K1010,2,2)="06","전라",MID(K1010,2,2)="07","경북",MID(K1010,2,2)="08","경남",MID(K1010,2,2)="09","강원",MID(K1010,2,2)="10","제주",TRUE,"국외")</f>
        <v>경북</v>
      </c>
    </row>
    <row r="1011" spans="1:12" ht="17.25" thickBot="1">
      <c r="A1011" s="3" t="s">
        <v>315</v>
      </c>
      <c r="B1011" s="3" t="s">
        <v>96</v>
      </c>
      <c r="C1011" s="3"/>
      <c r="D1011" s="4" t="s">
        <v>254</v>
      </c>
      <c r="E1011" s="4" t="s">
        <v>3</v>
      </c>
      <c r="F1011" s="4"/>
      <c r="G1011" s="9"/>
      <c r="H1011" s="4"/>
      <c r="I1011" s="9"/>
      <c r="J1011" s="3">
        <v>12876</v>
      </c>
      <c r="K1011" s="3">
        <v>50601</v>
      </c>
      <c r="L1011" s="17" t="str" cm="1">
        <f t="array" ref="L1011">_xlfn.IFS(MID(K1011,2,2)="01", "서울", MID(K1011,2,2)="02","경기",MID(K1011,2,2)="03","충청",MID(K1011,2,2)="04","충청",MID(K1011,2,2)="05","전라",MID(K1011,2,2)="06","전라",MID(K1011,2,2)="07","경북",MID(K1011,2,2)="08","경남",MID(K1011,2,2)="09","강원",MID(K1011,2,2)="10","제주",TRUE,"국외")</f>
        <v>전라</v>
      </c>
    </row>
    <row r="1012" spans="1:12" ht="17.25" thickBot="1">
      <c r="A1012" s="3" t="s">
        <v>781</v>
      </c>
      <c r="B1012" s="3" t="s">
        <v>8</v>
      </c>
      <c r="C1012" s="3" t="s">
        <v>218</v>
      </c>
      <c r="D1012" s="4" t="s">
        <v>254</v>
      </c>
      <c r="E1012" s="4" t="s">
        <v>6</v>
      </c>
      <c r="F1012" s="4">
        <v>2017</v>
      </c>
      <c r="G1012" s="8">
        <v>0</v>
      </c>
      <c r="H1012" s="4" t="s">
        <v>6</v>
      </c>
      <c r="I1012" s="8">
        <v>0.2</v>
      </c>
      <c r="J1012" s="3">
        <v>12916</v>
      </c>
      <c r="K1012" s="3">
        <v>50116</v>
      </c>
      <c r="L1012" s="17" t="str" cm="1">
        <f t="array" ref="L1012">_xlfn.IFS(MID(K1012,2,2)="01", "서울", MID(K1012,2,2)="02","경기",MID(K1012,2,2)="03","충청",MID(K1012,2,2)="04","충청",MID(K1012,2,2)="05","전라",MID(K1012,2,2)="06","전라",MID(K1012,2,2)="07","경북",MID(K1012,2,2)="08","경남",MID(K1012,2,2)="09","강원",MID(K1012,2,2)="10","제주",TRUE,"국외")</f>
        <v>서울</v>
      </c>
    </row>
    <row r="1013" spans="1:12" ht="17.25" thickBot="1">
      <c r="A1013" s="3" t="s">
        <v>1133</v>
      </c>
      <c r="B1013" s="3" t="s">
        <v>44</v>
      </c>
      <c r="C1013" s="3" t="s">
        <v>208</v>
      </c>
      <c r="D1013" s="4" t="s">
        <v>254</v>
      </c>
      <c r="E1013" s="4" t="s">
        <v>28</v>
      </c>
      <c r="F1013" s="4"/>
      <c r="G1013" s="9"/>
      <c r="H1013" s="4"/>
      <c r="I1013" s="9"/>
      <c r="J1013" s="3">
        <v>14721</v>
      </c>
      <c r="K1013" s="3">
        <v>50809</v>
      </c>
      <c r="L1013" s="17" t="str" cm="1">
        <f t="array" ref="L1013">_xlfn.IFS(MID(K1013,2,2)="01", "서울", MID(K1013,2,2)="02","경기",MID(K1013,2,2)="03","충청",MID(K1013,2,2)="04","충청",MID(K1013,2,2)="05","전라",MID(K1013,2,2)="06","전라",MID(K1013,2,2)="07","경북",MID(K1013,2,2)="08","경남",MID(K1013,2,2)="09","강원",MID(K1013,2,2)="10","제주",TRUE,"국외")</f>
        <v>경남</v>
      </c>
    </row>
    <row r="1014" spans="1:12" ht="17.25" thickBot="1">
      <c r="A1014" s="3" t="s">
        <v>1134</v>
      </c>
      <c r="B1014" s="3" t="s">
        <v>112</v>
      </c>
      <c r="C1014" s="3"/>
      <c r="D1014" s="4" t="s">
        <v>254</v>
      </c>
      <c r="E1014" s="4" t="s">
        <v>20</v>
      </c>
      <c r="F1014" s="4">
        <v>2019</v>
      </c>
      <c r="G1014" s="9"/>
      <c r="H1014" s="4" t="s">
        <v>20</v>
      </c>
      <c r="I1014" s="8">
        <v>0</v>
      </c>
      <c r="J1014" s="3">
        <v>12864</v>
      </c>
      <c r="K1014" s="3">
        <v>50113</v>
      </c>
      <c r="L1014" s="17" t="str" cm="1">
        <f t="array" ref="L1014">_xlfn.IFS(MID(K1014,2,2)="01", "서울", MID(K1014,2,2)="02","경기",MID(K1014,2,2)="03","충청",MID(K1014,2,2)="04","충청",MID(K1014,2,2)="05","전라",MID(K1014,2,2)="06","전라",MID(K1014,2,2)="07","경북",MID(K1014,2,2)="08","경남",MID(K1014,2,2)="09","강원",MID(K1014,2,2)="10","제주",TRUE,"국외")</f>
        <v>서울</v>
      </c>
    </row>
    <row r="1015" spans="1:12" ht="17.25" thickBot="1">
      <c r="A1015" s="3" t="s">
        <v>1135</v>
      </c>
      <c r="B1015" s="3" t="s">
        <v>14</v>
      </c>
      <c r="C1015" s="3"/>
      <c r="D1015" s="4" t="s">
        <v>254</v>
      </c>
      <c r="E1015" s="4" t="s">
        <v>26</v>
      </c>
      <c r="F1015" s="4"/>
      <c r="G1015" s="9"/>
      <c r="H1015" s="4"/>
      <c r="I1015" s="9"/>
      <c r="J1015" s="3">
        <v>12849</v>
      </c>
      <c r="K1015" s="3">
        <v>50703</v>
      </c>
      <c r="L1015" s="17" t="str" cm="1">
        <f t="array" ref="L1015">_xlfn.IFS(MID(K1015,2,2)="01", "서울", MID(K1015,2,2)="02","경기",MID(K1015,2,2)="03","충청",MID(K1015,2,2)="04","충청",MID(K1015,2,2)="05","전라",MID(K1015,2,2)="06","전라",MID(K1015,2,2)="07","경북",MID(K1015,2,2)="08","경남",MID(K1015,2,2)="09","강원",MID(K1015,2,2)="10","제주",TRUE,"국외")</f>
        <v>경북</v>
      </c>
    </row>
    <row r="1016" spans="1:12" ht="17.25" thickBot="1">
      <c r="A1016" s="3" t="s">
        <v>1136</v>
      </c>
      <c r="B1016" s="3" t="s">
        <v>241</v>
      </c>
      <c r="C1016" s="3"/>
      <c r="D1016" s="4" t="s">
        <v>254</v>
      </c>
      <c r="E1016" s="4" t="s">
        <v>9</v>
      </c>
      <c r="F1016" s="4"/>
      <c r="G1016" s="9"/>
      <c r="H1016" s="4"/>
      <c r="I1016" s="9"/>
      <c r="J1016" s="3">
        <v>12883</v>
      </c>
      <c r="K1016" s="3">
        <v>50202</v>
      </c>
      <c r="L1016" s="17" t="str" cm="1">
        <f t="array" ref="L1016">_xlfn.IFS(MID(K1016,2,2)="01", "서울", MID(K1016,2,2)="02","경기",MID(K1016,2,2)="03","충청",MID(K1016,2,2)="04","충청",MID(K1016,2,2)="05","전라",MID(K1016,2,2)="06","전라",MID(K1016,2,2)="07","경북",MID(K1016,2,2)="08","경남",MID(K1016,2,2)="09","강원",MID(K1016,2,2)="10","제주",TRUE,"국외")</f>
        <v>경기</v>
      </c>
    </row>
    <row r="1017" spans="1:12" ht="17.25" thickBot="1">
      <c r="A1017" s="3" t="s">
        <v>1137</v>
      </c>
      <c r="B1017" s="3" t="s">
        <v>40</v>
      </c>
      <c r="C1017" s="3"/>
      <c r="D1017" s="4" t="s">
        <v>254</v>
      </c>
      <c r="E1017" s="4" t="s">
        <v>23</v>
      </c>
      <c r="F1017" s="4"/>
      <c r="G1017" s="9"/>
      <c r="H1017" s="4"/>
      <c r="I1017" s="9"/>
      <c r="J1017" s="3">
        <v>12889</v>
      </c>
      <c r="K1017" s="3">
        <v>50108</v>
      </c>
      <c r="L1017" s="17" t="str" cm="1">
        <f t="array" ref="L1017">_xlfn.IFS(MID(K1017,2,2)="01", "서울", MID(K1017,2,2)="02","경기",MID(K1017,2,2)="03","충청",MID(K1017,2,2)="04","충청",MID(K1017,2,2)="05","전라",MID(K1017,2,2)="06","전라",MID(K1017,2,2)="07","경북",MID(K1017,2,2)="08","경남",MID(K1017,2,2)="09","강원",MID(K1017,2,2)="10","제주",TRUE,"국외")</f>
        <v>서울</v>
      </c>
    </row>
    <row r="1018" spans="1:12" ht="17.25" thickBot="1">
      <c r="A1018" s="3" t="s">
        <v>1138</v>
      </c>
      <c r="B1018" s="3" t="s">
        <v>112</v>
      </c>
      <c r="C1018" s="3"/>
      <c r="D1018" s="4" t="s">
        <v>254</v>
      </c>
      <c r="E1018" s="4" t="s">
        <v>3</v>
      </c>
      <c r="F1018" s="4"/>
      <c r="G1018" s="9"/>
      <c r="H1018" s="4"/>
      <c r="I1018" s="9"/>
      <c r="J1018" s="3">
        <v>12877</v>
      </c>
      <c r="K1018" s="3">
        <v>50113</v>
      </c>
      <c r="L1018" s="17" t="str" cm="1">
        <f t="array" ref="L1018">_xlfn.IFS(MID(K1018,2,2)="01", "서울", MID(K1018,2,2)="02","경기",MID(K1018,2,2)="03","충청",MID(K1018,2,2)="04","충청",MID(K1018,2,2)="05","전라",MID(K1018,2,2)="06","전라",MID(K1018,2,2)="07","경북",MID(K1018,2,2)="08","경남",MID(K1018,2,2)="09","강원",MID(K1018,2,2)="10","제주",TRUE,"국외")</f>
        <v>서울</v>
      </c>
    </row>
    <row r="1019" spans="1:12" ht="17.25" thickBot="1">
      <c r="A1019" s="3" t="s">
        <v>1139</v>
      </c>
      <c r="B1019" s="3"/>
      <c r="C1019" s="3"/>
      <c r="D1019" s="4" t="s">
        <v>181</v>
      </c>
      <c r="E1019" s="4" t="s">
        <v>6</v>
      </c>
      <c r="F1019" s="4">
        <v>2017</v>
      </c>
      <c r="G1019" s="8">
        <v>4.2</v>
      </c>
      <c r="H1019" s="4" t="s">
        <v>6</v>
      </c>
      <c r="I1019" s="8">
        <v>6.6</v>
      </c>
      <c r="J1019" s="3">
        <v>12950</v>
      </c>
      <c r="K1019" s="3"/>
      <c r="L1019" s="17" t="str" cm="1">
        <f t="array" ref="L1019">_xlfn.IFS(MID(K1019,2,2)="01", "서울", MID(K1019,2,2)="02","경기",MID(K1019,2,2)="03","충청",MID(K1019,2,2)="04","충청",MID(K1019,2,2)="05","전라",MID(K1019,2,2)="06","전라",MID(K1019,2,2)="07","경북",MID(K1019,2,2)="08","경남",MID(K1019,2,2)="09","강원",MID(K1019,2,2)="10","제주",TRUE,"국외")</f>
        <v>국외</v>
      </c>
    </row>
    <row r="1020" spans="1:12" ht="17.25" thickBot="1">
      <c r="A1020" s="3" t="s">
        <v>1140</v>
      </c>
      <c r="B1020" s="3"/>
      <c r="C1020" s="3"/>
      <c r="D1020" s="4" t="s">
        <v>181</v>
      </c>
      <c r="E1020" s="4" t="s">
        <v>6</v>
      </c>
      <c r="F1020" s="4">
        <v>2017</v>
      </c>
      <c r="G1020" s="8">
        <v>4.9000000000000004</v>
      </c>
      <c r="H1020" s="4" t="s">
        <v>6</v>
      </c>
      <c r="I1020" s="8">
        <v>6.5</v>
      </c>
      <c r="J1020" s="3">
        <v>12949</v>
      </c>
      <c r="K1020" s="3"/>
      <c r="L1020" s="17" t="str" cm="1">
        <f t="array" ref="L1020">_xlfn.IFS(MID(K1020,2,2)="01", "서울", MID(K1020,2,2)="02","경기",MID(K1020,2,2)="03","충청",MID(K1020,2,2)="04","충청",MID(K1020,2,2)="05","전라",MID(K1020,2,2)="06","전라",MID(K1020,2,2)="07","경북",MID(K1020,2,2)="08","경남",MID(K1020,2,2)="09","강원",MID(K1020,2,2)="10","제주",TRUE,"국외")</f>
        <v>국외</v>
      </c>
    </row>
    <row r="1021" spans="1:12" ht="17.25" thickBot="1">
      <c r="A1021" s="3" t="s">
        <v>194</v>
      </c>
      <c r="B1021" s="3"/>
      <c r="C1021" s="3"/>
      <c r="D1021" s="4" t="s">
        <v>181</v>
      </c>
      <c r="E1021" s="4" t="s">
        <v>28</v>
      </c>
      <c r="F1021" s="4">
        <v>2017</v>
      </c>
      <c r="G1021" s="8">
        <v>2.9</v>
      </c>
      <c r="H1021" s="4" t="s">
        <v>28</v>
      </c>
      <c r="I1021" s="8">
        <v>25.6</v>
      </c>
      <c r="J1021" s="3">
        <v>12995</v>
      </c>
      <c r="K1021" s="3"/>
      <c r="L1021" s="17" t="str" cm="1">
        <f t="array" ref="L1021">_xlfn.IFS(MID(K1021,2,2)="01", "서울", MID(K1021,2,2)="02","경기",MID(K1021,2,2)="03","충청",MID(K1021,2,2)="04","충청",MID(K1021,2,2)="05","전라",MID(K1021,2,2)="06","전라",MID(K1021,2,2)="07","경북",MID(K1021,2,2)="08","경남",MID(K1021,2,2)="09","강원",MID(K1021,2,2)="10","제주",TRUE,"국외")</f>
        <v>국외</v>
      </c>
    </row>
    <row r="1022" spans="1:12" ht="17.25" thickBot="1">
      <c r="A1022" s="3" t="s">
        <v>1141</v>
      </c>
      <c r="B1022" s="3"/>
      <c r="C1022" s="3"/>
      <c r="D1022" s="4" t="s">
        <v>181</v>
      </c>
      <c r="E1022" s="4" t="s">
        <v>28</v>
      </c>
      <c r="F1022" s="4">
        <v>2017</v>
      </c>
      <c r="G1022" s="8">
        <v>-1</v>
      </c>
      <c r="H1022" s="4" t="s">
        <v>28</v>
      </c>
      <c r="I1022" s="8">
        <v>-1</v>
      </c>
      <c r="J1022" s="3">
        <v>12960</v>
      </c>
      <c r="K1022" s="3"/>
      <c r="L1022" s="17" t="str" cm="1">
        <f t="array" ref="L1022">_xlfn.IFS(MID(K1022,2,2)="01", "서울", MID(K1022,2,2)="02","경기",MID(K1022,2,2)="03","충청",MID(K1022,2,2)="04","충청",MID(K1022,2,2)="05","전라",MID(K1022,2,2)="06","전라",MID(K1022,2,2)="07","경북",MID(K1022,2,2)="08","경남",MID(K1022,2,2)="09","강원",MID(K1022,2,2)="10","제주",TRUE,"국외")</f>
        <v>국외</v>
      </c>
    </row>
    <row r="1023" spans="1:12" ht="17.25" thickBot="1">
      <c r="A1023" s="3" t="s">
        <v>1142</v>
      </c>
      <c r="B1023" s="3"/>
      <c r="C1023" s="3"/>
      <c r="D1023" s="4" t="s">
        <v>181</v>
      </c>
      <c r="E1023" s="4" t="s">
        <v>28</v>
      </c>
      <c r="F1023" s="4">
        <v>2017</v>
      </c>
      <c r="G1023" s="8">
        <v>3.6</v>
      </c>
      <c r="H1023" s="4" t="s">
        <v>28</v>
      </c>
      <c r="I1023" s="8">
        <v>3.6</v>
      </c>
      <c r="J1023" s="3">
        <v>12959</v>
      </c>
      <c r="K1023" s="3"/>
      <c r="L1023" s="17" t="str" cm="1">
        <f t="array" ref="L1023">_xlfn.IFS(MID(K1023,2,2)="01", "서울", MID(K1023,2,2)="02","경기",MID(K1023,2,2)="03","충청",MID(K1023,2,2)="04","충청",MID(K1023,2,2)="05","전라",MID(K1023,2,2)="06","전라",MID(K1023,2,2)="07","경북",MID(K1023,2,2)="08","경남",MID(K1023,2,2)="09","강원",MID(K1023,2,2)="10","제주",TRUE,"국외")</f>
        <v>국외</v>
      </c>
    </row>
    <row r="1024" spans="1:12" ht="17.25" thickBot="1">
      <c r="A1024" s="3" t="s">
        <v>377</v>
      </c>
      <c r="B1024" s="3"/>
      <c r="C1024" s="3"/>
      <c r="D1024" s="4" t="s">
        <v>181</v>
      </c>
      <c r="E1024" s="4" t="s">
        <v>20</v>
      </c>
      <c r="F1024" s="4">
        <v>2017</v>
      </c>
      <c r="G1024" s="8">
        <v>0.1</v>
      </c>
      <c r="H1024" s="4" t="s">
        <v>20</v>
      </c>
      <c r="I1024" s="8">
        <v>0.1</v>
      </c>
      <c r="J1024" s="3">
        <v>13005</v>
      </c>
      <c r="K1024" s="3"/>
      <c r="L1024" s="17" t="str" cm="1">
        <f t="array" ref="L1024">_xlfn.IFS(MID(K1024,2,2)="01", "서울", MID(K1024,2,2)="02","경기",MID(K1024,2,2)="03","충청",MID(K1024,2,2)="04","충청",MID(K1024,2,2)="05","전라",MID(K1024,2,2)="06","전라",MID(K1024,2,2)="07","경북",MID(K1024,2,2)="08","경남",MID(K1024,2,2)="09","강원",MID(K1024,2,2)="10","제주",TRUE,"국외")</f>
        <v>국외</v>
      </c>
    </row>
    <row r="1025" spans="1:12" ht="17.25" thickBot="1">
      <c r="A1025" s="3" t="s">
        <v>1143</v>
      </c>
      <c r="B1025" s="3"/>
      <c r="C1025" s="3"/>
      <c r="D1025" s="4" t="s">
        <v>181</v>
      </c>
      <c r="E1025" s="4" t="s">
        <v>12</v>
      </c>
      <c r="F1025" s="4">
        <v>2017</v>
      </c>
      <c r="G1025" s="8">
        <v>3.1</v>
      </c>
      <c r="H1025" s="4" t="s">
        <v>12</v>
      </c>
      <c r="I1025" s="8">
        <v>3.1</v>
      </c>
      <c r="J1025" s="3">
        <v>12946</v>
      </c>
      <c r="K1025" s="3"/>
      <c r="L1025" s="17" t="str" cm="1">
        <f t="array" ref="L1025">_xlfn.IFS(MID(K1025,2,2)="01", "서울", MID(K1025,2,2)="02","경기",MID(K1025,2,2)="03","충청",MID(K1025,2,2)="04","충청",MID(K1025,2,2)="05","전라",MID(K1025,2,2)="06","전라",MID(K1025,2,2)="07","경북",MID(K1025,2,2)="08","경남",MID(K1025,2,2)="09","강원",MID(K1025,2,2)="10","제주",TRUE,"국외")</f>
        <v>국외</v>
      </c>
    </row>
    <row r="1026" spans="1:12" ht="17.25" thickBot="1">
      <c r="A1026" s="3" t="s">
        <v>1144</v>
      </c>
      <c r="B1026" s="3"/>
      <c r="C1026" s="3"/>
      <c r="D1026" s="4" t="s">
        <v>181</v>
      </c>
      <c r="E1026" s="4" t="s">
        <v>12</v>
      </c>
      <c r="F1026" s="4">
        <v>2017</v>
      </c>
      <c r="G1026" s="8">
        <v>4.8</v>
      </c>
      <c r="H1026" s="4" t="s">
        <v>12</v>
      </c>
      <c r="I1026" s="8">
        <v>6.3</v>
      </c>
      <c r="J1026" s="3">
        <v>12947</v>
      </c>
      <c r="K1026" s="3"/>
      <c r="L1026" s="17" t="str" cm="1">
        <f t="array" ref="L1026">_xlfn.IFS(MID(K1026,2,2)="01", "서울", MID(K1026,2,2)="02","경기",MID(K1026,2,2)="03","충청",MID(K1026,2,2)="04","충청",MID(K1026,2,2)="05","전라",MID(K1026,2,2)="06","전라",MID(K1026,2,2)="07","경북",MID(K1026,2,2)="08","경남",MID(K1026,2,2)="09","강원",MID(K1026,2,2)="10","제주",TRUE,"국외")</f>
        <v>국외</v>
      </c>
    </row>
    <row r="1027" spans="1:12" ht="17.25" thickBot="1">
      <c r="A1027" s="3" t="s">
        <v>1145</v>
      </c>
      <c r="B1027" s="3" t="s">
        <v>1146</v>
      </c>
      <c r="C1027" s="3"/>
      <c r="D1027" s="4" t="s">
        <v>181</v>
      </c>
      <c r="E1027" s="4" t="s">
        <v>607</v>
      </c>
      <c r="F1027" s="4">
        <v>2017</v>
      </c>
      <c r="G1027" s="8">
        <v>1.9</v>
      </c>
      <c r="H1027" s="4" t="s">
        <v>607</v>
      </c>
      <c r="I1027" s="8">
        <v>17.600000000000001</v>
      </c>
      <c r="J1027" s="3">
        <v>12991</v>
      </c>
      <c r="K1027" s="3">
        <v>51119</v>
      </c>
      <c r="L1027" s="17" t="str" cm="1">
        <f t="array" ref="L1027">_xlfn.IFS(MID(K1027,2,2)="01", "서울", MID(K1027,2,2)="02","경기",MID(K1027,2,2)="03","충청",MID(K1027,2,2)="04","충청",MID(K1027,2,2)="05","전라",MID(K1027,2,2)="06","전라",MID(K1027,2,2)="07","경북",MID(K1027,2,2)="08","경남",MID(K1027,2,2)="09","강원",MID(K1027,2,2)="10","제주",TRUE,"국외")</f>
        <v>국외</v>
      </c>
    </row>
    <row r="1028" spans="1:12" ht="17.25" thickBot="1">
      <c r="A1028" s="3" t="s">
        <v>1147</v>
      </c>
      <c r="B1028" s="3"/>
      <c r="C1028" s="3"/>
      <c r="D1028" s="4" t="s">
        <v>181</v>
      </c>
      <c r="E1028" s="4" t="s">
        <v>607</v>
      </c>
      <c r="F1028" s="4">
        <v>2017</v>
      </c>
      <c r="G1028" s="8">
        <v>3.4</v>
      </c>
      <c r="H1028" s="4" t="s">
        <v>607</v>
      </c>
      <c r="I1028" s="8">
        <v>3.4</v>
      </c>
      <c r="J1028" s="3">
        <v>12951</v>
      </c>
      <c r="K1028" s="3"/>
      <c r="L1028" s="17" t="str" cm="1">
        <f t="array" ref="L1028">_xlfn.IFS(MID(K1028,2,2)="01", "서울", MID(K1028,2,2)="02","경기",MID(K1028,2,2)="03","충청",MID(K1028,2,2)="04","충청",MID(K1028,2,2)="05","전라",MID(K1028,2,2)="06","전라",MID(K1028,2,2)="07","경북",MID(K1028,2,2)="08","경남",MID(K1028,2,2)="09","강원",MID(K1028,2,2)="10","제주",TRUE,"국외")</f>
        <v>국외</v>
      </c>
    </row>
    <row r="1029" spans="1:12" ht="17.25" thickBot="1">
      <c r="A1029" s="3" t="s">
        <v>1148</v>
      </c>
      <c r="B1029" s="3"/>
      <c r="C1029" s="3"/>
      <c r="D1029" s="4" t="s">
        <v>181</v>
      </c>
      <c r="E1029" s="4" t="s">
        <v>607</v>
      </c>
      <c r="F1029" s="4">
        <v>2017</v>
      </c>
      <c r="G1029" s="8">
        <v>-0.2</v>
      </c>
      <c r="H1029" s="4" t="s">
        <v>607</v>
      </c>
      <c r="I1029" s="8">
        <v>-0.2</v>
      </c>
      <c r="J1029" s="3">
        <v>12952</v>
      </c>
      <c r="K1029" s="3"/>
      <c r="L1029" s="17" t="str" cm="1">
        <f t="array" ref="L1029">_xlfn.IFS(MID(K1029,2,2)="01", "서울", MID(K1029,2,2)="02","경기",MID(K1029,2,2)="03","충청",MID(K1029,2,2)="04","충청",MID(K1029,2,2)="05","전라",MID(K1029,2,2)="06","전라",MID(K1029,2,2)="07","경북",MID(K1029,2,2)="08","경남",MID(K1029,2,2)="09","강원",MID(K1029,2,2)="10","제주",TRUE,"국외")</f>
        <v>국외</v>
      </c>
    </row>
    <row r="1030" spans="1:12" ht="17.25" thickBot="1">
      <c r="A1030" s="3" t="s">
        <v>1149</v>
      </c>
      <c r="B1030" s="3"/>
      <c r="C1030" s="3"/>
      <c r="D1030" s="4" t="s">
        <v>181</v>
      </c>
      <c r="E1030" s="4" t="s">
        <v>906</v>
      </c>
      <c r="F1030" s="4">
        <v>2017</v>
      </c>
      <c r="G1030" s="8">
        <v>-0.3</v>
      </c>
      <c r="H1030" s="4" t="s">
        <v>18</v>
      </c>
      <c r="I1030" s="8">
        <v>-0.3</v>
      </c>
      <c r="J1030" s="3">
        <v>12948</v>
      </c>
      <c r="K1030" s="3"/>
      <c r="L1030" s="17" t="str" cm="1">
        <f t="array" ref="L1030">_xlfn.IFS(MID(K1030,2,2)="01", "서울", MID(K1030,2,2)="02","경기",MID(K1030,2,2)="03","충청",MID(K1030,2,2)="04","충청",MID(K1030,2,2)="05","전라",MID(K1030,2,2)="06","전라",MID(K1030,2,2)="07","경북",MID(K1030,2,2)="08","경남",MID(K1030,2,2)="09","강원",MID(K1030,2,2)="10","제주",TRUE,"국외")</f>
        <v>국외</v>
      </c>
    </row>
    <row r="1031" spans="1:12" ht="17.25" thickBot="1">
      <c r="A1031" s="3" t="s">
        <v>1150</v>
      </c>
      <c r="B1031" s="3"/>
      <c r="C1031" s="3"/>
      <c r="D1031" s="4" t="s">
        <v>181</v>
      </c>
      <c r="E1031" s="4" t="s">
        <v>906</v>
      </c>
      <c r="F1031" s="4">
        <v>2017</v>
      </c>
      <c r="G1031" s="8">
        <v>2.2000000000000002</v>
      </c>
      <c r="H1031" s="4" t="s">
        <v>18</v>
      </c>
      <c r="I1031" s="8">
        <v>3.8</v>
      </c>
      <c r="J1031" s="3">
        <v>13007</v>
      </c>
      <c r="K1031" s="3"/>
      <c r="L1031" s="17" t="str" cm="1">
        <f t="array" ref="L1031">_xlfn.IFS(MID(K1031,2,2)="01", "서울", MID(K1031,2,2)="02","경기",MID(K1031,2,2)="03","충청",MID(K1031,2,2)="04","충청",MID(K1031,2,2)="05","전라",MID(K1031,2,2)="06","전라",MID(K1031,2,2)="07","경북",MID(K1031,2,2)="08","경남",MID(K1031,2,2)="09","강원",MID(K1031,2,2)="10","제주",TRUE,"국외")</f>
        <v>국외</v>
      </c>
    </row>
    <row r="1032" spans="1:12" ht="17.25" thickBot="1">
      <c r="A1032" s="3" t="s">
        <v>1151</v>
      </c>
      <c r="B1032" s="3"/>
      <c r="C1032" s="3"/>
      <c r="D1032" s="4" t="s">
        <v>181</v>
      </c>
      <c r="E1032" s="4" t="s">
        <v>906</v>
      </c>
      <c r="F1032" s="4">
        <v>2017</v>
      </c>
      <c r="G1032" s="8">
        <v>3.8</v>
      </c>
      <c r="H1032" s="4" t="s">
        <v>18</v>
      </c>
      <c r="I1032" s="8">
        <v>19.7</v>
      </c>
      <c r="J1032" s="3">
        <v>12992</v>
      </c>
      <c r="K1032" s="3"/>
      <c r="L1032" s="17" t="str" cm="1">
        <f t="array" ref="L1032">_xlfn.IFS(MID(K1032,2,2)="01", "서울", MID(K1032,2,2)="02","경기",MID(K1032,2,2)="03","충청",MID(K1032,2,2)="04","충청",MID(K1032,2,2)="05","전라",MID(K1032,2,2)="06","전라",MID(K1032,2,2)="07","경북",MID(K1032,2,2)="08","경남",MID(K1032,2,2)="09","강원",MID(K1032,2,2)="10","제주",TRUE,"국외")</f>
        <v>국외</v>
      </c>
    </row>
    <row r="1033" spans="1:12" ht="17.25" thickBot="1">
      <c r="A1033" s="3" t="s">
        <v>1152</v>
      </c>
      <c r="B1033" s="3"/>
      <c r="C1033" s="3"/>
      <c r="D1033" s="4" t="s">
        <v>181</v>
      </c>
      <c r="E1033" s="4" t="s">
        <v>9</v>
      </c>
      <c r="F1033" s="4">
        <v>2017</v>
      </c>
      <c r="G1033" s="8">
        <v>0.4</v>
      </c>
      <c r="H1033" s="4" t="s">
        <v>9</v>
      </c>
      <c r="I1033" s="8">
        <v>0.4</v>
      </c>
      <c r="J1033" s="3">
        <v>12990</v>
      </c>
      <c r="K1033" s="3"/>
      <c r="L1033" s="17" t="str" cm="1">
        <f t="array" ref="L1033">_xlfn.IFS(MID(K1033,2,2)="01", "서울", MID(K1033,2,2)="02","경기",MID(K1033,2,2)="03","충청",MID(K1033,2,2)="04","충청",MID(K1033,2,2)="05","전라",MID(K1033,2,2)="06","전라",MID(K1033,2,2)="07","경북",MID(K1033,2,2)="08","경남",MID(K1033,2,2)="09","강원",MID(K1033,2,2)="10","제주",TRUE,"국외")</f>
        <v>국외</v>
      </c>
    </row>
    <row r="1034" spans="1:12" ht="17.25" thickBot="1">
      <c r="A1034" s="3" t="s">
        <v>1153</v>
      </c>
      <c r="B1034" s="3"/>
      <c r="C1034" s="3"/>
      <c r="D1034" s="4" t="s">
        <v>181</v>
      </c>
      <c r="E1034" s="4" t="s">
        <v>9</v>
      </c>
      <c r="F1034" s="4"/>
      <c r="G1034" s="9"/>
      <c r="H1034" s="4"/>
      <c r="I1034" s="9"/>
      <c r="J1034" s="3">
        <v>12955</v>
      </c>
      <c r="K1034" s="3"/>
      <c r="L1034" s="17" t="str" cm="1">
        <f t="array" ref="L1034">_xlfn.IFS(MID(K1034,2,2)="01", "서울", MID(K1034,2,2)="02","경기",MID(K1034,2,2)="03","충청",MID(K1034,2,2)="04","충청",MID(K1034,2,2)="05","전라",MID(K1034,2,2)="06","전라",MID(K1034,2,2)="07","경북",MID(K1034,2,2)="08","경남",MID(K1034,2,2)="09","강원",MID(K1034,2,2)="10","제주",TRUE,"국외")</f>
        <v>국외</v>
      </c>
    </row>
    <row r="1035" spans="1:12" ht="17.25" thickBot="1">
      <c r="A1035" s="3" t="s">
        <v>1154</v>
      </c>
      <c r="B1035" s="3"/>
      <c r="C1035" s="3"/>
      <c r="D1035" s="4" t="s">
        <v>181</v>
      </c>
      <c r="E1035" s="4" t="s">
        <v>9</v>
      </c>
      <c r="F1035" s="4">
        <v>2017</v>
      </c>
      <c r="G1035" s="8">
        <v>4.2</v>
      </c>
      <c r="H1035" s="4" t="s">
        <v>9</v>
      </c>
      <c r="I1035" s="8">
        <v>7</v>
      </c>
      <c r="J1035" s="3">
        <v>12956</v>
      </c>
      <c r="K1035" s="3"/>
      <c r="L1035" s="17" t="str" cm="1">
        <f t="array" ref="L1035">_xlfn.IFS(MID(K1035,2,2)="01", "서울", MID(K1035,2,2)="02","경기",MID(K1035,2,2)="03","충청",MID(K1035,2,2)="04","충청",MID(K1035,2,2)="05","전라",MID(K1035,2,2)="06","전라",MID(K1035,2,2)="07","경북",MID(K1035,2,2)="08","경남",MID(K1035,2,2)="09","강원",MID(K1035,2,2)="10","제주",TRUE,"국외")</f>
        <v>국외</v>
      </c>
    </row>
    <row r="1036" spans="1:12" ht="17.25" thickBot="1">
      <c r="A1036" s="3" t="s">
        <v>1155</v>
      </c>
      <c r="B1036" s="3"/>
      <c r="C1036" s="3"/>
      <c r="D1036" s="4" t="s">
        <v>181</v>
      </c>
      <c r="E1036" s="4" t="s">
        <v>23</v>
      </c>
      <c r="F1036" s="4">
        <v>2017</v>
      </c>
      <c r="G1036" s="8">
        <v>4.4000000000000004</v>
      </c>
      <c r="H1036" s="4" t="s">
        <v>23</v>
      </c>
      <c r="I1036" s="8">
        <v>13.3</v>
      </c>
      <c r="J1036" s="3">
        <v>12961</v>
      </c>
      <c r="K1036" s="3"/>
      <c r="L1036" s="17" t="str" cm="1">
        <f t="array" ref="L1036">_xlfn.IFS(MID(K1036,2,2)="01", "서울", MID(K1036,2,2)="02","경기",MID(K1036,2,2)="03","충청",MID(K1036,2,2)="04","충청",MID(K1036,2,2)="05","전라",MID(K1036,2,2)="06","전라",MID(K1036,2,2)="07","경북",MID(K1036,2,2)="08","경남",MID(K1036,2,2)="09","강원",MID(K1036,2,2)="10","제주",TRUE,"국외")</f>
        <v>국외</v>
      </c>
    </row>
    <row r="1037" spans="1:12" ht="17.25" thickBot="1">
      <c r="A1037" s="3" t="s">
        <v>1156</v>
      </c>
      <c r="B1037" s="3"/>
      <c r="C1037" s="3"/>
      <c r="D1037" s="4" t="s">
        <v>181</v>
      </c>
      <c r="E1037" s="4" t="s">
        <v>23</v>
      </c>
      <c r="F1037" s="4">
        <v>2017</v>
      </c>
      <c r="G1037" s="8">
        <v>0</v>
      </c>
      <c r="H1037" s="4" t="s">
        <v>23</v>
      </c>
      <c r="I1037" s="8">
        <v>0</v>
      </c>
      <c r="J1037" s="3">
        <v>12957</v>
      </c>
      <c r="K1037" s="3"/>
      <c r="L1037" s="17" t="str" cm="1">
        <f t="array" ref="L1037">_xlfn.IFS(MID(K1037,2,2)="01", "서울", MID(K1037,2,2)="02","경기",MID(K1037,2,2)="03","충청",MID(K1037,2,2)="04","충청",MID(K1037,2,2)="05","전라",MID(K1037,2,2)="06","전라",MID(K1037,2,2)="07","경북",MID(K1037,2,2)="08","경남",MID(K1037,2,2)="09","강원",MID(K1037,2,2)="10","제주",TRUE,"국외")</f>
        <v>국외</v>
      </c>
    </row>
    <row r="1038" spans="1:12" ht="17.25" thickBot="1">
      <c r="A1038" s="3" t="s">
        <v>1157</v>
      </c>
      <c r="B1038" s="3"/>
      <c r="C1038" s="3"/>
      <c r="D1038" s="4" t="s">
        <v>181</v>
      </c>
      <c r="E1038" s="4" t="s">
        <v>23</v>
      </c>
      <c r="F1038" s="4">
        <v>2017</v>
      </c>
      <c r="G1038" s="8">
        <v>1.9</v>
      </c>
      <c r="H1038" s="4" t="s">
        <v>23</v>
      </c>
      <c r="I1038" s="8">
        <v>1.9</v>
      </c>
      <c r="J1038" s="3">
        <v>12958</v>
      </c>
      <c r="K1038" s="3"/>
      <c r="L1038" s="17" t="str" cm="1">
        <f t="array" ref="L1038">_xlfn.IFS(MID(K1038,2,2)="01", "서울", MID(K1038,2,2)="02","경기",MID(K1038,2,2)="03","충청",MID(K1038,2,2)="04","충청",MID(K1038,2,2)="05","전라",MID(K1038,2,2)="06","전라",MID(K1038,2,2)="07","경북",MID(K1038,2,2)="08","경남",MID(K1038,2,2)="09","강원",MID(K1038,2,2)="10","제주",TRUE,"국외")</f>
        <v>국외</v>
      </c>
    </row>
    <row r="1039" spans="1:12" ht="17.25" thickBot="1">
      <c r="A1039" s="3" t="s">
        <v>1158</v>
      </c>
      <c r="B1039" s="3"/>
      <c r="C1039" s="3"/>
      <c r="D1039" s="4" t="s">
        <v>181</v>
      </c>
      <c r="E1039" s="4" t="s">
        <v>3</v>
      </c>
      <c r="F1039" s="4">
        <v>2017</v>
      </c>
      <c r="G1039" s="8">
        <v>2.5</v>
      </c>
      <c r="H1039" s="4" t="s">
        <v>3</v>
      </c>
      <c r="I1039" s="8">
        <v>2.5</v>
      </c>
      <c r="J1039" s="3">
        <v>12954</v>
      </c>
      <c r="K1039" s="3"/>
      <c r="L1039" s="17" t="str" cm="1">
        <f t="array" ref="L1039">_xlfn.IFS(MID(K1039,2,2)="01", "서울", MID(K1039,2,2)="02","경기",MID(K1039,2,2)="03","충청",MID(K1039,2,2)="04","충청",MID(K1039,2,2)="05","전라",MID(K1039,2,2)="06","전라",MID(K1039,2,2)="07","경북",MID(K1039,2,2)="08","경남",MID(K1039,2,2)="09","강원",MID(K1039,2,2)="10","제주",TRUE,"국외")</f>
        <v>국외</v>
      </c>
    </row>
    <row r="1040" spans="1:12" ht="17.25" thickBot="1">
      <c r="A1040" s="3" t="s">
        <v>1159</v>
      </c>
      <c r="B1040" s="3"/>
      <c r="C1040" s="3"/>
      <c r="D1040" s="4" t="s">
        <v>181</v>
      </c>
      <c r="E1040" s="4" t="s">
        <v>3</v>
      </c>
      <c r="F1040" s="4">
        <v>2017</v>
      </c>
      <c r="G1040" s="8">
        <v>2.4</v>
      </c>
      <c r="H1040" s="4" t="s">
        <v>3</v>
      </c>
      <c r="I1040" s="8">
        <v>2.4</v>
      </c>
      <c r="J1040" s="3">
        <v>12953</v>
      </c>
      <c r="K1040" s="3"/>
      <c r="L1040" s="17" t="str" cm="1">
        <f t="array" ref="L1040">_xlfn.IFS(MID(K1040,2,2)="01", "서울", MID(K1040,2,2)="02","경기",MID(K1040,2,2)="03","충청",MID(K1040,2,2)="04","충청",MID(K1040,2,2)="05","전라",MID(K1040,2,2)="06","전라",MID(K1040,2,2)="07","경북",MID(K1040,2,2)="08","경남",MID(K1040,2,2)="09","강원",MID(K1040,2,2)="10","제주",TRUE,"국외")</f>
        <v>국외</v>
      </c>
    </row>
    <row r="1041" spans="1:12" ht="17.25" thickBot="1">
      <c r="A1041" s="3" t="s">
        <v>1160</v>
      </c>
      <c r="B1041" s="3" t="s">
        <v>11</v>
      </c>
      <c r="C1041" s="3" t="s">
        <v>329</v>
      </c>
      <c r="D1041" s="4" t="s">
        <v>205</v>
      </c>
      <c r="E1041" s="4" t="s">
        <v>28</v>
      </c>
      <c r="F1041" s="4">
        <v>2017</v>
      </c>
      <c r="G1041" s="9"/>
      <c r="H1041" s="4"/>
      <c r="I1041" s="9"/>
      <c r="J1041" s="3">
        <v>13002</v>
      </c>
      <c r="K1041" s="3">
        <v>50802</v>
      </c>
      <c r="L1041" s="17" t="str" cm="1">
        <f t="array" ref="L1041">_xlfn.IFS(MID(K1041,2,2)="01", "서울", MID(K1041,2,2)="02","경기",MID(K1041,2,2)="03","충청",MID(K1041,2,2)="04","충청",MID(K1041,2,2)="05","전라",MID(K1041,2,2)="06","전라",MID(K1041,2,2)="07","경북",MID(K1041,2,2)="08","경남",MID(K1041,2,2)="09","강원",MID(K1041,2,2)="10","제주",TRUE,"국외")</f>
        <v>경남</v>
      </c>
    </row>
    <row r="1042" spans="1:12" ht="17.25" thickBot="1">
      <c r="A1042" s="3" t="s">
        <v>1161</v>
      </c>
      <c r="B1042" s="3" t="s">
        <v>34</v>
      </c>
      <c r="C1042" s="3" t="s">
        <v>90</v>
      </c>
      <c r="D1042" s="4" t="s">
        <v>205</v>
      </c>
      <c r="E1042" s="4" t="s">
        <v>12</v>
      </c>
      <c r="F1042" s="4"/>
      <c r="G1042" s="9"/>
      <c r="H1042" s="4"/>
      <c r="I1042" s="9"/>
      <c r="J1042" s="3">
        <v>13265</v>
      </c>
      <c r="K1042" s="3">
        <v>50701</v>
      </c>
      <c r="L1042" s="17" t="str" cm="1">
        <f t="array" ref="L1042">_xlfn.IFS(MID(K1042,2,2)="01", "서울", MID(K1042,2,2)="02","경기",MID(K1042,2,2)="03","충청",MID(K1042,2,2)="04","충청",MID(K1042,2,2)="05","전라",MID(K1042,2,2)="06","전라",MID(K1042,2,2)="07","경북",MID(K1042,2,2)="08","경남",MID(K1042,2,2)="09","강원",MID(K1042,2,2)="10","제주",TRUE,"국외")</f>
        <v>경북</v>
      </c>
    </row>
    <row r="1043" spans="1:12" ht="17.25" thickBot="1">
      <c r="A1043" s="3" t="s">
        <v>1162</v>
      </c>
      <c r="B1043" s="3" t="s">
        <v>5</v>
      </c>
      <c r="C1043" s="3" t="s">
        <v>83</v>
      </c>
      <c r="D1043" s="4" t="s">
        <v>205</v>
      </c>
      <c r="E1043" s="4" t="s">
        <v>12</v>
      </c>
      <c r="F1043" s="4"/>
      <c r="G1043" s="9"/>
      <c r="H1043" s="4"/>
      <c r="I1043" s="9"/>
      <c r="J1043" s="3">
        <v>13263</v>
      </c>
      <c r="K1043" s="3">
        <v>50114</v>
      </c>
      <c r="L1043" s="17" t="str" cm="1">
        <f t="array" ref="L1043">_xlfn.IFS(MID(K1043,2,2)="01", "서울", MID(K1043,2,2)="02","경기",MID(K1043,2,2)="03","충청",MID(K1043,2,2)="04","충청",MID(K1043,2,2)="05","전라",MID(K1043,2,2)="06","전라",MID(K1043,2,2)="07","경북",MID(K1043,2,2)="08","경남",MID(K1043,2,2)="09","강원",MID(K1043,2,2)="10","제주",TRUE,"국외")</f>
        <v>서울</v>
      </c>
    </row>
    <row r="1044" spans="1:12" ht="17.25" thickBot="1">
      <c r="A1044" s="3" t="s">
        <v>1163</v>
      </c>
      <c r="B1044" s="3" t="s">
        <v>82</v>
      </c>
      <c r="C1044" s="3" t="s">
        <v>45</v>
      </c>
      <c r="D1044" s="4" t="s">
        <v>205</v>
      </c>
      <c r="E1044" s="4" t="s">
        <v>12</v>
      </c>
      <c r="F1044" s="4">
        <v>2022</v>
      </c>
      <c r="G1044" s="9"/>
      <c r="H1044" s="4" t="s">
        <v>12</v>
      </c>
      <c r="I1044" s="8">
        <v>-0.3</v>
      </c>
      <c r="J1044" s="3">
        <v>13261</v>
      </c>
      <c r="K1044" s="3">
        <v>50605</v>
      </c>
      <c r="L1044" s="17" t="str" cm="1">
        <f t="array" ref="L1044">_xlfn.IFS(MID(K1044,2,2)="01", "서울", MID(K1044,2,2)="02","경기",MID(K1044,2,2)="03","충청",MID(K1044,2,2)="04","충청",MID(K1044,2,2)="05","전라",MID(K1044,2,2)="06","전라",MID(K1044,2,2)="07","경북",MID(K1044,2,2)="08","경남",MID(K1044,2,2)="09","강원",MID(K1044,2,2)="10","제주",TRUE,"국외")</f>
        <v>전라</v>
      </c>
    </row>
    <row r="1045" spans="1:12" ht="17.25" thickBot="1">
      <c r="A1045" s="3" t="s">
        <v>1164</v>
      </c>
      <c r="B1045" s="3" t="s">
        <v>5</v>
      </c>
      <c r="C1045" s="3" t="s">
        <v>45</v>
      </c>
      <c r="D1045" s="4" t="s">
        <v>205</v>
      </c>
      <c r="E1045" s="4" t="s">
        <v>26</v>
      </c>
      <c r="F1045" s="4"/>
      <c r="G1045" s="9"/>
      <c r="H1045" s="4"/>
      <c r="I1045" s="9"/>
      <c r="J1045" s="3">
        <v>13267</v>
      </c>
      <c r="K1045" s="3">
        <v>50114</v>
      </c>
      <c r="L1045" s="17" t="str" cm="1">
        <f t="array" ref="L1045">_xlfn.IFS(MID(K1045,2,2)="01", "서울", MID(K1045,2,2)="02","경기",MID(K1045,2,2)="03","충청",MID(K1045,2,2)="04","충청",MID(K1045,2,2)="05","전라",MID(K1045,2,2)="06","전라",MID(K1045,2,2)="07","경북",MID(K1045,2,2)="08","경남",MID(K1045,2,2)="09","강원",MID(K1045,2,2)="10","제주",TRUE,"국외")</f>
        <v>서울</v>
      </c>
    </row>
    <row r="1046" spans="1:12" ht="17.25" thickBot="1">
      <c r="A1046" s="3" t="s">
        <v>282</v>
      </c>
      <c r="B1046" s="3" t="s">
        <v>5</v>
      </c>
      <c r="C1046" s="3"/>
      <c r="D1046" s="4" t="s">
        <v>205</v>
      </c>
      <c r="E1046" s="4" t="s">
        <v>26</v>
      </c>
      <c r="F1046" s="4"/>
      <c r="G1046" s="9"/>
      <c r="H1046" s="4"/>
      <c r="I1046" s="9"/>
      <c r="J1046" s="3">
        <v>13269</v>
      </c>
      <c r="K1046" s="3">
        <v>50114</v>
      </c>
      <c r="L1046" s="17" t="str" cm="1">
        <f t="array" ref="L1046">_xlfn.IFS(MID(K1046,2,2)="01", "서울", MID(K1046,2,2)="02","경기",MID(K1046,2,2)="03","충청",MID(K1046,2,2)="04","충청",MID(K1046,2,2)="05","전라",MID(K1046,2,2)="06","전라",MID(K1046,2,2)="07","경북",MID(K1046,2,2)="08","경남",MID(K1046,2,2)="09","강원",MID(K1046,2,2)="10","제주",TRUE,"국외")</f>
        <v>서울</v>
      </c>
    </row>
    <row r="1047" spans="1:12" ht="17.25" thickBot="1">
      <c r="A1047" s="3" t="s">
        <v>1165</v>
      </c>
      <c r="B1047" s="3" t="s">
        <v>8</v>
      </c>
      <c r="C1047" s="3"/>
      <c r="D1047" s="4" t="s">
        <v>205</v>
      </c>
      <c r="E1047" s="4" t="s">
        <v>26</v>
      </c>
      <c r="F1047" s="4"/>
      <c r="G1047" s="9"/>
      <c r="H1047" s="4"/>
      <c r="I1047" s="9"/>
      <c r="J1047" s="3">
        <v>13270</v>
      </c>
      <c r="K1047" s="3">
        <v>50116</v>
      </c>
      <c r="L1047" s="17" t="str" cm="1">
        <f t="array" ref="L1047">_xlfn.IFS(MID(K1047,2,2)="01", "서울", MID(K1047,2,2)="02","경기",MID(K1047,2,2)="03","충청",MID(K1047,2,2)="04","충청",MID(K1047,2,2)="05","전라",MID(K1047,2,2)="06","전라",MID(K1047,2,2)="07","경북",MID(K1047,2,2)="08","경남",MID(K1047,2,2)="09","강원",MID(K1047,2,2)="10","제주",TRUE,"국외")</f>
        <v>서울</v>
      </c>
    </row>
    <row r="1048" spans="1:12" ht="17.25" thickBot="1">
      <c r="A1048" s="3" t="s">
        <v>1166</v>
      </c>
      <c r="B1048" s="3" t="s">
        <v>66</v>
      </c>
      <c r="C1048" s="3" t="s">
        <v>208</v>
      </c>
      <c r="D1048" s="4" t="s">
        <v>205</v>
      </c>
      <c r="E1048" s="4" t="s">
        <v>26</v>
      </c>
      <c r="F1048" s="4"/>
      <c r="G1048" s="9"/>
      <c r="H1048" s="4"/>
      <c r="I1048" s="9"/>
      <c r="J1048" s="3">
        <v>13266</v>
      </c>
      <c r="K1048" s="3">
        <v>50110</v>
      </c>
      <c r="L1048" s="17" t="str" cm="1">
        <f t="array" ref="L1048">_xlfn.IFS(MID(K1048,2,2)="01", "서울", MID(K1048,2,2)="02","경기",MID(K1048,2,2)="03","충청",MID(K1048,2,2)="04","충청",MID(K1048,2,2)="05","전라",MID(K1048,2,2)="06","전라",MID(K1048,2,2)="07","경북",MID(K1048,2,2)="08","경남",MID(K1048,2,2)="09","강원",MID(K1048,2,2)="10","제주",TRUE,"국외")</f>
        <v>서울</v>
      </c>
    </row>
    <row r="1049" spans="1:12" ht="17.25" thickBot="1">
      <c r="A1049" s="3" t="s">
        <v>1167</v>
      </c>
      <c r="B1049" s="3" t="s">
        <v>25</v>
      </c>
      <c r="C1049" s="3" t="s">
        <v>90</v>
      </c>
      <c r="D1049" s="4" t="s">
        <v>205</v>
      </c>
      <c r="E1049" s="4" t="s">
        <v>9</v>
      </c>
      <c r="F1049" s="4"/>
      <c r="G1049" s="9"/>
      <c r="H1049" s="4"/>
      <c r="I1049" s="9"/>
      <c r="J1049" s="3">
        <v>13277</v>
      </c>
      <c r="K1049" s="3">
        <v>50403</v>
      </c>
      <c r="L1049" s="17" t="str" cm="1">
        <f t="array" ref="L1049">_xlfn.IFS(MID(K1049,2,2)="01", "서울", MID(K1049,2,2)="02","경기",MID(K1049,2,2)="03","충청",MID(K1049,2,2)="04","충청",MID(K1049,2,2)="05","전라",MID(K1049,2,2)="06","전라",MID(K1049,2,2)="07","경북",MID(K1049,2,2)="08","경남",MID(K1049,2,2)="09","강원",MID(K1049,2,2)="10","제주",TRUE,"국외")</f>
        <v>충청</v>
      </c>
    </row>
    <row r="1050" spans="1:12" ht="17.25" thickBot="1">
      <c r="A1050" s="3" t="s">
        <v>1168</v>
      </c>
      <c r="B1050" s="3" t="s">
        <v>74</v>
      </c>
      <c r="C1050" s="3" t="s">
        <v>119</v>
      </c>
      <c r="D1050" s="4" t="s">
        <v>205</v>
      </c>
      <c r="E1050" s="4" t="s">
        <v>23</v>
      </c>
      <c r="F1050" s="4"/>
      <c r="G1050" s="9"/>
      <c r="H1050" s="4"/>
      <c r="I1050" s="10"/>
      <c r="J1050" s="3">
        <v>13243</v>
      </c>
      <c r="K1050" s="3">
        <v>50102</v>
      </c>
      <c r="L1050" s="17" t="str" cm="1">
        <f t="array" ref="L1050">_xlfn.IFS(MID(K1050,2,2)="01", "서울", MID(K1050,2,2)="02","경기",MID(K1050,2,2)="03","충청",MID(K1050,2,2)="04","충청",MID(K1050,2,2)="05","전라",MID(K1050,2,2)="06","전라",MID(K1050,2,2)="07","경북",MID(K1050,2,2)="08","경남",MID(K1050,2,2)="09","강원",MID(K1050,2,2)="10","제주",TRUE,"국외")</f>
        <v>서울</v>
      </c>
    </row>
    <row r="1051" spans="1:12" ht="17.25" thickBot="1">
      <c r="A1051" s="3" t="s">
        <v>543</v>
      </c>
      <c r="B1051" s="3" t="s">
        <v>107</v>
      </c>
      <c r="C1051" s="3"/>
      <c r="D1051" s="4" t="s">
        <v>243</v>
      </c>
      <c r="E1051" s="4" t="s">
        <v>6</v>
      </c>
      <c r="F1051" s="4">
        <v>2020</v>
      </c>
      <c r="G1051" s="9"/>
      <c r="H1051" s="4" t="s">
        <v>6</v>
      </c>
      <c r="I1051" s="8">
        <v>-0.3</v>
      </c>
      <c r="J1051" s="3">
        <v>12533</v>
      </c>
      <c r="K1051" s="3">
        <v>50602</v>
      </c>
      <c r="L1051" s="17" t="str" cm="1">
        <f t="array" ref="L1051">_xlfn.IFS(MID(K1051,2,2)="01", "서울", MID(K1051,2,2)="02","경기",MID(K1051,2,2)="03","충청",MID(K1051,2,2)="04","충청",MID(K1051,2,2)="05","전라",MID(K1051,2,2)="06","전라",MID(K1051,2,2)="07","경북",MID(K1051,2,2)="08","경남",MID(K1051,2,2)="09","강원",MID(K1051,2,2)="10","제주",TRUE,"국외")</f>
        <v>전라</v>
      </c>
    </row>
    <row r="1052" spans="1:12" ht="17.25" thickBot="1">
      <c r="A1052" s="3" t="s">
        <v>1169</v>
      </c>
      <c r="B1052" s="3" t="s">
        <v>34</v>
      </c>
      <c r="C1052" s="3"/>
      <c r="D1052" s="4" t="s">
        <v>243</v>
      </c>
      <c r="E1052" s="4" t="s">
        <v>28</v>
      </c>
      <c r="F1052" s="4">
        <v>2016</v>
      </c>
      <c r="G1052" s="8">
        <v>0.4</v>
      </c>
      <c r="H1052" s="4" t="s">
        <v>28</v>
      </c>
      <c r="I1052" s="8">
        <v>0</v>
      </c>
      <c r="J1052" s="3">
        <v>12572</v>
      </c>
      <c r="K1052" s="3">
        <v>50701</v>
      </c>
      <c r="L1052" s="17" t="str" cm="1">
        <f t="array" ref="L1052">_xlfn.IFS(MID(K1052,2,2)="01", "서울", MID(K1052,2,2)="02","경기",MID(K1052,2,2)="03","충청",MID(K1052,2,2)="04","충청",MID(K1052,2,2)="05","전라",MID(K1052,2,2)="06","전라",MID(K1052,2,2)="07","경북",MID(K1052,2,2)="08","경남",MID(K1052,2,2)="09","강원",MID(K1052,2,2)="10","제주",TRUE,"국외")</f>
        <v>경북</v>
      </c>
    </row>
    <row r="1053" spans="1:12" ht="17.25" thickBot="1">
      <c r="A1053" s="3" t="s">
        <v>528</v>
      </c>
      <c r="B1053" s="3" t="s">
        <v>38</v>
      </c>
      <c r="C1053" s="3"/>
      <c r="D1053" s="4" t="s">
        <v>243</v>
      </c>
      <c r="E1053" s="4" t="s">
        <v>20</v>
      </c>
      <c r="F1053" s="4">
        <v>2016</v>
      </c>
      <c r="G1053" s="8">
        <v>0</v>
      </c>
      <c r="H1053" s="4" t="s">
        <v>20</v>
      </c>
      <c r="I1053" s="8">
        <v>1.6</v>
      </c>
      <c r="J1053" s="3">
        <v>12532</v>
      </c>
      <c r="K1053" s="3">
        <v>50109</v>
      </c>
      <c r="L1053" s="17" t="str" cm="1">
        <f t="array" ref="L1053">_xlfn.IFS(MID(K1053,2,2)="01", "서울", MID(K1053,2,2)="02","경기",MID(K1053,2,2)="03","충청",MID(K1053,2,2)="04","충청",MID(K1053,2,2)="05","전라",MID(K1053,2,2)="06","전라",MID(K1053,2,2)="07","경북",MID(K1053,2,2)="08","경남",MID(K1053,2,2)="09","강원",MID(K1053,2,2)="10","제주",TRUE,"국외")</f>
        <v>서울</v>
      </c>
    </row>
    <row r="1054" spans="1:12" ht="17.25" thickBot="1">
      <c r="A1054" s="3" t="s">
        <v>264</v>
      </c>
      <c r="B1054" s="3" t="s">
        <v>68</v>
      </c>
      <c r="C1054" s="3"/>
      <c r="D1054" s="4" t="s">
        <v>243</v>
      </c>
      <c r="E1054" s="4" t="s">
        <v>12</v>
      </c>
      <c r="F1054" s="4">
        <v>2016</v>
      </c>
      <c r="G1054" s="8">
        <v>-0.2</v>
      </c>
      <c r="H1054" s="4" t="s">
        <v>12</v>
      </c>
      <c r="I1054" s="8">
        <v>-0.2</v>
      </c>
      <c r="J1054" s="3">
        <v>12522</v>
      </c>
      <c r="K1054" s="3">
        <v>50101</v>
      </c>
      <c r="L1054" s="17" t="str" cm="1">
        <f t="array" ref="L1054">_xlfn.IFS(MID(K1054,2,2)="01", "서울", MID(K1054,2,2)="02","경기",MID(K1054,2,2)="03","충청",MID(K1054,2,2)="04","충청",MID(K1054,2,2)="05","전라",MID(K1054,2,2)="06","전라",MID(K1054,2,2)="07","경북",MID(K1054,2,2)="08","경남",MID(K1054,2,2)="09","강원",MID(K1054,2,2)="10","제주",TRUE,"국외")</f>
        <v>서울</v>
      </c>
    </row>
    <row r="1055" spans="1:12" ht="17.25" thickBot="1">
      <c r="A1055" s="3" t="s">
        <v>1170</v>
      </c>
      <c r="B1055" s="3" t="s">
        <v>101</v>
      </c>
      <c r="C1055" s="3"/>
      <c r="D1055" s="4" t="s">
        <v>243</v>
      </c>
      <c r="E1055" s="4" t="s">
        <v>607</v>
      </c>
      <c r="F1055" s="4">
        <v>2017</v>
      </c>
      <c r="G1055" s="9"/>
      <c r="H1055" s="4" t="s">
        <v>607</v>
      </c>
      <c r="I1055" s="8">
        <v>0.1</v>
      </c>
      <c r="J1055" s="3">
        <v>12571</v>
      </c>
      <c r="K1055" s="3">
        <v>50207</v>
      </c>
      <c r="L1055" s="17" t="str" cm="1">
        <f t="array" ref="L1055">_xlfn.IFS(MID(K1055,2,2)="01", "서울", MID(K1055,2,2)="02","경기",MID(K1055,2,2)="03","충청",MID(K1055,2,2)="04","충청",MID(K1055,2,2)="05","전라",MID(K1055,2,2)="06","전라",MID(K1055,2,2)="07","경북",MID(K1055,2,2)="08","경남",MID(K1055,2,2)="09","강원",MID(K1055,2,2)="10","제주",TRUE,"국외")</f>
        <v>경기</v>
      </c>
    </row>
    <row r="1056" spans="1:12" ht="17.25" thickBot="1">
      <c r="A1056" s="3" t="s">
        <v>1171</v>
      </c>
      <c r="B1056" s="3" t="s">
        <v>1</v>
      </c>
      <c r="C1056" s="3"/>
      <c r="D1056" s="4" t="s">
        <v>243</v>
      </c>
      <c r="E1056" s="4" t="s">
        <v>906</v>
      </c>
      <c r="F1056" s="4">
        <v>2016</v>
      </c>
      <c r="G1056" s="8">
        <v>0.1</v>
      </c>
      <c r="H1056" s="4" t="s">
        <v>18</v>
      </c>
      <c r="I1056" s="8">
        <v>-1.9</v>
      </c>
      <c r="J1056" s="3">
        <v>12567</v>
      </c>
      <c r="K1056" s="3">
        <v>50107</v>
      </c>
      <c r="L1056" s="17" t="str" cm="1">
        <f t="array" ref="L1056">_xlfn.IFS(MID(K1056,2,2)="01", "서울", MID(K1056,2,2)="02","경기",MID(K1056,2,2)="03","충청",MID(K1056,2,2)="04","충청",MID(K1056,2,2)="05","전라",MID(K1056,2,2)="06","전라",MID(K1056,2,2)="07","경북",MID(K1056,2,2)="08","경남",MID(K1056,2,2)="09","강원",MID(K1056,2,2)="10","제주",TRUE,"국외")</f>
        <v>서울</v>
      </c>
    </row>
    <row r="1057" spans="1:12" ht="17.25" thickBot="1">
      <c r="A1057" s="3" t="s">
        <v>1172</v>
      </c>
      <c r="B1057" s="3" t="s">
        <v>38</v>
      </c>
      <c r="C1057" s="3"/>
      <c r="D1057" s="4" t="s">
        <v>243</v>
      </c>
      <c r="E1057" s="4" t="s">
        <v>26</v>
      </c>
      <c r="F1057" s="4">
        <v>2017</v>
      </c>
      <c r="G1057" s="9"/>
      <c r="H1057" s="4" t="s">
        <v>26</v>
      </c>
      <c r="I1057" s="8">
        <v>7.3</v>
      </c>
      <c r="J1057" s="3">
        <v>12568</v>
      </c>
      <c r="K1057" s="3">
        <v>50109</v>
      </c>
      <c r="L1057" s="17" t="str" cm="1">
        <f t="array" ref="L1057">_xlfn.IFS(MID(K1057,2,2)="01", "서울", MID(K1057,2,2)="02","경기",MID(K1057,2,2)="03","충청",MID(K1057,2,2)="04","충청",MID(K1057,2,2)="05","전라",MID(K1057,2,2)="06","전라",MID(K1057,2,2)="07","경북",MID(K1057,2,2)="08","경남",MID(K1057,2,2)="09","강원",MID(K1057,2,2)="10","제주",TRUE,"국외")</f>
        <v>서울</v>
      </c>
    </row>
    <row r="1058" spans="1:12" ht="17.25" thickBot="1">
      <c r="A1058" s="3" t="s">
        <v>1173</v>
      </c>
      <c r="B1058" s="3" t="s">
        <v>93</v>
      </c>
      <c r="C1058" s="3"/>
      <c r="D1058" s="4" t="s">
        <v>243</v>
      </c>
      <c r="E1058" s="4" t="s">
        <v>9</v>
      </c>
      <c r="F1058" s="4">
        <v>2021</v>
      </c>
      <c r="G1058" s="9"/>
      <c r="H1058" s="4" t="s">
        <v>9</v>
      </c>
      <c r="I1058" s="8">
        <v>0.1</v>
      </c>
      <c r="J1058" s="3">
        <v>12569</v>
      </c>
      <c r="K1058" s="3">
        <v>50805</v>
      </c>
      <c r="L1058" s="17" t="str" cm="1">
        <f t="array" ref="L1058">_xlfn.IFS(MID(K1058,2,2)="01", "서울", MID(K1058,2,2)="02","경기",MID(K1058,2,2)="03","충청",MID(K1058,2,2)="04","충청",MID(K1058,2,2)="05","전라",MID(K1058,2,2)="06","전라",MID(K1058,2,2)="07","경북",MID(K1058,2,2)="08","경남",MID(K1058,2,2)="09","강원",MID(K1058,2,2)="10","제주",TRUE,"국외")</f>
        <v>경남</v>
      </c>
    </row>
    <row r="1059" spans="1:12" ht="17.25" thickBot="1">
      <c r="A1059" s="3" t="s">
        <v>1174</v>
      </c>
      <c r="B1059" s="3" t="s">
        <v>34</v>
      </c>
      <c r="C1059" s="3"/>
      <c r="D1059" s="4" t="s">
        <v>243</v>
      </c>
      <c r="E1059" s="4" t="s">
        <v>23</v>
      </c>
      <c r="F1059" s="4">
        <v>2016</v>
      </c>
      <c r="G1059" s="8">
        <v>-0.2</v>
      </c>
      <c r="H1059" s="4" t="s">
        <v>23</v>
      </c>
      <c r="I1059" s="8">
        <v>2.6</v>
      </c>
      <c r="J1059" s="3">
        <v>12530</v>
      </c>
      <c r="K1059" s="3">
        <v>50701</v>
      </c>
      <c r="L1059" s="17" t="str" cm="1">
        <f t="array" ref="L1059">_xlfn.IFS(MID(K1059,2,2)="01", "서울", MID(K1059,2,2)="02","경기",MID(K1059,2,2)="03","충청",MID(K1059,2,2)="04","충청",MID(K1059,2,2)="05","전라",MID(K1059,2,2)="06","전라",MID(K1059,2,2)="07","경북",MID(K1059,2,2)="08","경남",MID(K1059,2,2)="09","강원",MID(K1059,2,2)="10","제주",TRUE,"국외")</f>
        <v>경북</v>
      </c>
    </row>
    <row r="1060" spans="1:12" ht="17.25" thickBot="1">
      <c r="A1060" s="3" t="s">
        <v>1175</v>
      </c>
      <c r="B1060" s="3" t="s">
        <v>25</v>
      </c>
      <c r="C1060" s="3" t="s">
        <v>218</v>
      </c>
      <c r="D1060" s="4" t="s">
        <v>243</v>
      </c>
      <c r="E1060" s="4" t="s">
        <v>3</v>
      </c>
      <c r="F1060" s="4">
        <v>2016</v>
      </c>
      <c r="G1060" s="8">
        <v>-0.1</v>
      </c>
      <c r="H1060" s="4" t="s">
        <v>3</v>
      </c>
      <c r="I1060" s="8">
        <v>0.3</v>
      </c>
      <c r="J1060" s="3">
        <v>12570</v>
      </c>
      <c r="K1060" s="3">
        <v>50403</v>
      </c>
      <c r="L1060" s="17" t="str" cm="1">
        <f t="array" ref="L1060">_xlfn.IFS(MID(K1060,2,2)="01", "서울", MID(K1060,2,2)="02","경기",MID(K1060,2,2)="03","충청",MID(K1060,2,2)="04","충청",MID(K1060,2,2)="05","전라",MID(K1060,2,2)="06","전라",MID(K1060,2,2)="07","경북",MID(K1060,2,2)="08","경남",MID(K1060,2,2)="09","강원",MID(K1060,2,2)="10","제주",TRUE,"국외")</f>
        <v>충청</v>
      </c>
    </row>
    <row r="1061" spans="1:12" ht="17.25" thickBot="1">
      <c r="A1061" s="3" t="s">
        <v>123</v>
      </c>
      <c r="B1061" s="3" t="s">
        <v>1</v>
      </c>
      <c r="C1061" s="3"/>
      <c r="D1061" s="4" t="s">
        <v>254</v>
      </c>
      <c r="E1061" s="4" t="s">
        <v>6</v>
      </c>
      <c r="F1061" s="4">
        <v>2016</v>
      </c>
      <c r="G1061" s="8">
        <v>0.2</v>
      </c>
      <c r="H1061" s="4" t="s">
        <v>6</v>
      </c>
      <c r="I1061" s="8">
        <v>5</v>
      </c>
      <c r="J1061" s="3">
        <v>12534</v>
      </c>
      <c r="K1061" s="3">
        <v>50107</v>
      </c>
      <c r="L1061" s="17" t="str" cm="1">
        <f t="array" ref="L1061">_xlfn.IFS(MID(K1061,2,2)="01", "서울", MID(K1061,2,2)="02","경기",MID(K1061,2,2)="03","충청",MID(K1061,2,2)="04","충청",MID(K1061,2,2)="05","전라",MID(K1061,2,2)="06","전라",MID(K1061,2,2)="07","경북",MID(K1061,2,2)="08","경남",MID(K1061,2,2)="09","강원",MID(K1061,2,2)="10","제주",TRUE,"국외")</f>
        <v>서울</v>
      </c>
    </row>
    <row r="1062" spans="1:12" ht="17.25" thickBot="1">
      <c r="A1062" s="3" t="s">
        <v>1176</v>
      </c>
      <c r="B1062" s="3" t="s">
        <v>153</v>
      </c>
      <c r="C1062" s="3"/>
      <c r="D1062" s="4" t="s">
        <v>254</v>
      </c>
      <c r="E1062" s="4" t="s">
        <v>28</v>
      </c>
      <c r="F1062" s="4">
        <v>2016</v>
      </c>
      <c r="G1062" s="8">
        <v>-0.5</v>
      </c>
      <c r="H1062" s="4" t="s">
        <v>28</v>
      </c>
      <c r="I1062" s="8">
        <v>-1.2</v>
      </c>
      <c r="J1062" s="3">
        <v>12521</v>
      </c>
      <c r="K1062" s="3">
        <v>50210</v>
      </c>
      <c r="L1062" s="17" t="str" cm="1">
        <f t="array" ref="L1062">_xlfn.IFS(MID(K1062,2,2)="01", "서울", MID(K1062,2,2)="02","경기",MID(K1062,2,2)="03","충청",MID(K1062,2,2)="04","충청",MID(K1062,2,2)="05","전라",MID(K1062,2,2)="06","전라",MID(K1062,2,2)="07","경북",MID(K1062,2,2)="08","경남",MID(K1062,2,2)="09","강원",MID(K1062,2,2)="10","제주",TRUE,"국외")</f>
        <v>경기</v>
      </c>
    </row>
    <row r="1063" spans="1:12" ht="17.25" thickBot="1">
      <c r="A1063" s="3" t="s">
        <v>1177</v>
      </c>
      <c r="B1063" s="3" t="s">
        <v>5</v>
      </c>
      <c r="C1063" s="3"/>
      <c r="D1063" s="4" t="s">
        <v>254</v>
      </c>
      <c r="E1063" s="4" t="s">
        <v>20</v>
      </c>
      <c r="F1063" s="4">
        <v>2016</v>
      </c>
      <c r="G1063" s="8">
        <v>-0.2</v>
      </c>
      <c r="H1063" s="4" t="s">
        <v>20</v>
      </c>
      <c r="I1063" s="8">
        <v>-0.1</v>
      </c>
      <c r="J1063" s="3">
        <v>12544</v>
      </c>
      <c r="K1063" s="3">
        <v>50114</v>
      </c>
      <c r="L1063" s="17" t="str" cm="1">
        <f t="array" ref="L1063">_xlfn.IFS(MID(K1063,2,2)="01", "서울", MID(K1063,2,2)="02","경기",MID(K1063,2,2)="03","충청",MID(K1063,2,2)="04","충청",MID(K1063,2,2)="05","전라",MID(K1063,2,2)="06","전라",MID(K1063,2,2)="07","경북",MID(K1063,2,2)="08","경남",MID(K1063,2,2)="09","강원",MID(K1063,2,2)="10","제주",TRUE,"국외")</f>
        <v>서울</v>
      </c>
    </row>
    <row r="1064" spans="1:12" ht="17.25" thickBot="1">
      <c r="A1064" s="3" t="s">
        <v>1178</v>
      </c>
      <c r="B1064" s="3" t="s">
        <v>93</v>
      </c>
      <c r="C1064" s="3"/>
      <c r="D1064" s="4" t="s">
        <v>254</v>
      </c>
      <c r="E1064" s="4" t="s">
        <v>12</v>
      </c>
      <c r="F1064" s="4">
        <v>2016</v>
      </c>
      <c r="G1064" s="8">
        <v>0.5</v>
      </c>
      <c r="H1064" s="4" t="s">
        <v>12</v>
      </c>
      <c r="I1064" s="8">
        <v>1.6</v>
      </c>
      <c r="J1064" s="3">
        <v>12561</v>
      </c>
      <c r="K1064" s="3">
        <v>50805</v>
      </c>
      <c r="L1064" s="17" t="str" cm="1">
        <f t="array" ref="L1064">_xlfn.IFS(MID(K1064,2,2)="01", "서울", MID(K1064,2,2)="02","경기",MID(K1064,2,2)="03","충청",MID(K1064,2,2)="04","충청",MID(K1064,2,2)="05","전라",MID(K1064,2,2)="06","전라",MID(K1064,2,2)="07","경북",MID(K1064,2,2)="08","경남",MID(K1064,2,2)="09","강원",MID(K1064,2,2)="10","제주",TRUE,"국외")</f>
        <v>경남</v>
      </c>
    </row>
    <row r="1065" spans="1:12" ht="17.25" thickBot="1">
      <c r="A1065" s="3" t="s">
        <v>1179</v>
      </c>
      <c r="B1065" s="3" t="s">
        <v>1</v>
      </c>
      <c r="C1065" s="3"/>
      <c r="D1065" s="4" t="s">
        <v>254</v>
      </c>
      <c r="E1065" s="4" t="s">
        <v>607</v>
      </c>
      <c r="F1065" s="4">
        <v>2016</v>
      </c>
      <c r="G1065" s="8">
        <v>-0.1</v>
      </c>
      <c r="H1065" s="4" t="s">
        <v>607</v>
      </c>
      <c r="I1065" s="8">
        <v>-0.1</v>
      </c>
      <c r="J1065" s="3">
        <v>12612</v>
      </c>
      <c r="K1065" s="3">
        <v>50107</v>
      </c>
      <c r="L1065" s="17" t="str" cm="1">
        <f t="array" ref="L1065">_xlfn.IFS(MID(K1065,2,2)="01", "서울", MID(K1065,2,2)="02","경기",MID(K1065,2,2)="03","충청",MID(K1065,2,2)="04","충청",MID(K1065,2,2)="05","전라",MID(K1065,2,2)="06","전라",MID(K1065,2,2)="07","경북",MID(K1065,2,2)="08","경남",MID(K1065,2,2)="09","강원",MID(K1065,2,2)="10","제주",TRUE,"국외")</f>
        <v>서울</v>
      </c>
    </row>
    <row r="1066" spans="1:12" ht="17.25" thickBot="1">
      <c r="A1066" s="3" t="s">
        <v>1180</v>
      </c>
      <c r="B1066" s="3" t="s">
        <v>40</v>
      </c>
      <c r="C1066" s="3"/>
      <c r="D1066" s="4" t="s">
        <v>254</v>
      </c>
      <c r="E1066" s="4" t="s">
        <v>906</v>
      </c>
      <c r="F1066" s="4"/>
      <c r="G1066" s="9"/>
      <c r="H1066" s="4"/>
      <c r="I1066" s="9"/>
      <c r="J1066" s="3">
        <v>12627</v>
      </c>
      <c r="K1066" s="3">
        <v>50108</v>
      </c>
      <c r="L1066" s="17" t="str" cm="1">
        <f t="array" ref="L1066">_xlfn.IFS(MID(K1066,2,2)="01", "서울", MID(K1066,2,2)="02","경기",MID(K1066,2,2)="03","충청",MID(K1066,2,2)="04","충청",MID(K1066,2,2)="05","전라",MID(K1066,2,2)="06","전라",MID(K1066,2,2)="07","경북",MID(K1066,2,2)="08","경남",MID(K1066,2,2)="09","강원",MID(K1066,2,2)="10","제주",TRUE,"국외")</f>
        <v>서울</v>
      </c>
    </row>
    <row r="1067" spans="1:12" ht="17.25" thickBot="1">
      <c r="A1067" s="3" t="s">
        <v>1181</v>
      </c>
      <c r="B1067" s="3" t="s">
        <v>128</v>
      </c>
      <c r="C1067" s="3" t="s">
        <v>208</v>
      </c>
      <c r="D1067" s="4" t="s">
        <v>254</v>
      </c>
      <c r="E1067" s="4" t="s">
        <v>26</v>
      </c>
      <c r="F1067" s="4">
        <v>2016</v>
      </c>
      <c r="G1067" s="8">
        <v>-0.3</v>
      </c>
      <c r="H1067" s="4" t="s">
        <v>26</v>
      </c>
      <c r="I1067" s="8">
        <v>2.4</v>
      </c>
      <c r="J1067" s="3">
        <v>12524</v>
      </c>
      <c r="K1067" s="3">
        <v>50901</v>
      </c>
      <c r="L1067" s="17" t="str" cm="1">
        <f t="array" ref="L1067">_xlfn.IFS(MID(K1067,2,2)="01", "서울", MID(K1067,2,2)="02","경기",MID(K1067,2,2)="03","충청",MID(K1067,2,2)="04","충청",MID(K1067,2,2)="05","전라",MID(K1067,2,2)="06","전라",MID(K1067,2,2)="07","경북",MID(K1067,2,2)="08","경남",MID(K1067,2,2)="09","강원",MID(K1067,2,2)="10","제주",TRUE,"국외")</f>
        <v>강원</v>
      </c>
    </row>
    <row r="1068" spans="1:12" ht="17.25" thickBot="1">
      <c r="A1068" s="3" t="s">
        <v>1182</v>
      </c>
      <c r="B1068" s="3" t="s">
        <v>169</v>
      </c>
      <c r="C1068" s="3"/>
      <c r="D1068" s="4" t="s">
        <v>254</v>
      </c>
      <c r="E1068" s="4" t="s">
        <v>9</v>
      </c>
      <c r="F1068" s="4">
        <v>2016</v>
      </c>
      <c r="G1068" s="9"/>
      <c r="H1068" s="4" t="s">
        <v>9</v>
      </c>
      <c r="I1068" s="8">
        <v>0</v>
      </c>
      <c r="J1068" s="3">
        <v>12590</v>
      </c>
      <c r="K1068" s="3">
        <v>50606</v>
      </c>
      <c r="L1068" s="17" t="str" cm="1">
        <f t="array" ref="L1068">_xlfn.IFS(MID(K1068,2,2)="01", "서울", MID(K1068,2,2)="02","경기",MID(K1068,2,2)="03","충청",MID(K1068,2,2)="04","충청",MID(K1068,2,2)="05","전라",MID(K1068,2,2)="06","전라",MID(K1068,2,2)="07","경북",MID(K1068,2,2)="08","경남",MID(K1068,2,2)="09","강원",MID(K1068,2,2)="10","제주",TRUE,"국외")</f>
        <v>전라</v>
      </c>
    </row>
    <row r="1069" spans="1:12" ht="17.25" thickBot="1">
      <c r="A1069" s="3" t="s">
        <v>1183</v>
      </c>
      <c r="B1069" s="3" t="s">
        <v>128</v>
      </c>
      <c r="C1069" s="3"/>
      <c r="D1069" s="4" t="s">
        <v>254</v>
      </c>
      <c r="E1069" s="4" t="s">
        <v>23</v>
      </c>
      <c r="F1069" s="4">
        <v>2016</v>
      </c>
      <c r="G1069" s="8">
        <v>0.1</v>
      </c>
      <c r="H1069" s="4" t="s">
        <v>23</v>
      </c>
      <c r="I1069" s="8">
        <v>0.5</v>
      </c>
      <c r="J1069" s="3">
        <v>12637</v>
      </c>
      <c r="K1069" s="3">
        <v>50901</v>
      </c>
      <c r="L1069" s="17" t="str" cm="1">
        <f t="array" ref="L1069">_xlfn.IFS(MID(K1069,2,2)="01", "서울", MID(K1069,2,2)="02","경기",MID(K1069,2,2)="03","충청",MID(K1069,2,2)="04","충청",MID(K1069,2,2)="05","전라",MID(K1069,2,2)="06","전라",MID(K1069,2,2)="07","경북",MID(K1069,2,2)="08","경남",MID(K1069,2,2)="09","강원",MID(K1069,2,2)="10","제주",TRUE,"국외")</f>
        <v>강원</v>
      </c>
    </row>
    <row r="1070" spans="1:12" ht="17.25" thickBot="1">
      <c r="A1070" s="3" t="s">
        <v>1184</v>
      </c>
      <c r="B1070" s="3" t="s">
        <v>1</v>
      </c>
      <c r="C1070" s="3" t="s">
        <v>174</v>
      </c>
      <c r="D1070" s="4" t="s">
        <v>254</v>
      </c>
      <c r="E1070" s="4" t="s">
        <v>3</v>
      </c>
      <c r="F1070" s="4">
        <v>2016</v>
      </c>
      <c r="G1070" s="8">
        <v>-0.1</v>
      </c>
      <c r="H1070" s="4" t="s">
        <v>3</v>
      </c>
      <c r="I1070" s="8">
        <v>1.4</v>
      </c>
      <c r="J1070" s="3">
        <v>12547</v>
      </c>
      <c r="K1070" s="3">
        <v>50107</v>
      </c>
      <c r="L1070" s="17" t="str" cm="1">
        <f t="array" ref="L1070">_xlfn.IFS(MID(K1070,2,2)="01", "서울", MID(K1070,2,2)="02","경기",MID(K1070,2,2)="03","충청",MID(K1070,2,2)="04","충청",MID(K1070,2,2)="05","전라",MID(K1070,2,2)="06","전라",MID(K1070,2,2)="07","경북",MID(K1070,2,2)="08","경남",MID(K1070,2,2)="09","강원",MID(K1070,2,2)="10","제주",TRUE,"국외")</f>
        <v>서울</v>
      </c>
    </row>
    <row r="1071" spans="1:12" ht="17.25" thickBot="1">
      <c r="A1071" s="3" t="s">
        <v>1185</v>
      </c>
      <c r="B1071" s="3" t="s">
        <v>50</v>
      </c>
      <c r="C1071" s="3"/>
      <c r="D1071" s="4" t="s">
        <v>254</v>
      </c>
      <c r="E1071" s="4" t="s">
        <v>6</v>
      </c>
      <c r="F1071" s="4">
        <v>2017</v>
      </c>
      <c r="G1071" s="9"/>
      <c r="H1071" s="4" t="s">
        <v>6</v>
      </c>
      <c r="I1071" s="8">
        <v>-0.5</v>
      </c>
      <c r="J1071" s="3">
        <v>12535</v>
      </c>
      <c r="K1071" s="3">
        <v>50301</v>
      </c>
      <c r="L1071" s="17" t="str" cm="1">
        <f t="array" ref="L1071">_xlfn.IFS(MID(K1071,2,2)="01", "서울", MID(K1071,2,2)="02","경기",MID(K1071,2,2)="03","충청",MID(K1071,2,2)="04","충청",MID(K1071,2,2)="05","전라",MID(K1071,2,2)="06","전라",MID(K1071,2,2)="07","경북",MID(K1071,2,2)="08","경남",MID(K1071,2,2)="09","강원",MID(K1071,2,2)="10","제주",TRUE,"국외")</f>
        <v>충청</v>
      </c>
    </row>
    <row r="1072" spans="1:12" ht="17.25" thickBot="1">
      <c r="A1072" s="3" t="s">
        <v>1186</v>
      </c>
      <c r="B1072" s="3" t="s">
        <v>464</v>
      </c>
      <c r="C1072" s="3"/>
      <c r="D1072" s="4" t="s">
        <v>254</v>
      </c>
      <c r="E1072" s="4" t="s">
        <v>28</v>
      </c>
      <c r="F1072" s="4">
        <v>2020</v>
      </c>
      <c r="G1072" s="9"/>
      <c r="H1072" s="4" t="s">
        <v>28</v>
      </c>
      <c r="I1072" s="8">
        <v>0</v>
      </c>
      <c r="J1072" s="3">
        <v>12573</v>
      </c>
      <c r="K1072" s="3">
        <v>50706</v>
      </c>
      <c r="L1072" s="17" t="str" cm="1">
        <f t="array" ref="L1072">_xlfn.IFS(MID(K1072,2,2)="01", "서울", MID(K1072,2,2)="02","경기",MID(K1072,2,2)="03","충청",MID(K1072,2,2)="04","충청",MID(K1072,2,2)="05","전라",MID(K1072,2,2)="06","전라",MID(K1072,2,2)="07","경북",MID(K1072,2,2)="08","경남",MID(K1072,2,2)="09","강원",MID(K1072,2,2)="10","제주",TRUE,"국외")</f>
        <v>경북</v>
      </c>
    </row>
    <row r="1073" spans="1:12" ht="17.25" thickBot="1">
      <c r="A1073" s="3" t="s">
        <v>1187</v>
      </c>
      <c r="B1073" s="3" t="s">
        <v>8</v>
      </c>
      <c r="C1073" s="3"/>
      <c r="D1073" s="4" t="s">
        <v>254</v>
      </c>
      <c r="E1073" s="4" t="s">
        <v>20</v>
      </c>
      <c r="F1073" s="4">
        <v>2017</v>
      </c>
      <c r="G1073" s="9"/>
      <c r="H1073" s="4" t="s">
        <v>20</v>
      </c>
      <c r="I1073" s="8">
        <v>-0.3</v>
      </c>
      <c r="J1073" s="3">
        <v>12545</v>
      </c>
      <c r="K1073" s="3">
        <v>50116</v>
      </c>
      <c r="L1073" s="17" t="str" cm="1">
        <f t="array" ref="L1073">_xlfn.IFS(MID(K1073,2,2)="01", "서울", MID(K1073,2,2)="02","경기",MID(K1073,2,2)="03","충청",MID(K1073,2,2)="04","충청",MID(K1073,2,2)="05","전라",MID(K1073,2,2)="06","전라",MID(K1073,2,2)="07","경북",MID(K1073,2,2)="08","경남",MID(K1073,2,2)="09","강원",MID(K1073,2,2)="10","제주",TRUE,"국외")</f>
        <v>서울</v>
      </c>
    </row>
    <row r="1074" spans="1:12" ht="17.25" thickBot="1">
      <c r="A1074" s="3" t="s">
        <v>1188</v>
      </c>
      <c r="B1074" s="3" t="s">
        <v>358</v>
      </c>
      <c r="C1074" s="3"/>
      <c r="D1074" s="4" t="s">
        <v>254</v>
      </c>
      <c r="E1074" s="4" t="s">
        <v>12</v>
      </c>
      <c r="F1074" s="4">
        <v>2016</v>
      </c>
      <c r="G1074" s="8">
        <v>0.1</v>
      </c>
      <c r="H1074" s="4" t="s">
        <v>12</v>
      </c>
      <c r="I1074" s="8">
        <v>4</v>
      </c>
      <c r="J1074" s="3">
        <v>12565</v>
      </c>
      <c r="K1074" s="3">
        <v>50902</v>
      </c>
      <c r="L1074" s="17" t="str" cm="1">
        <f t="array" ref="L1074">_xlfn.IFS(MID(K1074,2,2)="01", "서울", MID(K1074,2,2)="02","경기",MID(K1074,2,2)="03","충청",MID(K1074,2,2)="04","충청",MID(K1074,2,2)="05","전라",MID(K1074,2,2)="06","전라",MID(K1074,2,2)="07","경북",MID(K1074,2,2)="08","경남",MID(K1074,2,2)="09","강원",MID(K1074,2,2)="10","제주",TRUE,"국외")</f>
        <v>강원</v>
      </c>
    </row>
    <row r="1075" spans="1:12" ht="17.25" thickBot="1">
      <c r="A1075" s="3" t="s">
        <v>1189</v>
      </c>
      <c r="B1075" s="3" t="s">
        <v>40</v>
      </c>
      <c r="C1075" s="3" t="s">
        <v>45</v>
      </c>
      <c r="D1075" s="4" t="s">
        <v>254</v>
      </c>
      <c r="E1075" s="4" t="s">
        <v>607</v>
      </c>
      <c r="F1075" s="4">
        <v>2016</v>
      </c>
      <c r="G1075" s="8">
        <v>1.1000000000000001</v>
      </c>
      <c r="H1075" s="4" t="s">
        <v>607</v>
      </c>
      <c r="I1075" s="8">
        <v>0.7</v>
      </c>
      <c r="J1075" s="3">
        <v>12531</v>
      </c>
      <c r="K1075" s="3">
        <v>50108</v>
      </c>
      <c r="L1075" s="17" t="str" cm="1">
        <f t="array" ref="L1075">_xlfn.IFS(MID(K1075,2,2)="01", "서울", MID(K1075,2,2)="02","경기",MID(K1075,2,2)="03","충청",MID(K1075,2,2)="04","충청",MID(K1075,2,2)="05","전라",MID(K1075,2,2)="06","전라",MID(K1075,2,2)="07","경북",MID(K1075,2,2)="08","경남",MID(K1075,2,2)="09","강원",MID(K1075,2,2)="10","제주",TRUE,"국외")</f>
        <v>서울</v>
      </c>
    </row>
    <row r="1076" spans="1:12" ht="17.25" thickBot="1">
      <c r="A1076" s="3" t="s">
        <v>1190</v>
      </c>
      <c r="B1076" s="3" t="s">
        <v>241</v>
      </c>
      <c r="C1076" s="3"/>
      <c r="D1076" s="4" t="s">
        <v>254</v>
      </c>
      <c r="E1076" s="4" t="s">
        <v>906</v>
      </c>
      <c r="F1076" s="4"/>
      <c r="G1076" s="9"/>
      <c r="H1076" s="4"/>
      <c r="I1076" s="9"/>
      <c r="J1076" s="3">
        <v>12628</v>
      </c>
      <c r="K1076" s="3">
        <v>50202</v>
      </c>
      <c r="L1076" s="17" t="str" cm="1">
        <f t="array" ref="L1076">_xlfn.IFS(MID(K1076,2,2)="01", "서울", MID(K1076,2,2)="02","경기",MID(K1076,2,2)="03","충청",MID(K1076,2,2)="04","충청",MID(K1076,2,2)="05","전라",MID(K1076,2,2)="06","전라",MID(K1076,2,2)="07","경북",MID(K1076,2,2)="08","경남",MID(K1076,2,2)="09","강원",MID(K1076,2,2)="10","제주",TRUE,"국외")</f>
        <v>경기</v>
      </c>
    </row>
    <row r="1077" spans="1:12" ht="17.25" thickBot="1">
      <c r="A1077" s="3" t="s">
        <v>1191</v>
      </c>
      <c r="B1077" s="3" t="s">
        <v>332</v>
      </c>
      <c r="C1077" s="3"/>
      <c r="D1077" s="4" t="s">
        <v>254</v>
      </c>
      <c r="E1077" s="4" t="s">
        <v>26</v>
      </c>
      <c r="F1077" s="4">
        <v>2017</v>
      </c>
      <c r="G1077" s="9"/>
      <c r="H1077" s="4" t="s">
        <v>26</v>
      </c>
      <c r="I1077" s="8">
        <v>-0.2</v>
      </c>
      <c r="J1077" s="3">
        <v>12604</v>
      </c>
      <c r="K1077" s="3">
        <v>50705</v>
      </c>
      <c r="L1077" s="17" t="str" cm="1">
        <f t="array" ref="L1077">_xlfn.IFS(MID(K1077,2,2)="01", "서울", MID(K1077,2,2)="02","경기",MID(K1077,2,2)="03","충청",MID(K1077,2,2)="04","충청",MID(K1077,2,2)="05","전라",MID(K1077,2,2)="06","전라",MID(K1077,2,2)="07","경북",MID(K1077,2,2)="08","경남",MID(K1077,2,2)="09","강원",MID(K1077,2,2)="10","제주",TRUE,"국외")</f>
        <v>경북</v>
      </c>
    </row>
    <row r="1078" spans="1:12" ht="17.25" thickBot="1">
      <c r="A1078" s="3" t="s">
        <v>1192</v>
      </c>
      <c r="B1078" s="3" t="s">
        <v>81</v>
      </c>
      <c r="C1078" s="3" t="s">
        <v>172</v>
      </c>
      <c r="D1078" s="4" t="s">
        <v>254</v>
      </c>
      <c r="E1078" s="4" t="s">
        <v>9</v>
      </c>
      <c r="F1078" s="4"/>
      <c r="G1078" s="9"/>
      <c r="H1078" s="4"/>
      <c r="I1078" s="9"/>
      <c r="J1078" s="3">
        <v>12591</v>
      </c>
      <c r="K1078" s="3">
        <v>50105</v>
      </c>
      <c r="L1078" s="17" t="str" cm="1">
        <f t="array" ref="L1078">_xlfn.IFS(MID(K1078,2,2)="01", "서울", MID(K1078,2,2)="02","경기",MID(K1078,2,2)="03","충청",MID(K1078,2,2)="04","충청",MID(K1078,2,2)="05","전라",MID(K1078,2,2)="06","전라",MID(K1078,2,2)="07","경북",MID(K1078,2,2)="08","경남",MID(K1078,2,2)="09","강원",MID(K1078,2,2)="10","제주",TRUE,"국외")</f>
        <v>서울</v>
      </c>
    </row>
    <row r="1079" spans="1:12" ht="17.25" thickBot="1">
      <c r="A1079" s="3" t="s">
        <v>1193</v>
      </c>
      <c r="B1079" s="3"/>
      <c r="C1079" s="3"/>
      <c r="D1079" s="4" t="s">
        <v>254</v>
      </c>
      <c r="E1079" s="4" t="s">
        <v>23</v>
      </c>
      <c r="F1079" s="4">
        <v>2019</v>
      </c>
      <c r="G1079" s="9"/>
      <c r="H1079" s="4" t="s">
        <v>607</v>
      </c>
      <c r="I1079" s="8">
        <v>0.2</v>
      </c>
      <c r="J1079" s="3">
        <v>12550</v>
      </c>
      <c r="K1079" s="3"/>
      <c r="L1079" s="17" t="str" cm="1">
        <f t="array" ref="L1079">_xlfn.IFS(MID(K1079,2,2)="01", "서울", MID(K1079,2,2)="02","경기",MID(K1079,2,2)="03","충청",MID(K1079,2,2)="04","충청",MID(K1079,2,2)="05","전라",MID(K1079,2,2)="06","전라",MID(K1079,2,2)="07","경북",MID(K1079,2,2)="08","경남",MID(K1079,2,2)="09","강원",MID(K1079,2,2)="10","제주",TRUE,"국외")</f>
        <v>국외</v>
      </c>
    </row>
    <row r="1080" spans="1:12" ht="17.25" thickBot="1">
      <c r="A1080" s="3" t="s">
        <v>1194</v>
      </c>
      <c r="B1080" s="3" t="s">
        <v>332</v>
      </c>
      <c r="C1080" s="3"/>
      <c r="D1080" s="4" t="s">
        <v>254</v>
      </c>
      <c r="E1080" s="4" t="s">
        <v>3</v>
      </c>
      <c r="F1080" s="4">
        <v>2016</v>
      </c>
      <c r="G1080" s="8">
        <v>0</v>
      </c>
      <c r="H1080" s="4" t="s">
        <v>3</v>
      </c>
      <c r="I1080" s="8">
        <v>-0.8</v>
      </c>
      <c r="J1080" s="3">
        <v>12526</v>
      </c>
      <c r="K1080" s="3">
        <v>50705</v>
      </c>
      <c r="L1080" s="17" t="str" cm="1">
        <f t="array" ref="L1080">_xlfn.IFS(MID(K1080,2,2)="01", "서울", MID(K1080,2,2)="02","경기",MID(K1080,2,2)="03","충청",MID(K1080,2,2)="04","충청",MID(K1080,2,2)="05","전라",MID(K1080,2,2)="06","전라",MID(K1080,2,2)="07","경북",MID(K1080,2,2)="08","경남",MID(K1080,2,2)="09","강원",MID(K1080,2,2)="10","제주",TRUE,"국외")</f>
        <v>경북</v>
      </c>
    </row>
    <row r="1081" spans="1:12" ht="17.25" thickBot="1">
      <c r="A1081" s="3" t="s">
        <v>1195</v>
      </c>
      <c r="B1081" s="3" t="s">
        <v>8</v>
      </c>
      <c r="C1081" s="3"/>
      <c r="D1081" s="4" t="s">
        <v>254</v>
      </c>
      <c r="E1081" s="4" t="s">
        <v>6</v>
      </c>
      <c r="F1081" s="4">
        <v>2016</v>
      </c>
      <c r="G1081" s="8">
        <v>0.4</v>
      </c>
      <c r="H1081" s="4" t="s">
        <v>6</v>
      </c>
      <c r="I1081" s="8">
        <v>0.3</v>
      </c>
      <c r="J1081" s="3">
        <v>12536</v>
      </c>
      <c r="K1081" s="3">
        <v>50116</v>
      </c>
      <c r="L1081" s="17" t="str" cm="1">
        <f t="array" ref="L1081">_xlfn.IFS(MID(K1081,2,2)="01", "서울", MID(K1081,2,2)="02","경기",MID(K1081,2,2)="03","충청",MID(K1081,2,2)="04","충청",MID(K1081,2,2)="05","전라",MID(K1081,2,2)="06","전라",MID(K1081,2,2)="07","경북",MID(K1081,2,2)="08","경남",MID(K1081,2,2)="09","강원",MID(K1081,2,2)="10","제주",TRUE,"국외")</f>
        <v>서울</v>
      </c>
    </row>
    <row r="1082" spans="1:12" ht="17.25" thickBot="1">
      <c r="A1082" s="3" t="s">
        <v>1196</v>
      </c>
      <c r="B1082" s="3" t="s">
        <v>68</v>
      </c>
      <c r="C1082" s="3"/>
      <c r="D1082" s="4" t="s">
        <v>254</v>
      </c>
      <c r="E1082" s="4" t="s">
        <v>28</v>
      </c>
      <c r="F1082" s="4">
        <v>2018</v>
      </c>
      <c r="G1082" s="9"/>
      <c r="H1082" s="4" t="s">
        <v>18</v>
      </c>
      <c r="I1082" s="8">
        <v>0</v>
      </c>
      <c r="J1082" s="3">
        <v>12574</v>
      </c>
      <c r="K1082" s="3">
        <v>50101</v>
      </c>
      <c r="L1082" s="17" t="str" cm="1">
        <f t="array" ref="L1082">_xlfn.IFS(MID(K1082,2,2)="01", "서울", MID(K1082,2,2)="02","경기",MID(K1082,2,2)="03","충청",MID(K1082,2,2)="04","충청",MID(K1082,2,2)="05","전라",MID(K1082,2,2)="06","전라",MID(K1082,2,2)="07","경북",MID(K1082,2,2)="08","경남",MID(K1082,2,2)="09","강원",MID(K1082,2,2)="10","제주",TRUE,"국외")</f>
        <v>서울</v>
      </c>
    </row>
    <row r="1083" spans="1:12" ht="17.25" thickBot="1">
      <c r="A1083" s="3" t="s">
        <v>1197</v>
      </c>
      <c r="B1083" s="3" t="s">
        <v>126</v>
      </c>
      <c r="C1083" s="3" t="s">
        <v>208</v>
      </c>
      <c r="D1083" s="4" t="s">
        <v>254</v>
      </c>
      <c r="E1083" s="4" t="s">
        <v>20</v>
      </c>
      <c r="F1083" s="4">
        <v>2016</v>
      </c>
      <c r="G1083" s="8">
        <v>-0.1</v>
      </c>
      <c r="H1083" s="4" t="s">
        <v>20</v>
      </c>
      <c r="I1083" s="8">
        <v>23.8</v>
      </c>
      <c r="J1083" s="3">
        <v>12546</v>
      </c>
      <c r="K1083" s="3">
        <v>50206</v>
      </c>
      <c r="L1083" s="17" t="str" cm="1">
        <f t="array" ref="L1083">_xlfn.IFS(MID(K1083,2,2)="01", "서울", MID(K1083,2,2)="02","경기",MID(K1083,2,2)="03","충청",MID(K1083,2,2)="04","충청",MID(K1083,2,2)="05","전라",MID(K1083,2,2)="06","전라",MID(K1083,2,2)="07","경북",MID(K1083,2,2)="08","경남",MID(K1083,2,2)="09","강원",MID(K1083,2,2)="10","제주",TRUE,"국외")</f>
        <v>경기</v>
      </c>
    </row>
    <row r="1084" spans="1:12" ht="17.25" thickBot="1">
      <c r="A1084" s="3" t="s">
        <v>672</v>
      </c>
      <c r="B1084" s="3" t="s">
        <v>147</v>
      </c>
      <c r="C1084" s="3"/>
      <c r="D1084" s="4" t="s">
        <v>254</v>
      </c>
      <c r="E1084" s="4" t="s">
        <v>12</v>
      </c>
      <c r="F1084" s="4"/>
      <c r="G1084" s="9"/>
      <c r="H1084" s="4"/>
      <c r="I1084" s="9"/>
      <c r="J1084" s="3">
        <v>12620</v>
      </c>
      <c r="K1084" s="3">
        <v>50208</v>
      </c>
      <c r="L1084" s="17" t="str" cm="1">
        <f t="array" ref="L1084">_xlfn.IFS(MID(K1084,2,2)="01", "서울", MID(K1084,2,2)="02","경기",MID(K1084,2,2)="03","충청",MID(K1084,2,2)="04","충청",MID(K1084,2,2)="05","전라",MID(K1084,2,2)="06","전라",MID(K1084,2,2)="07","경북",MID(K1084,2,2)="08","경남",MID(K1084,2,2)="09","강원",MID(K1084,2,2)="10","제주",TRUE,"국외")</f>
        <v>경기</v>
      </c>
    </row>
    <row r="1085" spans="1:12" ht="17.25" thickBot="1">
      <c r="A1085" s="3" t="s">
        <v>1198</v>
      </c>
      <c r="B1085" s="3" t="s">
        <v>63</v>
      </c>
      <c r="C1085" s="3"/>
      <c r="D1085" s="4" t="s">
        <v>254</v>
      </c>
      <c r="E1085" s="4" t="s">
        <v>607</v>
      </c>
      <c r="F1085" s="4">
        <v>2018</v>
      </c>
      <c r="G1085" s="9"/>
      <c r="H1085" s="4" t="s">
        <v>15</v>
      </c>
      <c r="I1085" s="8">
        <v>0.3</v>
      </c>
      <c r="J1085" s="3">
        <v>12613</v>
      </c>
      <c r="K1085" s="3">
        <v>50807</v>
      </c>
      <c r="L1085" s="17" t="str" cm="1">
        <f t="array" ref="L1085">_xlfn.IFS(MID(K1085,2,2)="01", "서울", MID(K1085,2,2)="02","경기",MID(K1085,2,2)="03","충청",MID(K1085,2,2)="04","충청",MID(K1085,2,2)="05","전라",MID(K1085,2,2)="06","전라",MID(K1085,2,2)="07","경북",MID(K1085,2,2)="08","경남",MID(K1085,2,2)="09","강원",MID(K1085,2,2)="10","제주",TRUE,"국외")</f>
        <v>경남</v>
      </c>
    </row>
    <row r="1086" spans="1:12" ht="17.25" thickBot="1">
      <c r="A1086" s="3" t="s">
        <v>1199</v>
      </c>
      <c r="B1086" s="3" t="s">
        <v>241</v>
      </c>
      <c r="C1086" s="3"/>
      <c r="D1086" s="4" t="s">
        <v>254</v>
      </c>
      <c r="E1086" s="4" t="s">
        <v>906</v>
      </c>
      <c r="F1086" s="4"/>
      <c r="G1086" s="9"/>
      <c r="H1086" s="4"/>
      <c r="I1086" s="9"/>
      <c r="J1086" s="3">
        <v>12629</v>
      </c>
      <c r="K1086" s="3">
        <v>50202</v>
      </c>
      <c r="L1086" s="17" t="str" cm="1">
        <f t="array" ref="L1086">_xlfn.IFS(MID(K1086,2,2)="01", "서울", MID(K1086,2,2)="02","경기",MID(K1086,2,2)="03","충청",MID(K1086,2,2)="04","충청",MID(K1086,2,2)="05","전라",MID(K1086,2,2)="06","전라",MID(K1086,2,2)="07","경북",MID(K1086,2,2)="08","경남",MID(K1086,2,2)="09","강원",MID(K1086,2,2)="10","제주",TRUE,"국외")</f>
        <v>경기</v>
      </c>
    </row>
    <row r="1087" spans="1:12" ht="17.25" thickBot="1">
      <c r="A1087" s="3" t="s">
        <v>1200</v>
      </c>
      <c r="B1087" s="3" t="s">
        <v>11</v>
      </c>
      <c r="C1087" s="3" t="s">
        <v>346</v>
      </c>
      <c r="D1087" s="4" t="s">
        <v>254</v>
      </c>
      <c r="E1087" s="4" t="s">
        <v>26</v>
      </c>
      <c r="F1087" s="4">
        <v>2016</v>
      </c>
      <c r="G1087" s="8">
        <v>0</v>
      </c>
      <c r="H1087" s="4" t="s">
        <v>26</v>
      </c>
      <c r="I1087" s="8">
        <v>-0.1</v>
      </c>
      <c r="J1087" s="3">
        <v>12605</v>
      </c>
      <c r="K1087" s="3">
        <v>50802</v>
      </c>
      <c r="L1087" s="17" t="str" cm="1">
        <f t="array" ref="L1087">_xlfn.IFS(MID(K1087,2,2)="01", "서울", MID(K1087,2,2)="02","경기",MID(K1087,2,2)="03","충청",MID(K1087,2,2)="04","충청",MID(K1087,2,2)="05","전라",MID(K1087,2,2)="06","전라",MID(K1087,2,2)="07","경북",MID(K1087,2,2)="08","경남",MID(K1087,2,2)="09","강원",MID(K1087,2,2)="10","제주",TRUE,"국외")</f>
        <v>경남</v>
      </c>
    </row>
    <row r="1088" spans="1:12" ht="17.25" thickBot="1">
      <c r="A1088" s="3" t="s">
        <v>1201</v>
      </c>
      <c r="B1088" s="3" t="s">
        <v>70</v>
      </c>
      <c r="C1088" s="3"/>
      <c r="D1088" s="4" t="s">
        <v>254</v>
      </c>
      <c r="E1088" s="4" t="s">
        <v>9</v>
      </c>
      <c r="F1088" s="4">
        <v>2016</v>
      </c>
      <c r="G1088" s="8">
        <v>0.2</v>
      </c>
      <c r="H1088" s="4" t="s">
        <v>9</v>
      </c>
      <c r="I1088" s="8">
        <v>1.4</v>
      </c>
      <c r="J1088" s="3">
        <v>12592</v>
      </c>
      <c r="K1088" s="3">
        <v>50103</v>
      </c>
      <c r="L1088" s="17" t="str" cm="1">
        <f t="array" ref="L1088">_xlfn.IFS(MID(K1088,2,2)="01", "서울", MID(K1088,2,2)="02","경기",MID(K1088,2,2)="03","충청",MID(K1088,2,2)="04","충청",MID(K1088,2,2)="05","전라",MID(K1088,2,2)="06","전라",MID(K1088,2,2)="07","경북",MID(K1088,2,2)="08","경남",MID(K1088,2,2)="09","강원",MID(K1088,2,2)="10","제주",TRUE,"국외")</f>
        <v>서울</v>
      </c>
    </row>
    <row r="1089" spans="1:12" ht="17.25" thickBot="1">
      <c r="A1089" s="3" t="s">
        <v>1202</v>
      </c>
      <c r="B1089" s="3" t="s">
        <v>112</v>
      </c>
      <c r="C1089" s="3" t="s">
        <v>156</v>
      </c>
      <c r="D1089" s="4" t="s">
        <v>254</v>
      </c>
      <c r="E1089" s="4" t="s">
        <v>23</v>
      </c>
      <c r="F1089" s="4">
        <v>2016</v>
      </c>
      <c r="G1089" s="8">
        <v>0.2</v>
      </c>
      <c r="H1089" s="4" t="s">
        <v>23</v>
      </c>
      <c r="I1089" s="8">
        <v>-0.1</v>
      </c>
      <c r="J1089" s="3">
        <v>12558</v>
      </c>
      <c r="K1089" s="3">
        <v>50113</v>
      </c>
      <c r="L1089" s="17" t="str" cm="1">
        <f t="array" ref="L1089">_xlfn.IFS(MID(K1089,2,2)="01", "서울", MID(K1089,2,2)="02","경기",MID(K1089,2,2)="03","충청",MID(K1089,2,2)="04","충청",MID(K1089,2,2)="05","전라",MID(K1089,2,2)="06","전라",MID(K1089,2,2)="07","경북",MID(K1089,2,2)="08","경남",MID(K1089,2,2)="09","강원",MID(K1089,2,2)="10","제주",TRUE,"국외")</f>
        <v>서울</v>
      </c>
    </row>
    <row r="1090" spans="1:12" ht="17.25" thickBot="1">
      <c r="A1090" s="3" t="s">
        <v>1203</v>
      </c>
      <c r="B1090" s="3" t="s">
        <v>40</v>
      </c>
      <c r="C1090" s="3" t="s">
        <v>90</v>
      </c>
      <c r="D1090" s="4" t="s">
        <v>254</v>
      </c>
      <c r="E1090" s="4" t="s">
        <v>3</v>
      </c>
      <c r="F1090" s="4"/>
      <c r="G1090" s="9"/>
      <c r="H1090" s="4"/>
      <c r="I1090" s="9"/>
      <c r="J1090" s="3">
        <v>12582</v>
      </c>
      <c r="K1090" s="3">
        <v>50108</v>
      </c>
      <c r="L1090" s="17" t="str" cm="1">
        <f t="array" ref="L1090">_xlfn.IFS(MID(K1090,2,2)="01", "서울", MID(K1090,2,2)="02","경기",MID(K1090,2,2)="03","충청",MID(K1090,2,2)="04","충청",MID(K1090,2,2)="05","전라",MID(K1090,2,2)="06","전라",MID(K1090,2,2)="07","경북",MID(K1090,2,2)="08","경남",MID(K1090,2,2)="09","강원",MID(K1090,2,2)="10","제주",TRUE,"국외")</f>
        <v>서울</v>
      </c>
    </row>
    <row r="1091" spans="1:12" ht="17.25" thickBot="1">
      <c r="A1091" s="3" t="s">
        <v>1204</v>
      </c>
      <c r="B1091" s="3" t="s">
        <v>332</v>
      </c>
      <c r="C1091" s="3"/>
      <c r="D1091" s="4" t="s">
        <v>254</v>
      </c>
      <c r="E1091" s="4" t="s">
        <v>6</v>
      </c>
      <c r="F1091" s="4">
        <v>2016</v>
      </c>
      <c r="G1091" s="8">
        <v>-0.1</v>
      </c>
      <c r="H1091" s="4" t="s">
        <v>6</v>
      </c>
      <c r="I1091" s="8">
        <v>6.8</v>
      </c>
      <c r="J1091" s="3">
        <v>12537</v>
      </c>
      <c r="K1091" s="3">
        <v>50705</v>
      </c>
      <c r="L1091" s="17" t="str" cm="1">
        <f t="array" ref="L1091">_xlfn.IFS(MID(K1091,2,2)="01", "서울", MID(K1091,2,2)="02","경기",MID(K1091,2,2)="03","충청",MID(K1091,2,2)="04","충청",MID(K1091,2,2)="05","전라",MID(K1091,2,2)="06","전라",MID(K1091,2,2)="07","경북",MID(K1091,2,2)="08","경남",MID(K1091,2,2)="09","강원",MID(K1091,2,2)="10","제주",TRUE,"국외")</f>
        <v>경북</v>
      </c>
    </row>
    <row r="1092" spans="1:12" ht="17.25" thickBot="1">
      <c r="A1092" s="3" t="s">
        <v>1205</v>
      </c>
      <c r="B1092" s="3" t="s">
        <v>153</v>
      </c>
      <c r="C1092" s="3"/>
      <c r="D1092" s="4" t="s">
        <v>254</v>
      </c>
      <c r="E1092" s="4" t="s">
        <v>28</v>
      </c>
      <c r="F1092" s="4"/>
      <c r="G1092" s="9"/>
      <c r="H1092" s="4"/>
      <c r="I1092" s="9"/>
      <c r="J1092" s="3">
        <v>12576</v>
      </c>
      <c r="K1092" s="3">
        <v>50210</v>
      </c>
      <c r="L1092" s="17" t="str" cm="1">
        <f t="array" ref="L1092">_xlfn.IFS(MID(K1092,2,2)="01", "서울", MID(K1092,2,2)="02","경기",MID(K1092,2,2)="03","충청",MID(K1092,2,2)="04","충청",MID(K1092,2,2)="05","전라",MID(K1092,2,2)="06","전라",MID(K1092,2,2)="07","경북",MID(K1092,2,2)="08","경남",MID(K1092,2,2)="09","강원",MID(K1092,2,2)="10","제주",TRUE,"국외")</f>
        <v>경기</v>
      </c>
    </row>
    <row r="1093" spans="1:12" ht="17.25" thickBot="1">
      <c r="A1093" s="3" t="s">
        <v>1206</v>
      </c>
      <c r="B1093" s="3" t="s">
        <v>121</v>
      </c>
      <c r="C1093" s="3"/>
      <c r="D1093" s="4" t="s">
        <v>254</v>
      </c>
      <c r="E1093" s="4" t="s">
        <v>20</v>
      </c>
      <c r="F1093" s="4">
        <v>2017</v>
      </c>
      <c r="G1093" s="9"/>
      <c r="H1093" s="4" t="s">
        <v>20</v>
      </c>
      <c r="I1093" s="8">
        <v>-0.8</v>
      </c>
      <c r="J1093" s="3">
        <v>12549</v>
      </c>
      <c r="K1093" s="3">
        <v>50604</v>
      </c>
      <c r="L1093" s="17" t="str" cm="1">
        <f t="array" ref="L1093">_xlfn.IFS(MID(K1093,2,2)="01", "서울", MID(K1093,2,2)="02","경기",MID(K1093,2,2)="03","충청",MID(K1093,2,2)="04","충청",MID(K1093,2,2)="05","전라",MID(K1093,2,2)="06","전라",MID(K1093,2,2)="07","경북",MID(K1093,2,2)="08","경남",MID(K1093,2,2)="09","강원",MID(K1093,2,2)="10","제주",TRUE,"국외")</f>
        <v>전라</v>
      </c>
    </row>
    <row r="1094" spans="1:12" ht="17.25" thickBot="1">
      <c r="A1094" s="3" t="s">
        <v>1207</v>
      </c>
      <c r="B1094" s="3" t="s">
        <v>464</v>
      </c>
      <c r="C1094" s="3" t="s">
        <v>538</v>
      </c>
      <c r="D1094" s="4" t="s">
        <v>254</v>
      </c>
      <c r="E1094" s="4" t="s">
        <v>12</v>
      </c>
      <c r="F1094" s="4">
        <v>2016</v>
      </c>
      <c r="G1094" s="8">
        <v>0.1</v>
      </c>
      <c r="H1094" s="4" t="s">
        <v>12</v>
      </c>
      <c r="I1094" s="8">
        <v>0.1</v>
      </c>
      <c r="J1094" s="3">
        <v>12525</v>
      </c>
      <c r="K1094" s="3">
        <v>50706</v>
      </c>
      <c r="L1094" s="17" t="str" cm="1">
        <f t="array" ref="L1094">_xlfn.IFS(MID(K1094,2,2)="01", "서울", MID(K1094,2,2)="02","경기",MID(K1094,2,2)="03","충청",MID(K1094,2,2)="04","충청",MID(K1094,2,2)="05","전라",MID(K1094,2,2)="06","전라",MID(K1094,2,2)="07","경북",MID(K1094,2,2)="08","경남",MID(K1094,2,2)="09","강원",MID(K1094,2,2)="10","제주",TRUE,"국외")</f>
        <v>경북</v>
      </c>
    </row>
    <row r="1095" spans="1:12" ht="17.25" thickBot="1">
      <c r="A1095" s="3" t="s">
        <v>1208</v>
      </c>
      <c r="B1095" s="3" t="s">
        <v>241</v>
      </c>
      <c r="C1095" s="3"/>
      <c r="D1095" s="4" t="s">
        <v>254</v>
      </c>
      <c r="E1095" s="4" t="s">
        <v>607</v>
      </c>
      <c r="F1095" s="4">
        <v>2017</v>
      </c>
      <c r="G1095" s="9"/>
      <c r="H1095" s="4" t="s">
        <v>607</v>
      </c>
      <c r="I1095" s="8">
        <v>-0.1</v>
      </c>
      <c r="J1095" s="3">
        <v>12614</v>
      </c>
      <c r="K1095" s="3">
        <v>50202</v>
      </c>
      <c r="L1095" s="17" t="str" cm="1">
        <f t="array" ref="L1095">_xlfn.IFS(MID(K1095,2,2)="01", "서울", MID(K1095,2,2)="02","경기",MID(K1095,2,2)="03","충청",MID(K1095,2,2)="04","충청",MID(K1095,2,2)="05","전라",MID(K1095,2,2)="06","전라",MID(K1095,2,2)="07","경북",MID(K1095,2,2)="08","경남",MID(K1095,2,2)="09","강원",MID(K1095,2,2)="10","제주",TRUE,"국외")</f>
        <v>경기</v>
      </c>
    </row>
    <row r="1096" spans="1:12" ht="17.25" thickBot="1">
      <c r="A1096" s="3" t="s">
        <v>1209</v>
      </c>
      <c r="B1096" s="3" t="s">
        <v>70</v>
      </c>
      <c r="C1096" s="3"/>
      <c r="D1096" s="4" t="s">
        <v>254</v>
      </c>
      <c r="E1096" s="4" t="s">
        <v>906</v>
      </c>
      <c r="F1096" s="4"/>
      <c r="G1096" s="9"/>
      <c r="H1096" s="4"/>
      <c r="I1096" s="9"/>
      <c r="J1096" s="3">
        <v>12630</v>
      </c>
      <c r="K1096" s="3">
        <v>50103</v>
      </c>
      <c r="L1096" s="17" t="str" cm="1">
        <f t="array" ref="L1096">_xlfn.IFS(MID(K1096,2,2)="01", "서울", MID(K1096,2,2)="02","경기",MID(K1096,2,2)="03","충청",MID(K1096,2,2)="04","충청",MID(K1096,2,2)="05","전라",MID(K1096,2,2)="06","전라",MID(K1096,2,2)="07","경북",MID(K1096,2,2)="08","경남",MID(K1096,2,2)="09","강원",MID(K1096,2,2)="10","제주",TRUE,"국외")</f>
        <v>서울</v>
      </c>
    </row>
    <row r="1097" spans="1:12" ht="17.25" thickBot="1">
      <c r="A1097" s="3" t="s">
        <v>1210</v>
      </c>
      <c r="B1097" s="3" t="s">
        <v>38</v>
      </c>
      <c r="C1097" s="3"/>
      <c r="D1097" s="4" t="s">
        <v>254</v>
      </c>
      <c r="E1097" s="4" t="s">
        <v>26</v>
      </c>
      <c r="F1097" s="4">
        <v>2022</v>
      </c>
      <c r="G1097" s="9"/>
      <c r="H1097" s="4" t="s">
        <v>26</v>
      </c>
      <c r="I1097" s="8">
        <v>-0.6</v>
      </c>
      <c r="J1097" s="3">
        <v>12606</v>
      </c>
      <c r="K1097" s="3">
        <v>50109</v>
      </c>
      <c r="L1097" s="17" t="str" cm="1">
        <f t="array" ref="L1097">_xlfn.IFS(MID(K1097,2,2)="01", "서울", MID(K1097,2,2)="02","경기",MID(K1097,2,2)="03","충청",MID(K1097,2,2)="04","충청",MID(K1097,2,2)="05","전라",MID(K1097,2,2)="06","전라",MID(K1097,2,2)="07","경북",MID(K1097,2,2)="08","경남",MID(K1097,2,2)="09","강원",MID(K1097,2,2)="10","제주",TRUE,"국외")</f>
        <v>서울</v>
      </c>
    </row>
    <row r="1098" spans="1:12" ht="17.25" thickBot="1">
      <c r="A1098" s="3" t="s">
        <v>1211</v>
      </c>
      <c r="B1098" s="3" t="s">
        <v>25</v>
      </c>
      <c r="C1098" s="3"/>
      <c r="D1098" s="4" t="s">
        <v>254</v>
      </c>
      <c r="E1098" s="4" t="s">
        <v>9</v>
      </c>
      <c r="F1098" s="4"/>
      <c r="G1098" s="9"/>
      <c r="H1098" s="4"/>
      <c r="I1098" s="9"/>
      <c r="J1098" s="3">
        <v>12593</v>
      </c>
      <c r="K1098" s="3">
        <v>50403</v>
      </c>
      <c r="L1098" s="17" t="str" cm="1">
        <f t="array" ref="L1098">_xlfn.IFS(MID(K1098,2,2)="01", "서울", MID(K1098,2,2)="02","경기",MID(K1098,2,2)="03","충청",MID(K1098,2,2)="04","충청",MID(K1098,2,2)="05","전라",MID(K1098,2,2)="06","전라",MID(K1098,2,2)="07","경북",MID(K1098,2,2)="08","경남",MID(K1098,2,2)="09","강원",MID(K1098,2,2)="10","제주",TRUE,"국외")</f>
        <v>충청</v>
      </c>
    </row>
    <row r="1099" spans="1:12" ht="17.25" thickBot="1">
      <c r="A1099" s="3" t="s">
        <v>1212</v>
      </c>
      <c r="B1099" s="3" t="s">
        <v>96</v>
      </c>
      <c r="C1099" s="3" t="s">
        <v>221</v>
      </c>
      <c r="D1099" s="4" t="s">
        <v>254</v>
      </c>
      <c r="E1099" s="4" t="s">
        <v>23</v>
      </c>
      <c r="F1099" s="4">
        <v>2016</v>
      </c>
      <c r="G1099" s="8">
        <v>0</v>
      </c>
      <c r="H1099" s="4" t="s">
        <v>23</v>
      </c>
      <c r="I1099" s="8">
        <v>-0.4</v>
      </c>
      <c r="J1099" s="3">
        <v>12562</v>
      </c>
      <c r="K1099" s="3">
        <v>50601</v>
      </c>
      <c r="L1099" s="17" t="str" cm="1">
        <f t="array" ref="L1099">_xlfn.IFS(MID(K1099,2,2)="01", "서울", MID(K1099,2,2)="02","경기",MID(K1099,2,2)="03","충청",MID(K1099,2,2)="04","충청",MID(K1099,2,2)="05","전라",MID(K1099,2,2)="06","전라",MID(K1099,2,2)="07","경북",MID(K1099,2,2)="08","경남",MID(K1099,2,2)="09","강원",MID(K1099,2,2)="10","제주",TRUE,"국외")</f>
        <v>전라</v>
      </c>
    </row>
    <row r="1100" spans="1:12" ht="17.25" thickBot="1">
      <c r="A1100" s="3" t="s">
        <v>1213</v>
      </c>
      <c r="B1100" s="3" t="s">
        <v>107</v>
      </c>
      <c r="C1100" s="3" t="s">
        <v>122</v>
      </c>
      <c r="D1100" s="4" t="s">
        <v>254</v>
      </c>
      <c r="E1100" s="4" t="s">
        <v>3</v>
      </c>
      <c r="F1100" s="4">
        <v>2018</v>
      </c>
      <c r="G1100" s="9"/>
      <c r="H1100" s="4" t="s">
        <v>3</v>
      </c>
      <c r="I1100" s="8">
        <v>-0.2</v>
      </c>
      <c r="J1100" s="3">
        <v>12583</v>
      </c>
      <c r="K1100" s="3">
        <v>50602</v>
      </c>
      <c r="L1100" s="17" t="str" cm="1">
        <f t="array" ref="L1100">_xlfn.IFS(MID(K1100,2,2)="01", "서울", MID(K1100,2,2)="02","경기",MID(K1100,2,2)="03","충청",MID(K1100,2,2)="04","충청",MID(K1100,2,2)="05","전라",MID(K1100,2,2)="06","전라",MID(K1100,2,2)="07","경북",MID(K1100,2,2)="08","경남",MID(K1100,2,2)="09","강원",MID(K1100,2,2)="10","제주",TRUE,"국외")</f>
        <v>전라</v>
      </c>
    </row>
    <row r="1101" spans="1:12" ht="17.25" thickBot="1">
      <c r="A1101" s="3" t="s">
        <v>1214</v>
      </c>
      <c r="B1101" s="3" t="s">
        <v>32</v>
      </c>
      <c r="C1101" s="3" t="s">
        <v>208</v>
      </c>
      <c r="D1101" s="4" t="s">
        <v>254</v>
      </c>
      <c r="E1101" s="4" t="s">
        <v>6</v>
      </c>
      <c r="F1101" s="4">
        <v>2020</v>
      </c>
      <c r="G1101" s="9"/>
      <c r="H1101" s="4" t="s">
        <v>6</v>
      </c>
      <c r="I1101" s="8">
        <v>-0.4</v>
      </c>
      <c r="J1101" s="3">
        <v>12538</v>
      </c>
      <c r="K1101" s="3">
        <v>50111</v>
      </c>
      <c r="L1101" s="17" t="str" cm="1">
        <f t="array" ref="L1101">_xlfn.IFS(MID(K1101,2,2)="01", "서울", MID(K1101,2,2)="02","경기",MID(K1101,2,2)="03","충청",MID(K1101,2,2)="04","충청",MID(K1101,2,2)="05","전라",MID(K1101,2,2)="06","전라",MID(K1101,2,2)="07","경북",MID(K1101,2,2)="08","경남",MID(K1101,2,2)="09","강원",MID(K1101,2,2)="10","제주",TRUE,"국외")</f>
        <v>서울</v>
      </c>
    </row>
    <row r="1102" spans="1:12" ht="17.25" thickBot="1">
      <c r="A1102" s="3" t="s">
        <v>1215</v>
      </c>
      <c r="B1102" s="3" t="s">
        <v>1</v>
      </c>
      <c r="C1102" s="3"/>
      <c r="D1102" s="4" t="s">
        <v>254</v>
      </c>
      <c r="E1102" s="4" t="s">
        <v>28</v>
      </c>
      <c r="F1102" s="4">
        <v>2018</v>
      </c>
      <c r="G1102" s="9"/>
      <c r="H1102" s="4" t="s">
        <v>28</v>
      </c>
      <c r="I1102" s="8">
        <v>-0.2</v>
      </c>
      <c r="J1102" s="3">
        <v>12577</v>
      </c>
      <c r="K1102" s="3">
        <v>50107</v>
      </c>
      <c r="L1102" s="17" t="str" cm="1">
        <f t="array" ref="L1102">_xlfn.IFS(MID(K1102,2,2)="01", "서울", MID(K1102,2,2)="02","경기",MID(K1102,2,2)="03","충청",MID(K1102,2,2)="04","충청",MID(K1102,2,2)="05","전라",MID(K1102,2,2)="06","전라",MID(K1102,2,2)="07","경북",MID(K1102,2,2)="08","경남",MID(K1102,2,2)="09","강원",MID(K1102,2,2)="10","제주",TRUE,"국외")</f>
        <v>서울</v>
      </c>
    </row>
    <row r="1103" spans="1:12" ht="17.25" thickBot="1">
      <c r="A1103" s="3" t="s">
        <v>1216</v>
      </c>
      <c r="B1103" s="3" t="s">
        <v>275</v>
      </c>
      <c r="C1103" s="3"/>
      <c r="D1103" s="4" t="s">
        <v>254</v>
      </c>
      <c r="E1103" s="4" t="s">
        <v>20</v>
      </c>
      <c r="F1103" s="4">
        <v>2017</v>
      </c>
      <c r="G1103" s="9"/>
      <c r="H1103" s="4"/>
      <c r="I1103" s="9"/>
      <c r="J1103" s="3">
        <v>12551</v>
      </c>
      <c r="K1103" s="3">
        <v>51001</v>
      </c>
      <c r="L1103" s="17" t="str" cm="1">
        <f t="array" ref="L1103">_xlfn.IFS(MID(K1103,2,2)="01", "서울", MID(K1103,2,2)="02","경기",MID(K1103,2,2)="03","충청",MID(K1103,2,2)="04","충청",MID(K1103,2,2)="05","전라",MID(K1103,2,2)="06","전라",MID(K1103,2,2)="07","경북",MID(K1103,2,2)="08","경남",MID(K1103,2,2)="09","강원",MID(K1103,2,2)="10","제주",TRUE,"국외")</f>
        <v>제주</v>
      </c>
    </row>
    <row r="1104" spans="1:12" ht="17.25" thickBot="1">
      <c r="A1104" s="3" t="s">
        <v>1217</v>
      </c>
      <c r="B1104" s="3" t="s">
        <v>121</v>
      </c>
      <c r="C1104" s="3"/>
      <c r="D1104" s="4" t="s">
        <v>254</v>
      </c>
      <c r="E1104" s="4" t="s">
        <v>12</v>
      </c>
      <c r="F1104" s="4">
        <v>2016</v>
      </c>
      <c r="G1104" s="9"/>
      <c r="H1104" s="4"/>
      <c r="I1104" s="9"/>
      <c r="J1104" s="3">
        <v>12621</v>
      </c>
      <c r="K1104" s="3">
        <v>50604</v>
      </c>
      <c r="L1104" s="17" t="str" cm="1">
        <f t="array" ref="L1104">_xlfn.IFS(MID(K1104,2,2)="01", "서울", MID(K1104,2,2)="02","경기",MID(K1104,2,2)="03","충청",MID(K1104,2,2)="04","충청",MID(K1104,2,2)="05","전라",MID(K1104,2,2)="06","전라",MID(K1104,2,2)="07","경북",MID(K1104,2,2)="08","경남",MID(K1104,2,2)="09","강원",MID(K1104,2,2)="10","제주",TRUE,"국외")</f>
        <v>전라</v>
      </c>
    </row>
    <row r="1105" spans="1:12" ht="17.25" thickBot="1">
      <c r="A1105" s="3" t="s">
        <v>1218</v>
      </c>
      <c r="B1105" s="3" t="s">
        <v>22</v>
      </c>
      <c r="C1105" s="3"/>
      <c r="D1105" s="4" t="s">
        <v>254</v>
      </c>
      <c r="E1105" s="4" t="s">
        <v>607</v>
      </c>
      <c r="F1105" s="4"/>
      <c r="G1105" s="9"/>
      <c r="H1105" s="4"/>
      <c r="I1105" s="9"/>
      <c r="J1105" s="3">
        <v>12615</v>
      </c>
      <c r="K1105" s="3">
        <v>50209</v>
      </c>
      <c r="L1105" s="17" t="str" cm="1">
        <f t="array" ref="L1105">_xlfn.IFS(MID(K1105,2,2)="01", "서울", MID(K1105,2,2)="02","경기",MID(K1105,2,2)="03","충청",MID(K1105,2,2)="04","충청",MID(K1105,2,2)="05","전라",MID(K1105,2,2)="06","전라",MID(K1105,2,2)="07","경북",MID(K1105,2,2)="08","경남",MID(K1105,2,2)="09","강원",MID(K1105,2,2)="10","제주",TRUE,"국외")</f>
        <v>경기</v>
      </c>
    </row>
    <row r="1106" spans="1:12" ht="17.25" thickBot="1">
      <c r="A1106" s="3" t="s">
        <v>1219</v>
      </c>
      <c r="B1106" s="3" t="s">
        <v>351</v>
      </c>
      <c r="C1106" s="3"/>
      <c r="D1106" s="4" t="s">
        <v>254</v>
      </c>
      <c r="E1106" s="4" t="s">
        <v>906</v>
      </c>
      <c r="F1106" s="4">
        <v>2016</v>
      </c>
      <c r="G1106" s="8">
        <v>0</v>
      </c>
      <c r="H1106" s="4" t="s">
        <v>18</v>
      </c>
      <c r="I1106" s="8">
        <v>0</v>
      </c>
      <c r="J1106" s="3">
        <v>12631</v>
      </c>
      <c r="K1106" s="3">
        <v>50203</v>
      </c>
      <c r="L1106" s="17" t="str" cm="1">
        <f t="array" ref="L1106">_xlfn.IFS(MID(K1106,2,2)="01", "서울", MID(K1106,2,2)="02","경기",MID(K1106,2,2)="03","충청",MID(K1106,2,2)="04","충청",MID(K1106,2,2)="05","전라",MID(K1106,2,2)="06","전라",MID(K1106,2,2)="07","경북",MID(K1106,2,2)="08","경남",MID(K1106,2,2)="09","강원",MID(K1106,2,2)="10","제주",TRUE,"국외")</f>
        <v>경기</v>
      </c>
    </row>
    <row r="1107" spans="1:12" ht="17.25" thickBot="1">
      <c r="A1107" s="3" t="s">
        <v>1220</v>
      </c>
      <c r="B1107" s="3" t="s">
        <v>128</v>
      </c>
      <c r="C1107" s="3"/>
      <c r="D1107" s="4" t="s">
        <v>254</v>
      </c>
      <c r="E1107" s="4" t="s">
        <v>26</v>
      </c>
      <c r="F1107" s="4"/>
      <c r="G1107" s="9"/>
      <c r="H1107" s="4"/>
      <c r="I1107" s="9"/>
      <c r="J1107" s="3">
        <v>12607</v>
      </c>
      <c r="K1107" s="3">
        <v>50901</v>
      </c>
      <c r="L1107" s="17" t="str" cm="1">
        <f t="array" ref="L1107">_xlfn.IFS(MID(K1107,2,2)="01", "서울", MID(K1107,2,2)="02","경기",MID(K1107,2,2)="03","충청",MID(K1107,2,2)="04","충청",MID(K1107,2,2)="05","전라",MID(K1107,2,2)="06","전라",MID(K1107,2,2)="07","경북",MID(K1107,2,2)="08","경남",MID(K1107,2,2)="09","강원",MID(K1107,2,2)="10","제주",TRUE,"국외")</f>
        <v>강원</v>
      </c>
    </row>
    <row r="1108" spans="1:12" ht="17.25" thickBot="1">
      <c r="A1108" s="3" t="s">
        <v>1221</v>
      </c>
      <c r="B1108" s="3" t="s">
        <v>126</v>
      </c>
      <c r="C1108" s="3" t="s">
        <v>172</v>
      </c>
      <c r="D1108" s="4" t="s">
        <v>254</v>
      </c>
      <c r="E1108" s="4" t="s">
        <v>9</v>
      </c>
      <c r="F1108" s="4">
        <v>2016</v>
      </c>
      <c r="G1108" s="8">
        <v>-0.1</v>
      </c>
      <c r="H1108" s="4" t="s">
        <v>9</v>
      </c>
      <c r="I1108" s="8">
        <v>-0.1</v>
      </c>
      <c r="J1108" s="3">
        <v>12594</v>
      </c>
      <c r="K1108" s="3">
        <v>50206</v>
      </c>
      <c r="L1108" s="17" t="str" cm="1">
        <f t="array" ref="L1108">_xlfn.IFS(MID(K1108,2,2)="01", "서울", MID(K1108,2,2)="02","경기",MID(K1108,2,2)="03","충청",MID(K1108,2,2)="04","충청",MID(K1108,2,2)="05","전라",MID(K1108,2,2)="06","전라",MID(K1108,2,2)="07","경북",MID(K1108,2,2)="08","경남",MID(K1108,2,2)="09","강원",MID(K1108,2,2)="10","제주",TRUE,"국외")</f>
        <v>경기</v>
      </c>
    </row>
    <row r="1109" spans="1:12" ht="17.25" thickBot="1">
      <c r="A1109" s="3" t="s">
        <v>1222</v>
      </c>
      <c r="B1109" s="3" t="s">
        <v>36</v>
      </c>
      <c r="C1109" s="3"/>
      <c r="D1109" s="4" t="s">
        <v>254</v>
      </c>
      <c r="E1109" s="4" t="s">
        <v>23</v>
      </c>
      <c r="F1109" s="4">
        <v>2016</v>
      </c>
      <c r="G1109" s="8">
        <v>0.1</v>
      </c>
      <c r="H1109" s="4" t="s">
        <v>23</v>
      </c>
      <c r="I1109" s="8">
        <v>0.1</v>
      </c>
      <c r="J1109" s="3">
        <v>12638</v>
      </c>
      <c r="K1109" s="3">
        <v>50402</v>
      </c>
      <c r="L1109" s="17" t="str" cm="1">
        <f t="array" ref="L1109">_xlfn.IFS(MID(K1109,2,2)="01", "서울", MID(K1109,2,2)="02","경기",MID(K1109,2,2)="03","충청",MID(K1109,2,2)="04","충청",MID(K1109,2,2)="05","전라",MID(K1109,2,2)="06","전라",MID(K1109,2,2)="07","경북",MID(K1109,2,2)="08","경남",MID(K1109,2,2)="09","강원",MID(K1109,2,2)="10","제주",TRUE,"국외")</f>
        <v>충청</v>
      </c>
    </row>
    <row r="1110" spans="1:12" ht="17.25" thickBot="1">
      <c r="A1110" s="3" t="s">
        <v>1223</v>
      </c>
      <c r="B1110" s="3" t="s">
        <v>17</v>
      </c>
      <c r="C1110" s="3" t="s">
        <v>1224</v>
      </c>
      <c r="D1110" s="4" t="s">
        <v>254</v>
      </c>
      <c r="E1110" s="4" t="s">
        <v>3</v>
      </c>
      <c r="F1110" s="4"/>
      <c r="G1110" s="9"/>
      <c r="H1110" s="4"/>
      <c r="I1110" s="9"/>
      <c r="J1110" s="3">
        <v>12584</v>
      </c>
      <c r="K1110" s="3">
        <v>50903</v>
      </c>
      <c r="L1110" s="17" t="str" cm="1">
        <f t="array" ref="L1110">_xlfn.IFS(MID(K1110,2,2)="01", "서울", MID(K1110,2,2)="02","경기",MID(K1110,2,2)="03","충청",MID(K1110,2,2)="04","충청",MID(K1110,2,2)="05","전라",MID(K1110,2,2)="06","전라",MID(K1110,2,2)="07","경북",MID(K1110,2,2)="08","경남",MID(K1110,2,2)="09","강원",MID(K1110,2,2)="10","제주",TRUE,"국외")</f>
        <v>강원</v>
      </c>
    </row>
    <row r="1111" spans="1:12" ht="17.25" thickBot="1">
      <c r="A1111" s="3" t="s">
        <v>1225</v>
      </c>
      <c r="B1111" s="3" t="s">
        <v>38</v>
      </c>
      <c r="C1111" s="3"/>
      <c r="D1111" s="4" t="s">
        <v>254</v>
      </c>
      <c r="E1111" s="4" t="s">
        <v>6</v>
      </c>
      <c r="F1111" s="4">
        <v>2016</v>
      </c>
      <c r="G1111" s="8">
        <v>-0.4</v>
      </c>
      <c r="H1111" s="4" t="s">
        <v>3</v>
      </c>
      <c r="I1111" s="8">
        <v>3.4</v>
      </c>
      <c r="J1111" s="3">
        <v>12539</v>
      </c>
      <c r="K1111" s="3">
        <v>50109</v>
      </c>
      <c r="L1111" s="17" t="str" cm="1">
        <f t="array" ref="L1111">_xlfn.IFS(MID(K1111,2,2)="01", "서울", MID(K1111,2,2)="02","경기",MID(K1111,2,2)="03","충청",MID(K1111,2,2)="04","충청",MID(K1111,2,2)="05","전라",MID(K1111,2,2)="06","전라",MID(K1111,2,2)="07","경북",MID(K1111,2,2)="08","경남",MID(K1111,2,2)="09","강원",MID(K1111,2,2)="10","제주",TRUE,"국외")</f>
        <v>서울</v>
      </c>
    </row>
    <row r="1112" spans="1:12" ht="17.25" thickBot="1">
      <c r="A1112" s="3" t="s">
        <v>1226</v>
      </c>
      <c r="B1112" s="3" t="s">
        <v>38</v>
      </c>
      <c r="C1112" s="3" t="s">
        <v>174</v>
      </c>
      <c r="D1112" s="4" t="s">
        <v>254</v>
      </c>
      <c r="E1112" s="4" t="s">
        <v>28</v>
      </c>
      <c r="F1112" s="4"/>
      <c r="G1112" s="9"/>
      <c r="H1112" s="4"/>
      <c r="I1112" s="9"/>
      <c r="J1112" s="3">
        <v>12578</v>
      </c>
      <c r="K1112" s="3">
        <v>50109</v>
      </c>
      <c r="L1112" s="17" t="str" cm="1">
        <f t="array" ref="L1112">_xlfn.IFS(MID(K1112,2,2)="01", "서울", MID(K1112,2,2)="02","경기",MID(K1112,2,2)="03","충청",MID(K1112,2,2)="04","충청",MID(K1112,2,2)="05","전라",MID(K1112,2,2)="06","전라",MID(K1112,2,2)="07","경북",MID(K1112,2,2)="08","경남",MID(K1112,2,2)="09","강원",MID(K1112,2,2)="10","제주",TRUE,"국외")</f>
        <v>서울</v>
      </c>
    </row>
    <row r="1113" spans="1:12" ht="17.25" thickBot="1">
      <c r="A1113" s="3" t="s">
        <v>1227</v>
      </c>
      <c r="B1113" s="3" t="s">
        <v>40</v>
      </c>
      <c r="C1113" s="3"/>
      <c r="D1113" s="4" t="s">
        <v>254</v>
      </c>
      <c r="E1113" s="4" t="s">
        <v>20</v>
      </c>
      <c r="F1113" s="4"/>
      <c r="G1113" s="9"/>
      <c r="H1113" s="4"/>
      <c r="I1113" s="9"/>
      <c r="J1113" s="3">
        <v>12553</v>
      </c>
      <c r="K1113" s="3">
        <v>50108</v>
      </c>
      <c r="L1113" s="17" t="str" cm="1">
        <f t="array" ref="L1113">_xlfn.IFS(MID(K1113,2,2)="01", "서울", MID(K1113,2,2)="02","경기",MID(K1113,2,2)="03","충청",MID(K1113,2,2)="04","충청",MID(K1113,2,2)="05","전라",MID(K1113,2,2)="06","전라",MID(K1113,2,2)="07","경북",MID(K1113,2,2)="08","경남",MID(K1113,2,2)="09","강원",MID(K1113,2,2)="10","제주",TRUE,"국외")</f>
        <v>서울</v>
      </c>
    </row>
    <row r="1114" spans="1:12" ht="17.25" thickBot="1">
      <c r="A1114" s="3" t="s">
        <v>1228</v>
      </c>
      <c r="B1114" s="3" t="s">
        <v>11</v>
      </c>
      <c r="C1114" s="3"/>
      <c r="D1114" s="4" t="s">
        <v>254</v>
      </c>
      <c r="E1114" s="4" t="s">
        <v>12</v>
      </c>
      <c r="F1114" s="4">
        <v>2017</v>
      </c>
      <c r="G1114" s="9"/>
      <c r="H1114" s="4" t="s">
        <v>12</v>
      </c>
      <c r="I1114" s="8">
        <v>1.4</v>
      </c>
      <c r="J1114" s="3">
        <v>12622</v>
      </c>
      <c r="K1114" s="3">
        <v>50802</v>
      </c>
      <c r="L1114" s="17" t="str" cm="1">
        <f t="array" ref="L1114">_xlfn.IFS(MID(K1114,2,2)="01", "서울", MID(K1114,2,2)="02","경기",MID(K1114,2,2)="03","충청",MID(K1114,2,2)="04","충청",MID(K1114,2,2)="05","전라",MID(K1114,2,2)="06","전라",MID(K1114,2,2)="07","경북",MID(K1114,2,2)="08","경남",MID(K1114,2,2)="09","강원",MID(K1114,2,2)="10","제주",TRUE,"국외")</f>
        <v>경남</v>
      </c>
    </row>
    <row r="1115" spans="1:12" ht="17.25" thickBot="1">
      <c r="A1115" s="3" t="s">
        <v>1229</v>
      </c>
      <c r="B1115" s="3" t="s">
        <v>126</v>
      </c>
      <c r="C1115" s="3"/>
      <c r="D1115" s="4" t="s">
        <v>254</v>
      </c>
      <c r="E1115" s="4" t="s">
        <v>607</v>
      </c>
      <c r="F1115" s="4"/>
      <c r="G1115" s="9"/>
      <c r="H1115" s="4"/>
      <c r="I1115" s="9"/>
      <c r="J1115" s="3">
        <v>12616</v>
      </c>
      <c r="K1115" s="3">
        <v>50206</v>
      </c>
      <c r="L1115" s="17" t="str" cm="1">
        <f t="array" ref="L1115">_xlfn.IFS(MID(K1115,2,2)="01", "서울", MID(K1115,2,2)="02","경기",MID(K1115,2,2)="03","충청",MID(K1115,2,2)="04","충청",MID(K1115,2,2)="05","전라",MID(K1115,2,2)="06","전라",MID(K1115,2,2)="07","경북",MID(K1115,2,2)="08","경남",MID(K1115,2,2)="09","강원",MID(K1115,2,2)="10","제주",TRUE,"국외")</f>
        <v>경기</v>
      </c>
    </row>
    <row r="1116" spans="1:12" ht="17.25" thickBot="1">
      <c r="A1116" s="3" t="s">
        <v>1230</v>
      </c>
      <c r="B1116" s="3" t="s">
        <v>78</v>
      </c>
      <c r="C1116" s="3"/>
      <c r="D1116" s="4" t="s">
        <v>254</v>
      </c>
      <c r="E1116" s="4" t="s">
        <v>906</v>
      </c>
      <c r="F1116" s="4">
        <v>2018</v>
      </c>
      <c r="G1116" s="9"/>
      <c r="H1116" s="4"/>
      <c r="I1116" s="9"/>
      <c r="J1116" s="3">
        <v>12632</v>
      </c>
      <c r="K1116" s="3">
        <v>50401</v>
      </c>
      <c r="L1116" s="17" t="str" cm="1">
        <f t="array" ref="L1116">_xlfn.IFS(MID(K1116,2,2)="01", "서울", MID(K1116,2,2)="02","경기",MID(K1116,2,2)="03","충청",MID(K1116,2,2)="04","충청",MID(K1116,2,2)="05","전라",MID(K1116,2,2)="06","전라",MID(K1116,2,2)="07","경북",MID(K1116,2,2)="08","경남",MID(K1116,2,2)="09","강원",MID(K1116,2,2)="10","제주",TRUE,"국외")</f>
        <v>충청</v>
      </c>
    </row>
    <row r="1117" spans="1:12" ht="17.25" thickBot="1">
      <c r="A1117" s="3" t="s">
        <v>1231</v>
      </c>
      <c r="B1117" s="3" t="s">
        <v>40</v>
      </c>
      <c r="C1117" s="3" t="s">
        <v>133</v>
      </c>
      <c r="D1117" s="4" t="s">
        <v>254</v>
      </c>
      <c r="E1117" s="4" t="s">
        <v>26</v>
      </c>
      <c r="F1117" s="4">
        <v>2016</v>
      </c>
      <c r="G1117" s="8">
        <v>-0.4</v>
      </c>
      <c r="H1117" s="4" t="s">
        <v>26</v>
      </c>
      <c r="I1117" s="8">
        <v>-1.2</v>
      </c>
      <c r="J1117" s="3">
        <v>12523</v>
      </c>
      <c r="K1117" s="3">
        <v>50108</v>
      </c>
      <c r="L1117" s="17" t="str" cm="1">
        <f t="array" ref="L1117">_xlfn.IFS(MID(K1117,2,2)="01", "서울", MID(K1117,2,2)="02","경기",MID(K1117,2,2)="03","충청",MID(K1117,2,2)="04","충청",MID(K1117,2,2)="05","전라",MID(K1117,2,2)="06","전라",MID(K1117,2,2)="07","경북",MID(K1117,2,2)="08","경남",MID(K1117,2,2)="09","강원",MID(K1117,2,2)="10","제주",TRUE,"국외")</f>
        <v>서울</v>
      </c>
    </row>
    <row r="1118" spans="1:12" ht="17.25" thickBot="1">
      <c r="A1118" s="3" t="s">
        <v>1232</v>
      </c>
      <c r="B1118" s="3" t="s">
        <v>332</v>
      </c>
      <c r="C1118" s="3"/>
      <c r="D1118" s="4" t="s">
        <v>254</v>
      </c>
      <c r="E1118" s="4" t="s">
        <v>9</v>
      </c>
      <c r="F1118" s="4">
        <v>2017</v>
      </c>
      <c r="G1118" s="9"/>
      <c r="H1118" s="4" t="s">
        <v>9</v>
      </c>
      <c r="I1118" s="8">
        <v>-0.1</v>
      </c>
      <c r="J1118" s="3">
        <v>12595</v>
      </c>
      <c r="K1118" s="3">
        <v>50705</v>
      </c>
      <c r="L1118" s="17" t="str" cm="1">
        <f t="array" ref="L1118">_xlfn.IFS(MID(K1118,2,2)="01", "서울", MID(K1118,2,2)="02","경기",MID(K1118,2,2)="03","충청",MID(K1118,2,2)="04","충청",MID(K1118,2,2)="05","전라",MID(K1118,2,2)="06","전라",MID(K1118,2,2)="07","경북",MID(K1118,2,2)="08","경남",MID(K1118,2,2)="09","강원",MID(K1118,2,2)="10","제주",TRUE,"국외")</f>
        <v>경북</v>
      </c>
    </row>
    <row r="1119" spans="1:12" ht="17.25" thickBot="1">
      <c r="A1119" s="3" t="s">
        <v>888</v>
      </c>
      <c r="B1119" s="3" t="s">
        <v>112</v>
      </c>
      <c r="C1119" s="3" t="s">
        <v>237</v>
      </c>
      <c r="D1119" s="4" t="s">
        <v>254</v>
      </c>
      <c r="E1119" s="4" t="s">
        <v>23</v>
      </c>
      <c r="F1119" s="4">
        <v>2017</v>
      </c>
      <c r="G1119" s="9"/>
      <c r="H1119" s="4" t="s">
        <v>23</v>
      </c>
      <c r="I1119" s="8">
        <v>2.8</v>
      </c>
      <c r="J1119" s="3">
        <v>12639</v>
      </c>
      <c r="K1119" s="3">
        <v>50113</v>
      </c>
      <c r="L1119" s="17" t="str" cm="1">
        <f t="array" ref="L1119">_xlfn.IFS(MID(K1119,2,2)="01", "서울", MID(K1119,2,2)="02","경기",MID(K1119,2,2)="03","충청",MID(K1119,2,2)="04","충청",MID(K1119,2,2)="05","전라",MID(K1119,2,2)="06","전라",MID(K1119,2,2)="07","경북",MID(K1119,2,2)="08","경남",MID(K1119,2,2)="09","강원",MID(K1119,2,2)="10","제주",TRUE,"국외")</f>
        <v>서울</v>
      </c>
    </row>
    <row r="1120" spans="1:12" ht="17.25" thickBot="1">
      <c r="A1120" s="3" t="s">
        <v>1233</v>
      </c>
      <c r="B1120" s="3" t="s">
        <v>101</v>
      </c>
      <c r="C1120" s="3"/>
      <c r="D1120" s="4" t="s">
        <v>254</v>
      </c>
      <c r="E1120" s="4" t="s">
        <v>3</v>
      </c>
      <c r="F1120" s="4">
        <v>2017</v>
      </c>
      <c r="G1120" s="9"/>
      <c r="H1120" s="4" t="s">
        <v>3</v>
      </c>
      <c r="I1120" s="8">
        <v>5.2</v>
      </c>
      <c r="J1120" s="3">
        <v>12585</v>
      </c>
      <c r="K1120" s="3">
        <v>50207</v>
      </c>
      <c r="L1120" s="17" t="str" cm="1">
        <f t="array" ref="L1120">_xlfn.IFS(MID(K1120,2,2)="01", "서울", MID(K1120,2,2)="02","경기",MID(K1120,2,2)="03","충청",MID(K1120,2,2)="04","충청",MID(K1120,2,2)="05","전라",MID(K1120,2,2)="06","전라",MID(K1120,2,2)="07","경북",MID(K1120,2,2)="08","경남",MID(K1120,2,2)="09","강원",MID(K1120,2,2)="10","제주",TRUE,"국외")</f>
        <v>경기</v>
      </c>
    </row>
    <row r="1121" spans="1:12" ht="17.25" thickBot="1">
      <c r="A1121" s="3" t="s">
        <v>1234</v>
      </c>
      <c r="B1121" s="3" t="s">
        <v>38</v>
      </c>
      <c r="C1121" s="3"/>
      <c r="D1121" s="4" t="s">
        <v>254</v>
      </c>
      <c r="E1121" s="4" t="s">
        <v>6</v>
      </c>
      <c r="F1121" s="4">
        <v>2020</v>
      </c>
      <c r="G1121" s="9"/>
      <c r="H1121" s="4" t="s">
        <v>6</v>
      </c>
      <c r="I1121" s="8">
        <v>0.3</v>
      </c>
      <c r="J1121" s="3">
        <v>12540</v>
      </c>
      <c r="K1121" s="3">
        <v>50109</v>
      </c>
      <c r="L1121" s="17" t="str" cm="1">
        <f t="array" ref="L1121">_xlfn.IFS(MID(K1121,2,2)="01", "서울", MID(K1121,2,2)="02","경기",MID(K1121,2,2)="03","충청",MID(K1121,2,2)="04","충청",MID(K1121,2,2)="05","전라",MID(K1121,2,2)="06","전라",MID(K1121,2,2)="07","경북",MID(K1121,2,2)="08","경남",MID(K1121,2,2)="09","강원",MID(K1121,2,2)="10","제주",TRUE,"국외")</f>
        <v>서울</v>
      </c>
    </row>
    <row r="1122" spans="1:12" ht="17.25" thickBot="1">
      <c r="A1122" s="3" t="s">
        <v>242</v>
      </c>
      <c r="B1122" s="3" t="s">
        <v>140</v>
      </c>
      <c r="C1122" s="3" t="s">
        <v>119</v>
      </c>
      <c r="D1122" s="4" t="s">
        <v>254</v>
      </c>
      <c r="E1122" s="4" t="s">
        <v>28</v>
      </c>
      <c r="F1122" s="4">
        <v>2017</v>
      </c>
      <c r="G1122" s="9"/>
      <c r="H1122" s="4" t="s">
        <v>28</v>
      </c>
      <c r="I1122" s="8">
        <v>0</v>
      </c>
      <c r="J1122" s="3">
        <v>12579</v>
      </c>
      <c r="K1122" s="3">
        <v>50801</v>
      </c>
      <c r="L1122" s="17" t="str" cm="1">
        <f t="array" ref="L1122">_xlfn.IFS(MID(K1122,2,2)="01", "서울", MID(K1122,2,2)="02","경기",MID(K1122,2,2)="03","충청",MID(K1122,2,2)="04","충청",MID(K1122,2,2)="05","전라",MID(K1122,2,2)="06","전라",MID(K1122,2,2)="07","경북",MID(K1122,2,2)="08","경남",MID(K1122,2,2)="09","강원",MID(K1122,2,2)="10","제주",TRUE,"국외")</f>
        <v>경남</v>
      </c>
    </row>
    <row r="1123" spans="1:12" ht="17.25" thickBot="1">
      <c r="A1123" s="3" t="s">
        <v>1235</v>
      </c>
      <c r="B1123" s="3" t="s">
        <v>14</v>
      </c>
      <c r="C1123" s="3" t="s">
        <v>83</v>
      </c>
      <c r="D1123" s="4" t="s">
        <v>254</v>
      </c>
      <c r="E1123" s="4" t="s">
        <v>20</v>
      </c>
      <c r="F1123" s="4">
        <v>2020</v>
      </c>
      <c r="G1123" s="9"/>
      <c r="H1123" s="4" t="s">
        <v>20</v>
      </c>
      <c r="I1123" s="8">
        <v>0.3</v>
      </c>
      <c r="J1123" s="3">
        <v>12554</v>
      </c>
      <c r="K1123" s="3">
        <v>50703</v>
      </c>
      <c r="L1123" s="17" t="str" cm="1">
        <f t="array" ref="L1123">_xlfn.IFS(MID(K1123,2,2)="01", "서울", MID(K1123,2,2)="02","경기",MID(K1123,2,2)="03","충청",MID(K1123,2,2)="04","충청",MID(K1123,2,2)="05","전라",MID(K1123,2,2)="06","전라",MID(K1123,2,2)="07","경북",MID(K1123,2,2)="08","경남",MID(K1123,2,2)="09","강원",MID(K1123,2,2)="10","제주",TRUE,"국외")</f>
        <v>경북</v>
      </c>
    </row>
    <row r="1124" spans="1:12" ht="17.25" thickBot="1">
      <c r="A1124" s="3" t="s">
        <v>1236</v>
      </c>
      <c r="B1124" s="3" t="s">
        <v>78</v>
      </c>
      <c r="C1124" s="3"/>
      <c r="D1124" s="4" t="s">
        <v>254</v>
      </c>
      <c r="E1124" s="4" t="s">
        <v>12</v>
      </c>
      <c r="F1124" s="4"/>
      <c r="G1124" s="9"/>
      <c r="H1124" s="4"/>
      <c r="I1124" s="9"/>
      <c r="J1124" s="3">
        <v>12623</v>
      </c>
      <c r="K1124" s="3">
        <v>50401</v>
      </c>
      <c r="L1124" s="17" t="str" cm="1">
        <f t="array" ref="L1124">_xlfn.IFS(MID(K1124,2,2)="01", "서울", MID(K1124,2,2)="02","경기",MID(K1124,2,2)="03","충청",MID(K1124,2,2)="04","충청",MID(K1124,2,2)="05","전라",MID(K1124,2,2)="06","전라",MID(K1124,2,2)="07","경북",MID(K1124,2,2)="08","경남",MID(K1124,2,2)="09","강원",MID(K1124,2,2)="10","제주",TRUE,"국외")</f>
        <v>충청</v>
      </c>
    </row>
    <row r="1125" spans="1:12" ht="17.25" thickBot="1">
      <c r="A1125" s="3" t="s">
        <v>1237</v>
      </c>
      <c r="B1125" s="3" t="s">
        <v>140</v>
      </c>
      <c r="C1125" s="3" t="s">
        <v>218</v>
      </c>
      <c r="D1125" s="4" t="s">
        <v>254</v>
      </c>
      <c r="E1125" s="4" t="s">
        <v>607</v>
      </c>
      <c r="F1125" s="4">
        <v>2016</v>
      </c>
      <c r="G1125" s="9"/>
      <c r="H1125" s="4" t="s">
        <v>6</v>
      </c>
      <c r="I1125" s="8">
        <v>0.1</v>
      </c>
      <c r="J1125" s="3">
        <v>12617</v>
      </c>
      <c r="K1125" s="3">
        <v>50801</v>
      </c>
      <c r="L1125" s="17" t="str" cm="1">
        <f t="array" ref="L1125">_xlfn.IFS(MID(K1125,2,2)="01", "서울", MID(K1125,2,2)="02","경기",MID(K1125,2,2)="03","충청",MID(K1125,2,2)="04","충청",MID(K1125,2,2)="05","전라",MID(K1125,2,2)="06","전라",MID(K1125,2,2)="07","경북",MID(K1125,2,2)="08","경남",MID(K1125,2,2)="09","강원",MID(K1125,2,2)="10","제주",TRUE,"국외")</f>
        <v>경남</v>
      </c>
    </row>
    <row r="1126" spans="1:12" ht="17.25" thickBot="1">
      <c r="A1126" s="3" t="s">
        <v>1238</v>
      </c>
      <c r="B1126" s="3" t="s">
        <v>63</v>
      </c>
      <c r="C1126" s="3"/>
      <c r="D1126" s="4" t="s">
        <v>254</v>
      </c>
      <c r="E1126" s="4" t="s">
        <v>906</v>
      </c>
      <c r="F1126" s="4"/>
      <c r="G1126" s="9"/>
      <c r="H1126" s="4"/>
      <c r="I1126" s="9"/>
      <c r="J1126" s="3">
        <v>12633</v>
      </c>
      <c r="K1126" s="3">
        <v>50807</v>
      </c>
      <c r="L1126" s="17" t="str" cm="1">
        <f t="array" ref="L1126">_xlfn.IFS(MID(K1126,2,2)="01", "서울", MID(K1126,2,2)="02","경기",MID(K1126,2,2)="03","충청",MID(K1126,2,2)="04","충청",MID(K1126,2,2)="05","전라",MID(K1126,2,2)="06","전라",MID(K1126,2,2)="07","경북",MID(K1126,2,2)="08","경남",MID(K1126,2,2)="09","강원",MID(K1126,2,2)="10","제주",TRUE,"국외")</f>
        <v>경남</v>
      </c>
    </row>
    <row r="1127" spans="1:12" ht="17.25" thickBot="1">
      <c r="A1127" s="3" t="s">
        <v>1239</v>
      </c>
      <c r="B1127" s="3" t="s">
        <v>14</v>
      </c>
      <c r="C1127" s="3"/>
      <c r="D1127" s="4" t="s">
        <v>254</v>
      </c>
      <c r="E1127" s="4" t="s">
        <v>26</v>
      </c>
      <c r="F1127" s="4">
        <v>2018</v>
      </c>
      <c r="G1127" s="9"/>
      <c r="H1127" s="4"/>
      <c r="I1127" s="9"/>
      <c r="J1127" s="3">
        <v>12608</v>
      </c>
      <c r="K1127" s="3">
        <v>50703</v>
      </c>
      <c r="L1127" s="17" t="str" cm="1">
        <f t="array" ref="L1127">_xlfn.IFS(MID(K1127,2,2)="01", "서울", MID(K1127,2,2)="02","경기",MID(K1127,2,2)="03","충청",MID(K1127,2,2)="04","충청",MID(K1127,2,2)="05","전라",MID(K1127,2,2)="06","전라",MID(K1127,2,2)="07","경북",MID(K1127,2,2)="08","경남",MID(K1127,2,2)="09","강원",MID(K1127,2,2)="10","제주",TRUE,"국외")</f>
        <v>경북</v>
      </c>
    </row>
    <row r="1128" spans="1:12" ht="17.25" thickBot="1">
      <c r="A1128" s="3" t="s">
        <v>1240</v>
      </c>
      <c r="B1128" s="3" t="s">
        <v>112</v>
      </c>
      <c r="C1128" s="3" t="s">
        <v>156</v>
      </c>
      <c r="D1128" s="4" t="s">
        <v>254</v>
      </c>
      <c r="E1128" s="4" t="s">
        <v>9</v>
      </c>
      <c r="F1128" s="4"/>
      <c r="G1128" s="9"/>
      <c r="H1128" s="4"/>
      <c r="I1128" s="9"/>
      <c r="J1128" s="3">
        <v>12596</v>
      </c>
      <c r="K1128" s="3">
        <v>50113</v>
      </c>
      <c r="L1128" s="17" t="str" cm="1">
        <f t="array" ref="L1128">_xlfn.IFS(MID(K1128,2,2)="01", "서울", MID(K1128,2,2)="02","경기",MID(K1128,2,2)="03","충청",MID(K1128,2,2)="04","충청",MID(K1128,2,2)="05","전라",MID(K1128,2,2)="06","전라",MID(K1128,2,2)="07","경북",MID(K1128,2,2)="08","경남",MID(K1128,2,2)="09","강원",MID(K1128,2,2)="10","제주",TRUE,"국외")</f>
        <v>서울</v>
      </c>
    </row>
    <row r="1129" spans="1:12" ht="17.25" thickBot="1">
      <c r="A1129" s="3" t="s">
        <v>1241</v>
      </c>
      <c r="B1129" s="3" t="s">
        <v>96</v>
      </c>
      <c r="C1129" s="3"/>
      <c r="D1129" s="4" t="s">
        <v>254</v>
      </c>
      <c r="E1129" s="4" t="s">
        <v>23</v>
      </c>
      <c r="F1129" s="4"/>
      <c r="G1129" s="9"/>
      <c r="H1129" s="4"/>
      <c r="I1129" s="9"/>
      <c r="J1129" s="3">
        <v>12640</v>
      </c>
      <c r="K1129" s="3">
        <v>50601</v>
      </c>
      <c r="L1129" s="17" t="str" cm="1">
        <f t="array" ref="L1129">_xlfn.IFS(MID(K1129,2,2)="01", "서울", MID(K1129,2,2)="02","경기",MID(K1129,2,2)="03","충청",MID(K1129,2,2)="04","충청",MID(K1129,2,2)="05","전라",MID(K1129,2,2)="06","전라",MID(K1129,2,2)="07","경북",MID(K1129,2,2)="08","경남",MID(K1129,2,2)="09","강원",MID(K1129,2,2)="10","제주",TRUE,"국외")</f>
        <v>전라</v>
      </c>
    </row>
    <row r="1130" spans="1:12" ht="17.25" thickBot="1">
      <c r="A1130" s="3" t="s">
        <v>1242</v>
      </c>
      <c r="B1130" s="3" t="s">
        <v>25</v>
      </c>
      <c r="C1130" s="3" t="s">
        <v>83</v>
      </c>
      <c r="D1130" s="4" t="s">
        <v>254</v>
      </c>
      <c r="E1130" s="4" t="s">
        <v>3</v>
      </c>
      <c r="F1130" s="4"/>
      <c r="G1130" s="9"/>
      <c r="H1130" s="4"/>
      <c r="I1130" s="9"/>
      <c r="J1130" s="3">
        <v>12586</v>
      </c>
      <c r="K1130" s="3">
        <v>50403</v>
      </c>
      <c r="L1130" s="17" t="str" cm="1">
        <f t="array" ref="L1130">_xlfn.IFS(MID(K1130,2,2)="01", "서울", MID(K1130,2,2)="02","경기",MID(K1130,2,2)="03","충청",MID(K1130,2,2)="04","충청",MID(K1130,2,2)="05","전라",MID(K1130,2,2)="06","전라",MID(K1130,2,2)="07","경북",MID(K1130,2,2)="08","경남",MID(K1130,2,2)="09","강원",MID(K1130,2,2)="10","제주",TRUE,"국외")</f>
        <v>충청</v>
      </c>
    </row>
    <row r="1131" spans="1:12" ht="17.25" thickBot="1">
      <c r="A1131" s="3" t="s">
        <v>1243</v>
      </c>
      <c r="B1131" s="3" t="s">
        <v>96</v>
      </c>
      <c r="C1131" s="3"/>
      <c r="D1131" s="4" t="s">
        <v>254</v>
      </c>
      <c r="E1131" s="4" t="s">
        <v>6</v>
      </c>
      <c r="F1131" s="4">
        <v>2016</v>
      </c>
      <c r="G1131" s="9"/>
      <c r="H1131" s="4" t="s">
        <v>6</v>
      </c>
      <c r="I1131" s="8">
        <v>-0.5</v>
      </c>
      <c r="J1131" s="3">
        <v>12541</v>
      </c>
      <c r="K1131" s="3">
        <v>50601</v>
      </c>
      <c r="L1131" s="17" t="str" cm="1">
        <f t="array" ref="L1131">_xlfn.IFS(MID(K1131,2,2)="01", "서울", MID(K1131,2,2)="02","경기",MID(K1131,2,2)="03","충청",MID(K1131,2,2)="04","충청",MID(K1131,2,2)="05","전라",MID(K1131,2,2)="06","전라",MID(K1131,2,2)="07","경북",MID(K1131,2,2)="08","경남",MID(K1131,2,2)="09","강원",MID(K1131,2,2)="10","제주",TRUE,"국외")</f>
        <v>전라</v>
      </c>
    </row>
    <row r="1132" spans="1:12" ht="17.25" thickBot="1">
      <c r="A1132" s="3" t="s">
        <v>1244</v>
      </c>
      <c r="B1132" s="3" t="s">
        <v>147</v>
      </c>
      <c r="C1132" s="3" t="s">
        <v>83</v>
      </c>
      <c r="D1132" s="4" t="s">
        <v>254</v>
      </c>
      <c r="E1132" s="4" t="s">
        <v>28</v>
      </c>
      <c r="F1132" s="4"/>
      <c r="G1132" s="9"/>
      <c r="H1132" s="4"/>
      <c r="I1132" s="9"/>
      <c r="J1132" s="3">
        <v>12559</v>
      </c>
      <c r="K1132" s="3">
        <v>50208</v>
      </c>
      <c r="L1132" s="17" t="str" cm="1">
        <f t="array" ref="L1132">_xlfn.IFS(MID(K1132,2,2)="01", "서울", MID(K1132,2,2)="02","경기",MID(K1132,2,2)="03","충청",MID(K1132,2,2)="04","충청",MID(K1132,2,2)="05","전라",MID(K1132,2,2)="06","전라",MID(K1132,2,2)="07","경북",MID(K1132,2,2)="08","경남",MID(K1132,2,2)="09","강원",MID(K1132,2,2)="10","제주",TRUE,"국외")</f>
        <v>경기</v>
      </c>
    </row>
    <row r="1133" spans="1:12" ht="17.25" thickBot="1">
      <c r="A1133" s="3" t="s">
        <v>1245</v>
      </c>
      <c r="B1133" s="3" t="s">
        <v>5</v>
      </c>
      <c r="C1133" s="3"/>
      <c r="D1133" s="4" t="s">
        <v>254</v>
      </c>
      <c r="E1133" s="4" t="s">
        <v>20</v>
      </c>
      <c r="F1133" s="4"/>
      <c r="G1133" s="9"/>
      <c r="H1133" s="4"/>
      <c r="I1133" s="9"/>
      <c r="J1133" s="3">
        <v>12555</v>
      </c>
      <c r="K1133" s="3">
        <v>50114</v>
      </c>
      <c r="L1133" s="17" t="str" cm="1">
        <f t="array" ref="L1133">_xlfn.IFS(MID(K1133,2,2)="01", "서울", MID(K1133,2,2)="02","경기",MID(K1133,2,2)="03","충청",MID(K1133,2,2)="04","충청",MID(K1133,2,2)="05","전라",MID(K1133,2,2)="06","전라",MID(K1133,2,2)="07","경북",MID(K1133,2,2)="08","경남",MID(K1133,2,2)="09","강원",MID(K1133,2,2)="10","제주",TRUE,"국외")</f>
        <v>서울</v>
      </c>
    </row>
    <row r="1134" spans="1:12" ht="17.25" thickBot="1">
      <c r="A1134" s="3" t="s">
        <v>73</v>
      </c>
      <c r="B1134" s="3" t="s">
        <v>1</v>
      </c>
      <c r="C1134" s="3" t="s">
        <v>221</v>
      </c>
      <c r="D1134" s="4" t="s">
        <v>254</v>
      </c>
      <c r="E1134" s="4" t="s">
        <v>12</v>
      </c>
      <c r="F1134" s="4">
        <v>2016</v>
      </c>
      <c r="G1134" s="8">
        <v>0</v>
      </c>
      <c r="H1134" s="4" t="s">
        <v>12</v>
      </c>
      <c r="I1134" s="8">
        <v>0</v>
      </c>
      <c r="J1134" s="3">
        <v>12624</v>
      </c>
      <c r="K1134" s="3">
        <v>50107</v>
      </c>
      <c r="L1134" s="17" t="str" cm="1">
        <f t="array" ref="L1134">_xlfn.IFS(MID(K1134,2,2)="01", "서울", MID(K1134,2,2)="02","경기",MID(K1134,2,2)="03","충청",MID(K1134,2,2)="04","충청",MID(K1134,2,2)="05","전라",MID(K1134,2,2)="06","전라",MID(K1134,2,2)="07","경북",MID(K1134,2,2)="08","경남",MID(K1134,2,2)="09","강원",MID(K1134,2,2)="10","제주",TRUE,"국외")</f>
        <v>서울</v>
      </c>
    </row>
    <row r="1135" spans="1:12" ht="17.25" thickBot="1">
      <c r="A1135" s="3" t="s">
        <v>1246</v>
      </c>
      <c r="B1135" s="3" t="s">
        <v>40</v>
      </c>
      <c r="C1135" s="3"/>
      <c r="D1135" s="4" t="s">
        <v>254</v>
      </c>
      <c r="E1135" s="4" t="s">
        <v>607</v>
      </c>
      <c r="F1135" s="4"/>
      <c r="G1135" s="9"/>
      <c r="H1135" s="4"/>
      <c r="I1135" s="9"/>
      <c r="J1135" s="3">
        <v>12618</v>
      </c>
      <c r="K1135" s="3">
        <v>50108</v>
      </c>
      <c r="L1135" s="17" t="str" cm="1">
        <f t="array" ref="L1135">_xlfn.IFS(MID(K1135,2,2)="01", "서울", MID(K1135,2,2)="02","경기",MID(K1135,2,2)="03","충청",MID(K1135,2,2)="04","충청",MID(K1135,2,2)="05","전라",MID(K1135,2,2)="06","전라",MID(K1135,2,2)="07","경북",MID(K1135,2,2)="08","경남",MID(K1135,2,2)="09","강원",MID(K1135,2,2)="10","제주",TRUE,"국외")</f>
        <v>서울</v>
      </c>
    </row>
    <row r="1136" spans="1:12" ht="17.25" thickBot="1">
      <c r="A1136" s="3" t="s">
        <v>1247</v>
      </c>
      <c r="B1136" s="3" t="s">
        <v>32</v>
      </c>
      <c r="C1136" s="3" t="s">
        <v>221</v>
      </c>
      <c r="D1136" s="4" t="s">
        <v>254</v>
      </c>
      <c r="E1136" s="4" t="s">
        <v>906</v>
      </c>
      <c r="F1136" s="4">
        <v>2017</v>
      </c>
      <c r="G1136" s="9"/>
      <c r="H1136" s="4" t="s">
        <v>18</v>
      </c>
      <c r="I1136" s="8">
        <v>0</v>
      </c>
      <c r="J1136" s="3">
        <v>12634</v>
      </c>
      <c r="K1136" s="3">
        <v>50111</v>
      </c>
      <c r="L1136" s="17" t="str" cm="1">
        <f t="array" ref="L1136">_xlfn.IFS(MID(K1136,2,2)="01", "서울", MID(K1136,2,2)="02","경기",MID(K1136,2,2)="03","충청",MID(K1136,2,2)="04","충청",MID(K1136,2,2)="05","전라",MID(K1136,2,2)="06","전라",MID(K1136,2,2)="07","경북",MID(K1136,2,2)="08","경남",MID(K1136,2,2)="09","강원",MID(K1136,2,2)="10","제주",TRUE,"국외")</f>
        <v>서울</v>
      </c>
    </row>
    <row r="1137" spans="1:12" ht="17.25" thickBot="1">
      <c r="A1137" s="3" t="s">
        <v>1248</v>
      </c>
      <c r="B1137" s="3" t="s">
        <v>121</v>
      </c>
      <c r="C1137" s="3" t="s">
        <v>211</v>
      </c>
      <c r="D1137" s="4" t="s">
        <v>254</v>
      </c>
      <c r="E1137" s="4" t="s">
        <v>26</v>
      </c>
      <c r="F1137" s="4"/>
      <c r="G1137" s="9"/>
      <c r="H1137" s="4"/>
      <c r="I1137" s="9"/>
      <c r="J1137" s="3">
        <v>12609</v>
      </c>
      <c r="K1137" s="3">
        <v>50604</v>
      </c>
      <c r="L1137" s="17" t="str" cm="1">
        <f t="array" ref="L1137">_xlfn.IFS(MID(K1137,2,2)="01", "서울", MID(K1137,2,2)="02","경기",MID(K1137,2,2)="03","충청",MID(K1137,2,2)="04","충청",MID(K1137,2,2)="05","전라",MID(K1137,2,2)="06","전라",MID(K1137,2,2)="07","경북",MID(K1137,2,2)="08","경남",MID(K1137,2,2)="09","강원",MID(K1137,2,2)="10","제주",TRUE,"국외")</f>
        <v>전라</v>
      </c>
    </row>
    <row r="1138" spans="1:12" ht="17.25" thickBot="1">
      <c r="A1138" s="3" t="s">
        <v>1249</v>
      </c>
      <c r="B1138" s="3" t="s">
        <v>469</v>
      </c>
      <c r="C1138" s="3"/>
      <c r="D1138" s="4" t="s">
        <v>254</v>
      </c>
      <c r="E1138" s="4" t="s">
        <v>9</v>
      </c>
      <c r="F1138" s="4"/>
      <c r="G1138" s="9"/>
      <c r="H1138" s="4"/>
      <c r="I1138" s="9"/>
      <c r="J1138" s="3">
        <v>12597</v>
      </c>
      <c r="K1138" s="3">
        <v>50205</v>
      </c>
      <c r="L1138" s="17" t="str" cm="1">
        <f t="array" ref="L1138">_xlfn.IFS(MID(K1138,2,2)="01", "서울", MID(K1138,2,2)="02","경기",MID(K1138,2,2)="03","충청",MID(K1138,2,2)="04","충청",MID(K1138,2,2)="05","전라",MID(K1138,2,2)="06","전라",MID(K1138,2,2)="07","경북",MID(K1138,2,2)="08","경남",MID(K1138,2,2)="09","강원",MID(K1138,2,2)="10","제주",TRUE,"국외")</f>
        <v>경기</v>
      </c>
    </row>
    <row r="1139" spans="1:12" ht="17.25" thickBot="1">
      <c r="A1139" s="3" t="s">
        <v>1250</v>
      </c>
      <c r="B1139" s="3" t="s">
        <v>14</v>
      </c>
      <c r="C1139" s="3"/>
      <c r="D1139" s="4" t="s">
        <v>254</v>
      </c>
      <c r="E1139" s="4" t="s">
        <v>23</v>
      </c>
      <c r="F1139" s="4"/>
      <c r="G1139" s="9"/>
      <c r="H1139" s="4"/>
      <c r="I1139" s="9"/>
      <c r="J1139" s="3">
        <v>12641</v>
      </c>
      <c r="K1139" s="3">
        <v>50703</v>
      </c>
      <c r="L1139" s="17" t="str" cm="1">
        <f t="array" ref="L1139">_xlfn.IFS(MID(K1139,2,2)="01", "서울", MID(K1139,2,2)="02","경기",MID(K1139,2,2)="03","충청",MID(K1139,2,2)="04","충청",MID(K1139,2,2)="05","전라",MID(K1139,2,2)="06","전라",MID(K1139,2,2)="07","경북",MID(K1139,2,2)="08","경남",MID(K1139,2,2)="09","강원",MID(K1139,2,2)="10","제주",TRUE,"국외")</f>
        <v>경북</v>
      </c>
    </row>
    <row r="1140" spans="1:12" ht="17.25" thickBot="1">
      <c r="A1140" s="3" t="s">
        <v>1251</v>
      </c>
      <c r="B1140" s="3" t="s">
        <v>147</v>
      </c>
      <c r="C1140" s="3"/>
      <c r="D1140" s="4" t="s">
        <v>254</v>
      </c>
      <c r="E1140" s="4" t="s">
        <v>3</v>
      </c>
      <c r="F1140" s="4">
        <v>2017</v>
      </c>
      <c r="G1140" s="9"/>
      <c r="H1140" s="4" t="s">
        <v>3</v>
      </c>
      <c r="I1140" s="8">
        <v>-0.4</v>
      </c>
      <c r="J1140" s="3">
        <v>12587</v>
      </c>
      <c r="K1140" s="3">
        <v>50208</v>
      </c>
      <c r="L1140" s="17" t="str" cm="1">
        <f t="array" ref="L1140">_xlfn.IFS(MID(K1140,2,2)="01", "서울", MID(K1140,2,2)="02","경기",MID(K1140,2,2)="03","충청",MID(K1140,2,2)="04","충청",MID(K1140,2,2)="05","전라",MID(K1140,2,2)="06","전라",MID(K1140,2,2)="07","경북",MID(K1140,2,2)="08","경남",MID(K1140,2,2)="09","강원",MID(K1140,2,2)="10","제주",TRUE,"국외")</f>
        <v>경기</v>
      </c>
    </row>
    <row r="1141" spans="1:12" ht="17.25" thickBot="1">
      <c r="A1141" s="3" t="s">
        <v>1252</v>
      </c>
      <c r="B1141" s="3" t="s">
        <v>8</v>
      </c>
      <c r="C1141" s="3"/>
      <c r="D1141" s="4" t="s">
        <v>254</v>
      </c>
      <c r="E1141" s="4" t="s">
        <v>6</v>
      </c>
      <c r="F1141" s="4"/>
      <c r="G1141" s="9"/>
      <c r="H1141" s="4"/>
      <c r="I1141" s="9"/>
      <c r="J1141" s="3">
        <v>12542</v>
      </c>
      <c r="K1141" s="3">
        <v>50116</v>
      </c>
      <c r="L1141" s="17" t="str" cm="1">
        <f t="array" ref="L1141">_xlfn.IFS(MID(K1141,2,2)="01", "서울", MID(K1141,2,2)="02","경기",MID(K1141,2,2)="03","충청",MID(K1141,2,2)="04","충청",MID(K1141,2,2)="05","전라",MID(K1141,2,2)="06","전라",MID(K1141,2,2)="07","경북",MID(K1141,2,2)="08","경남",MID(K1141,2,2)="09","강원",MID(K1141,2,2)="10","제주",TRUE,"국외")</f>
        <v>서울</v>
      </c>
    </row>
    <row r="1142" spans="1:12" ht="17.25" thickBot="1">
      <c r="A1142" s="3" t="s">
        <v>1253</v>
      </c>
      <c r="B1142" s="3" t="s">
        <v>107</v>
      </c>
      <c r="C1142" s="3" t="s">
        <v>99</v>
      </c>
      <c r="D1142" s="4" t="s">
        <v>254</v>
      </c>
      <c r="E1142" s="4" t="s">
        <v>28</v>
      </c>
      <c r="F1142" s="4"/>
      <c r="G1142" s="9"/>
      <c r="H1142" s="4"/>
      <c r="I1142" s="9"/>
      <c r="J1142" s="3">
        <v>12580</v>
      </c>
      <c r="K1142" s="3">
        <v>50602</v>
      </c>
      <c r="L1142" s="17" t="str" cm="1">
        <f t="array" ref="L1142">_xlfn.IFS(MID(K1142,2,2)="01", "서울", MID(K1142,2,2)="02","경기",MID(K1142,2,2)="03","충청",MID(K1142,2,2)="04","충청",MID(K1142,2,2)="05","전라",MID(K1142,2,2)="06","전라",MID(K1142,2,2)="07","경북",MID(K1142,2,2)="08","경남",MID(K1142,2,2)="09","강원",MID(K1142,2,2)="10","제주",TRUE,"국외")</f>
        <v>전라</v>
      </c>
    </row>
    <row r="1143" spans="1:12" ht="17.25" thickBot="1">
      <c r="A1143" s="3" t="s">
        <v>1254</v>
      </c>
      <c r="B1143" s="3" t="s">
        <v>158</v>
      </c>
      <c r="C1143" s="3"/>
      <c r="D1143" s="4" t="s">
        <v>254</v>
      </c>
      <c r="E1143" s="4" t="s">
        <v>20</v>
      </c>
      <c r="F1143" s="4"/>
      <c r="G1143" s="9"/>
      <c r="H1143" s="4"/>
      <c r="I1143" s="9"/>
      <c r="J1143" s="3">
        <v>12556</v>
      </c>
      <c r="K1143" s="3">
        <v>50501</v>
      </c>
      <c r="L1143" s="17" t="str" cm="1">
        <f t="array" ref="L1143">_xlfn.IFS(MID(K1143,2,2)="01", "서울", MID(K1143,2,2)="02","경기",MID(K1143,2,2)="03","충청",MID(K1143,2,2)="04","충청",MID(K1143,2,2)="05","전라",MID(K1143,2,2)="06","전라",MID(K1143,2,2)="07","경북",MID(K1143,2,2)="08","경남",MID(K1143,2,2)="09","강원",MID(K1143,2,2)="10","제주",TRUE,"국외")</f>
        <v>전라</v>
      </c>
    </row>
    <row r="1144" spans="1:12" ht="17.25" thickBot="1">
      <c r="A1144" s="3" t="s">
        <v>1255</v>
      </c>
      <c r="B1144" s="3" t="s">
        <v>8</v>
      </c>
      <c r="C1144" s="3" t="s">
        <v>174</v>
      </c>
      <c r="D1144" s="4" t="s">
        <v>254</v>
      </c>
      <c r="E1144" s="4" t="s">
        <v>12</v>
      </c>
      <c r="F1144" s="4">
        <v>2017</v>
      </c>
      <c r="G1144" s="9"/>
      <c r="H1144" s="4" t="s">
        <v>12</v>
      </c>
      <c r="I1144" s="8">
        <v>-0.1</v>
      </c>
      <c r="J1144" s="3">
        <v>12625</v>
      </c>
      <c r="K1144" s="3">
        <v>50116</v>
      </c>
      <c r="L1144" s="17" t="str" cm="1">
        <f t="array" ref="L1144">_xlfn.IFS(MID(K1144,2,2)="01", "서울", MID(K1144,2,2)="02","경기",MID(K1144,2,2)="03","충청",MID(K1144,2,2)="04","충청",MID(K1144,2,2)="05","전라",MID(K1144,2,2)="06","전라",MID(K1144,2,2)="07","경북",MID(K1144,2,2)="08","경남",MID(K1144,2,2)="09","강원",MID(K1144,2,2)="10","제주",TRUE,"국외")</f>
        <v>서울</v>
      </c>
    </row>
    <row r="1145" spans="1:12" ht="17.25" thickBot="1">
      <c r="A1145" s="3" t="s">
        <v>1256</v>
      </c>
      <c r="B1145" s="3" t="s">
        <v>25</v>
      </c>
      <c r="C1145" s="3"/>
      <c r="D1145" s="4" t="s">
        <v>254</v>
      </c>
      <c r="E1145" s="4" t="s">
        <v>607</v>
      </c>
      <c r="F1145" s="4">
        <v>2016</v>
      </c>
      <c r="G1145" s="8">
        <v>0.5</v>
      </c>
      <c r="H1145" s="4" t="s">
        <v>23</v>
      </c>
      <c r="I1145" s="8">
        <v>3.4</v>
      </c>
      <c r="J1145" s="3">
        <v>12548</v>
      </c>
      <c r="K1145" s="3">
        <v>50403</v>
      </c>
      <c r="L1145" s="17" t="str" cm="1">
        <f t="array" ref="L1145">_xlfn.IFS(MID(K1145,2,2)="01", "서울", MID(K1145,2,2)="02","경기",MID(K1145,2,2)="03","충청",MID(K1145,2,2)="04","충청",MID(K1145,2,2)="05","전라",MID(K1145,2,2)="06","전라",MID(K1145,2,2)="07","경북",MID(K1145,2,2)="08","경남",MID(K1145,2,2)="09","강원",MID(K1145,2,2)="10","제주",TRUE,"국외")</f>
        <v>충청</v>
      </c>
    </row>
    <row r="1146" spans="1:12" ht="17.25" thickBot="1">
      <c r="A1146" s="3" t="s">
        <v>1257</v>
      </c>
      <c r="B1146" s="3" t="s">
        <v>66</v>
      </c>
      <c r="C1146" s="3"/>
      <c r="D1146" s="4" t="s">
        <v>254</v>
      </c>
      <c r="E1146" s="4" t="s">
        <v>906</v>
      </c>
      <c r="F1146" s="4"/>
      <c r="G1146" s="9"/>
      <c r="H1146" s="4"/>
      <c r="I1146" s="9"/>
      <c r="J1146" s="3">
        <v>12635</v>
      </c>
      <c r="K1146" s="3">
        <v>50110</v>
      </c>
      <c r="L1146" s="17" t="str" cm="1">
        <f t="array" ref="L1146">_xlfn.IFS(MID(K1146,2,2)="01", "서울", MID(K1146,2,2)="02","경기",MID(K1146,2,2)="03","충청",MID(K1146,2,2)="04","충청",MID(K1146,2,2)="05","전라",MID(K1146,2,2)="06","전라",MID(K1146,2,2)="07","경북",MID(K1146,2,2)="08","경남",MID(K1146,2,2)="09","강원",MID(K1146,2,2)="10","제주",TRUE,"국외")</f>
        <v>서울</v>
      </c>
    </row>
    <row r="1147" spans="1:12" ht="17.25" thickBot="1">
      <c r="A1147" s="3" t="s">
        <v>1258</v>
      </c>
      <c r="B1147" s="3" t="s">
        <v>1</v>
      </c>
      <c r="C1147" s="3" t="s">
        <v>221</v>
      </c>
      <c r="D1147" s="4" t="s">
        <v>254</v>
      </c>
      <c r="E1147" s="4" t="s">
        <v>26</v>
      </c>
      <c r="F1147" s="4"/>
      <c r="G1147" s="9"/>
      <c r="H1147" s="4"/>
      <c r="I1147" s="9"/>
      <c r="J1147" s="3">
        <v>12610</v>
      </c>
      <c r="K1147" s="3">
        <v>50107</v>
      </c>
      <c r="L1147" s="17" t="str" cm="1">
        <f t="array" ref="L1147">_xlfn.IFS(MID(K1147,2,2)="01", "서울", MID(K1147,2,2)="02","경기",MID(K1147,2,2)="03","충청",MID(K1147,2,2)="04","충청",MID(K1147,2,2)="05","전라",MID(K1147,2,2)="06","전라",MID(K1147,2,2)="07","경북",MID(K1147,2,2)="08","경남",MID(K1147,2,2)="09","강원",MID(K1147,2,2)="10","제주",TRUE,"국외")</f>
        <v>서울</v>
      </c>
    </row>
    <row r="1148" spans="1:12" ht="17.25" thickBot="1">
      <c r="A1148" s="3" t="s">
        <v>1259</v>
      </c>
      <c r="B1148" s="3" t="s">
        <v>11</v>
      </c>
      <c r="C1148" s="3"/>
      <c r="D1148" s="4" t="s">
        <v>254</v>
      </c>
      <c r="E1148" s="4" t="s">
        <v>9</v>
      </c>
      <c r="F1148" s="4"/>
      <c r="G1148" s="9"/>
      <c r="H1148" s="4"/>
      <c r="I1148" s="9"/>
      <c r="J1148" s="3">
        <v>12598</v>
      </c>
      <c r="K1148" s="3">
        <v>50802</v>
      </c>
      <c r="L1148" s="17" t="str" cm="1">
        <f t="array" ref="L1148">_xlfn.IFS(MID(K1148,2,2)="01", "서울", MID(K1148,2,2)="02","경기",MID(K1148,2,2)="03","충청",MID(K1148,2,2)="04","충청",MID(K1148,2,2)="05","전라",MID(K1148,2,2)="06","전라",MID(K1148,2,2)="07","경북",MID(K1148,2,2)="08","경남",MID(K1148,2,2)="09","강원",MID(K1148,2,2)="10","제주",TRUE,"국외")</f>
        <v>경남</v>
      </c>
    </row>
    <row r="1149" spans="1:12" ht="17.25" thickBot="1">
      <c r="A1149" s="3" t="s">
        <v>1260</v>
      </c>
      <c r="B1149" s="3" t="s">
        <v>128</v>
      </c>
      <c r="C1149" s="3" t="s">
        <v>99</v>
      </c>
      <c r="D1149" s="4" t="s">
        <v>254</v>
      </c>
      <c r="E1149" s="4" t="s">
        <v>23</v>
      </c>
      <c r="F1149" s="4"/>
      <c r="G1149" s="9"/>
      <c r="H1149" s="4"/>
      <c r="I1149" s="9"/>
      <c r="J1149" s="3">
        <v>12642</v>
      </c>
      <c r="K1149" s="3">
        <v>50901</v>
      </c>
      <c r="L1149" s="17" t="str" cm="1">
        <f t="array" ref="L1149">_xlfn.IFS(MID(K1149,2,2)="01", "서울", MID(K1149,2,2)="02","경기",MID(K1149,2,2)="03","충청",MID(K1149,2,2)="04","충청",MID(K1149,2,2)="05","전라",MID(K1149,2,2)="06","전라",MID(K1149,2,2)="07","경북",MID(K1149,2,2)="08","경남",MID(K1149,2,2)="09","강원",MID(K1149,2,2)="10","제주",TRUE,"국외")</f>
        <v>강원</v>
      </c>
    </row>
    <row r="1150" spans="1:12" ht="17.25" thickBot="1">
      <c r="A1150" s="3" t="s">
        <v>1261</v>
      </c>
      <c r="B1150" s="3" t="s">
        <v>81</v>
      </c>
      <c r="C1150" s="3" t="s">
        <v>122</v>
      </c>
      <c r="D1150" s="4" t="s">
        <v>254</v>
      </c>
      <c r="E1150" s="4" t="s">
        <v>3</v>
      </c>
      <c r="F1150" s="4"/>
      <c r="G1150" s="9"/>
      <c r="H1150" s="4"/>
      <c r="I1150" s="9"/>
      <c r="J1150" s="3">
        <v>12588</v>
      </c>
      <c r="K1150" s="3">
        <v>50105</v>
      </c>
      <c r="L1150" s="17" t="str" cm="1">
        <f t="array" ref="L1150">_xlfn.IFS(MID(K1150,2,2)="01", "서울", MID(K1150,2,2)="02","경기",MID(K1150,2,2)="03","충청",MID(K1150,2,2)="04","충청",MID(K1150,2,2)="05","전라",MID(K1150,2,2)="06","전라",MID(K1150,2,2)="07","경북",MID(K1150,2,2)="08","경남",MID(K1150,2,2)="09","강원",MID(K1150,2,2)="10","제주",TRUE,"국외")</f>
        <v>서울</v>
      </c>
    </row>
    <row r="1151" spans="1:12" ht="17.25" thickBot="1">
      <c r="A1151" s="3" t="s">
        <v>1262</v>
      </c>
      <c r="B1151" s="3" t="s">
        <v>107</v>
      </c>
      <c r="C1151" s="3"/>
      <c r="D1151" s="4" t="s">
        <v>254</v>
      </c>
      <c r="E1151" s="4" t="s">
        <v>6</v>
      </c>
      <c r="F1151" s="4">
        <v>2018</v>
      </c>
      <c r="G1151" s="9"/>
      <c r="H1151" s="4" t="s">
        <v>6</v>
      </c>
      <c r="I1151" s="8">
        <v>-0.2</v>
      </c>
      <c r="J1151" s="3">
        <v>12543</v>
      </c>
      <c r="K1151" s="3">
        <v>50602</v>
      </c>
      <c r="L1151" s="17" t="str" cm="1">
        <f t="array" ref="L1151">_xlfn.IFS(MID(K1151,2,2)="01", "서울", MID(K1151,2,2)="02","경기",MID(K1151,2,2)="03","충청",MID(K1151,2,2)="04","충청",MID(K1151,2,2)="05","전라",MID(K1151,2,2)="06","전라",MID(K1151,2,2)="07","경북",MID(K1151,2,2)="08","경남",MID(K1151,2,2)="09","강원",MID(K1151,2,2)="10","제주",TRUE,"국외")</f>
        <v>전라</v>
      </c>
    </row>
    <row r="1152" spans="1:12" ht="17.25" thickBot="1">
      <c r="A1152" s="3" t="s">
        <v>1263</v>
      </c>
      <c r="B1152" s="3" t="s">
        <v>78</v>
      </c>
      <c r="C1152" s="3"/>
      <c r="D1152" s="4" t="s">
        <v>254</v>
      </c>
      <c r="E1152" s="4" t="s">
        <v>28</v>
      </c>
      <c r="F1152" s="4"/>
      <c r="G1152" s="9"/>
      <c r="H1152" s="4"/>
      <c r="I1152" s="9"/>
      <c r="J1152" s="3">
        <v>12581</v>
      </c>
      <c r="K1152" s="3">
        <v>50401</v>
      </c>
      <c r="L1152" s="17" t="str" cm="1">
        <f t="array" ref="L1152">_xlfn.IFS(MID(K1152,2,2)="01", "서울", MID(K1152,2,2)="02","경기",MID(K1152,2,2)="03","충청",MID(K1152,2,2)="04","충청",MID(K1152,2,2)="05","전라",MID(K1152,2,2)="06","전라",MID(K1152,2,2)="07","경북",MID(K1152,2,2)="08","경남",MID(K1152,2,2)="09","강원",MID(K1152,2,2)="10","제주",TRUE,"국외")</f>
        <v>충청</v>
      </c>
    </row>
    <row r="1153" spans="1:12" ht="17.25" thickBot="1">
      <c r="A1153" s="3" t="s">
        <v>1264</v>
      </c>
      <c r="B1153" s="3" t="s">
        <v>11</v>
      </c>
      <c r="C1153" s="3" t="s">
        <v>45</v>
      </c>
      <c r="D1153" s="4" t="s">
        <v>254</v>
      </c>
      <c r="E1153" s="4" t="s">
        <v>20</v>
      </c>
      <c r="F1153" s="4"/>
      <c r="G1153" s="9"/>
      <c r="H1153" s="4"/>
      <c r="I1153" s="9"/>
      <c r="J1153" s="3">
        <v>12557</v>
      </c>
      <c r="K1153" s="3">
        <v>50802</v>
      </c>
      <c r="L1153" s="17" t="str" cm="1">
        <f t="array" ref="L1153">_xlfn.IFS(MID(K1153,2,2)="01", "서울", MID(K1153,2,2)="02","경기",MID(K1153,2,2)="03","충청",MID(K1153,2,2)="04","충청",MID(K1153,2,2)="05","전라",MID(K1153,2,2)="06","전라",MID(K1153,2,2)="07","경북",MID(K1153,2,2)="08","경남",MID(K1153,2,2)="09","강원",MID(K1153,2,2)="10","제주",TRUE,"국외")</f>
        <v>경남</v>
      </c>
    </row>
    <row r="1154" spans="1:12" ht="17.25" thickBot="1">
      <c r="A1154" s="3" t="s">
        <v>1265</v>
      </c>
      <c r="B1154" s="3" t="s">
        <v>332</v>
      </c>
      <c r="C1154" s="3" t="s">
        <v>99</v>
      </c>
      <c r="D1154" s="4" t="s">
        <v>254</v>
      </c>
      <c r="E1154" s="4" t="s">
        <v>12</v>
      </c>
      <c r="F1154" s="4"/>
      <c r="G1154" s="9"/>
      <c r="H1154" s="4"/>
      <c r="I1154" s="9"/>
      <c r="J1154" s="3">
        <v>12626</v>
      </c>
      <c r="K1154" s="3">
        <v>50705</v>
      </c>
      <c r="L1154" s="17" t="str" cm="1">
        <f t="array" ref="L1154">_xlfn.IFS(MID(K1154,2,2)="01", "서울", MID(K1154,2,2)="02","경기",MID(K1154,2,2)="03","충청",MID(K1154,2,2)="04","충청",MID(K1154,2,2)="05","전라",MID(K1154,2,2)="06","전라",MID(K1154,2,2)="07","경북",MID(K1154,2,2)="08","경남",MID(K1154,2,2)="09","강원",MID(K1154,2,2)="10","제주",TRUE,"국외")</f>
        <v>경북</v>
      </c>
    </row>
    <row r="1155" spans="1:12" ht="17.25" thickBot="1">
      <c r="A1155" s="3" t="s">
        <v>1266</v>
      </c>
      <c r="B1155" s="3" t="s">
        <v>81</v>
      </c>
      <c r="C1155" s="3" t="s">
        <v>133</v>
      </c>
      <c r="D1155" s="4" t="s">
        <v>254</v>
      </c>
      <c r="E1155" s="4" t="s">
        <v>607</v>
      </c>
      <c r="F1155" s="4"/>
      <c r="G1155" s="9"/>
      <c r="H1155" s="4"/>
      <c r="I1155" s="9"/>
      <c r="J1155" s="3">
        <v>12619</v>
      </c>
      <c r="K1155" s="3">
        <v>50105</v>
      </c>
      <c r="L1155" s="17" t="str" cm="1">
        <f t="array" ref="L1155">_xlfn.IFS(MID(K1155,2,2)="01", "서울", MID(K1155,2,2)="02","경기",MID(K1155,2,2)="03","충청",MID(K1155,2,2)="04","충청",MID(K1155,2,2)="05","전라",MID(K1155,2,2)="06","전라",MID(K1155,2,2)="07","경북",MID(K1155,2,2)="08","경남",MID(K1155,2,2)="09","강원",MID(K1155,2,2)="10","제주",TRUE,"국외")</f>
        <v>서울</v>
      </c>
    </row>
    <row r="1156" spans="1:12" ht="17.25" thickBot="1">
      <c r="A1156" s="3" t="s">
        <v>1267</v>
      </c>
      <c r="B1156" s="3" t="s">
        <v>38</v>
      </c>
      <c r="C1156" s="3"/>
      <c r="D1156" s="4" t="s">
        <v>254</v>
      </c>
      <c r="E1156" s="4" t="s">
        <v>906</v>
      </c>
      <c r="F1156" s="4"/>
      <c r="G1156" s="9"/>
      <c r="H1156" s="4"/>
      <c r="I1156" s="9"/>
      <c r="J1156" s="3">
        <v>12636</v>
      </c>
      <c r="K1156" s="3">
        <v>50109</v>
      </c>
      <c r="L1156" s="17" t="str" cm="1">
        <f t="array" ref="L1156">_xlfn.IFS(MID(K1156,2,2)="01", "서울", MID(K1156,2,2)="02","경기",MID(K1156,2,2)="03","충청",MID(K1156,2,2)="04","충청",MID(K1156,2,2)="05","전라",MID(K1156,2,2)="06","전라",MID(K1156,2,2)="07","경북",MID(K1156,2,2)="08","경남",MID(K1156,2,2)="09","강원",MID(K1156,2,2)="10","제주",TRUE,"국외")</f>
        <v>서울</v>
      </c>
    </row>
    <row r="1157" spans="1:12" ht="17.25" thickBot="1">
      <c r="A1157" s="3" t="s">
        <v>1268</v>
      </c>
      <c r="B1157" s="3" t="s">
        <v>68</v>
      </c>
      <c r="C1157" s="3" t="s">
        <v>83</v>
      </c>
      <c r="D1157" s="4" t="s">
        <v>254</v>
      </c>
      <c r="E1157" s="4" t="s">
        <v>26</v>
      </c>
      <c r="F1157" s="4"/>
      <c r="G1157" s="9"/>
      <c r="H1157" s="4"/>
      <c r="I1157" s="9"/>
      <c r="J1157" s="3">
        <v>12611</v>
      </c>
      <c r="K1157" s="3">
        <v>50101</v>
      </c>
      <c r="L1157" s="17" t="str" cm="1">
        <f t="array" ref="L1157">_xlfn.IFS(MID(K1157,2,2)="01", "서울", MID(K1157,2,2)="02","경기",MID(K1157,2,2)="03","충청",MID(K1157,2,2)="04","충청",MID(K1157,2,2)="05","전라",MID(K1157,2,2)="06","전라",MID(K1157,2,2)="07","경북",MID(K1157,2,2)="08","경남",MID(K1157,2,2)="09","강원",MID(K1157,2,2)="10","제주",TRUE,"국외")</f>
        <v>서울</v>
      </c>
    </row>
    <row r="1158" spans="1:12" ht="17.25" thickBot="1">
      <c r="A1158" s="3" t="s">
        <v>1269</v>
      </c>
      <c r="B1158" s="3" t="s">
        <v>50</v>
      </c>
      <c r="C1158" s="3"/>
      <c r="D1158" s="4" t="s">
        <v>254</v>
      </c>
      <c r="E1158" s="4" t="s">
        <v>9</v>
      </c>
      <c r="F1158" s="4"/>
      <c r="G1158" s="9"/>
      <c r="H1158" s="4"/>
      <c r="I1158" s="9"/>
      <c r="J1158" s="3">
        <v>12599</v>
      </c>
      <c r="K1158" s="3">
        <v>50301</v>
      </c>
      <c r="L1158" s="17" t="str" cm="1">
        <f t="array" ref="L1158">_xlfn.IFS(MID(K1158,2,2)="01", "서울", MID(K1158,2,2)="02","경기",MID(K1158,2,2)="03","충청",MID(K1158,2,2)="04","충청",MID(K1158,2,2)="05","전라",MID(K1158,2,2)="06","전라",MID(K1158,2,2)="07","경북",MID(K1158,2,2)="08","경남",MID(K1158,2,2)="09","강원",MID(K1158,2,2)="10","제주",TRUE,"국외")</f>
        <v>충청</v>
      </c>
    </row>
    <row r="1159" spans="1:12" ht="17.25" thickBot="1">
      <c r="A1159" s="3" t="s">
        <v>1270</v>
      </c>
      <c r="B1159" s="3" t="s">
        <v>74</v>
      </c>
      <c r="C1159" s="3" t="s">
        <v>538</v>
      </c>
      <c r="D1159" s="4" t="s">
        <v>254</v>
      </c>
      <c r="E1159" s="4" t="s">
        <v>23</v>
      </c>
      <c r="F1159" s="4"/>
      <c r="G1159" s="9"/>
      <c r="H1159" s="4"/>
      <c r="I1159" s="9"/>
      <c r="J1159" s="3">
        <v>12643</v>
      </c>
      <c r="K1159" s="3">
        <v>50102</v>
      </c>
      <c r="L1159" s="17" t="str" cm="1">
        <f t="array" ref="L1159">_xlfn.IFS(MID(K1159,2,2)="01", "서울", MID(K1159,2,2)="02","경기",MID(K1159,2,2)="03","충청",MID(K1159,2,2)="04","충청",MID(K1159,2,2)="05","전라",MID(K1159,2,2)="06","전라",MID(K1159,2,2)="07","경북",MID(K1159,2,2)="08","경남",MID(K1159,2,2)="09","강원",MID(K1159,2,2)="10","제주",TRUE,"국외")</f>
        <v>서울</v>
      </c>
    </row>
    <row r="1160" spans="1:12" ht="17.25" thickBot="1">
      <c r="A1160" s="3" t="s">
        <v>1271</v>
      </c>
      <c r="B1160" s="3" t="s">
        <v>25</v>
      </c>
      <c r="C1160" s="3"/>
      <c r="D1160" s="4" t="s">
        <v>254</v>
      </c>
      <c r="E1160" s="4" t="s">
        <v>3</v>
      </c>
      <c r="F1160" s="4">
        <v>2016</v>
      </c>
      <c r="G1160" s="9"/>
      <c r="H1160" s="4" t="s">
        <v>3</v>
      </c>
      <c r="I1160" s="8">
        <v>-0.3</v>
      </c>
      <c r="J1160" s="3">
        <v>12564</v>
      </c>
      <c r="K1160" s="3">
        <v>50403</v>
      </c>
      <c r="L1160" s="17" t="str" cm="1">
        <f t="array" ref="L1160">_xlfn.IFS(MID(K1160,2,2)="01", "서울", MID(K1160,2,2)="02","경기",MID(K1160,2,2)="03","충청",MID(K1160,2,2)="04","충청",MID(K1160,2,2)="05","전라",MID(K1160,2,2)="06","전라",MID(K1160,2,2)="07","경북",MID(K1160,2,2)="08","경남",MID(K1160,2,2)="09","강원",MID(K1160,2,2)="10","제주",TRUE,"국외")</f>
        <v>충청</v>
      </c>
    </row>
    <row r="1161" spans="1:12" ht="17.25" thickBot="1">
      <c r="A1161" s="3" t="s">
        <v>1272</v>
      </c>
      <c r="B1161" s="3"/>
      <c r="C1161" s="3"/>
      <c r="D1161" s="4" t="s">
        <v>181</v>
      </c>
      <c r="E1161" s="4" t="s">
        <v>6</v>
      </c>
      <c r="F1161" s="4">
        <v>2016</v>
      </c>
      <c r="G1161" s="8">
        <v>8.1999999999999993</v>
      </c>
      <c r="H1161" s="4" t="s">
        <v>6</v>
      </c>
      <c r="I1161" s="8">
        <v>19.100000000000001</v>
      </c>
      <c r="J1161" s="3">
        <v>12509</v>
      </c>
      <c r="K1161" s="3"/>
      <c r="L1161" s="17" t="str" cm="1">
        <f t="array" ref="L1161">_xlfn.IFS(MID(K1161,2,2)="01", "서울", MID(K1161,2,2)="02","경기",MID(K1161,2,2)="03","충청",MID(K1161,2,2)="04","충청",MID(K1161,2,2)="05","전라",MID(K1161,2,2)="06","전라",MID(K1161,2,2)="07","경북",MID(K1161,2,2)="08","경남",MID(K1161,2,2)="09","강원",MID(K1161,2,2)="10","제주",TRUE,"국외")</f>
        <v>국외</v>
      </c>
    </row>
    <row r="1162" spans="1:12" ht="17.25" thickBot="1">
      <c r="A1162" s="3" t="s">
        <v>1273</v>
      </c>
      <c r="B1162" s="3"/>
      <c r="C1162" s="3"/>
      <c r="D1162" s="4" t="s">
        <v>181</v>
      </c>
      <c r="E1162" s="4" t="s">
        <v>6</v>
      </c>
      <c r="F1162" s="4">
        <v>2016</v>
      </c>
      <c r="G1162" s="8">
        <v>2.8</v>
      </c>
      <c r="H1162" s="4" t="s">
        <v>6</v>
      </c>
      <c r="I1162" s="8">
        <v>2.8</v>
      </c>
      <c r="J1162" s="3">
        <v>12510</v>
      </c>
      <c r="K1162" s="3"/>
      <c r="L1162" s="17" t="str" cm="1">
        <f t="array" ref="L1162">_xlfn.IFS(MID(K1162,2,2)="01", "서울", MID(K1162,2,2)="02","경기",MID(K1162,2,2)="03","충청",MID(K1162,2,2)="04","충청",MID(K1162,2,2)="05","전라",MID(K1162,2,2)="06","전라",MID(K1162,2,2)="07","경북",MID(K1162,2,2)="08","경남",MID(K1162,2,2)="09","강원",MID(K1162,2,2)="10","제주",TRUE,"국외")</f>
        <v>국외</v>
      </c>
    </row>
    <row r="1163" spans="1:12" ht="17.25" thickBot="1">
      <c r="A1163" s="3" t="s">
        <v>1274</v>
      </c>
      <c r="B1163" s="3"/>
      <c r="C1163" s="3"/>
      <c r="D1163" s="4" t="s">
        <v>181</v>
      </c>
      <c r="E1163" s="4" t="s">
        <v>28</v>
      </c>
      <c r="F1163" s="4">
        <v>2016</v>
      </c>
      <c r="G1163" s="8">
        <v>0.9</v>
      </c>
      <c r="H1163" s="4" t="s">
        <v>28</v>
      </c>
      <c r="I1163" s="8">
        <v>0.9</v>
      </c>
      <c r="J1163" s="3">
        <v>12689</v>
      </c>
      <c r="K1163" s="3"/>
      <c r="L1163" s="17" t="str" cm="1">
        <f t="array" ref="L1163">_xlfn.IFS(MID(K1163,2,2)="01", "서울", MID(K1163,2,2)="02","경기",MID(K1163,2,2)="03","충청",MID(K1163,2,2)="04","충청",MID(K1163,2,2)="05","전라",MID(K1163,2,2)="06","전라",MID(K1163,2,2)="07","경북",MID(K1163,2,2)="08","경남",MID(K1163,2,2)="09","강원",MID(K1163,2,2)="10","제주",TRUE,"국외")</f>
        <v>국외</v>
      </c>
    </row>
    <row r="1164" spans="1:12" ht="17.25" thickBot="1">
      <c r="A1164" s="3" t="s">
        <v>1275</v>
      </c>
      <c r="B1164" s="3"/>
      <c r="C1164" s="3"/>
      <c r="D1164" s="4" t="s">
        <v>181</v>
      </c>
      <c r="E1164" s="4" t="s">
        <v>28</v>
      </c>
      <c r="F1164" s="4">
        <v>2016</v>
      </c>
      <c r="G1164" s="8">
        <v>1.7</v>
      </c>
      <c r="H1164" s="4" t="s">
        <v>28</v>
      </c>
      <c r="I1164" s="8">
        <v>1.7</v>
      </c>
      <c r="J1164" s="3">
        <v>12507</v>
      </c>
      <c r="K1164" s="3"/>
      <c r="L1164" s="17" t="str" cm="1">
        <f t="array" ref="L1164">_xlfn.IFS(MID(K1164,2,2)="01", "서울", MID(K1164,2,2)="02","경기",MID(K1164,2,2)="03","충청",MID(K1164,2,2)="04","충청",MID(K1164,2,2)="05","전라",MID(K1164,2,2)="06","전라",MID(K1164,2,2)="07","경북",MID(K1164,2,2)="08","경남",MID(K1164,2,2)="09","강원",MID(K1164,2,2)="10","제주",TRUE,"국외")</f>
        <v>국외</v>
      </c>
    </row>
    <row r="1165" spans="1:12" ht="17.25" thickBot="1">
      <c r="A1165" s="3" t="s">
        <v>1276</v>
      </c>
      <c r="B1165" s="3"/>
      <c r="C1165" s="3"/>
      <c r="D1165" s="4" t="s">
        <v>181</v>
      </c>
      <c r="E1165" s="4" t="s">
        <v>28</v>
      </c>
      <c r="F1165" s="4">
        <v>2016</v>
      </c>
      <c r="G1165" s="8">
        <v>0.2</v>
      </c>
      <c r="H1165" s="4" t="s">
        <v>28</v>
      </c>
      <c r="I1165" s="8">
        <v>0.2</v>
      </c>
      <c r="J1165" s="3">
        <v>12508</v>
      </c>
      <c r="K1165" s="3"/>
      <c r="L1165" s="17" t="str" cm="1">
        <f t="array" ref="L1165">_xlfn.IFS(MID(K1165,2,2)="01", "서울", MID(K1165,2,2)="02","경기",MID(K1165,2,2)="03","충청",MID(K1165,2,2)="04","충청",MID(K1165,2,2)="05","전라",MID(K1165,2,2)="06","전라",MID(K1165,2,2)="07","경북",MID(K1165,2,2)="08","경남",MID(K1165,2,2)="09","강원",MID(K1165,2,2)="10","제주",TRUE,"국외")</f>
        <v>국외</v>
      </c>
    </row>
    <row r="1166" spans="1:12" ht="17.25" thickBot="1">
      <c r="A1166" s="3" t="s">
        <v>1277</v>
      </c>
      <c r="B1166" s="3"/>
      <c r="C1166" s="3"/>
      <c r="D1166" s="4" t="s">
        <v>181</v>
      </c>
      <c r="E1166" s="4" t="s">
        <v>20</v>
      </c>
      <c r="F1166" s="4">
        <v>2016</v>
      </c>
      <c r="G1166" s="8">
        <v>1.8</v>
      </c>
      <c r="H1166" s="4" t="s">
        <v>20</v>
      </c>
      <c r="I1166" s="8">
        <v>6.8</v>
      </c>
      <c r="J1166" s="3">
        <v>12682</v>
      </c>
      <c r="K1166" s="3"/>
      <c r="L1166" s="17" t="str" cm="1">
        <f t="array" ref="L1166">_xlfn.IFS(MID(K1166,2,2)="01", "서울", MID(K1166,2,2)="02","경기",MID(K1166,2,2)="03","충청",MID(K1166,2,2)="04","충청",MID(K1166,2,2)="05","전라",MID(K1166,2,2)="06","전라",MID(K1166,2,2)="07","경북",MID(K1166,2,2)="08","경남",MID(K1166,2,2)="09","강원",MID(K1166,2,2)="10","제주",TRUE,"국외")</f>
        <v>국외</v>
      </c>
    </row>
    <row r="1167" spans="1:12" ht="17.25" thickBot="1">
      <c r="A1167" s="3" t="s">
        <v>1278</v>
      </c>
      <c r="B1167" s="3"/>
      <c r="C1167" s="3"/>
      <c r="D1167" s="4" t="s">
        <v>181</v>
      </c>
      <c r="E1167" s="4" t="s">
        <v>20</v>
      </c>
      <c r="F1167" s="4">
        <v>2016</v>
      </c>
      <c r="G1167" s="8">
        <v>-0.2</v>
      </c>
      <c r="H1167" s="4" t="s">
        <v>20</v>
      </c>
      <c r="I1167" s="8">
        <v>-0.2</v>
      </c>
      <c r="J1167" s="3">
        <v>12658</v>
      </c>
      <c r="K1167" s="3"/>
      <c r="L1167" s="17" t="str" cm="1">
        <f t="array" ref="L1167">_xlfn.IFS(MID(K1167,2,2)="01", "서울", MID(K1167,2,2)="02","경기",MID(K1167,2,2)="03","충청",MID(K1167,2,2)="04","충청",MID(K1167,2,2)="05","전라",MID(K1167,2,2)="06","전라",MID(K1167,2,2)="07","경북",MID(K1167,2,2)="08","경남",MID(K1167,2,2)="09","강원",MID(K1167,2,2)="10","제주",TRUE,"국외")</f>
        <v>국외</v>
      </c>
    </row>
    <row r="1168" spans="1:12" ht="17.25" thickBot="1">
      <c r="A1168" s="3" t="s">
        <v>1279</v>
      </c>
      <c r="B1168" s="3"/>
      <c r="C1168" s="3"/>
      <c r="D1168" s="4" t="s">
        <v>181</v>
      </c>
      <c r="E1168" s="4" t="s">
        <v>607</v>
      </c>
      <c r="F1168" s="4">
        <v>2016</v>
      </c>
      <c r="G1168" s="8">
        <v>-0.3</v>
      </c>
      <c r="H1168" s="4" t="s">
        <v>607</v>
      </c>
      <c r="I1168" s="8">
        <v>-0.3</v>
      </c>
      <c r="J1168" s="3">
        <v>12672</v>
      </c>
      <c r="K1168" s="3"/>
      <c r="L1168" s="17" t="str" cm="1">
        <f t="array" ref="L1168">_xlfn.IFS(MID(K1168,2,2)="01", "서울", MID(K1168,2,2)="02","경기",MID(K1168,2,2)="03","충청",MID(K1168,2,2)="04","충청",MID(K1168,2,2)="05","전라",MID(K1168,2,2)="06","전라",MID(K1168,2,2)="07","경북",MID(K1168,2,2)="08","경남",MID(K1168,2,2)="09","강원",MID(K1168,2,2)="10","제주",TRUE,"국외")</f>
        <v>국외</v>
      </c>
    </row>
    <row r="1169" spans="1:12" ht="17.25" thickBot="1">
      <c r="A1169" s="3" t="s">
        <v>1280</v>
      </c>
      <c r="B1169" s="3"/>
      <c r="C1169" s="3"/>
      <c r="D1169" s="4" t="s">
        <v>181</v>
      </c>
      <c r="E1169" s="4" t="s">
        <v>607</v>
      </c>
      <c r="F1169" s="4">
        <v>2016</v>
      </c>
      <c r="G1169" s="8">
        <v>1.1000000000000001</v>
      </c>
      <c r="H1169" s="4" t="s">
        <v>607</v>
      </c>
      <c r="I1169" s="8">
        <v>1.1000000000000001</v>
      </c>
      <c r="J1169" s="3">
        <v>12514</v>
      </c>
      <c r="K1169" s="3"/>
      <c r="L1169" s="17" t="str" cm="1">
        <f t="array" ref="L1169">_xlfn.IFS(MID(K1169,2,2)="01", "서울", MID(K1169,2,2)="02","경기",MID(K1169,2,2)="03","충청",MID(K1169,2,2)="04","충청",MID(K1169,2,2)="05","전라",MID(K1169,2,2)="06","전라",MID(K1169,2,2)="07","경북",MID(K1169,2,2)="08","경남",MID(K1169,2,2)="09","강원",MID(K1169,2,2)="10","제주",TRUE,"국외")</f>
        <v>국외</v>
      </c>
    </row>
    <row r="1170" spans="1:12" ht="17.25" thickBot="1">
      <c r="A1170" s="3" t="s">
        <v>1281</v>
      </c>
      <c r="B1170" s="3"/>
      <c r="C1170" s="3"/>
      <c r="D1170" s="4" t="s">
        <v>181</v>
      </c>
      <c r="E1170" s="4" t="s">
        <v>906</v>
      </c>
      <c r="F1170" s="4">
        <v>2016</v>
      </c>
      <c r="G1170" s="8">
        <v>1.7</v>
      </c>
      <c r="H1170" s="4" t="s">
        <v>18</v>
      </c>
      <c r="I1170" s="8">
        <v>1.7</v>
      </c>
      <c r="J1170" s="3">
        <v>12670</v>
      </c>
      <c r="K1170" s="3"/>
      <c r="L1170" s="17" t="str" cm="1">
        <f t="array" ref="L1170">_xlfn.IFS(MID(K1170,2,2)="01", "서울", MID(K1170,2,2)="02","경기",MID(K1170,2,2)="03","충청",MID(K1170,2,2)="04","충청",MID(K1170,2,2)="05","전라",MID(K1170,2,2)="06","전라",MID(K1170,2,2)="07","경북",MID(K1170,2,2)="08","경남",MID(K1170,2,2)="09","강원",MID(K1170,2,2)="10","제주",TRUE,"국외")</f>
        <v>국외</v>
      </c>
    </row>
    <row r="1171" spans="1:12" ht="17.25" thickBot="1">
      <c r="A1171" s="3" t="s">
        <v>1282</v>
      </c>
      <c r="B1171" s="3"/>
      <c r="C1171" s="3"/>
      <c r="D1171" s="4" t="s">
        <v>181</v>
      </c>
      <c r="E1171" s="4" t="s">
        <v>906</v>
      </c>
      <c r="F1171" s="4">
        <v>2016</v>
      </c>
      <c r="G1171" s="8">
        <v>1.8</v>
      </c>
      <c r="H1171" s="4" t="s">
        <v>18</v>
      </c>
      <c r="I1171" s="8">
        <v>1.8</v>
      </c>
      <c r="J1171" s="3">
        <v>12518</v>
      </c>
      <c r="K1171" s="3"/>
      <c r="L1171" s="17" t="str" cm="1">
        <f t="array" ref="L1171">_xlfn.IFS(MID(K1171,2,2)="01", "서울", MID(K1171,2,2)="02","경기",MID(K1171,2,2)="03","충청",MID(K1171,2,2)="04","충청",MID(K1171,2,2)="05","전라",MID(K1171,2,2)="06","전라",MID(K1171,2,2)="07","경북",MID(K1171,2,2)="08","경남",MID(K1171,2,2)="09","강원",MID(K1171,2,2)="10","제주",TRUE,"국외")</f>
        <v>국외</v>
      </c>
    </row>
    <row r="1172" spans="1:12" ht="17.25" thickBot="1">
      <c r="A1172" s="3" t="s">
        <v>1283</v>
      </c>
      <c r="B1172" s="3"/>
      <c r="C1172" s="3"/>
      <c r="D1172" s="4" t="s">
        <v>181</v>
      </c>
      <c r="E1172" s="4" t="s">
        <v>906</v>
      </c>
      <c r="F1172" s="4">
        <v>2016</v>
      </c>
      <c r="G1172" s="8">
        <v>3.2</v>
      </c>
      <c r="H1172" s="4" t="s">
        <v>18</v>
      </c>
      <c r="I1172" s="8">
        <v>2.5</v>
      </c>
      <c r="J1172" s="3">
        <v>12519</v>
      </c>
      <c r="K1172" s="3"/>
      <c r="L1172" s="17" t="str" cm="1">
        <f t="array" ref="L1172">_xlfn.IFS(MID(K1172,2,2)="01", "서울", MID(K1172,2,2)="02","경기",MID(K1172,2,2)="03","충청",MID(K1172,2,2)="04","충청",MID(K1172,2,2)="05","전라",MID(K1172,2,2)="06","전라",MID(K1172,2,2)="07","경북",MID(K1172,2,2)="08","경남",MID(K1172,2,2)="09","강원",MID(K1172,2,2)="10","제주",TRUE,"국외")</f>
        <v>국외</v>
      </c>
    </row>
    <row r="1173" spans="1:12" ht="17.25" thickBot="1">
      <c r="A1173" s="3" t="s">
        <v>1284</v>
      </c>
      <c r="B1173" s="3"/>
      <c r="C1173" s="3"/>
      <c r="D1173" s="4" t="s">
        <v>181</v>
      </c>
      <c r="E1173" s="4" t="s">
        <v>26</v>
      </c>
      <c r="F1173" s="4">
        <v>2016</v>
      </c>
      <c r="G1173" s="8">
        <v>4.8</v>
      </c>
      <c r="H1173" s="4" t="s">
        <v>26</v>
      </c>
      <c r="I1173" s="8">
        <v>6.3</v>
      </c>
      <c r="J1173" s="3">
        <v>12515</v>
      </c>
      <c r="K1173" s="3"/>
      <c r="L1173" s="17" t="str" cm="1">
        <f t="array" ref="L1173">_xlfn.IFS(MID(K1173,2,2)="01", "서울", MID(K1173,2,2)="02","경기",MID(K1173,2,2)="03","충청",MID(K1173,2,2)="04","충청",MID(K1173,2,2)="05","전라",MID(K1173,2,2)="06","전라",MID(K1173,2,2)="07","경북",MID(K1173,2,2)="08","경남",MID(K1173,2,2)="09","강원",MID(K1173,2,2)="10","제주",TRUE,"국외")</f>
        <v>국외</v>
      </c>
    </row>
    <row r="1174" spans="1:12" ht="17.25" thickBot="1">
      <c r="A1174" s="3" t="s">
        <v>1285</v>
      </c>
      <c r="B1174" s="3"/>
      <c r="C1174" s="3"/>
      <c r="D1174" s="4" t="s">
        <v>181</v>
      </c>
      <c r="E1174" s="4" t="s">
        <v>26</v>
      </c>
      <c r="F1174" s="4">
        <v>2016</v>
      </c>
      <c r="G1174" s="8">
        <v>4.4000000000000004</v>
      </c>
      <c r="H1174" s="4" t="s">
        <v>26</v>
      </c>
      <c r="I1174" s="8">
        <v>7.7</v>
      </c>
      <c r="J1174" s="3">
        <v>12517</v>
      </c>
      <c r="K1174" s="3"/>
      <c r="L1174" s="17" t="str" cm="1">
        <f t="array" ref="L1174">_xlfn.IFS(MID(K1174,2,2)="01", "서울", MID(K1174,2,2)="02","경기",MID(K1174,2,2)="03","충청",MID(K1174,2,2)="04","충청",MID(K1174,2,2)="05","전라",MID(K1174,2,2)="06","전라",MID(K1174,2,2)="07","경북",MID(K1174,2,2)="08","경남",MID(K1174,2,2)="09","강원",MID(K1174,2,2)="10","제주",TRUE,"국외")</f>
        <v>국외</v>
      </c>
    </row>
    <row r="1175" spans="1:12" ht="17.25" thickBot="1">
      <c r="A1175" s="3" t="s">
        <v>1286</v>
      </c>
      <c r="B1175" s="3"/>
      <c r="C1175" s="3"/>
      <c r="D1175" s="4" t="s">
        <v>181</v>
      </c>
      <c r="E1175" s="4" t="s">
        <v>9</v>
      </c>
      <c r="F1175" s="4">
        <v>2016</v>
      </c>
      <c r="G1175" s="8">
        <v>-0.1</v>
      </c>
      <c r="H1175" s="4" t="s">
        <v>9</v>
      </c>
      <c r="I1175" s="8">
        <v>-0.1</v>
      </c>
      <c r="J1175" s="3">
        <v>12693</v>
      </c>
      <c r="K1175" s="3"/>
      <c r="L1175" s="17" t="str" cm="1">
        <f t="array" ref="L1175">_xlfn.IFS(MID(K1175,2,2)="01", "서울", MID(K1175,2,2)="02","경기",MID(K1175,2,2)="03","충청",MID(K1175,2,2)="04","충청",MID(K1175,2,2)="05","전라",MID(K1175,2,2)="06","전라",MID(K1175,2,2)="07","경북",MID(K1175,2,2)="08","경남",MID(K1175,2,2)="09","강원",MID(K1175,2,2)="10","제주",TRUE,"국외")</f>
        <v>국외</v>
      </c>
    </row>
    <row r="1176" spans="1:12" ht="17.25" thickBot="1">
      <c r="A1176" s="3" t="s">
        <v>1287</v>
      </c>
      <c r="B1176" s="3"/>
      <c r="C1176" s="3"/>
      <c r="D1176" s="4" t="s">
        <v>181</v>
      </c>
      <c r="E1176" s="4" t="s">
        <v>23</v>
      </c>
      <c r="F1176" s="4">
        <v>2016</v>
      </c>
      <c r="G1176" s="8">
        <v>0.2</v>
      </c>
      <c r="H1176" s="4" t="s">
        <v>23</v>
      </c>
      <c r="I1176" s="8">
        <v>0.2</v>
      </c>
      <c r="J1176" s="3">
        <v>12506</v>
      </c>
      <c r="K1176" s="3"/>
      <c r="L1176" s="17" t="str" cm="1">
        <f t="array" ref="L1176">_xlfn.IFS(MID(K1176,2,2)="01", "서울", MID(K1176,2,2)="02","경기",MID(K1176,2,2)="03","충청",MID(K1176,2,2)="04","충청",MID(K1176,2,2)="05","전라",MID(K1176,2,2)="06","전라",MID(K1176,2,2)="07","경북",MID(K1176,2,2)="08","경남",MID(K1176,2,2)="09","강원",MID(K1176,2,2)="10","제주",TRUE,"국외")</f>
        <v>국외</v>
      </c>
    </row>
    <row r="1177" spans="1:12" ht="17.25" thickBot="1">
      <c r="A1177" s="3" t="s">
        <v>1288</v>
      </c>
      <c r="B1177" s="3"/>
      <c r="C1177" s="3"/>
      <c r="D1177" s="4" t="s">
        <v>181</v>
      </c>
      <c r="E1177" s="4" t="s">
        <v>23</v>
      </c>
      <c r="F1177" s="4">
        <v>2016</v>
      </c>
      <c r="G1177" s="8">
        <v>1.3</v>
      </c>
      <c r="H1177" s="4" t="s">
        <v>23</v>
      </c>
      <c r="I1177" s="8">
        <v>1.3</v>
      </c>
      <c r="J1177" s="3">
        <v>12504</v>
      </c>
      <c r="K1177" s="3"/>
      <c r="L1177" s="17" t="str" cm="1">
        <f t="array" ref="L1177">_xlfn.IFS(MID(K1177,2,2)="01", "서울", MID(K1177,2,2)="02","경기",MID(K1177,2,2)="03","충청",MID(K1177,2,2)="04","충청",MID(K1177,2,2)="05","전라",MID(K1177,2,2)="06","전라",MID(K1177,2,2)="07","경북",MID(K1177,2,2)="08","경남",MID(K1177,2,2)="09","강원",MID(K1177,2,2)="10","제주",TRUE,"국외")</f>
        <v>국외</v>
      </c>
    </row>
    <row r="1178" spans="1:12" ht="17.25" thickBot="1">
      <c r="A1178" s="3" t="s">
        <v>1289</v>
      </c>
      <c r="B1178" s="3"/>
      <c r="C1178" s="3"/>
      <c r="D1178" s="4" t="s">
        <v>181</v>
      </c>
      <c r="E1178" s="4" t="s">
        <v>23</v>
      </c>
      <c r="F1178" s="4">
        <v>2016</v>
      </c>
      <c r="G1178" s="8">
        <v>-0.3</v>
      </c>
      <c r="H1178" s="4" t="s">
        <v>23</v>
      </c>
      <c r="I1178" s="8">
        <v>-0.3</v>
      </c>
      <c r="J1178" s="3">
        <v>12695</v>
      </c>
      <c r="K1178" s="3"/>
      <c r="L1178" s="17" t="str" cm="1">
        <f t="array" ref="L1178">_xlfn.IFS(MID(K1178,2,2)="01", "서울", MID(K1178,2,2)="02","경기",MID(K1178,2,2)="03","충청",MID(K1178,2,2)="04","충청",MID(K1178,2,2)="05","전라",MID(K1178,2,2)="06","전라",MID(K1178,2,2)="07","경북",MID(K1178,2,2)="08","경남",MID(K1178,2,2)="09","강원",MID(K1178,2,2)="10","제주",TRUE,"국외")</f>
        <v>국외</v>
      </c>
    </row>
    <row r="1179" spans="1:12" ht="17.25" thickBot="1">
      <c r="A1179" s="3" t="s">
        <v>1290</v>
      </c>
      <c r="B1179" s="3"/>
      <c r="C1179" s="3"/>
      <c r="D1179" s="4" t="s">
        <v>181</v>
      </c>
      <c r="E1179" s="4" t="s">
        <v>23</v>
      </c>
      <c r="F1179" s="4">
        <v>2016</v>
      </c>
      <c r="G1179" s="8">
        <v>-0.1</v>
      </c>
      <c r="H1179" s="4" t="s">
        <v>23</v>
      </c>
      <c r="I1179" s="8">
        <v>-0.1</v>
      </c>
      <c r="J1179" s="3">
        <v>12666</v>
      </c>
      <c r="K1179" s="3"/>
      <c r="L1179" s="17" t="str" cm="1">
        <f t="array" ref="L1179">_xlfn.IFS(MID(K1179,2,2)="01", "서울", MID(K1179,2,2)="02","경기",MID(K1179,2,2)="03","충청",MID(K1179,2,2)="04","충청",MID(K1179,2,2)="05","전라",MID(K1179,2,2)="06","전라",MID(K1179,2,2)="07","경북",MID(K1179,2,2)="08","경남",MID(K1179,2,2)="09","강원",MID(K1179,2,2)="10","제주",TRUE,"국외")</f>
        <v>국외</v>
      </c>
    </row>
    <row r="1180" spans="1:12" ht="17.25" thickBot="1">
      <c r="A1180" s="3" t="s">
        <v>1291</v>
      </c>
      <c r="B1180" s="3"/>
      <c r="C1180" s="3"/>
      <c r="D1180" s="4" t="s">
        <v>181</v>
      </c>
      <c r="E1180" s="4" t="s">
        <v>23</v>
      </c>
      <c r="F1180" s="4">
        <v>2016</v>
      </c>
      <c r="G1180" s="8">
        <v>-0.2</v>
      </c>
      <c r="H1180" s="4" t="s">
        <v>23</v>
      </c>
      <c r="I1180" s="8">
        <v>-0.2</v>
      </c>
      <c r="J1180" s="3">
        <v>12505</v>
      </c>
      <c r="K1180" s="3"/>
      <c r="L1180" s="17" t="str" cm="1">
        <f t="array" ref="L1180">_xlfn.IFS(MID(K1180,2,2)="01", "서울", MID(K1180,2,2)="02","경기",MID(K1180,2,2)="03","충청",MID(K1180,2,2)="04","충청",MID(K1180,2,2)="05","전라",MID(K1180,2,2)="06","전라",MID(K1180,2,2)="07","경북",MID(K1180,2,2)="08","경남",MID(K1180,2,2)="09","강원",MID(K1180,2,2)="10","제주",TRUE,"국외")</f>
        <v>국외</v>
      </c>
    </row>
    <row r="1181" spans="1:12" ht="17.25" thickBot="1">
      <c r="A1181" s="3" t="s">
        <v>1292</v>
      </c>
      <c r="B1181" s="3"/>
      <c r="C1181" s="3"/>
      <c r="D1181" s="4" t="s">
        <v>181</v>
      </c>
      <c r="E1181" s="4" t="s">
        <v>3</v>
      </c>
      <c r="F1181" s="4">
        <v>2016</v>
      </c>
      <c r="G1181" s="8">
        <v>2.2999999999999998</v>
      </c>
      <c r="H1181" s="4" t="s">
        <v>3</v>
      </c>
      <c r="I1181" s="8">
        <v>7.2</v>
      </c>
      <c r="J1181" s="3">
        <v>12511</v>
      </c>
      <c r="K1181" s="3"/>
      <c r="L1181" s="17" t="str" cm="1">
        <f t="array" ref="L1181">_xlfn.IFS(MID(K1181,2,2)="01", "서울", MID(K1181,2,2)="02","경기",MID(K1181,2,2)="03","충청",MID(K1181,2,2)="04","충청",MID(K1181,2,2)="05","전라",MID(K1181,2,2)="06","전라",MID(K1181,2,2)="07","경북",MID(K1181,2,2)="08","경남",MID(K1181,2,2)="09","강원",MID(K1181,2,2)="10","제주",TRUE,"국외")</f>
        <v>국외</v>
      </c>
    </row>
    <row r="1182" spans="1:12" ht="17.25" thickBot="1">
      <c r="A1182" s="3" t="s">
        <v>1293</v>
      </c>
      <c r="B1182" s="3"/>
      <c r="C1182" s="3"/>
      <c r="D1182" s="4" t="s">
        <v>181</v>
      </c>
      <c r="E1182" s="4" t="s">
        <v>3</v>
      </c>
      <c r="F1182" s="4">
        <v>2016</v>
      </c>
      <c r="G1182" s="8">
        <v>1.1000000000000001</v>
      </c>
      <c r="H1182" s="4" t="s">
        <v>3</v>
      </c>
      <c r="I1182" s="8">
        <v>1.1000000000000001</v>
      </c>
      <c r="J1182" s="3">
        <v>12668</v>
      </c>
      <c r="K1182" s="3"/>
      <c r="L1182" s="17" t="str" cm="1">
        <f t="array" ref="L1182">_xlfn.IFS(MID(K1182,2,2)="01", "서울", MID(K1182,2,2)="02","경기",MID(K1182,2,2)="03","충청",MID(K1182,2,2)="04","충청",MID(K1182,2,2)="05","전라",MID(K1182,2,2)="06","전라",MID(K1182,2,2)="07","경북",MID(K1182,2,2)="08","경남",MID(K1182,2,2)="09","강원",MID(K1182,2,2)="10","제주",TRUE,"국외")</f>
        <v>국외</v>
      </c>
    </row>
    <row r="1183" spans="1:12" ht="17.25" thickBot="1">
      <c r="A1183" s="3" t="s">
        <v>1294</v>
      </c>
      <c r="B1183" s="3"/>
      <c r="C1183" s="3"/>
      <c r="D1183" s="4" t="s">
        <v>181</v>
      </c>
      <c r="E1183" s="4" t="s">
        <v>3</v>
      </c>
      <c r="F1183" s="4">
        <v>2016</v>
      </c>
      <c r="G1183" s="8">
        <v>0</v>
      </c>
      <c r="H1183" s="4" t="s">
        <v>3</v>
      </c>
      <c r="I1183" s="8">
        <v>0</v>
      </c>
      <c r="J1183" s="3">
        <v>12680</v>
      </c>
      <c r="K1183" s="3"/>
      <c r="L1183" s="17" t="str" cm="1">
        <f t="array" ref="L1183">_xlfn.IFS(MID(K1183,2,2)="01", "서울", MID(K1183,2,2)="02","경기",MID(K1183,2,2)="03","충청",MID(K1183,2,2)="04","충청",MID(K1183,2,2)="05","전라",MID(K1183,2,2)="06","전라",MID(K1183,2,2)="07","경북",MID(K1183,2,2)="08","경남",MID(K1183,2,2)="09","강원",MID(K1183,2,2)="10","제주",TRUE,"국외")</f>
        <v>국외</v>
      </c>
    </row>
    <row r="1184" spans="1:12" ht="17.25" thickBot="1">
      <c r="A1184" s="3" t="s">
        <v>1295</v>
      </c>
      <c r="B1184" s="3"/>
      <c r="C1184" s="3"/>
      <c r="D1184" s="4" t="s">
        <v>181</v>
      </c>
      <c r="E1184" s="4" t="s">
        <v>3</v>
      </c>
      <c r="F1184" s="4">
        <v>2016</v>
      </c>
      <c r="G1184" s="8">
        <v>-0.5</v>
      </c>
      <c r="H1184" s="4" t="s">
        <v>3</v>
      </c>
      <c r="I1184" s="8">
        <v>-0.5</v>
      </c>
      <c r="J1184" s="3">
        <v>12648</v>
      </c>
      <c r="K1184" s="3"/>
      <c r="L1184" s="17" t="str" cm="1">
        <f t="array" ref="L1184">_xlfn.IFS(MID(K1184,2,2)="01", "서울", MID(K1184,2,2)="02","경기",MID(K1184,2,2)="03","충청",MID(K1184,2,2)="04","충청",MID(K1184,2,2)="05","전라",MID(K1184,2,2)="06","전라",MID(K1184,2,2)="07","경북",MID(K1184,2,2)="08","경남",MID(K1184,2,2)="09","강원",MID(K1184,2,2)="10","제주",TRUE,"국외")</f>
        <v>국외</v>
      </c>
    </row>
    <row r="1185" spans="1:12" ht="17.25" thickBot="1">
      <c r="A1185" s="3" t="s">
        <v>1296</v>
      </c>
      <c r="B1185" s="3" t="s">
        <v>52</v>
      </c>
      <c r="C1185" s="3" t="s">
        <v>90</v>
      </c>
      <c r="D1185" s="4" t="s">
        <v>205</v>
      </c>
      <c r="E1185" s="4" t="s">
        <v>6</v>
      </c>
      <c r="F1185" s="4"/>
      <c r="G1185" s="9"/>
      <c r="H1185" s="4"/>
      <c r="I1185" s="9"/>
      <c r="J1185" s="3">
        <v>13181</v>
      </c>
      <c r="K1185" s="3">
        <v>50803</v>
      </c>
      <c r="L1185" s="17" t="str" cm="1">
        <f t="array" ref="L1185">_xlfn.IFS(MID(K1185,2,2)="01", "서울", MID(K1185,2,2)="02","경기",MID(K1185,2,2)="03","충청",MID(K1185,2,2)="04","충청",MID(K1185,2,2)="05","전라",MID(K1185,2,2)="06","전라",MID(K1185,2,2)="07","경북",MID(K1185,2,2)="08","경남",MID(K1185,2,2)="09","강원",MID(K1185,2,2)="10","제주",TRUE,"국외")</f>
        <v>경남</v>
      </c>
    </row>
    <row r="1186" spans="1:12" ht="17.25" thickBot="1">
      <c r="A1186" s="3" t="s">
        <v>1297</v>
      </c>
      <c r="B1186" s="3" t="s">
        <v>358</v>
      </c>
      <c r="C1186" s="3" t="s">
        <v>83</v>
      </c>
      <c r="D1186" s="4" t="s">
        <v>205</v>
      </c>
      <c r="E1186" s="4" t="s">
        <v>6</v>
      </c>
      <c r="F1186" s="4"/>
      <c r="G1186" s="9"/>
      <c r="H1186" s="4"/>
      <c r="I1186" s="9"/>
      <c r="J1186" s="3">
        <v>14193</v>
      </c>
      <c r="K1186" s="3">
        <v>50902</v>
      </c>
      <c r="L1186" s="17" t="str" cm="1">
        <f t="array" ref="L1186">_xlfn.IFS(MID(K1186,2,2)="01", "서울", MID(K1186,2,2)="02","경기",MID(K1186,2,2)="03","충청",MID(K1186,2,2)="04","충청",MID(K1186,2,2)="05","전라",MID(K1186,2,2)="06","전라",MID(K1186,2,2)="07","경북",MID(K1186,2,2)="08","경남",MID(K1186,2,2)="09","강원",MID(K1186,2,2)="10","제주",TRUE,"국외")</f>
        <v>강원</v>
      </c>
    </row>
    <row r="1187" spans="1:12" ht="17.25" thickBot="1">
      <c r="A1187" s="3" t="s">
        <v>625</v>
      </c>
      <c r="B1187" s="3" t="s">
        <v>70</v>
      </c>
      <c r="C1187" s="3"/>
      <c r="D1187" s="4" t="s">
        <v>205</v>
      </c>
      <c r="E1187" s="4" t="s">
        <v>6</v>
      </c>
      <c r="F1187" s="4"/>
      <c r="G1187" s="9"/>
      <c r="H1187" s="4"/>
      <c r="I1187" s="9"/>
      <c r="J1187" s="3">
        <v>13183</v>
      </c>
      <c r="K1187" s="3">
        <v>50103</v>
      </c>
      <c r="L1187" s="17" t="str" cm="1">
        <f t="array" ref="L1187">_xlfn.IFS(MID(K1187,2,2)="01", "서울", MID(K1187,2,2)="02","경기",MID(K1187,2,2)="03","충청",MID(K1187,2,2)="04","충청",MID(K1187,2,2)="05","전라",MID(K1187,2,2)="06","전라",MID(K1187,2,2)="07","경북",MID(K1187,2,2)="08","경남",MID(K1187,2,2)="09","강원",MID(K1187,2,2)="10","제주",TRUE,"국외")</f>
        <v>서울</v>
      </c>
    </row>
    <row r="1188" spans="1:12" ht="17.25" thickBot="1">
      <c r="A1188" s="3" t="s">
        <v>1298</v>
      </c>
      <c r="B1188" s="3" t="s">
        <v>25</v>
      </c>
      <c r="C1188" s="3" t="s">
        <v>122</v>
      </c>
      <c r="D1188" s="4" t="s">
        <v>205</v>
      </c>
      <c r="E1188" s="4" t="s">
        <v>28</v>
      </c>
      <c r="F1188" s="4"/>
      <c r="G1188" s="9"/>
      <c r="H1188" s="4"/>
      <c r="I1188" s="9"/>
      <c r="J1188" s="3">
        <v>12945</v>
      </c>
      <c r="K1188" s="3">
        <v>50403</v>
      </c>
      <c r="L1188" s="17" t="str" cm="1">
        <f t="array" ref="L1188">_xlfn.IFS(MID(K1188,2,2)="01", "서울", MID(K1188,2,2)="02","경기",MID(K1188,2,2)="03","충청",MID(K1188,2,2)="04","충청",MID(K1188,2,2)="05","전라",MID(K1188,2,2)="06","전라",MID(K1188,2,2)="07","경북",MID(K1188,2,2)="08","경남",MID(K1188,2,2)="09","강원",MID(K1188,2,2)="10","제주",TRUE,"국외")</f>
        <v>충청</v>
      </c>
    </row>
    <row r="1189" spans="1:12" ht="17.25" thickBot="1">
      <c r="A1189" s="3" t="s">
        <v>1299</v>
      </c>
      <c r="B1189" s="3" t="s">
        <v>93</v>
      </c>
      <c r="C1189" s="3" t="s">
        <v>90</v>
      </c>
      <c r="D1189" s="4" t="s">
        <v>205</v>
      </c>
      <c r="E1189" s="4" t="s">
        <v>12</v>
      </c>
      <c r="F1189" s="4">
        <v>2016</v>
      </c>
      <c r="G1189" s="8">
        <v>-0.1</v>
      </c>
      <c r="H1189" s="4" t="s">
        <v>12</v>
      </c>
      <c r="I1189" s="8">
        <v>2.2999999999999998</v>
      </c>
      <c r="J1189" s="3">
        <v>12560</v>
      </c>
      <c r="K1189" s="3">
        <v>50805</v>
      </c>
      <c r="L1189" s="17" t="str" cm="1">
        <f t="array" ref="L1189">_xlfn.IFS(MID(K1189,2,2)="01", "서울", MID(K1189,2,2)="02","경기",MID(K1189,2,2)="03","충청",MID(K1189,2,2)="04","충청",MID(K1189,2,2)="05","전라",MID(K1189,2,2)="06","전라",MID(K1189,2,2)="07","경북",MID(K1189,2,2)="08","경남",MID(K1189,2,2)="09","강원",MID(K1189,2,2)="10","제주",TRUE,"국외")</f>
        <v>경남</v>
      </c>
    </row>
    <row r="1190" spans="1:12" ht="17.25" thickBot="1">
      <c r="A1190" s="3" t="s">
        <v>1300</v>
      </c>
      <c r="B1190" s="3" t="s">
        <v>335</v>
      </c>
      <c r="C1190" s="3" t="s">
        <v>208</v>
      </c>
      <c r="D1190" s="4" t="s">
        <v>205</v>
      </c>
      <c r="E1190" s="4" t="s">
        <v>12</v>
      </c>
      <c r="F1190" s="4"/>
      <c r="G1190" s="9"/>
      <c r="H1190" s="4"/>
      <c r="I1190" s="9"/>
      <c r="J1190" s="3">
        <v>13922</v>
      </c>
      <c r="K1190" s="3">
        <v>50804</v>
      </c>
      <c r="L1190" s="17" t="str" cm="1">
        <f t="array" ref="L1190">_xlfn.IFS(MID(K1190,2,2)="01", "서울", MID(K1190,2,2)="02","경기",MID(K1190,2,2)="03","충청",MID(K1190,2,2)="04","충청",MID(K1190,2,2)="05","전라",MID(K1190,2,2)="06","전라",MID(K1190,2,2)="07","경북",MID(K1190,2,2)="08","경남",MID(K1190,2,2)="09","강원",MID(K1190,2,2)="10","제주",TRUE,"국외")</f>
        <v>경남</v>
      </c>
    </row>
    <row r="1191" spans="1:12" ht="17.25" thickBot="1">
      <c r="A1191" s="3" t="s">
        <v>1301</v>
      </c>
      <c r="B1191" s="3" t="s">
        <v>107</v>
      </c>
      <c r="C1191" s="3" t="s">
        <v>221</v>
      </c>
      <c r="D1191" s="4" t="s">
        <v>205</v>
      </c>
      <c r="E1191" s="4" t="s">
        <v>906</v>
      </c>
      <c r="F1191" s="4"/>
      <c r="G1191" s="9"/>
      <c r="H1191" s="4"/>
      <c r="I1191" s="9"/>
      <c r="J1191" s="3">
        <v>14887</v>
      </c>
      <c r="K1191" s="3">
        <v>50602</v>
      </c>
      <c r="L1191" s="17" t="str" cm="1">
        <f t="array" ref="L1191">_xlfn.IFS(MID(K1191,2,2)="01", "서울", MID(K1191,2,2)="02","경기",MID(K1191,2,2)="03","충청",MID(K1191,2,2)="04","충청",MID(K1191,2,2)="05","전라",MID(K1191,2,2)="06","전라",MID(K1191,2,2)="07","경북",MID(K1191,2,2)="08","경남",MID(K1191,2,2)="09","강원",MID(K1191,2,2)="10","제주",TRUE,"국외")</f>
        <v>전라</v>
      </c>
    </row>
    <row r="1192" spans="1:12" ht="17.25" thickBot="1">
      <c r="A1192" s="3" t="s">
        <v>1302</v>
      </c>
      <c r="B1192" s="3" t="s">
        <v>140</v>
      </c>
      <c r="C1192" s="3" t="s">
        <v>549</v>
      </c>
      <c r="D1192" s="4" t="s">
        <v>205</v>
      </c>
      <c r="E1192" s="4" t="s">
        <v>906</v>
      </c>
      <c r="F1192" s="4"/>
      <c r="G1192" s="9"/>
      <c r="H1192" s="4"/>
      <c r="I1192" s="9"/>
      <c r="J1192" s="3">
        <v>13000</v>
      </c>
      <c r="K1192" s="3">
        <v>50801</v>
      </c>
      <c r="L1192" s="17" t="str" cm="1">
        <f t="array" ref="L1192">_xlfn.IFS(MID(K1192,2,2)="01", "서울", MID(K1192,2,2)="02","경기",MID(K1192,2,2)="03","충청",MID(K1192,2,2)="04","충청",MID(K1192,2,2)="05","전라",MID(K1192,2,2)="06","전라",MID(K1192,2,2)="07","경북",MID(K1192,2,2)="08","경남",MID(K1192,2,2)="09","강원",MID(K1192,2,2)="10","제주",TRUE,"국외")</f>
        <v>경남</v>
      </c>
    </row>
    <row r="1193" spans="1:12" ht="17.25" thickBot="1">
      <c r="A1193" s="3" t="s">
        <v>1303</v>
      </c>
      <c r="B1193" s="3" t="s">
        <v>332</v>
      </c>
      <c r="C1193" s="3" t="s">
        <v>83</v>
      </c>
      <c r="D1193" s="4" t="s">
        <v>205</v>
      </c>
      <c r="E1193" s="4" t="s">
        <v>906</v>
      </c>
      <c r="F1193" s="4">
        <v>2018</v>
      </c>
      <c r="G1193" s="9"/>
      <c r="H1193" s="4" t="s">
        <v>18</v>
      </c>
      <c r="I1193" s="8">
        <v>0</v>
      </c>
      <c r="J1193" s="3">
        <v>12987</v>
      </c>
      <c r="K1193" s="3">
        <v>50705</v>
      </c>
      <c r="L1193" s="17" t="str" cm="1">
        <f t="array" ref="L1193">_xlfn.IFS(MID(K1193,2,2)="01", "서울", MID(K1193,2,2)="02","경기",MID(K1193,2,2)="03","충청",MID(K1193,2,2)="04","충청",MID(K1193,2,2)="05","전라",MID(K1193,2,2)="06","전라",MID(K1193,2,2)="07","경북",MID(K1193,2,2)="08","경남",MID(K1193,2,2)="09","강원",MID(K1193,2,2)="10","제주",TRUE,"국외")</f>
        <v>경북</v>
      </c>
    </row>
    <row r="1194" spans="1:12" ht="17.25" thickBot="1">
      <c r="A1194" s="3" t="s">
        <v>1304</v>
      </c>
      <c r="B1194" s="3" t="s">
        <v>68</v>
      </c>
      <c r="C1194" s="3" t="s">
        <v>133</v>
      </c>
      <c r="D1194" s="4" t="s">
        <v>205</v>
      </c>
      <c r="E1194" s="4" t="s">
        <v>906</v>
      </c>
      <c r="F1194" s="4">
        <v>2017</v>
      </c>
      <c r="G1194" s="9"/>
      <c r="H1194" s="4" t="s">
        <v>18</v>
      </c>
      <c r="I1194" s="8">
        <v>0.2</v>
      </c>
      <c r="J1194" s="3">
        <v>12989</v>
      </c>
      <c r="K1194" s="3">
        <v>50101</v>
      </c>
      <c r="L1194" s="17" t="str" cm="1">
        <f t="array" ref="L1194">_xlfn.IFS(MID(K1194,2,2)="01", "서울", MID(K1194,2,2)="02","경기",MID(K1194,2,2)="03","충청",MID(K1194,2,2)="04","충청",MID(K1194,2,2)="05","전라",MID(K1194,2,2)="06","전라",MID(K1194,2,2)="07","경북",MID(K1194,2,2)="08","경남",MID(K1194,2,2)="09","강원",MID(K1194,2,2)="10","제주",TRUE,"국외")</f>
        <v>서울</v>
      </c>
    </row>
    <row r="1195" spans="1:12" ht="17.25" thickBot="1">
      <c r="A1195" s="3" t="s">
        <v>1305</v>
      </c>
      <c r="B1195" s="3" t="s">
        <v>96</v>
      </c>
      <c r="C1195" s="3"/>
      <c r="D1195" s="4" t="s">
        <v>205</v>
      </c>
      <c r="E1195" s="4" t="s">
        <v>906</v>
      </c>
      <c r="F1195" s="4">
        <v>2017</v>
      </c>
      <c r="G1195" s="9"/>
      <c r="H1195" s="4" t="s">
        <v>18</v>
      </c>
      <c r="I1195" s="8">
        <v>0</v>
      </c>
      <c r="J1195" s="3">
        <v>12974</v>
      </c>
      <c r="K1195" s="3">
        <v>50601</v>
      </c>
      <c r="L1195" s="17" t="str" cm="1">
        <f t="array" ref="L1195">_xlfn.IFS(MID(K1195,2,2)="01", "서울", MID(K1195,2,2)="02","경기",MID(K1195,2,2)="03","충청",MID(K1195,2,2)="04","충청",MID(K1195,2,2)="05","전라",MID(K1195,2,2)="06","전라",MID(K1195,2,2)="07","경북",MID(K1195,2,2)="08","경남",MID(K1195,2,2)="09","강원",MID(K1195,2,2)="10","제주",TRUE,"국외")</f>
        <v>전라</v>
      </c>
    </row>
    <row r="1196" spans="1:12" ht="17.25" thickBot="1">
      <c r="A1196" s="3" t="s">
        <v>1306</v>
      </c>
      <c r="B1196" s="3" t="s">
        <v>107</v>
      </c>
      <c r="C1196" s="3"/>
      <c r="D1196" s="4" t="s">
        <v>205</v>
      </c>
      <c r="E1196" s="4" t="s">
        <v>9</v>
      </c>
      <c r="F1196" s="4">
        <v>2016</v>
      </c>
      <c r="G1196" s="9"/>
      <c r="H1196" s="4"/>
      <c r="I1196" s="9"/>
      <c r="J1196" s="3">
        <v>12603</v>
      </c>
      <c r="K1196" s="3">
        <v>50602</v>
      </c>
      <c r="L1196" s="17" t="str" cm="1">
        <f t="array" ref="L1196">_xlfn.IFS(MID(K1196,2,2)="01", "서울", MID(K1196,2,2)="02","경기",MID(K1196,2,2)="03","충청",MID(K1196,2,2)="04","충청",MID(K1196,2,2)="05","전라",MID(K1196,2,2)="06","전라",MID(K1196,2,2)="07","경북",MID(K1196,2,2)="08","경남",MID(K1196,2,2)="09","강원",MID(K1196,2,2)="10","제주",TRUE,"국외")</f>
        <v>전라</v>
      </c>
    </row>
    <row r="1197" spans="1:12" ht="17.25" thickBot="1">
      <c r="A1197" s="3" t="s">
        <v>1307</v>
      </c>
      <c r="B1197" s="3" t="s">
        <v>140</v>
      </c>
      <c r="C1197" s="3"/>
      <c r="D1197" s="4" t="s">
        <v>205</v>
      </c>
      <c r="E1197" s="4" t="s">
        <v>9</v>
      </c>
      <c r="F1197" s="4"/>
      <c r="G1197" s="9"/>
      <c r="H1197" s="4"/>
      <c r="I1197" s="9"/>
      <c r="J1197" s="3">
        <v>12602</v>
      </c>
      <c r="K1197" s="3">
        <v>50801</v>
      </c>
      <c r="L1197" s="17" t="str" cm="1">
        <f t="array" ref="L1197">_xlfn.IFS(MID(K1197,2,2)="01", "서울", MID(K1197,2,2)="02","경기",MID(K1197,2,2)="03","충청",MID(K1197,2,2)="04","충청",MID(K1197,2,2)="05","전라",MID(K1197,2,2)="06","전라",MID(K1197,2,2)="07","경북",MID(K1197,2,2)="08","경남",MID(K1197,2,2)="09","강원",MID(K1197,2,2)="10","제주",TRUE,"국외")</f>
        <v>경남</v>
      </c>
    </row>
    <row r="1198" spans="1:12" ht="17.25" thickBot="1">
      <c r="A1198" s="3" t="s">
        <v>1225</v>
      </c>
      <c r="B1198" s="3" t="s">
        <v>81</v>
      </c>
      <c r="C1198" s="3" t="s">
        <v>156</v>
      </c>
      <c r="D1198" s="4" t="s">
        <v>205</v>
      </c>
      <c r="E1198" s="4" t="s">
        <v>9</v>
      </c>
      <c r="F1198" s="4"/>
      <c r="G1198" s="9"/>
      <c r="H1198" s="4"/>
      <c r="I1198" s="9"/>
      <c r="J1198" s="3">
        <v>12601</v>
      </c>
      <c r="K1198" s="3">
        <v>50105</v>
      </c>
      <c r="L1198" s="17" t="str" cm="1">
        <f t="array" ref="L1198">_xlfn.IFS(MID(K1198,2,2)="01", "서울", MID(K1198,2,2)="02","경기",MID(K1198,2,2)="03","충청",MID(K1198,2,2)="04","충청",MID(K1198,2,2)="05","전라",MID(K1198,2,2)="06","전라",MID(K1198,2,2)="07","경북",MID(K1198,2,2)="08","경남",MID(K1198,2,2)="09","강원",MID(K1198,2,2)="10","제주",TRUE,"국외")</f>
        <v>서울</v>
      </c>
    </row>
    <row r="1199" spans="1:12" ht="17.25" thickBot="1">
      <c r="A1199" s="3" t="s">
        <v>1308</v>
      </c>
      <c r="B1199" s="3" t="s">
        <v>335</v>
      </c>
      <c r="C1199" s="3" t="s">
        <v>538</v>
      </c>
      <c r="D1199" s="4" t="s">
        <v>205</v>
      </c>
      <c r="E1199" s="4" t="s">
        <v>23</v>
      </c>
      <c r="F1199" s="4">
        <v>2017</v>
      </c>
      <c r="G1199" s="9"/>
      <c r="H1199" s="4" t="s">
        <v>23</v>
      </c>
      <c r="I1199" s="8">
        <v>-0.6</v>
      </c>
      <c r="J1199" s="3">
        <v>12988</v>
      </c>
      <c r="K1199" s="3">
        <v>50804</v>
      </c>
      <c r="L1199" s="17" t="str" cm="1">
        <f t="array" ref="L1199">_xlfn.IFS(MID(K1199,2,2)="01", "서울", MID(K1199,2,2)="02","경기",MID(K1199,2,2)="03","충청",MID(K1199,2,2)="04","충청",MID(K1199,2,2)="05","전라",MID(K1199,2,2)="06","전라",MID(K1199,2,2)="07","경북",MID(K1199,2,2)="08","경남",MID(K1199,2,2)="09","강원",MID(K1199,2,2)="10","제주",TRUE,"국외")</f>
        <v>경남</v>
      </c>
    </row>
    <row r="1200" spans="1:12" ht="17.25" thickBot="1">
      <c r="A1200" s="3" t="s">
        <v>1309</v>
      </c>
      <c r="B1200" s="3" t="s">
        <v>36</v>
      </c>
      <c r="C1200" s="3" t="s">
        <v>218</v>
      </c>
      <c r="D1200" s="4" t="s">
        <v>205</v>
      </c>
      <c r="E1200" s="4" t="s">
        <v>3</v>
      </c>
      <c r="F1200" s="4"/>
      <c r="G1200" s="9"/>
      <c r="H1200" s="4"/>
      <c r="I1200" s="9"/>
      <c r="J1200" s="3">
        <v>12983</v>
      </c>
      <c r="K1200" s="3">
        <v>50402</v>
      </c>
      <c r="L1200" s="17" t="str" cm="1">
        <f t="array" ref="L1200">_xlfn.IFS(MID(K1200,2,2)="01", "서울", MID(K1200,2,2)="02","경기",MID(K1200,2,2)="03","충청",MID(K1200,2,2)="04","충청",MID(K1200,2,2)="05","전라",MID(K1200,2,2)="06","전라",MID(K1200,2,2)="07","경북",MID(K1200,2,2)="08","경남",MID(K1200,2,2)="09","강원",MID(K1200,2,2)="10","제주",TRUE,"국외")</f>
        <v>충청</v>
      </c>
    </row>
    <row r="1201" spans="1:12" ht="17.25" thickBot="1">
      <c r="A1201" s="3" t="s">
        <v>1310</v>
      </c>
      <c r="B1201" s="3" t="s">
        <v>25</v>
      </c>
      <c r="C1201" s="3" t="s">
        <v>172</v>
      </c>
      <c r="D1201" s="4" t="s">
        <v>205</v>
      </c>
      <c r="E1201" s="4" t="s">
        <v>3</v>
      </c>
      <c r="F1201" s="4"/>
      <c r="G1201" s="9"/>
      <c r="H1201" s="4"/>
      <c r="I1201" s="9"/>
      <c r="J1201" s="3">
        <v>12982</v>
      </c>
      <c r="K1201" s="3">
        <v>50403</v>
      </c>
      <c r="L1201" s="17" t="str" cm="1">
        <f t="array" ref="L1201">_xlfn.IFS(MID(K1201,2,2)="01", "서울", MID(K1201,2,2)="02","경기",MID(K1201,2,2)="03","충청",MID(K1201,2,2)="04","충청",MID(K1201,2,2)="05","전라",MID(K1201,2,2)="06","전라",MID(K1201,2,2)="07","경북",MID(K1201,2,2)="08","경남",MID(K1201,2,2)="09","강원",MID(K1201,2,2)="10","제주",TRUE,"국외")</f>
        <v>충청</v>
      </c>
    </row>
    <row r="1202" spans="1:12" ht="17.25" thickBot="1">
      <c r="A1202" s="3" t="s">
        <v>1311</v>
      </c>
      <c r="B1202" s="3" t="s">
        <v>82</v>
      </c>
      <c r="C1202" s="3" t="s">
        <v>211</v>
      </c>
      <c r="D1202" s="4" t="s">
        <v>205</v>
      </c>
      <c r="E1202" s="4" t="s">
        <v>3</v>
      </c>
      <c r="F1202" s="4"/>
      <c r="G1202" s="9"/>
      <c r="H1202" s="4"/>
      <c r="I1202" s="9"/>
      <c r="J1202" s="3">
        <v>12981</v>
      </c>
      <c r="K1202" s="3">
        <v>50605</v>
      </c>
      <c r="L1202" s="17" t="str" cm="1">
        <f t="array" ref="L1202">_xlfn.IFS(MID(K1202,2,2)="01", "서울", MID(K1202,2,2)="02","경기",MID(K1202,2,2)="03","충청",MID(K1202,2,2)="04","충청",MID(K1202,2,2)="05","전라",MID(K1202,2,2)="06","전라",MID(K1202,2,2)="07","경북",MID(K1202,2,2)="08","경남",MID(K1202,2,2)="09","강원",MID(K1202,2,2)="10","제주",TRUE,"국외")</f>
        <v>전라</v>
      </c>
    </row>
    <row r="1203" spans="1:12" ht="17.25" thickBot="1">
      <c r="A1203" s="3" t="s">
        <v>1312</v>
      </c>
      <c r="B1203" s="3" t="s">
        <v>82</v>
      </c>
      <c r="C1203" s="3" t="s">
        <v>99</v>
      </c>
      <c r="D1203" s="4" t="s">
        <v>205</v>
      </c>
      <c r="E1203" s="4" t="s">
        <v>3</v>
      </c>
      <c r="F1203" s="4">
        <v>2018</v>
      </c>
      <c r="G1203" s="9"/>
      <c r="H1203" s="4" t="s">
        <v>3</v>
      </c>
      <c r="I1203" s="8">
        <v>2.2999999999999998</v>
      </c>
      <c r="J1203" s="3">
        <v>12589</v>
      </c>
      <c r="K1203" s="3">
        <v>50605</v>
      </c>
      <c r="L1203" s="17" t="str" cm="1">
        <f t="array" ref="L1203">_xlfn.IFS(MID(K1203,2,2)="01", "서울", MID(K1203,2,2)="02","경기",MID(K1203,2,2)="03","충청",MID(K1203,2,2)="04","충청",MID(K1203,2,2)="05","전라",MID(K1203,2,2)="06","전라",MID(K1203,2,2)="07","경북",MID(K1203,2,2)="08","경남",MID(K1203,2,2)="09","강원",MID(K1203,2,2)="10","제주",TRUE,"국외")</f>
        <v>전라</v>
      </c>
    </row>
    <row r="1204" spans="1:12" ht="17.25" thickBot="1">
      <c r="A1204" s="3" t="s">
        <v>1313</v>
      </c>
      <c r="B1204" s="3" t="s">
        <v>107</v>
      </c>
      <c r="C1204" s="3" t="s">
        <v>99</v>
      </c>
      <c r="D1204" s="4" t="s">
        <v>205</v>
      </c>
      <c r="E1204" s="4" t="s">
        <v>3</v>
      </c>
      <c r="F1204" s="4">
        <v>2017</v>
      </c>
      <c r="G1204" s="9"/>
      <c r="H1204" s="4" t="s">
        <v>3</v>
      </c>
      <c r="I1204" s="8">
        <v>-0.4</v>
      </c>
      <c r="J1204" s="3">
        <v>12996</v>
      </c>
      <c r="K1204" s="3">
        <v>50602</v>
      </c>
      <c r="L1204" s="17" t="str" cm="1">
        <f t="array" ref="L1204">_xlfn.IFS(MID(K1204,2,2)="01", "서울", MID(K1204,2,2)="02","경기",MID(K1204,2,2)="03","충청",MID(K1204,2,2)="04","충청",MID(K1204,2,2)="05","전라",MID(K1204,2,2)="06","전라",MID(K1204,2,2)="07","경북",MID(K1204,2,2)="08","경남",MID(K1204,2,2)="09","강원",MID(K1204,2,2)="10","제주",TRUE,"국외")</f>
        <v>전라</v>
      </c>
    </row>
    <row r="1205" spans="1:12" ht="17.25" thickBot="1">
      <c r="A1205" s="3" t="s">
        <v>1314</v>
      </c>
      <c r="B1205" s="3" t="s">
        <v>169</v>
      </c>
      <c r="C1205" s="3" t="s">
        <v>329</v>
      </c>
      <c r="D1205" s="4" t="s">
        <v>243</v>
      </c>
      <c r="E1205" s="4" t="s">
        <v>6</v>
      </c>
      <c r="F1205" s="4">
        <v>2017</v>
      </c>
      <c r="G1205" s="9"/>
      <c r="H1205" s="4" t="s">
        <v>6</v>
      </c>
      <c r="I1205" s="8">
        <v>0.3</v>
      </c>
      <c r="J1205" s="3">
        <v>13003</v>
      </c>
      <c r="K1205" s="3">
        <v>50606</v>
      </c>
      <c r="L1205" s="17" t="str" cm="1">
        <f t="array" ref="L1205">_xlfn.IFS(MID(K1205,2,2)="01", "서울", MID(K1205,2,2)="02","경기",MID(K1205,2,2)="03","충청",MID(K1205,2,2)="04","충청",MID(K1205,2,2)="05","전라",MID(K1205,2,2)="06","전라",MID(K1205,2,2)="07","경북",MID(K1205,2,2)="08","경남",MID(K1205,2,2)="09","강원",MID(K1205,2,2)="10","제주",TRUE,"국외")</f>
        <v>전라</v>
      </c>
    </row>
    <row r="1206" spans="1:12" ht="17.25" thickBot="1">
      <c r="A1206" s="3" t="s">
        <v>1315</v>
      </c>
      <c r="B1206" s="3" t="s">
        <v>70</v>
      </c>
      <c r="C1206" s="3"/>
      <c r="D1206" s="4" t="s">
        <v>243</v>
      </c>
      <c r="E1206" s="4" t="s">
        <v>28</v>
      </c>
      <c r="F1206" s="4">
        <v>2015</v>
      </c>
      <c r="G1206" s="8">
        <v>1.2</v>
      </c>
      <c r="H1206" s="4" t="s">
        <v>28</v>
      </c>
      <c r="I1206" s="8">
        <v>11.2</v>
      </c>
      <c r="J1206" s="3">
        <v>11318</v>
      </c>
      <c r="K1206" s="3">
        <v>50103</v>
      </c>
      <c r="L1206" s="17" t="str" cm="1">
        <f t="array" ref="L1206">_xlfn.IFS(MID(K1206,2,2)="01", "서울", MID(K1206,2,2)="02","경기",MID(K1206,2,2)="03","충청",MID(K1206,2,2)="04","충청",MID(K1206,2,2)="05","전라",MID(K1206,2,2)="06","전라",MID(K1206,2,2)="07","경북",MID(K1206,2,2)="08","경남",MID(K1206,2,2)="09","강원",MID(K1206,2,2)="10","제주",TRUE,"국외")</f>
        <v>서울</v>
      </c>
    </row>
    <row r="1207" spans="1:12" ht="17.25" thickBot="1">
      <c r="A1207" s="3" t="s">
        <v>1316</v>
      </c>
      <c r="B1207" s="3" t="s">
        <v>70</v>
      </c>
      <c r="C1207" s="3"/>
      <c r="D1207" s="4" t="s">
        <v>243</v>
      </c>
      <c r="E1207" s="4" t="s">
        <v>20</v>
      </c>
      <c r="F1207" s="4">
        <v>2015</v>
      </c>
      <c r="G1207" s="8">
        <v>-0.2</v>
      </c>
      <c r="H1207" s="4" t="s">
        <v>23</v>
      </c>
      <c r="I1207" s="8">
        <v>0.7</v>
      </c>
      <c r="J1207" s="3">
        <v>11344</v>
      </c>
      <c r="K1207" s="3">
        <v>50103</v>
      </c>
      <c r="L1207" s="17" t="str" cm="1">
        <f t="array" ref="L1207">_xlfn.IFS(MID(K1207,2,2)="01", "서울", MID(K1207,2,2)="02","경기",MID(K1207,2,2)="03","충청",MID(K1207,2,2)="04","충청",MID(K1207,2,2)="05","전라",MID(K1207,2,2)="06","전라",MID(K1207,2,2)="07","경북",MID(K1207,2,2)="08","경남",MID(K1207,2,2)="09","강원",MID(K1207,2,2)="10","제주",TRUE,"국외")</f>
        <v>서울</v>
      </c>
    </row>
    <row r="1208" spans="1:12" ht="17.25" thickBot="1">
      <c r="A1208" s="3" t="s">
        <v>1317</v>
      </c>
      <c r="B1208" s="3" t="s">
        <v>81</v>
      </c>
      <c r="C1208" s="3" t="s">
        <v>218</v>
      </c>
      <c r="D1208" s="4" t="s">
        <v>243</v>
      </c>
      <c r="E1208" s="4" t="s">
        <v>12</v>
      </c>
      <c r="F1208" s="4">
        <v>2020</v>
      </c>
      <c r="G1208" s="9"/>
      <c r="H1208" s="4" t="s">
        <v>12</v>
      </c>
      <c r="I1208" s="8">
        <v>0</v>
      </c>
      <c r="J1208" s="3">
        <v>11361</v>
      </c>
      <c r="K1208" s="3">
        <v>50105</v>
      </c>
      <c r="L1208" s="17" t="str" cm="1">
        <f t="array" ref="L1208">_xlfn.IFS(MID(K1208,2,2)="01", "서울", MID(K1208,2,2)="02","경기",MID(K1208,2,2)="03","충청",MID(K1208,2,2)="04","충청",MID(K1208,2,2)="05","전라",MID(K1208,2,2)="06","전라",MID(K1208,2,2)="07","경북",MID(K1208,2,2)="08","경남",MID(K1208,2,2)="09","강원",MID(K1208,2,2)="10","제주",TRUE,"국외")</f>
        <v>서울</v>
      </c>
    </row>
    <row r="1209" spans="1:12" ht="17.25" thickBot="1">
      <c r="A1209" s="3" t="s">
        <v>1318</v>
      </c>
      <c r="B1209" s="3" t="s">
        <v>153</v>
      </c>
      <c r="C1209" s="3" t="s">
        <v>133</v>
      </c>
      <c r="D1209" s="4" t="s">
        <v>243</v>
      </c>
      <c r="E1209" s="4" t="s">
        <v>607</v>
      </c>
      <c r="F1209" s="4">
        <v>2015</v>
      </c>
      <c r="G1209" s="8">
        <v>0.1</v>
      </c>
      <c r="H1209" s="4" t="s">
        <v>607</v>
      </c>
      <c r="I1209" s="8">
        <v>-0.9</v>
      </c>
      <c r="J1209" s="3">
        <v>11369</v>
      </c>
      <c r="K1209" s="3">
        <v>50210</v>
      </c>
      <c r="L1209" s="17" t="str" cm="1">
        <f t="array" ref="L1209">_xlfn.IFS(MID(K1209,2,2)="01", "서울", MID(K1209,2,2)="02","경기",MID(K1209,2,2)="03","충청",MID(K1209,2,2)="04","충청",MID(K1209,2,2)="05","전라",MID(K1209,2,2)="06","전라",MID(K1209,2,2)="07","경북",MID(K1209,2,2)="08","경남",MID(K1209,2,2)="09","강원",MID(K1209,2,2)="10","제주",TRUE,"국외")</f>
        <v>경기</v>
      </c>
    </row>
    <row r="1210" spans="1:12" ht="17.25" thickBot="1">
      <c r="A1210" s="3" t="s">
        <v>1319</v>
      </c>
      <c r="B1210" s="3" t="s">
        <v>1</v>
      </c>
      <c r="C1210" s="3"/>
      <c r="D1210" s="4" t="s">
        <v>243</v>
      </c>
      <c r="E1210" s="4" t="s">
        <v>906</v>
      </c>
      <c r="F1210" s="4">
        <v>2016</v>
      </c>
      <c r="G1210" s="9"/>
      <c r="H1210" s="4" t="s">
        <v>18</v>
      </c>
      <c r="I1210" s="8">
        <v>20.8</v>
      </c>
      <c r="J1210" s="3">
        <v>11379</v>
      </c>
      <c r="K1210" s="3">
        <v>50107</v>
      </c>
      <c r="L1210" s="17" t="str" cm="1">
        <f t="array" ref="L1210">_xlfn.IFS(MID(K1210,2,2)="01", "서울", MID(K1210,2,2)="02","경기",MID(K1210,2,2)="03","충청",MID(K1210,2,2)="04","충청",MID(K1210,2,2)="05","전라",MID(K1210,2,2)="06","전라",MID(K1210,2,2)="07","경북",MID(K1210,2,2)="08","경남",MID(K1210,2,2)="09","강원",MID(K1210,2,2)="10","제주",TRUE,"국외")</f>
        <v>서울</v>
      </c>
    </row>
    <row r="1211" spans="1:12" ht="17.25" thickBot="1">
      <c r="A1211" s="3" t="s">
        <v>1320</v>
      </c>
      <c r="B1211" s="3" t="s">
        <v>1</v>
      </c>
      <c r="C1211" s="3"/>
      <c r="D1211" s="4" t="s">
        <v>243</v>
      </c>
      <c r="E1211" s="4" t="s">
        <v>26</v>
      </c>
      <c r="F1211" s="4">
        <v>2015</v>
      </c>
      <c r="G1211" s="8">
        <v>0</v>
      </c>
      <c r="H1211" s="4" t="s">
        <v>26</v>
      </c>
      <c r="I1211" s="8">
        <v>0</v>
      </c>
      <c r="J1211" s="3">
        <v>11381</v>
      </c>
      <c r="K1211" s="3">
        <v>50107</v>
      </c>
      <c r="L1211" s="17" t="str" cm="1">
        <f t="array" ref="L1211">_xlfn.IFS(MID(K1211,2,2)="01", "서울", MID(K1211,2,2)="02","경기",MID(K1211,2,2)="03","충청",MID(K1211,2,2)="04","충청",MID(K1211,2,2)="05","전라",MID(K1211,2,2)="06","전라",MID(K1211,2,2)="07","경북",MID(K1211,2,2)="08","경남",MID(K1211,2,2)="09","강원",MID(K1211,2,2)="10","제주",TRUE,"국외")</f>
        <v>서울</v>
      </c>
    </row>
    <row r="1212" spans="1:12" ht="17.25" thickBot="1">
      <c r="A1212" s="3" t="s">
        <v>1321</v>
      </c>
      <c r="B1212" s="3" t="s">
        <v>335</v>
      </c>
      <c r="C1212" s="3"/>
      <c r="D1212" s="4" t="s">
        <v>243</v>
      </c>
      <c r="E1212" s="4" t="s">
        <v>9</v>
      </c>
      <c r="F1212" s="4">
        <v>2016</v>
      </c>
      <c r="G1212" s="9"/>
      <c r="H1212" s="4" t="s">
        <v>9</v>
      </c>
      <c r="I1212" s="8">
        <v>0.2</v>
      </c>
      <c r="J1212" s="3">
        <v>11388</v>
      </c>
      <c r="K1212" s="3">
        <v>50804</v>
      </c>
      <c r="L1212" s="17" t="str" cm="1">
        <f t="array" ref="L1212">_xlfn.IFS(MID(K1212,2,2)="01", "서울", MID(K1212,2,2)="02","경기",MID(K1212,2,2)="03","충청",MID(K1212,2,2)="04","충청",MID(K1212,2,2)="05","전라",MID(K1212,2,2)="06","전라",MID(K1212,2,2)="07","경북",MID(K1212,2,2)="08","경남",MID(K1212,2,2)="09","강원",MID(K1212,2,2)="10","제주",TRUE,"국외")</f>
        <v>경남</v>
      </c>
    </row>
    <row r="1213" spans="1:12" ht="17.25" thickBot="1">
      <c r="A1213" s="3" t="s">
        <v>1322</v>
      </c>
      <c r="B1213" s="3" t="s">
        <v>358</v>
      </c>
      <c r="C1213" s="3"/>
      <c r="D1213" s="4" t="s">
        <v>243</v>
      </c>
      <c r="E1213" s="4" t="s">
        <v>23</v>
      </c>
      <c r="F1213" s="4"/>
      <c r="G1213" s="9"/>
      <c r="H1213" s="4"/>
      <c r="I1213" s="9"/>
      <c r="J1213" s="3">
        <v>13239</v>
      </c>
      <c r="K1213" s="3">
        <v>50902</v>
      </c>
      <c r="L1213" s="17" t="str" cm="1">
        <f t="array" ref="L1213">_xlfn.IFS(MID(K1213,2,2)="01", "서울", MID(K1213,2,2)="02","경기",MID(K1213,2,2)="03","충청",MID(K1213,2,2)="04","충청",MID(K1213,2,2)="05","전라",MID(K1213,2,2)="06","전라",MID(K1213,2,2)="07","경북",MID(K1213,2,2)="08","경남",MID(K1213,2,2)="09","강원",MID(K1213,2,2)="10","제주",TRUE,"국외")</f>
        <v>강원</v>
      </c>
    </row>
    <row r="1214" spans="1:12" ht="17.25" thickBot="1">
      <c r="A1214" s="3" t="s">
        <v>1323</v>
      </c>
      <c r="B1214" s="3" t="s">
        <v>25</v>
      </c>
      <c r="C1214" s="3"/>
      <c r="D1214" s="4" t="s">
        <v>243</v>
      </c>
      <c r="E1214" s="4" t="s">
        <v>3</v>
      </c>
      <c r="F1214" s="4">
        <v>2015</v>
      </c>
      <c r="G1214" s="8">
        <v>0.1</v>
      </c>
      <c r="H1214" s="4" t="s">
        <v>3</v>
      </c>
      <c r="I1214" s="8">
        <v>2.1</v>
      </c>
      <c r="J1214" s="3">
        <v>11411</v>
      </c>
      <c r="K1214" s="3">
        <v>50403</v>
      </c>
      <c r="L1214" s="17" t="str" cm="1">
        <f t="array" ref="L1214">_xlfn.IFS(MID(K1214,2,2)="01", "서울", MID(K1214,2,2)="02","경기",MID(K1214,2,2)="03","충청",MID(K1214,2,2)="04","충청",MID(K1214,2,2)="05","전라",MID(K1214,2,2)="06","전라",MID(K1214,2,2)="07","경북",MID(K1214,2,2)="08","경남",MID(K1214,2,2)="09","강원",MID(K1214,2,2)="10","제주",TRUE,"국외")</f>
        <v>충청</v>
      </c>
    </row>
    <row r="1215" spans="1:12" ht="17.25" thickBot="1">
      <c r="A1215" s="3" t="s">
        <v>1324</v>
      </c>
      <c r="B1215" s="3" t="s">
        <v>68</v>
      </c>
      <c r="C1215" s="3"/>
      <c r="D1215" s="4" t="s">
        <v>254</v>
      </c>
      <c r="E1215" s="4" t="s">
        <v>6</v>
      </c>
      <c r="F1215" s="4">
        <v>2015</v>
      </c>
      <c r="G1215" s="8">
        <v>-0.2</v>
      </c>
      <c r="H1215" s="4" t="s">
        <v>6</v>
      </c>
      <c r="I1215" s="8">
        <v>-0.6</v>
      </c>
      <c r="J1215" s="3">
        <v>11306</v>
      </c>
      <c r="K1215" s="3">
        <v>50101</v>
      </c>
      <c r="L1215" s="17" t="str" cm="1">
        <f t="array" ref="L1215">_xlfn.IFS(MID(K1215,2,2)="01", "서울", MID(K1215,2,2)="02","경기",MID(K1215,2,2)="03","충청",MID(K1215,2,2)="04","충청",MID(K1215,2,2)="05","전라",MID(K1215,2,2)="06","전라",MID(K1215,2,2)="07","경북",MID(K1215,2,2)="08","경남",MID(K1215,2,2)="09","강원",MID(K1215,2,2)="10","제주",TRUE,"국외")</f>
        <v>서울</v>
      </c>
    </row>
    <row r="1216" spans="1:12" ht="17.25" thickBot="1">
      <c r="A1216" s="3" t="s">
        <v>1325</v>
      </c>
      <c r="B1216" s="3" t="s">
        <v>153</v>
      </c>
      <c r="C1216" s="3" t="s">
        <v>122</v>
      </c>
      <c r="D1216" s="4" t="s">
        <v>254</v>
      </c>
      <c r="E1216" s="4" t="s">
        <v>28</v>
      </c>
      <c r="F1216" s="4">
        <v>2015</v>
      </c>
      <c r="G1216" s="8">
        <v>-0.3</v>
      </c>
      <c r="H1216" s="4" t="s">
        <v>28</v>
      </c>
      <c r="I1216" s="8">
        <v>0.9</v>
      </c>
      <c r="J1216" s="3">
        <v>11320</v>
      </c>
      <c r="K1216" s="3">
        <v>50210</v>
      </c>
      <c r="L1216" s="17" t="str" cm="1">
        <f t="array" ref="L1216">_xlfn.IFS(MID(K1216,2,2)="01", "서울", MID(K1216,2,2)="02","경기",MID(K1216,2,2)="03","충청",MID(K1216,2,2)="04","충청",MID(K1216,2,2)="05","전라",MID(K1216,2,2)="06","전라",MID(K1216,2,2)="07","경북",MID(K1216,2,2)="08","경남",MID(K1216,2,2)="09","강원",MID(K1216,2,2)="10","제주",TRUE,"국외")</f>
        <v>경기</v>
      </c>
    </row>
    <row r="1217" spans="1:12" ht="17.25" thickBot="1">
      <c r="A1217" s="3" t="s">
        <v>369</v>
      </c>
      <c r="B1217" s="3" t="s">
        <v>112</v>
      </c>
      <c r="C1217" s="3" t="s">
        <v>99</v>
      </c>
      <c r="D1217" s="4" t="s">
        <v>254</v>
      </c>
      <c r="E1217" s="4" t="s">
        <v>28</v>
      </c>
      <c r="F1217" s="4">
        <v>2015</v>
      </c>
      <c r="G1217" s="8">
        <v>0.1</v>
      </c>
      <c r="H1217" s="4" t="s">
        <v>28</v>
      </c>
      <c r="I1217" s="8">
        <v>3.9</v>
      </c>
      <c r="J1217" s="3">
        <v>11317</v>
      </c>
      <c r="K1217" s="3">
        <v>50113</v>
      </c>
      <c r="L1217" s="17" t="str" cm="1">
        <f t="array" ref="L1217">_xlfn.IFS(MID(K1217,2,2)="01", "서울", MID(K1217,2,2)="02","경기",MID(K1217,2,2)="03","충청",MID(K1217,2,2)="04","충청",MID(K1217,2,2)="05","전라",MID(K1217,2,2)="06","전라",MID(K1217,2,2)="07","경북",MID(K1217,2,2)="08","경남",MID(K1217,2,2)="09","강원",MID(K1217,2,2)="10","제주",TRUE,"국외")</f>
        <v>서울</v>
      </c>
    </row>
    <row r="1218" spans="1:12" ht="17.25" thickBot="1">
      <c r="A1218" s="3" t="s">
        <v>1326</v>
      </c>
      <c r="B1218" s="3" t="s">
        <v>68</v>
      </c>
      <c r="C1218" s="3" t="s">
        <v>122</v>
      </c>
      <c r="D1218" s="4" t="s">
        <v>254</v>
      </c>
      <c r="E1218" s="4" t="s">
        <v>28</v>
      </c>
      <c r="F1218" s="4">
        <v>2017</v>
      </c>
      <c r="G1218" s="9"/>
      <c r="H1218" s="4" t="s">
        <v>12</v>
      </c>
      <c r="I1218" s="8">
        <v>-0.6</v>
      </c>
      <c r="J1218" s="3">
        <v>11319</v>
      </c>
      <c r="K1218" s="3">
        <v>50101</v>
      </c>
      <c r="L1218" s="17" t="str" cm="1">
        <f t="array" ref="L1218">_xlfn.IFS(MID(K1218,2,2)="01", "서울", MID(K1218,2,2)="02","경기",MID(K1218,2,2)="03","충청",MID(K1218,2,2)="04","충청",MID(K1218,2,2)="05","전라",MID(K1218,2,2)="06","전라",MID(K1218,2,2)="07","경북",MID(K1218,2,2)="08","경남",MID(K1218,2,2)="09","강원",MID(K1218,2,2)="10","제주",TRUE,"국외")</f>
        <v>서울</v>
      </c>
    </row>
    <row r="1219" spans="1:12" ht="17.25" thickBot="1">
      <c r="A1219" s="3" t="s">
        <v>1327</v>
      </c>
      <c r="B1219" s="3" t="s">
        <v>8</v>
      </c>
      <c r="C1219" s="3"/>
      <c r="D1219" s="4" t="s">
        <v>254</v>
      </c>
      <c r="E1219" s="4" t="s">
        <v>28</v>
      </c>
      <c r="F1219" s="4">
        <v>2015</v>
      </c>
      <c r="G1219" s="8">
        <v>0.9</v>
      </c>
      <c r="H1219" s="4" t="s">
        <v>28</v>
      </c>
      <c r="I1219" s="8">
        <v>12.7</v>
      </c>
      <c r="J1219" s="3">
        <v>11489</v>
      </c>
      <c r="K1219" s="3">
        <v>50116</v>
      </c>
      <c r="L1219" s="17" t="str" cm="1">
        <f t="array" ref="L1219">_xlfn.IFS(MID(K1219,2,2)="01", "서울", MID(K1219,2,2)="02","경기",MID(K1219,2,2)="03","충청",MID(K1219,2,2)="04","충청",MID(K1219,2,2)="05","전라",MID(K1219,2,2)="06","전라",MID(K1219,2,2)="07","경북",MID(K1219,2,2)="08","경남",MID(K1219,2,2)="09","강원",MID(K1219,2,2)="10","제주",TRUE,"국외")</f>
        <v>서울</v>
      </c>
    </row>
    <row r="1220" spans="1:12" ht="17.25" thickBot="1">
      <c r="A1220" s="3" t="s">
        <v>1328</v>
      </c>
      <c r="B1220" s="3" t="s">
        <v>36</v>
      </c>
      <c r="C1220" s="3"/>
      <c r="D1220" s="4" t="s">
        <v>254</v>
      </c>
      <c r="E1220" s="4" t="s">
        <v>20</v>
      </c>
      <c r="F1220" s="4">
        <v>2015</v>
      </c>
      <c r="G1220" s="8">
        <v>0.6</v>
      </c>
      <c r="H1220" s="4" t="s">
        <v>20</v>
      </c>
      <c r="I1220" s="8">
        <v>0.4</v>
      </c>
      <c r="J1220" s="3">
        <v>11347</v>
      </c>
      <c r="K1220" s="3">
        <v>50402</v>
      </c>
      <c r="L1220" s="17" t="str" cm="1">
        <f t="array" ref="L1220">_xlfn.IFS(MID(K1220,2,2)="01", "서울", MID(K1220,2,2)="02","경기",MID(K1220,2,2)="03","충청",MID(K1220,2,2)="04","충청",MID(K1220,2,2)="05","전라",MID(K1220,2,2)="06","전라",MID(K1220,2,2)="07","경북",MID(K1220,2,2)="08","경남",MID(K1220,2,2)="09","강원",MID(K1220,2,2)="10","제주",TRUE,"국외")</f>
        <v>충청</v>
      </c>
    </row>
    <row r="1221" spans="1:12" ht="17.25" thickBot="1">
      <c r="A1221" s="3" t="s">
        <v>1329</v>
      </c>
      <c r="B1221" s="3" t="s">
        <v>1084</v>
      </c>
      <c r="C1221" s="3"/>
      <c r="D1221" s="4" t="s">
        <v>254</v>
      </c>
      <c r="E1221" s="4" t="s">
        <v>12</v>
      </c>
      <c r="F1221" s="4">
        <v>2016</v>
      </c>
      <c r="G1221" s="9"/>
      <c r="H1221" s="4" t="s">
        <v>12</v>
      </c>
      <c r="I1221" s="8">
        <v>19.3</v>
      </c>
      <c r="J1221" s="3">
        <v>11353</v>
      </c>
      <c r="K1221" s="3">
        <v>50808</v>
      </c>
      <c r="L1221" s="17" t="str" cm="1">
        <f t="array" ref="L1221">_xlfn.IFS(MID(K1221,2,2)="01", "서울", MID(K1221,2,2)="02","경기",MID(K1221,2,2)="03","충청",MID(K1221,2,2)="04","충청",MID(K1221,2,2)="05","전라",MID(K1221,2,2)="06","전라",MID(K1221,2,2)="07","경북",MID(K1221,2,2)="08","경남",MID(K1221,2,2)="09","강원",MID(K1221,2,2)="10","제주",TRUE,"국외")</f>
        <v>경남</v>
      </c>
    </row>
    <row r="1222" spans="1:12" ht="17.25" thickBot="1">
      <c r="A1222" s="3" t="s">
        <v>1330</v>
      </c>
      <c r="B1222" s="3" t="s">
        <v>5</v>
      </c>
      <c r="C1222" s="3"/>
      <c r="D1222" s="4" t="s">
        <v>254</v>
      </c>
      <c r="E1222" s="4" t="s">
        <v>607</v>
      </c>
      <c r="F1222" s="4">
        <v>2016</v>
      </c>
      <c r="G1222" s="9"/>
      <c r="H1222" s="4" t="s">
        <v>607</v>
      </c>
      <c r="I1222" s="8">
        <v>0.1</v>
      </c>
      <c r="J1222" s="3">
        <v>11366</v>
      </c>
      <c r="K1222" s="3">
        <v>50114</v>
      </c>
      <c r="L1222" s="17" t="str" cm="1">
        <f t="array" ref="L1222">_xlfn.IFS(MID(K1222,2,2)="01", "서울", MID(K1222,2,2)="02","경기",MID(K1222,2,2)="03","충청",MID(K1222,2,2)="04","충청",MID(K1222,2,2)="05","전라",MID(K1222,2,2)="06","전라",MID(K1222,2,2)="07","경북",MID(K1222,2,2)="08","경남",MID(K1222,2,2)="09","강원",MID(K1222,2,2)="10","제주",TRUE,"국외")</f>
        <v>서울</v>
      </c>
    </row>
    <row r="1223" spans="1:12" ht="17.25" thickBot="1">
      <c r="A1223" s="3" t="s">
        <v>1331</v>
      </c>
      <c r="B1223" s="3" t="s">
        <v>68</v>
      </c>
      <c r="C1223" s="3"/>
      <c r="D1223" s="4" t="s">
        <v>254</v>
      </c>
      <c r="E1223" s="4" t="s">
        <v>906</v>
      </c>
      <c r="F1223" s="4">
        <v>2017</v>
      </c>
      <c r="G1223" s="9"/>
      <c r="H1223" s="4" t="s">
        <v>18</v>
      </c>
      <c r="I1223" s="8">
        <v>0</v>
      </c>
      <c r="J1223" s="3">
        <v>11374</v>
      </c>
      <c r="K1223" s="3">
        <v>50101</v>
      </c>
      <c r="L1223" s="17" t="str" cm="1">
        <f t="array" ref="L1223">_xlfn.IFS(MID(K1223,2,2)="01", "서울", MID(K1223,2,2)="02","경기",MID(K1223,2,2)="03","충청",MID(K1223,2,2)="04","충청",MID(K1223,2,2)="05","전라",MID(K1223,2,2)="06","전라",MID(K1223,2,2)="07","경북",MID(K1223,2,2)="08","경남",MID(K1223,2,2)="09","강원",MID(K1223,2,2)="10","제주",TRUE,"국외")</f>
        <v>서울</v>
      </c>
    </row>
    <row r="1224" spans="1:12" ht="17.25" thickBot="1">
      <c r="A1224" s="3" t="s">
        <v>1332</v>
      </c>
      <c r="B1224" s="3" t="s">
        <v>107</v>
      </c>
      <c r="C1224" s="3"/>
      <c r="D1224" s="4" t="s">
        <v>254</v>
      </c>
      <c r="E1224" s="4" t="s">
        <v>26</v>
      </c>
      <c r="F1224" s="4">
        <v>2020</v>
      </c>
      <c r="G1224" s="9"/>
      <c r="H1224" s="4" t="s">
        <v>26</v>
      </c>
      <c r="I1224" s="8">
        <v>0.4</v>
      </c>
      <c r="J1224" s="3">
        <v>11387</v>
      </c>
      <c r="K1224" s="3">
        <v>50602</v>
      </c>
      <c r="L1224" s="17" t="str" cm="1">
        <f t="array" ref="L1224">_xlfn.IFS(MID(K1224,2,2)="01", "서울", MID(K1224,2,2)="02","경기",MID(K1224,2,2)="03","충청",MID(K1224,2,2)="04","충청",MID(K1224,2,2)="05","전라",MID(K1224,2,2)="06","전라",MID(K1224,2,2)="07","경북",MID(K1224,2,2)="08","경남",MID(K1224,2,2)="09","강원",MID(K1224,2,2)="10","제주",TRUE,"국외")</f>
        <v>전라</v>
      </c>
    </row>
    <row r="1225" spans="1:12" ht="17.25" thickBot="1">
      <c r="A1225" s="3" t="s">
        <v>1333</v>
      </c>
      <c r="B1225" s="3" t="s">
        <v>93</v>
      </c>
      <c r="C1225" s="3"/>
      <c r="D1225" s="4" t="s">
        <v>254</v>
      </c>
      <c r="E1225" s="4" t="s">
        <v>9</v>
      </c>
      <c r="F1225" s="4"/>
      <c r="G1225" s="9"/>
      <c r="H1225" s="4"/>
      <c r="I1225" s="9"/>
      <c r="J1225" s="3">
        <v>11396</v>
      </c>
      <c r="K1225" s="3">
        <v>50805</v>
      </c>
      <c r="L1225" s="17" t="str" cm="1">
        <f t="array" ref="L1225">_xlfn.IFS(MID(K1225,2,2)="01", "서울", MID(K1225,2,2)="02","경기",MID(K1225,2,2)="03","충청",MID(K1225,2,2)="04","충청",MID(K1225,2,2)="05","전라",MID(K1225,2,2)="06","전라",MID(K1225,2,2)="07","경북",MID(K1225,2,2)="08","경남",MID(K1225,2,2)="09","강원",MID(K1225,2,2)="10","제주",TRUE,"국외")</f>
        <v>경남</v>
      </c>
    </row>
    <row r="1226" spans="1:12" ht="17.25" thickBot="1">
      <c r="A1226" s="3" t="s">
        <v>1334</v>
      </c>
      <c r="B1226" s="3" t="s">
        <v>25</v>
      </c>
      <c r="C1226" s="3"/>
      <c r="D1226" s="4" t="s">
        <v>254</v>
      </c>
      <c r="E1226" s="4" t="s">
        <v>23</v>
      </c>
      <c r="F1226" s="4">
        <v>2015</v>
      </c>
      <c r="G1226" s="8">
        <v>-0.2</v>
      </c>
      <c r="H1226" s="4" t="s">
        <v>23</v>
      </c>
      <c r="I1226" s="8">
        <v>4.4000000000000004</v>
      </c>
      <c r="J1226" s="3">
        <v>11404</v>
      </c>
      <c r="K1226" s="3">
        <v>50403</v>
      </c>
      <c r="L1226" s="17" t="str" cm="1">
        <f t="array" ref="L1226">_xlfn.IFS(MID(K1226,2,2)="01", "서울", MID(K1226,2,2)="02","경기",MID(K1226,2,2)="03","충청",MID(K1226,2,2)="04","충청",MID(K1226,2,2)="05","전라",MID(K1226,2,2)="06","전라",MID(K1226,2,2)="07","경북",MID(K1226,2,2)="08","경남",MID(K1226,2,2)="09","강원",MID(K1226,2,2)="10","제주",TRUE,"국외")</f>
        <v>충청</v>
      </c>
    </row>
    <row r="1227" spans="1:12" ht="17.25" thickBot="1">
      <c r="A1227" s="3" t="s">
        <v>1335</v>
      </c>
      <c r="B1227" s="3" t="s">
        <v>63</v>
      </c>
      <c r="C1227" s="3"/>
      <c r="D1227" s="4" t="s">
        <v>254</v>
      </c>
      <c r="E1227" s="4" t="s">
        <v>3</v>
      </c>
      <c r="F1227" s="4">
        <v>2015</v>
      </c>
      <c r="G1227" s="8">
        <v>0.9</v>
      </c>
      <c r="H1227" s="4" t="s">
        <v>3</v>
      </c>
      <c r="I1227" s="8">
        <v>9.6999999999999993</v>
      </c>
      <c r="J1227" s="3">
        <v>11410</v>
      </c>
      <c r="K1227" s="3">
        <v>50807</v>
      </c>
      <c r="L1227" s="17" t="str" cm="1">
        <f t="array" ref="L1227">_xlfn.IFS(MID(K1227,2,2)="01", "서울", MID(K1227,2,2)="02","경기",MID(K1227,2,2)="03","충청",MID(K1227,2,2)="04","충청",MID(K1227,2,2)="05","전라",MID(K1227,2,2)="06","전라",MID(K1227,2,2)="07","경북",MID(K1227,2,2)="08","경남",MID(K1227,2,2)="09","강원",MID(K1227,2,2)="10","제주",TRUE,"국외")</f>
        <v>경남</v>
      </c>
    </row>
    <row r="1228" spans="1:12" ht="17.25" thickBot="1">
      <c r="A1228" s="3" t="s">
        <v>1336</v>
      </c>
      <c r="B1228" s="3" t="s">
        <v>22</v>
      </c>
      <c r="C1228" s="3" t="s">
        <v>208</v>
      </c>
      <c r="D1228" s="4" t="s">
        <v>254</v>
      </c>
      <c r="E1228" s="4" t="s">
        <v>6</v>
      </c>
      <c r="F1228" s="4">
        <v>2015</v>
      </c>
      <c r="G1228" s="8">
        <v>-0.2</v>
      </c>
      <c r="H1228" s="4" t="s">
        <v>6</v>
      </c>
      <c r="I1228" s="8">
        <v>3.4</v>
      </c>
      <c r="J1228" s="3">
        <v>11299</v>
      </c>
      <c r="K1228" s="3">
        <v>50209</v>
      </c>
      <c r="L1228" s="17" t="str" cm="1">
        <f t="array" ref="L1228">_xlfn.IFS(MID(K1228,2,2)="01", "서울", MID(K1228,2,2)="02","경기",MID(K1228,2,2)="03","충청",MID(K1228,2,2)="04","충청",MID(K1228,2,2)="05","전라",MID(K1228,2,2)="06","전라",MID(K1228,2,2)="07","경북",MID(K1228,2,2)="08","경남",MID(K1228,2,2)="09","강원",MID(K1228,2,2)="10","제주",TRUE,"국외")</f>
        <v>경기</v>
      </c>
    </row>
    <row r="1229" spans="1:12" ht="17.25" thickBot="1">
      <c r="A1229" s="3" t="s">
        <v>1337</v>
      </c>
      <c r="B1229" s="3" t="s">
        <v>1019</v>
      </c>
      <c r="C1229" s="3"/>
      <c r="D1229" s="4" t="s">
        <v>254</v>
      </c>
      <c r="E1229" s="4" t="s">
        <v>28</v>
      </c>
      <c r="F1229" s="4">
        <v>2015</v>
      </c>
      <c r="G1229" s="8">
        <v>0.2</v>
      </c>
      <c r="H1229" s="4" t="s">
        <v>28</v>
      </c>
      <c r="I1229" s="8">
        <v>0.5</v>
      </c>
      <c r="J1229" s="3">
        <v>11321</v>
      </c>
      <c r="K1229" s="3">
        <v>50201</v>
      </c>
      <c r="L1229" s="17" t="str" cm="1">
        <f t="array" ref="L1229">_xlfn.IFS(MID(K1229,2,2)="01", "서울", MID(K1229,2,2)="02","경기",MID(K1229,2,2)="03","충청",MID(K1229,2,2)="04","충청",MID(K1229,2,2)="05","전라",MID(K1229,2,2)="06","전라",MID(K1229,2,2)="07","경북",MID(K1229,2,2)="08","경남",MID(K1229,2,2)="09","강원",MID(K1229,2,2)="10","제주",TRUE,"국외")</f>
        <v>경기</v>
      </c>
    </row>
    <row r="1230" spans="1:12" ht="17.25" thickBot="1">
      <c r="A1230" s="3" t="s">
        <v>1338</v>
      </c>
      <c r="B1230" s="3" t="s">
        <v>66</v>
      </c>
      <c r="C1230" s="3"/>
      <c r="D1230" s="4" t="s">
        <v>254</v>
      </c>
      <c r="E1230" s="4" t="s">
        <v>20</v>
      </c>
      <c r="F1230" s="4">
        <v>2017</v>
      </c>
      <c r="G1230" s="9"/>
      <c r="H1230" s="4" t="s">
        <v>20</v>
      </c>
      <c r="I1230" s="8">
        <v>0.1</v>
      </c>
      <c r="J1230" s="3">
        <v>11351</v>
      </c>
      <c r="K1230" s="3">
        <v>50110</v>
      </c>
      <c r="L1230" s="17" t="str" cm="1">
        <f t="array" ref="L1230">_xlfn.IFS(MID(K1230,2,2)="01", "서울", MID(K1230,2,2)="02","경기",MID(K1230,2,2)="03","충청",MID(K1230,2,2)="04","충청",MID(K1230,2,2)="05","전라",MID(K1230,2,2)="06","전라",MID(K1230,2,2)="07","경북",MID(K1230,2,2)="08","경남",MID(K1230,2,2)="09","강원",MID(K1230,2,2)="10","제주",TRUE,"국외")</f>
        <v>서울</v>
      </c>
    </row>
    <row r="1231" spans="1:12" ht="17.25" thickBot="1">
      <c r="A1231" s="3" t="s">
        <v>1339</v>
      </c>
      <c r="B1231" s="3" t="s">
        <v>93</v>
      </c>
      <c r="C1231" s="3"/>
      <c r="D1231" s="4" t="s">
        <v>254</v>
      </c>
      <c r="E1231" s="4" t="s">
        <v>12</v>
      </c>
      <c r="F1231" s="4">
        <v>2020</v>
      </c>
      <c r="G1231" s="9"/>
      <c r="H1231" s="4" t="s">
        <v>12</v>
      </c>
      <c r="I1231" s="8">
        <v>3.1</v>
      </c>
      <c r="J1231" s="3">
        <v>11355</v>
      </c>
      <c r="K1231" s="3">
        <v>50805</v>
      </c>
      <c r="L1231" s="17" t="str" cm="1">
        <f t="array" ref="L1231">_xlfn.IFS(MID(K1231,2,2)="01", "서울", MID(K1231,2,2)="02","경기",MID(K1231,2,2)="03","충청",MID(K1231,2,2)="04","충청",MID(K1231,2,2)="05","전라",MID(K1231,2,2)="06","전라",MID(K1231,2,2)="07","경북",MID(K1231,2,2)="08","경남",MID(K1231,2,2)="09","강원",MID(K1231,2,2)="10","제주",TRUE,"국외")</f>
        <v>경남</v>
      </c>
    </row>
    <row r="1232" spans="1:12" ht="17.25" thickBot="1">
      <c r="A1232" s="3" t="s">
        <v>1340</v>
      </c>
      <c r="B1232" s="3" t="s">
        <v>34</v>
      </c>
      <c r="C1232" s="3"/>
      <c r="D1232" s="4" t="s">
        <v>254</v>
      </c>
      <c r="E1232" s="4" t="s">
        <v>607</v>
      </c>
      <c r="F1232" s="4"/>
      <c r="G1232" s="9"/>
      <c r="H1232" s="4"/>
      <c r="I1232" s="9"/>
      <c r="J1232" s="3">
        <v>11367</v>
      </c>
      <c r="K1232" s="3">
        <v>50701</v>
      </c>
      <c r="L1232" s="17" t="str" cm="1">
        <f t="array" ref="L1232">_xlfn.IFS(MID(K1232,2,2)="01", "서울", MID(K1232,2,2)="02","경기",MID(K1232,2,2)="03","충청",MID(K1232,2,2)="04","충청",MID(K1232,2,2)="05","전라",MID(K1232,2,2)="06","전라",MID(K1232,2,2)="07","경북",MID(K1232,2,2)="08","경남",MID(K1232,2,2)="09","강원",MID(K1232,2,2)="10","제주",TRUE,"국외")</f>
        <v>경북</v>
      </c>
    </row>
    <row r="1233" spans="1:12" ht="17.25" thickBot="1">
      <c r="A1233" s="3" t="s">
        <v>1341</v>
      </c>
      <c r="B1233" s="3" t="s">
        <v>241</v>
      </c>
      <c r="C1233" s="3"/>
      <c r="D1233" s="4" t="s">
        <v>254</v>
      </c>
      <c r="E1233" s="4" t="s">
        <v>906</v>
      </c>
      <c r="F1233" s="4">
        <v>2015</v>
      </c>
      <c r="G1233" s="8">
        <v>-0.5</v>
      </c>
      <c r="H1233" s="4" t="s">
        <v>15</v>
      </c>
      <c r="I1233" s="8">
        <v>1.8</v>
      </c>
      <c r="J1233" s="3">
        <v>11373</v>
      </c>
      <c r="K1233" s="3">
        <v>50202</v>
      </c>
      <c r="L1233" s="17" t="str" cm="1">
        <f t="array" ref="L1233">_xlfn.IFS(MID(K1233,2,2)="01", "서울", MID(K1233,2,2)="02","경기",MID(K1233,2,2)="03","충청",MID(K1233,2,2)="04","충청",MID(K1233,2,2)="05","전라",MID(K1233,2,2)="06","전라",MID(K1233,2,2)="07","경북",MID(K1233,2,2)="08","경남",MID(K1233,2,2)="09","강원",MID(K1233,2,2)="10","제주",TRUE,"국외")</f>
        <v>경기</v>
      </c>
    </row>
    <row r="1234" spans="1:12" ht="17.25" thickBot="1">
      <c r="A1234" s="3" t="s">
        <v>1342</v>
      </c>
      <c r="B1234" s="3" t="s">
        <v>96</v>
      </c>
      <c r="C1234" s="3"/>
      <c r="D1234" s="4" t="s">
        <v>254</v>
      </c>
      <c r="E1234" s="4" t="s">
        <v>26</v>
      </c>
      <c r="F1234" s="4">
        <v>2017</v>
      </c>
      <c r="G1234" s="9"/>
      <c r="H1234" s="4" t="s">
        <v>26</v>
      </c>
      <c r="I1234" s="8">
        <v>-0.2</v>
      </c>
      <c r="J1234" s="3">
        <v>12970</v>
      </c>
      <c r="K1234" s="3">
        <v>50601</v>
      </c>
      <c r="L1234" s="17" t="str" cm="1">
        <f t="array" ref="L1234">_xlfn.IFS(MID(K1234,2,2)="01", "서울", MID(K1234,2,2)="02","경기",MID(K1234,2,2)="03","충청",MID(K1234,2,2)="04","충청",MID(K1234,2,2)="05","전라",MID(K1234,2,2)="06","전라",MID(K1234,2,2)="07","경북",MID(K1234,2,2)="08","경남",MID(K1234,2,2)="09","강원",MID(K1234,2,2)="10","제주",TRUE,"국외")</f>
        <v>전라</v>
      </c>
    </row>
    <row r="1235" spans="1:12" ht="17.25" thickBot="1">
      <c r="A1235" s="3" t="s">
        <v>1343</v>
      </c>
      <c r="B1235" s="3" t="s">
        <v>351</v>
      </c>
      <c r="C1235" s="3"/>
      <c r="D1235" s="4" t="s">
        <v>254</v>
      </c>
      <c r="E1235" s="4" t="s">
        <v>9</v>
      </c>
      <c r="F1235" s="4">
        <v>2015</v>
      </c>
      <c r="G1235" s="8">
        <v>0</v>
      </c>
      <c r="H1235" s="4" t="s">
        <v>9</v>
      </c>
      <c r="I1235" s="8">
        <v>0.2</v>
      </c>
      <c r="J1235" s="3">
        <v>11399</v>
      </c>
      <c r="K1235" s="3">
        <v>50203</v>
      </c>
      <c r="L1235" s="17" t="str" cm="1">
        <f t="array" ref="L1235">_xlfn.IFS(MID(K1235,2,2)="01", "서울", MID(K1235,2,2)="02","경기",MID(K1235,2,2)="03","충청",MID(K1235,2,2)="04","충청",MID(K1235,2,2)="05","전라",MID(K1235,2,2)="06","전라",MID(K1235,2,2)="07","경북",MID(K1235,2,2)="08","경남",MID(K1235,2,2)="09","강원",MID(K1235,2,2)="10","제주",TRUE,"국외")</f>
        <v>경기</v>
      </c>
    </row>
    <row r="1236" spans="1:12" ht="17.25" thickBot="1">
      <c r="A1236" s="3" t="s">
        <v>1344</v>
      </c>
      <c r="B1236" s="3" t="s">
        <v>50</v>
      </c>
      <c r="C1236" s="3"/>
      <c r="D1236" s="4" t="s">
        <v>254</v>
      </c>
      <c r="E1236" s="4" t="s">
        <v>23</v>
      </c>
      <c r="F1236" s="4">
        <v>2016</v>
      </c>
      <c r="G1236" s="9"/>
      <c r="H1236" s="4" t="s">
        <v>6</v>
      </c>
      <c r="I1236" s="8">
        <v>-0.2</v>
      </c>
      <c r="J1236" s="3">
        <v>11407</v>
      </c>
      <c r="K1236" s="3">
        <v>50301</v>
      </c>
      <c r="L1236" s="17" t="str" cm="1">
        <f t="array" ref="L1236">_xlfn.IFS(MID(K1236,2,2)="01", "서울", MID(K1236,2,2)="02","경기",MID(K1236,2,2)="03","충청",MID(K1236,2,2)="04","충청",MID(K1236,2,2)="05","전라",MID(K1236,2,2)="06","전라",MID(K1236,2,2)="07","경북",MID(K1236,2,2)="08","경남",MID(K1236,2,2)="09","강원",MID(K1236,2,2)="10","제주",TRUE,"국외")</f>
        <v>충청</v>
      </c>
    </row>
    <row r="1237" spans="1:12" ht="17.25" thickBot="1">
      <c r="A1237" s="3" t="s">
        <v>53</v>
      </c>
      <c r="B1237" s="3" t="s">
        <v>176</v>
      </c>
      <c r="C1237" s="3" t="s">
        <v>122</v>
      </c>
      <c r="D1237" s="4" t="s">
        <v>254</v>
      </c>
      <c r="E1237" s="4" t="s">
        <v>3</v>
      </c>
      <c r="F1237" s="4"/>
      <c r="G1237" s="9"/>
      <c r="H1237" s="4"/>
      <c r="I1237" s="9"/>
      <c r="J1237" s="3">
        <v>11412</v>
      </c>
      <c r="K1237" s="3">
        <v>50302</v>
      </c>
      <c r="L1237" s="17" t="str" cm="1">
        <f t="array" ref="L1237">_xlfn.IFS(MID(K1237,2,2)="01", "서울", MID(K1237,2,2)="02","경기",MID(K1237,2,2)="03","충청",MID(K1237,2,2)="04","충청",MID(K1237,2,2)="05","전라",MID(K1237,2,2)="06","전라",MID(K1237,2,2)="07","경북",MID(K1237,2,2)="08","경남",MID(K1237,2,2)="09","강원",MID(K1237,2,2)="10","제주",TRUE,"국외")</f>
        <v>충청</v>
      </c>
    </row>
    <row r="1238" spans="1:12" ht="17.25" thickBot="1">
      <c r="A1238" s="3" t="s">
        <v>1345</v>
      </c>
      <c r="B1238" s="3" t="s">
        <v>1346</v>
      </c>
      <c r="C1238" s="3" t="s">
        <v>1347</v>
      </c>
      <c r="D1238" s="4" t="s">
        <v>254</v>
      </c>
      <c r="E1238" s="4" t="s">
        <v>6</v>
      </c>
      <c r="F1238" s="4">
        <v>2015</v>
      </c>
      <c r="G1238" s="8">
        <v>-0.1</v>
      </c>
      <c r="H1238" s="4" t="s">
        <v>6</v>
      </c>
      <c r="I1238" s="8">
        <v>-0.1</v>
      </c>
      <c r="J1238" s="3">
        <v>11302</v>
      </c>
      <c r="K1238" s="3">
        <v>50603</v>
      </c>
      <c r="L1238" s="17" t="str" cm="1">
        <f t="array" ref="L1238">_xlfn.IFS(MID(K1238,2,2)="01", "서울", MID(K1238,2,2)="02","경기",MID(K1238,2,2)="03","충청",MID(K1238,2,2)="04","충청",MID(K1238,2,2)="05","전라",MID(K1238,2,2)="06","전라",MID(K1238,2,2)="07","경북",MID(K1238,2,2)="08","경남",MID(K1238,2,2)="09","강원",MID(K1238,2,2)="10","제주",TRUE,"국외")</f>
        <v>전라</v>
      </c>
    </row>
    <row r="1239" spans="1:12" ht="17.25" thickBot="1">
      <c r="A1239" s="3" t="s">
        <v>1348</v>
      </c>
      <c r="B1239" s="3" t="s">
        <v>107</v>
      </c>
      <c r="C1239" s="3"/>
      <c r="D1239" s="4" t="s">
        <v>254</v>
      </c>
      <c r="E1239" s="4" t="s">
        <v>28</v>
      </c>
      <c r="F1239" s="4">
        <v>2016</v>
      </c>
      <c r="G1239" s="9"/>
      <c r="H1239" s="4" t="s">
        <v>28</v>
      </c>
      <c r="I1239" s="8">
        <v>-0.2</v>
      </c>
      <c r="J1239" s="3">
        <v>11337</v>
      </c>
      <c r="K1239" s="3">
        <v>50602</v>
      </c>
      <c r="L1239" s="17" t="str" cm="1">
        <f t="array" ref="L1239">_xlfn.IFS(MID(K1239,2,2)="01", "서울", MID(K1239,2,2)="02","경기",MID(K1239,2,2)="03","충청",MID(K1239,2,2)="04","충청",MID(K1239,2,2)="05","전라",MID(K1239,2,2)="06","전라",MID(K1239,2,2)="07","경북",MID(K1239,2,2)="08","경남",MID(K1239,2,2)="09","강원",MID(K1239,2,2)="10","제주",TRUE,"국외")</f>
        <v>전라</v>
      </c>
    </row>
    <row r="1240" spans="1:12" ht="17.25" thickBot="1">
      <c r="A1240" s="3" t="s">
        <v>1349</v>
      </c>
      <c r="B1240" s="3" t="s">
        <v>22</v>
      </c>
      <c r="C1240" s="3"/>
      <c r="D1240" s="4" t="s">
        <v>254</v>
      </c>
      <c r="E1240" s="4" t="s">
        <v>20</v>
      </c>
      <c r="F1240" s="4">
        <v>2017</v>
      </c>
      <c r="G1240" s="9"/>
      <c r="H1240" s="4" t="s">
        <v>20</v>
      </c>
      <c r="I1240" s="8">
        <v>2.2999999999999998</v>
      </c>
      <c r="J1240" s="3">
        <v>13009</v>
      </c>
      <c r="K1240" s="3">
        <v>50209</v>
      </c>
      <c r="L1240" s="17" t="str" cm="1">
        <f t="array" ref="L1240">_xlfn.IFS(MID(K1240,2,2)="01", "서울", MID(K1240,2,2)="02","경기",MID(K1240,2,2)="03","충청",MID(K1240,2,2)="04","충청",MID(K1240,2,2)="05","전라",MID(K1240,2,2)="06","전라",MID(K1240,2,2)="07","경북",MID(K1240,2,2)="08","경남",MID(K1240,2,2)="09","강원",MID(K1240,2,2)="10","제주",TRUE,"국외")</f>
        <v>경기</v>
      </c>
    </row>
    <row r="1241" spans="1:12" ht="17.25" thickBot="1">
      <c r="A1241" s="3" t="s">
        <v>1350</v>
      </c>
      <c r="B1241" s="3" t="s">
        <v>107</v>
      </c>
      <c r="C1241" s="3"/>
      <c r="D1241" s="4" t="s">
        <v>254</v>
      </c>
      <c r="E1241" s="4" t="s">
        <v>12</v>
      </c>
      <c r="F1241" s="4"/>
      <c r="G1241" s="9"/>
      <c r="H1241" s="4"/>
      <c r="I1241" s="9"/>
      <c r="J1241" s="3">
        <v>13283</v>
      </c>
      <c r="K1241" s="3">
        <v>50602</v>
      </c>
      <c r="L1241" s="17" t="str" cm="1">
        <f t="array" ref="L1241">_xlfn.IFS(MID(K1241,2,2)="01", "서울", MID(K1241,2,2)="02","경기",MID(K1241,2,2)="03","충청",MID(K1241,2,2)="04","충청",MID(K1241,2,2)="05","전라",MID(K1241,2,2)="06","전라",MID(K1241,2,2)="07","경북",MID(K1241,2,2)="08","경남",MID(K1241,2,2)="09","강원",MID(K1241,2,2)="10","제주",TRUE,"국외")</f>
        <v>전라</v>
      </c>
    </row>
    <row r="1242" spans="1:12" ht="17.25" thickBot="1">
      <c r="A1242" s="3" t="s">
        <v>1351</v>
      </c>
      <c r="B1242" s="3" t="s">
        <v>1084</v>
      </c>
      <c r="C1242" s="3"/>
      <c r="D1242" s="4" t="s">
        <v>254</v>
      </c>
      <c r="E1242" s="4" t="s">
        <v>607</v>
      </c>
      <c r="F1242" s="4">
        <v>2016</v>
      </c>
      <c r="G1242" s="9"/>
      <c r="H1242" s="4" t="s">
        <v>18</v>
      </c>
      <c r="I1242" s="8">
        <v>1.4</v>
      </c>
      <c r="J1242" s="3">
        <v>12503</v>
      </c>
      <c r="K1242" s="3">
        <v>50808</v>
      </c>
      <c r="L1242" s="17" t="str" cm="1">
        <f t="array" ref="L1242">_xlfn.IFS(MID(K1242,2,2)="01", "서울", MID(K1242,2,2)="02","경기",MID(K1242,2,2)="03","충청",MID(K1242,2,2)="04","충청",MID(K1242,2,2)="05","전라",MID(K1242,2,2)="06","전라",MID(K1242,2,2)="07","경북",MID(K1242,2,2)="08","경남",MID(K1242,2,2)="09","강원",MID(K1242,2,2)="10","제주",TRUE,"국외")</f>
        <v>경남</v>
      </c>
    </row>
    <row r="1243" spans="1:12" ht="17.25" thickBot="1">
      <c r="A1243" s="3" t="s">
        <v>977</v>
      </c>
      <c r="B1243" s="3" t="s">
        <v>32</v>
      </c>
      <c r="C1243" s="3"/>
      <c r="D1243" s="4" t="s">
        <v>254</v>
      </c>
      <c r="E1243" s="4" t="s">
        <v>906</v>
      </c>
      <c r="F1243" s="4">
        <v>2016</v>
      </c>
      <c r="G1243" s="9"/>
      <c r="H1243" s="4" t="s">
        <v>18</v>
      </c>
      <c r="I1243" s="8">
        <v>0.7</v>
      </c>
      <c r="J1243" s="3">
        <v>11375</v>
      </c>
      <c r="K1243" s="3">
        <v>50111</v>
      </c>
      <c r="L1243" s="17" t="str" cm="1">
        <f t="array" ref="L1243">_xlfn.IFS(MID(K1243,2,2)="01", "서울", MID(K1243,2,2)="02","경기",MID(K1243,2,2)="03","충청",MID(K1243,2,2)="04","충청",MID(K1243,2,2)="05","전라",MID(K1243,2,2)="06","전라",MID(K1243,2,2)="07","경북",MID(K1243,2,2)="08","경남",MID(K1243,2,2)="09","강원",MID(K1243,2,2)="10","제주",TRUE,"국외")</f>
        <v>서울</v>
      </c>
    </row>
    <row r="1244" spans="1:12" ht="17.25" thickBot="1">
      <c r="A1244" s="3" t="s">
        <v>1352</v>
      </c>
      <c r="B1244" s="3" t="s">
        <v>32</v>
      </c>
      <c r="C1244" s="3" t="s">
        <v>45</v>
      </c>
      <c r="D1244" s="4" t="s">
        <v>254</v>
      </c>
      <c r="E1244" s="4" t="s">
        <v>26</v>
      </c>
      <c r="F1244" s="4"/>
      <c r="G1244" s="9"/>
      <c r="H1244" s="4"/>
      <c r="I1244" s="9"/>
      <c r="J1244" s="3">
        <v>11385</v>
      </c>
      <c r="K1244" s="3">
        <v>50111</v>
      </c>
      <c r="L1244" s="17" t="str" cm="1">
        <f t="array" ref="L1244">_xlfn.IFS(MID(K1244,2,2)="01", "서울", MID(K1244,2,2)="02","경기",MID(K1244,2,2)="03","충청",MID(K1244,2,2)="04","충청",MID(K1244,2,2)="05","전라",MID(K1244,2,2)="06","전라",MID(K1244,2,2)="07","경북",MID(K1244,2,2)="08","경남",MID(K1244,2,2)="09","강원",MID(K1244,2,2)="10","제주",TRUE,"국외")</f>
        <v>서울</v>
      </c>
    </row>
    <row r="1245" spans="1:12" ht="17.25" thickBot="1">
      <c r="A1245" s="3" t="s">
        <v>1353</v>
      </c>
      <c r="B1245" s="3" t="s">
        <v>140</v>
      </c>
      <c r="C1245" s="3" t="s">
        <v>119</v>
      </c>
      <c r="D1245" s="4" t="s">
        <v>254</v>
      </c>
      <c r="E1245" s="4" t="s">
        <v>9</v>
      </c>
      <c r="F1245" s="4">
        <v>2018</v>
      </c>
      <c r="G1245" s="9"/>
      <c r="H1245" s="4" t="s">
        <v>18</v>
      </c>
      <c r="I1245" s="8">
        <v>2.7</v>
      </c>
      <c r="J1245" s="3">
        <v>11422</v>
      </c>
      <c r="K1245" s="3">
        <v>50801</v>
      </c>
      <c r="L1245" s="17" t="str" cm="1">
        <f t="array" ref="L1245">_xlfn.IFS(MID(K1245,2,2)="01", "서울", MID(K1245,2,2)="02","경기",MID(K1245,2,2)="03","충청",MID(K1245,2,2)="04","충청",MID(K1245,2,2)="05","전라",MID(K1245,2,2)="06","전라",MID(K1245,2,2)="07","경북",MID(K1245,2,2)="08","경남",MID(K1245,2,2)="09","강원",MID(K1245,2,2)="10","제주",TRUE,"국외")</f>
        <v>경남</v>
      </c>
    </row>
    <row r="1246" spans="1:12" ht="17.25" thickBot="1">
      <c r="A1246" s="3" t="s">
        <v>1354</v>
      </c>
      <c r="B1246" s="3" t="s">
        <v>469</v>
      </c>
      <c r="C1246" s="3"/>
      <c r="D1246" s="4" t="s">
        <v>254</v>
      </c>
      <c r="E1246" s="4" t="s">
        <v>23</v>
      </c>
      <c r="F1246" s="4">
        <v>2020</v>
      </c>
      <c r="G1246" s="9"/>
      <c r="H1246" s="4" t="s">
        <v>12</v>
      </c>
      <c r="I1246" s="8">
        <v>0.9</v>
      </c>
      <c r="J1246" s="3">
        <v>11400</v>
      </c>
      <c r="K1246" s="3">
        <v>50205</v>
      </c>
      <c r="L1246" s="17" t="str" cm="1">
        <f t="array" ref="L1246">_xlfn.IFS(MID(K1246,2,2)="01", "서울", MID(K1246,2,2)="02","경기",MID(K1246,2,2)="03","충청",MID(K1246,2,2)="04","충청",MID(K1246,2,2)="05","전라",MID(K1246,2,2)="06","전라",MID(K1246,2,2)="07","경북",MID(K1246,2,2)="08","경남",MID(K1246,2,2)="09","강원",MID(K1246,2,2)="10","제주",TRUE,"국외")</f>
        <v>경기</v>
      </c>
    </row>
    <row r="1247" spans="1:12" ht="17.25" thickBot="1">
      <c r="A1247" s="3" t="s">
        <v>1355</v>
      </c>
      <c r="B1247" s="3" t="s">
        <v>25</v>
      </c>
      <c r="C1247" s="3"/>
      <c r="D1247" s="4" t="s">
        <v>254</v>
      </c>
      <c r="E1247" s="4" t="s">
        <v>3</v>
      </c>
      <c r="F1247" s="4">
        <v>2018</v>
      </c>
      <c r="G1247" s="9"/>
      <c r="H1247" s="4" t="s">
        <v>3</v>
      </c>
      <c r="I1247" s="8">
        <v>1.4</v>
      </c>
      <c r="J1247" s="3">
        <v>11414</v>
      </c>
      <c r="K1247" s="3">
        <v>50403</v>
      </c>
      <c r="L1247" s="17" t="str" cm="1">
        <f t="array" ref="L1247">_xlfn.IFS(MID(K1247,2,2)="01", "서울", MID(K1247,2,2)="02","경기",MID(K1247,2,2)="03","충청",MID(K1247,2,2)="04","충청",MID(K1247,2,2)="05","전라",MID(K1247,2,2)="06","전라",MID(K1247,2,2)="07","경북",MID(K1247,2,2)="08","경남",MID(K1247,2,2)="09","강원",MID(K1247,2,2)="10","제주",TRUE,"국외")</f>
        <v>충청</v>
      </c>
    </row>
    <row r="1248" spans="1:12" ht="17.25" thickBot="1">
      <c r="A1248" s="3" t="s">
        <v>1356</v>
      </c>
      <c r="B1248" s="3" t="s">
        <v>158</v>
      </c>
      <c r="C1248" s="3" t="s">
        <v>211</v>
      </c>
      <c r="D1248" s="4" t="s">
        <v>254</v>
      </c>
      <c r="E1248" s="4" t="s">
        <v>6</v>
      </c>
      <c r="F1248" s="4">
        <v>2016</v>
      </c>
      <c r="G1248" s="9"/>
      <c r="H1248" s="4" t="s">
        <v>6</v>
      </c>
      <c r="I1248" s="8">
        <v>1.9</v>
      </c>
      <c r="J1248" s="3">
        <v>11303</v>
      </c>
      <c r="K1248" s="3">
        <v>50501</v>
      </c>
      <c r="L1248" s="17" t="str" cm="1">
        <f t="array" ref="L1248">_xlfn.IFS(MID(K1248,2,2)="01", "서울", MID(K1248,2,2)="02","경기",MID(K1248,2,2)="03","충청",MID(K1248,2,2)="04","충청",MID(K1248,2,2)="05","전라",MID(K1248,2,2)="06","전라",MID(K1248,2,2)="07","경북",MID(K1248,2,2)="08","경남",MID(K1248,2,2)="09","강원",MID(K1248,2,2)="10","제주",TRUE,"국외")</f>
        <v>전라</v>
      </c>
    </row>
    <row r="1249" spans="1:12" ht="17.25" thickBot="1">
      <c r="A1249" s="3" t="s">
        <v>1357</v>
      </c>
      <c r="B1249" s="3" t="s">
        <v>169</v>
      </c>
      <c r="C1249" s="3"/>
      <c r="D1249" s="4" t="s">
        <v>254</v>
      </c>
      <c r="E1249" s="4" t="s">
        <v>28</v>
      </c>
      <c r="F1249" s="4">
        <v>2016</v>
      </c>
      <c r="G1249" s="9"/>
      <c r="H1249" s="4" t="s">
        <v>28</v>
      </c>
      <c r="I1249" s="8">
        <v>-0.3</v>
      </c>
      <c r="J1249" s="3">
        <v>12646</v>
      </c>
      <c r="K1249" s="3">
        <v>50606</v>
      </c>
      <c r="L1249" s="17" t="str" cm="1">
        <f t="array" ref="L1249">_xlfn.IFS(MID(K1249,2,2)="01", "서울", MID(K1249,2,2)="02","경기",MID(K1249,2,2)="03","충청",MID(K1249,2,2)="04","충청",MID(K1249,2,2)="05","전라",MID(K1249,2,2)="06","전라",MID(K1249,2,2)="07","경북",MID(K1249,2,2)="08","경남",MID(K1249,2,2)="09","강원",MID(K1249,2,2)="10","제주",TRUE,"국외")</f>
        <v>전라</v>
      </c>
    </row>
    <row r="1250" spans="1:12" ht="17.25" thickBot="1">
      <c r="A1250" s="3" t="s">
        <v>1358</v>
      </c>
      <c r="B1250" s="3" t="s">
        <v>1033</v>
      </c>
      <c r="C1250" s="3" t="s">
        <v>1359</v>
      </c>
      <c r="D1250" s="4" t="s">
        <v>254</v>
      </c>
      <c r="E1250" s="4" t="s">
        <v>20</v>
      </c>
      <c r="F1250" s="4"/>
      <c r="G1250" s="9"/>
      <c r="H1250" s="4"/>
      <c r="I1250" s="9"/>
      <c r="J1250" s="3">
        <v>11349</v>
      </c>
      <c r="K1250" s="3">
        <v>51101</v>
      </c>
      <c r="L1250" s="17" t="str" cm="1">
        <f t="array" ref="L1250">_xlfn.IFS(MID(K1250,2,2)="01", "서울", MID(K1250,2,2)="02","경기",MID(K1250,2,2)="03","충청",MID(K1250,2,2)="04","충청",MID(K1250,2,2)="05","전라",MID(K1250,2,2)="06","전라",MID(K1250,2,2)="07","경북",MID(K1250,2,2)="08","경남",MID(K1250,2,2)="09","강원",MID(K1250,2,2)="10","제주",TRUE,"국외")</f>
        <v>국외</v>
      </c>
    </row>
    <row r="1251" spans="1:12" ht="17.25" thickBot="1">
      <c r="A1251" s="3" t="s">
        <v>1360</v>
      </c>
      <c r="B1251" s="3" t="s">
        <v>101</v>
      </c>
      <c r="C1251" s="3"/>
      <c r="D1251" s="4" t="s">
        <v>254</v>
      </c>
      <c r="E1251" s="4" t="s">
        <v>12</v>
      </c>
      <c r="F1251" s="4"/>
      <c r="G1251" s="9"/>
      <c r="H1251" s="4"/>
      <c r="I1251" s="9"/>
      <c r="J1251" s="3">
        <v>11362</v>
      </c>
      <c r="K1251" s="3">
        <v>50207</v>
      </c>
      <c r="L1251" s="17" t="str" cm="1">
        <f t="array" ref="L1251">_xlfn.IFS(MID(K1251,2,2)="01", "서울", MID(K1251,2,2)="02","경기",MID(K1251,2,2)="03","충청",MID(K1251,2,2)="04","충청",MID(K1251,2,2)="05","전라",MID(K1251,2,2)="06","전라",MID(K1251,2,2)="07","경북",MID(K1251,2,2)="08","경남",MID(K1251,2,2)="09","강원",MID(K1251,2,2)="10","제주",TRUE,"국외")</f>
        <v>경기</v>
      </c>
    </row>
    <row r="1252" spans="1:12" ht="17.25" thickBot="1">
      <c r="A1252" s="3" t="s">
        <v>1361</v>
      </c>
      <c r="B1252" s="3" t="s">
        <v>176</v>
      </c>
      <c r="C1252" s="3"/>
      <c r="D1252" s="4" t="s">
        <v>254</v>
      </c>
      <c r="E1252" s="4" t="s">
        <v>607</v>
      </c>
      <c r="F1252" s="4">
        <v>2021</v>
      </c>
      <c r="G1252" s="9"/>
      <c r="H1252" s="4" t="s">
        <v>23</v>
      </c>
      <c r="I1252" s="8">
        <v>-0.1</v>
      </c>
      <c r="J1252" s="3">
        <v>12651</v>
      </c>
      <c r="K1252" s="3">
        <v>50302</v>
      </c>
      <c r="L1252" s="17" t="str" cm="1">
        <f t="array" ref="L1252">_xlfn.IFS(MID(K1252,2,2)="01", "서울", MID(K1252,2,2)="02","경기",MID(K1252,2,2)="03","충청",MID(K1252,2,2)="04","충청",MID(K1252,2,2)="05","전라",MID(K1252,2,2)="06","전라",MID(K1252,2,2)="07","경북",MID(K1252,2,2)="08","경남",MID(K1252,2,2)="09","강원",MID(K1252,2,2)="10","제주",TRUE,"국외")</f>
        <v>충청</v>
      </c>
    </row>
    <row r="1253" spans="1:12" ht="17.25" thickBot="1">
      <c r="A1253" s="3" t="s">
        <v>1362</v>
      </c>
      <c r="B1253" s="3" t="s">
        <v>332</v>
      </c>
      <c r="C1253" s="3"/>
      <c r="D1253" s="4" t="s">
        <v>254</v>
      </c>
      <c r="E1253" s="4" t="s">
        <v>906</v>
      </c>
      <c r="F1253" s="4">
        <v>2016</v>
      </c>
      <c r="G1253" s="9"/>
      <c r="H1253" s="4" t="s">
        <v>18</v>
      </c>
      <c r="I1253" s="8">
        <v>0.1</v>
      </c>
      <c r="J1253" s="3">
        <v>11378</v>
      </c>
      <c r="K1253" s="3">
        <v>50705</v>
      </c>
      <c r="L1253" s="17" t="str" cm="1">
        <f t="array" ref="L1253">_xlfn.IFS(MID(K1253,2,2)="01", "서울", MID(K1253,2,2)="02","경기",MID(K1253,2,2)="03","충청",MID(K1253,2,2)="04","충청",MID(K1253,2,2)="05","전라",MID(K1253,2,2)="06","전라",MID(K1253,2,2)="07","경북",MID(K1253,2,2)="08","경남",MID(K1253,2,2)="09","강원",MID(K1253,2,2)="10","제주",TRUE,"국외")</f>
        <v>경북</v>
      </c>
    </row>
    <row r="1254" spans="1:12" ht="17.25" thickBot="1">
      <c r="A1254" s="3" t="s">
        <v>1363</v>
      </c>
      <c r="B1254" s="3" t="s">
        <v>96</v>
      </c>
      <c r="C1254" s="3"/>
      <c r="D1254" s="4" t="s">
        <v>254</v>
      </c>
      <c r="E1254" s="4" t="s">
        <v>26</v>
      </c>
      <c r="F1254" s="4">
        <v>2017</v>
      </c>
      <c r="G1254" s="9"/>
      <c r="H1254" s="4"/>
      <c r="I1254" s="9"/>
      <c r="J1254" s="3">
        <v>12978</v>
      </c>
      <c r="K1254" s="3">
        <v>50601</v>
      </c>
      <c r="L1254" s="17" t="str" cm="1">
        <f t="array" ref="L1254">_xlfn.IFS(MID(K1254,2,2)="01", "서울", MID(K1254,2,2)="02","경기",MID(K1254,2,2)="03","충청",MID(K1254,2,2)="04","충청",MID(K1254,2,2)="05","전라",MID(K1254,2,2)="06","전라",MID(K1254,2,2)="07","경북",MID(K1254,2,2)="08","경남",MID(K1254,2,2)="09","강원",MID(K1254,2,2)="10","제주",TRUE,"국외")</f>
        <v>전라</v>
      </c>
    </row>
    <row r="1255" spans="1:12" ht="17.25" thickBot="1">
      <c r="A1255" s="3" t="s">
        <v>1364</v>
      </c>
      <c r="B1255" s="3" t="s">
        <v>5</v>
      </c>
      <c r="C1255" s="3"/>
      <c r="D1255" s="4" t="s">
        <v>254</v>
      </c>
      <c r="E1255" s="4" t="s">
        <v>23</v>
      </c>
      <c r="F1255" s="4">
        <v>2019</v>
      </c>
      <c r="G1255" s="9"/>
      <c r="H1255" s="4" t="s">
        <v>23</v>
      </c>
      <c r="I1255" s="8">
        <v>0.2</v>
      </c>
      <c r="J1255" s="3">
        <v>13242</v>
      </c>
      <c r="K1255" s="3">
        <v>50114</v>
      </c>
      <c r="L1255" s="17" t="str" cm="1">
        <f t="array" ref="L1255">_xlfn.IFS(MID(K1255,2,2)="01", "서울", MID(K1255,2,2)="02","경기",MID(K1255,2,2)="03","충청",MID(K1255,2,2)="04","충청",MID(K1255,2,2)="05","전라",MID(K1255,2,2)="06","전라",MID(K1255,2,2)="07","경북",MID(K1255,2,2)="08","경남",MID(K1255,2,2)="09","강원",MID(K1255,2,2)="10","제주",TRUE,"국외")</f>
        <v>서울</v>
      </c>
    </row>
    <row r="1256" spans="1:12" ht="17.25" thickBot="1">
      <c r="A1256" s="3" t="s">
        <v>1365</v>
      </c>
      <c r="B1256" s="3" t="s">
        <v>36</v>
      </c>
      <c r="C1256" s="3" t="s">
        <v>739</v>
      </c>
      <c r="D1256" s="4" t="s">
        <v>254</v>
      </c>
      <c r="E1256" s="4" t="s">
        <v>6</v>
      </c>
      <c r="F1256" s="4">
        <v>2018</v>
      </c>
      <c r="G1256" s="9"/>
      <c r="H1256" s="4" t="s">
        <v>6</v>
      </c>
      <c r="I1256" s="8">
        <v>0.7</v>
      </c>
      <c r="J1256" s="3">
        <v>13180</v>
      </c>
      <c r="K1256" s="3">
        <v>50402</v>
      </c>
      <c r="L1256" s="17" t="str" cm="1">
        <f t="array" ref="L1256">_xlfn.IFS(MID(K1256,2,2)="01", "서울", MID(K1256,2,2)="02","경기",MID(K1256,2,2)="03","충청",MID(K1256,2,2)="04","충청",MID(K1256,2,2)="05","전라",MID(K1256,2,2)="06","전라",MID(K1256,2,2)="07","경북",MID(K1256,2,2)="08","경남",MID(K1256,2,2)="09","강원",MID(K1256,2,2)="10","제주",TRUE,"국외")</f>
        <v>충청</v>
      </c>
    </row>
    <row r="1257" spans="1:12" ht="17.25" thickBot="1">
      <c r="A1257" s="3" t="s">
        <v>1366</v>
      </c>
      <c r="B1257" s="3" t="s">
        <v>147</v>
      </c>
      <c r="C1257" s="3"/>
      <c r="D1257" s="4" t="s">
        <v>254</v>
      </c>
      <c r="E1257" s="4" t="s">
        <v>28</v>
      </c>
      <c r="F1257" s="4">
        <v>2015</v>
      </c>
      <c r="G1257" s="8">
        <v>-0.3</v>
      </c>
      <c r="H1257" s="4" t="s">
        <v>28</v>
      </c>
      <c r="I1257" s="8">
        <v>-1.3</v>
      </c>
      <c r="J1257" s="3">
        <v>11336</v>
      </c>
      <c r="K1257" s="3">
        <v>50208</v>
      </c>
      <c r="L1257" s="17" t="str" cm="1">
        <f t="array" ref="L1257">_xlfn.IFS(MID(K1257,2,2)="01", "서울", MID(K1257,2,2)="02","경기",MID(K1257,2,2)="03","충청",MID(K1257,2,2)="04","충청",MID(K1257,2,2)="05","전라",MID(K1257,2,2)="06","전라",MID(K1257,2,2)="07","경북",MID(K1257,2,2)="08","경남",MID(K1257,2,2)="09","강원",MID(K1257,2,2)="10","제주",TRUE,"국외")</f>
        <v>경기</v>
      </c>
    </row>
    <row r="1258" spans="1:12" ht="17.25" thickBot="1">
      <c r="A1258" s="3" t="s">
        <v>1367</v>
      </c>
      <c r="B1258" s="3" t="s">
        <v>332</v>
      </c>
      <c r="C1258" s="3" t="s">
        <v>99</v>
      </c>
      <c r="D1258" s="4" t="s">
        <v>254</v>
      </c>
      <c r="E1258" s="4" t="s">
        <v>20</v>
      </c>
      <c r="F1258" s="4">
        <v>2015</v>
      </c>
      <c r="G1258" s="8">
        <v>-0.7</v>
      </c>
      <c r="H1258" s="4" t="s">
        <v>20</v>
      </c>
      <c r="I1258" s="8">
        <v>-1.6</v>
      </c>
      <c r="J1258" s="3">
        <v>11346</v>
      </c>
      <c r="K1258" s="3">
        <v>50705</v>
      </c>
      <c r="L1258" s="17" t="str" cm="1">
        <f t="array" ref="L1258">_xlfn.IFS(MID(K1258,2,2)="01", "서울", MID(K1258,2,2)="02","경기",MID(K1258,2,2)="03","충청",MID(K1258,2,2)="04","충청",MID(K1258,2,2)="05","전라",MID(K1258,2,2)="06","전라",MID(K1258,2,2)="07","경북",MID(K1258,2,2)="08","경남",MID(K1258,2,2)="09","강원",MID(K1258,2,2)="10","제주",TRUE,"국외")</f>
        <v>경북</v>
      </c>
    </row>
    <row r="1259" spans="1:12" ht="17.25" thickBot="1">
      <c r="A1259" s="3" t="s">
        <v>1368</v>
      </c>
      <c r="B1259" s="3" t="s">
        <v>52</v>
      </c>
      <c r="C1259" s="3"/>
      <c r="D1259" s="4" t="s">
        <v>254</v>
      </c>
      <c r="E1259" s="4" t="s">
        <v>12</v>
      </c>
      <c r="F1259" s="4">
        <v>2017</v>
      </c>
      <c r="G1259" s="9"/>
      <c r="H1259" s="4" t="s">
        <v>12</v>
      </c>
      <c r="I1259" s="8">
        <v>0</v>
      </c>
      <c r="J1259" s="3">
        <v>13008</v>
      </c>
      <c r="K1259" s="3">
        <v>50803</v>
      </c>
      <c r="L1259" s="17" t="str" cm="1">
        <f t="array" ref="L1259">_xlfn.IFS(MID(K1259,2,2)="01", "서울", MID(K1259,2,2)="02","경기",MID(K1259,2,2)="03","충청",MID(K1259,2,2)="04","충청",MID(K1259,2,2)="05","전라",MID(K1259,2,2)="06","전라",MID(K1259,2,2)="07","경북",MID(K1259,2,2)="08","경남",MID(K1259,2,2)="09","강원",MID(K1259,2,2)="10","제주",TRUE,"국외")</f>
        <v>경남</v>
      </c>
    </row>
    <row r="1260" spans="1:12" ht="17.25" thickBot="1">
      <c r="A1260" s="3" t="s">
        <v>1369</v>
      </c>
      <c r="B1260" s="3" t="s">
        <v>153</v>
      </c>
      <c r="C1260" s="3"/>
      <c r="D1260" s="4" t="s">
        <v>254</v>
      </c>
      <c r="E1260" s="4" t="s">
        <v>607</v>
      </c>
      <c r="F1260" s="4"/>
      <c r="G1260" s="9"/>
      <c r="H1260" s="4"/>
      <c r="I1260" s="9"/>
      <c r="J1260" s="3">
        <v>11365</v>
      </c>
      <c r="K1260" s="3">
        <v>50210</v>
      </c>
      <c r="L1260" s="17" t="str" cm="1">
        <f t="array" ref="L1260">_xlfn.IFS(MID(K1260,2,2)="01", "서울", MID(K1260,2,2)="02","경기",MID(K1260,2,2)="03","충청",MID(K1260,2,2)="04","충청",MID(K1260,2,2)="05","전라",MID(K1260,2,2)="06","전라",MID(K1260,2,2)="07","경북",MID(K1260,2,2)="08","경남",MID(K1260,2,2)="09","강원",MID(K1260,2,2)="10","제주",TRUE,"국외")</f>
        <v>경기</v>
      </c>
    </row>
    <row r="1261" spans="1:12" ht="17.25" thickBot="1">
      <c r="A1261" s="3" t="s">
        <v>1370</v>
      </c>
      <c r="B1261" s="3" t="s">
        <v>32</v>
      </c>
      <c r="C1261" s="3"/>
      <c r="D1261" s="4" t="s">
        <v>254</v>
      </c>
      <c r="E1261" s="4" t="s">
        <v>906</v>
      </c>
      <c r="F1261" s="4">
        <v>2015</v>
      </c>
      <c r="G1261" s="8">
        <v>-0.1</v>
      </c>
      <c r="H1261" s="4" t="s">
        <v>18</v>
      </c>
      <c r="I1261" s="8">
        <v>9.4</v>
      </c>
      <c r="J1261" s="3">
        <v>11376</v>
      </c>
      <c r="K1261" s="3">
        <v>50111</v>
      </c>
      <c r="L1261" s="17" t="str" cm="1">
        <f t="array" ref="L1261">_xlfn.IFS(MID(K1261,2,2)="01", "서울", MID(K1261,2,2)="02","경기",MID(K1261,2,2)="03","충청",MID(K1261,2,2)="04","충청",MID(K1261,2,2)="05","전라",MID(K1261,2,2)="06","전라",MID(K1261,2,2)="07","경북",MID(K1261,2,2)="08","경남",MID(K1261,2,2)="09","강원",MID(K1261,2,2)="10","제주",TRUE,"국외")</f>
        <v>서울</v>
      </c>
    </row>
    <row r="1262" spans="1:12" ht="17.25" thickBot="1">
      <c r="A1262" s="3" t="s">
        <v>1371</v>
      </c>
      <c r="B1262" s="3" t="s">
        <v>50</v>
      </c>
      <c r="C1262" s="3"/>
      <c r="D1262" s="4" t="s">
        <v>254</v>
      </c>
      <c r="E1262" s="4" t="s">
        <v>26</v>
      </c>
      <c r="F1262" s="4"/>
      <c r="G1262" s="9"/>
      <c r="H1262" s="4"/>
      <c r="I1262" s="9"/>
      <c r="J1262" s="3">
        <v>11384</v>
      </c>
      <c r="K1262" s="3">
        <v>50301</v>
      </c>
      <c r="L1262" s="17" t="str" cm="1">
        <f t="array" ref="L1262">_xlfn.IFS(MID(K1262,2,2)="01", "서울", MID(K1262,2,2)="02","경기",MID(K1262,2,2)="03","충청",MID(K1262,2,2)="04","충청",MID(K1262,2,2)="05","전라",MID(K1262,2,2)="06","전라",MID(K1262,2,2)="07","경북",MID(K1262,2,2)="08","경남",MID(K1262,2,2)="09","강원",MID(K1262,2,2)="10","제주",TRUE,"국외")</f>
        <v>충청</v>
      </c>
    </row>
    <row r="1263" spans="1:12" ht="17.25" thickBot="1">
      <c r="A1263" s="3" t="s">
        <v>1372</v>
      </c>
      <c r="B1263" s="3" t="s">
        <v>464</v>
      </c>
      <c r="C1263" s="3" t="s">
        <v>119</v>
      </c>
      <c r="D1263" s="4" t="s">
        <v>254</v>
      </c>
      <c r="E1263" s="4" t="s">
        <v>9</v>
      </c>
      <c r="F1263" s="4">
        <v>2015</v>
      </c>
      <c r="G1263" s="8">
        <v>0.4</v>
      </c>
      <c r="H1263" s="4" t="s">
        <v>9</v>
      </c>
      <c r="I1263" s="8">
        <v>-0.6</v>
      </c>
      <c r="J1263" s="3">
        <v>11390</v>
      </c>
      <c r="K1263" s="3">
        <v>50706</v>
      </c>
      <c r="L1263" s="17" t="str" cm="1">
        <f t="array" ref="L1263">_xlfn.IFS(MID(K1263,2,2)="01", "서울", MID(K1263,2,2)="02","경기",MID(K1263,2,2)="03","충청",MID(K1263,2,2)="04","충청",MID(K1263,2,2)="05","전라",MID(K1263,2,2)="06","전라",MID(K1263,2,2)="07","경북",MID(K1263,2,2)="08","경남",MID(K1263,2,2)="09","강원",MID(K1263,2,2)="10","제주",TRUE,"국외")</f>
        <v>경북</v>
      </c>
    </row>
    <row r="1264" spans="1:12" ht="17.25" thickBot="1">
      <c r="A1264" s="3" t="s">
        <v>1373</v>
      </c>
      <c r="B1264" s="3" t="s">
        <v>332</v>
      </c>
      <c r="C1264" s="3" t="s">
        <v>538</v>
      </c>
      <c r="D1264" s="4" t="s">
        <v>254</v>
      </c>
      <c r="E1264" s="4" t="s">
        <v>23</v>
      </c>
      <c r="F1264" s="4">
        <v>2015</v>
      </c>
      <c r="G1264" s="8">
        <v>0</v>
      </c>
      <c r="H1264" s="4" t="s">
        <v>23</v>
      </c>
      <c r="I1264" s="8">
        <v>0</v>
      </c>
      <c r="J1264" s="3">
        <v>11405</v>
      </c>
      <c r="K1264" s="3">
        <v>50705</v>
      </c>
      <c r="L1264" s="17" t="str" cm="1">
        <f t="array" ref="L1264">_xlfn.IFS(MID(K1264,2,2)="01", "서울", MID(K1264,2,2)="02","경기",MID(K1264,2,2)="03","충청",MID(K1264,2,2)="04","충청",MID(K1264,2,2)="05","전라",MID(K1264,2,2)="06","전라",MID(K1264,2,2)="07","경북",MID(K1264,2,2)="08","경남",MID(K1264,2,2)="09","강원",MID(K1264,2,2)="10","제주",TRUE,"국외")</f>
        <v>경북</v>
      </c>
    </row>
    <row r="1265" spans="1:12" ht="17.25" thickBot="1">
      <c r="A1265" s="3" t="s">
        <v>1374</v>
      </c>
      <c r="B1265" s="3" t="s">
        <v>34</v>
      </c>
      <c r="C1265" s="3"/>
      <c r="D1265" s="4" t="s">
        <v>254</v>
      </c>
      <c r="E1265" s="4" t="s">
        <v>3</v>
      </c>
      <c r="F1265" s="4"/>
      <c r="G1265" s="9"/>
      <c r="H1265" s="4"/>
      <c r="I1265" s="9"/>
      <c r="J1265" s="3">
        <v>14702</v>
      </c>
      <c r="K1265" s="3">
        <v>50701</v>
      </c>
      <c r="L1265" s="17" t="str" cm="1">
        <f t="array" ref="L1265">_xlfn.IFS(MID(K1265,2,2)="01", "서울", MID(K1265,2,2)="02","경기",MID(K1265,2,2)="03","충청",MID(K1265,2,2)="04","충청",MID(K1265,2,2)="05","전라",MID(K1265,2,2)="06","전라",MID(K1265,2,2)="07","경북",MID(K1265,2,2)="08","경남",MID(K1265,2,2)="09","강원",MID(K1265,2,2)="10","제주",TRUE,"국외")</f>
        <v>경북</v>
      </c>
    </row>
    <row r="1266" spans="1:12" ht="17.25" thickBot="1">
      <c r="A1266" s="3" t="s">
        <v>1375</v>
      </c>
      <c r="B1266" s="3" t="s">
        <v>38</v>
      </c>
      <c r="C1266" s="3" t="s">
        <v>83</v>
      </c>
      <c r="D1266" s="4" t="s">
        <v>254</v>
      </c>
      <c r="E1266" s="4" t="s">
        <v>6</v>
      </c>
      <c r="F1266" s="4">
        <v>2015</v>
      </c>
      <c r="G1266" s="8">
        <v>0.2</v>
      </c>
      <c r="H1266" s="4" t="s">
        <v>6</v>
      </c>
      <c r="I1266" s="8">
        <v>0.5</v>
      </c>
      <c r="J1266" s="3">
        <v>11297</v>
      </c>
      <c r="K1266" s="3">
        <v>50109</v>
      </c>
      <c r="L1266" s="17" t="str" cm="1">
        <f t="array" ref="L1266">_xlfn.IFS(MID(K1266,2,2)="01", "서울", MID(K1266,2,2)="02","경기",MID(K1266,2,2)="03","충청",MID(K1266,2,2)="04","충청",MID(K1266,2,2)="05","전라",MID(K1266,2,2)="06","전라",MID(K1266,2,2)="07","경북",MID(K1266,2,2)="08","경남",MID(K1266,2,2)="09","강원",MID(K1266,2,2)="10","제주",TRUE,"국외")</f>
        <v>서울</v>
      </c>
    </row>
    <row r="1267" spans="1:12" ht="17.25" thickBot="1">
      <c r="A1267" s="3" t="s">
        <v>1376</v>
      </c>
      <c r="B1267" s="3" t="s">
        <v>332</v>
      </c>
      <c r="C1267" s="3" t="s">
        <v>99</v>
      </c>
      <c r="D1267" s="4" t="s">
        <v>254</v>
      </c>
      <c r="E1267" s="4" t="s">
        <v>28</v>
      </c>
      <c r="F1267" s="4">
        <v>2015</v>
      </c>
      <c r="G1267" s="8">
        <v>2.4</v>
      </c>
      <c r="H1267" s="4" t="s">
        <v>28</v>
      </c>
      <c r="I1267" s="8">
        <v>2.7</v>
      </c>
      <c r="J1267" s="3">
        <v>11322</v>
      </c>
      <c r="K1267" s="3">
        <v>50705</v>
      </c>
      <c r="L1267" s="17" t="str" cm="1">
        <f t="array" ref="L1267">_xlfn.IFS(MID(K1267,2,2)="01", "서울", MID(K1267,2,2)="02","경기",MID(K1267,2,2)="03","충청",MID(K1267,2,2)="04","충청",MID(K1267,2,2)="05","전라",MID(K1267,2,2)="06","전라",MID(K1267,2,2)="07","경북",MID(K1267,2,2)="08","경남",MID(K1267,2,2)="09","강원",MID(K1267,2,2)="10","제주",TRUE,"국외")</f>
        <v>경북</v>
      </c>
    </row>
    <row r="1268" spans="1:12" ht="17.25" thickBot="1">
      <c r="A1268" s="3" t="s">
        <v>1377</v>
      </c>
      <c r="B1268" s="3" t="s">
        <v>22</v>
      </c>
      <c r="C1268" s="3"/>
      <c r="D1268" s="4" t="s">
        <v>254</v>
      </c>
      <c r="E1268" s="4" t="s">
        <v>20</v>
      </c>
      <c r="F1268" s="4"/>
      <c r="G1268" s="9"/>
      <c r="H1268" s="4"/>
      <c r="I1268" s="9"/>
      <c r="J1268" s="3">
        <v>11350</v>
      </c>
      <c r="K1268" s="3">
        <v>50209</v>
      </c>
      <c r="L1268" s="17" t="str" cm="1">
        <f t="array" ref="L1268">_xlfn.IFS(MID(K1268,2,2)="01", "서울", MID(K1268,2,2)="02","경기",MID(K1268,2,2)="03","충청",MID(K1268,2,2)="04","충청",MID(K1268,2,2)="05","전라",MID(K1268,2,2)="06","전라",MID(K1268,2,2)="07","경북",MID(K1268,2,2)="08","경남",MID(K1268,2,2)="09","강원",MID(K1268,2,2)="10","제주",TRUE,"국외")</f>
        <v>경기</v>
      </c>
    </row>
    <row r="1269" spans="1:12" ht="17.25" thickBot="1">
      <c r="A1269" s="3" t="s">
        <v>1378</v>
      </c>
      <c r="B1269" s="3" t="s">
        <v>158</v>
      </c>
      <c r="C1269" s="3"/>
      <c r="D1269" s="4" t="s">
        <v>254</v>
      </c>
      <c r="E1269" s="4" t="s">
        <v>12</v>
      </c>
      <c r="F1269" s="4">
        <v>2018</v>
      </c>
      <c r="G1269" s="9"/>
      <c r="H1269" s="4" t="s">
        <v>12</v>
      </c>
      <c r="I1269" s="8">
        <v>0</v>
      </c>
      <c r="J1269" s="3">
        <v>11360</v>
      </c>
      <c r="K1269" s="3">
        <v>50501</v>
      </c>
      <c r="L1269" s="17" t="str" cm="1">
        <f t="array" ref="L1269">_xlfn.IFS(MID(K1269,2,2)="01", "서울", MID(K1269,2,2)="02","경기",MID(K1269,2,2)="03","충청",MID(K1269,2,2)="04","충청",MID(K1269,2,2)="05","전라",MID(K1269,2,2)="06","전라",MID(K1269,2,2)="07","경북",MID(K1269,2,2)="08","경남",MID(K1269,2,2)="09","강원",MID(K1269,2,2)="10","제주",TRUE,"국외")</f>
        <v>전라</v>
      </c>
    </row>
    <row r="1270" spans="1:12" ht="17.25" thickBot="1">
      <c r="A1270" s="3" t="s">
        <v>1379</v>
      </c>
      <c r="B1270" s="3" t="s">
        <v>8</v>
      </c>
      <c r="C1270" s="3"/>
      <c r="D1270" s="4" t="s">
        <v>254</v>
      </c>
      <c r="E1270" s="4" t="s">
        <v>607</v>
      </c>
      <c r="F1270" s="4"/>
      <c r="G1270" s="9"/>
      <c r="H1270" s="4"/>
      <c r="I1270" s="9"/>
      <c r="J1270" s="3">
        <v>13272</v>
      </c>
      <c r="K1270" s="3">
        <v>50116</v>
      </c>
      <c r="L1270" s="17" t="str" cm="1">
        <f t="array" ref="L1270">_xlfn.IFS(MID(K1270,2,2)="01", "서울", MID(K1270,2,2)="02","경기",MID(K1270,2,2)="03","충청",MID(K1270,2,2)="04","충청",MID(K1270,2,2)="05","전라",MID(K1270,2,2)="06","전라",MID(K1270,2,2)="07","경북",MID(K1270,2,2)="08","경남",MID(K1270,2,2)="09","강원",MID(K1270,2,2)="10","제주",TRUE,"국외")</f>
        <v>서울</v>
      </c>
    </row>
    <row r="1271" spans="1:12" ht="17.25" thickBot="1">
      <c r="A1271" s="3" t="s">
        <v>1380</v>
      </c>
      <c r="B1271" s="3" t="s">
        <v>25</v>
      </c>
      <c r="C1271" s="3"/>
      <c r="D1271" s="4" t="s">
        <v>254</v>
      </c>
      <c r="E1271" s="4" t="s">
        <v>906</v>
      </c>
      <c r="F1271" s="4">
        <v>2016</v>
      </c>
      <c r="G1271" s="9"/>
      <c r="H1271" s="4" t="s">
        <v>18</v>
      </c>
      <c r="I1271" s="8">
        <v>1.6</v>
      </c>
      <c r="J1271" s="3">
        <v>11377</v>
      </c>
      <c r="K1271" s="3">
        <v>50403</v>
      </c>
      <c r="L1271" s="17" t="str" cm="1">
        <f t="array" ref="L1271">_xlfn.IFS(MID(K1271,2,2)="01", "서울", MID(K1271,2,2)="02","경기",MID(K1271,2,2)="03","충청",MID(K1271,2,2)="04","충청",MID(K1271,2,2)="05","전라",MID(K1271,2,2)="06","전라",MID(K1271,2,2)="07","경북",MID(K1271,2,2)="08","경남",MID(K1271,2,2)="09","강원",MID(K1271,2,2)="10","제주",TRUE,"국외")</f>
        <v>충청</v>
      </c>
    </row>
    <row r="1272" spans="1:12" ht="17.25" thickBot="1">
      <c r="A1272" s="3" t="s">
        <v>1083</v>
      </c>
      <c r="B1272" s="3" t="s">
        <v>8</v>
      </c>
      <c r="C1272" s="3" t="s">
        <v>83</v>
      </c>
      <c r="D1272" s="4" t="s">
        <v>254</v>
      </c>
      <c r="E1272" s="4" t="s">
        <v>26</v>
      </c>
      <c r="F1272" s="4">
        <v>2016</v>
      </c>
      <c r="G1272" s="9"/>
      <c r="H1272" s="4" t="s">
        <v>26</v>
      </c>
      <c r="I1272" s="8">
        <v>0</v>
      </c>
      <c r="J1272" s="3">
        <v>11383</v>
      </c>
      <c r="K1272" s="3">
        <v>50116</v>
      </c>
      <c r="L1272" s="17" t="str" cm="1">
        <f t="array" ref="L1272">_xlfn.IFS(MID(K1272,2,2)="01", "서울", MID(K1272,2,2)="02","경기",MID(K1272,2,2)="03","충청",MID(K1272,2,2)="04","충청",MID(K1272,2,2)="05","전라",MID(K1272,2,2)="06","전라",MID(K1272,2,2)="07","경북",MID(K1272,2,2)="08","경남",MID(K1272,2,2)="09","강원",MID(K1272,2,2)="10","제주",TRUE,"국외")</f>
        <v>서울</v>
      </c>
    </row>
    <row r="1273" spans="1:12" ht="17.25" thickBot="1">
      <c r="A1273" s="3" t="s">
        <v>1381</v>
      </c>
      <c r="B1273" s="3" t="s">
        <v>78</v>
      </c>
      <c r="C1273" s="3"/>
      <c r="D1273" s="4" t="s">
        <v>254</v>
      </c>
      <c r="E1273" s="4" t="s">
        <v>9</v>
      </c>
      <c r="F1273" s="4"/>
      <c r="G1273" s="9"/>
      <c r="H1273" s="4"/>
      <c r="I1273" s="9"/>
      <c r="J1273" s="3">
        <v>11391</v>
      </c>
      <c r="K1273" s="3">
        <v>50401</v>
      </c>
      <c r="L1273" s="17" t="str" cm="1">
        <f t="array" ref="L1273">_xlfn.IFS(MID(K1273,2,2)="01", "서울", MID(K1273,2,2)="02","경기",MID(K1273,2,2)="03","충청",MID(K1273,2,2)="04","충청",MID(K1273,2,2)="05","전라",MID(K1273,2,2)="06","전라",MID(K1273,2,2)="07","경북",MID(K1273,2,2)="08","경남",MID(K1273,2,2)="09","강원",MID(K1273,2,2)="10","제주",TRUE,"국외")</f>
        <v>충청</v>
      </c>
    </row>
    <row r="1274" spans="1:12" ht="17.25" thickBot="1">
      <c r="A1274" s="3" t="s">
        <v>1382</v>
      </c>
      <c r="B1274" s="3" t="s">
        <v>70</v>
      </c>
      <c r="C1274" s="3" t="s">
        <v>739</v>
      </c>
      <c r="D1274" s="4" t="s">
        <v>254</v>
      </c>
      <c r="E1274" s="4" t="s">
        <v>23</v>
      </c>
      <c r="F1274" s="4">
        <v>2016</v>
      </c>
      <c r="G1274" s="9"/>
      <c r="H1274" s="4" t="s">
        <v>23</v>
      </c>
      <c r="I1274" s="8">
        <v>-1</v>
      </c>
      <c r="J1274" s="3">
        <v>12529</v>
      </c>
      <c r="K1274" s="3">
        <v>50103</v>
      </c>
      <c r="L1274" s="17" t="str" cm="1">
        <f t="array" ref="L1274">_xlfn.IFS(MID(K1274,2,2)="01", "서울", MID(K1274,2,2)="02","경기",MID(K1274,2,2)="03","충청",MID(K1274,2,2)="04","충청",MID(K1274,2,2)="05","전라",MID(K1274,2,2)="06","전라",MID(K1274,2,2)="07","경북",MID(K1274,2,2)="08","경남",MID(K1274,2,2)="09","강원",MID(K1274,2,2)="10","제주",TRUE,"국외")</f>
        <v>서울</v>
      </c>
    </row>
    <row r="1275" spans="1:12" ht="17.25" thickBot="1">
      <c r="A1275" s="3" t="s">
        <v>1383</v>
      </c>
      <c r="B1275" s="3" t="s">
        <v>101</v>
      </c>
      <c r="C1275" s="3"/>
      <c r="D1275" s="4" t="s">
        <v>254</v>
      </c>
      <c r="E1275" s="4" t="s">
        <v>6</v>
      </c>
      <c r="F1275" s="4">
        <v>2015</v>
      </c>
      <c r="G1275" s="8">
        <v>0.3</v>
      </c>
      <c r="H1275" s="4" t="s">
        <v>26</v>
      </c>
      <c r="I1275" s="8">
        <v>0.5</v>
      </c>
      <c r="J1275" s="3">
        <v>11300</v>
      </c>
      <c r="K1275" s="3">
        <v>50207</v>
      </c>
      <c r="L1275" s="17" t="str" cm="1">
        <f t="array" ref="L1275">_xlfn.IFS(MID(K1275,2,2)="01", "서울", MID(K1275,2,2)="02","경기",MID(K1275,2,2)="03","충청",MID(K1275,2,2)="04","충청",MID(K1275,2,2)="05","전라",MID(K1275,2,2)="06","전라",MID(K1275,2,2)="07","경북",MID(K1275,2,2)="08","경남",MID(K1275,2,2)="09","강원",MID(K1275,2,2)="10","제주",TRUE,"국외")</f>
        <v>경기</v>
      </c>
    </row>
    <row r="1276" spans="1:12" ht="17.25" thickBot="1">
      <c r="A1276" s="3" t="s">
        <v>1384</v>
      </c>
      <c r="B1276" s="3" t="s">
        <v>112</v>
      </c>
      <c r="C1276" s="3"/>
      <c r="D1276" s="4" t="s">
        <v>254</v>
      </c>
      <c r="E1276" s="4" t="s">
        <v>20</v>
      </c>
      <c r="F1276" s="4">
        <v>2019</v>
      </c>
      <c r="G1276" s="9"/>
      <c r="H1276" s="4" t="s">
        <v>20</v>
      </c>
      <c r="I1276" s="8">
        <v>-0.1</v>
      </c>
      <c r="J1276" s="3">
        <v>13245</v>
      </c>
      <c r="K1276" s="3">
        <v>50113</v>
      </c>
      <c r="L1276" s="17" t="str" cm="1">
        <f t="array" ref="L1276">_xlfn.IFS(MID(K1276,2,2)="01", "서울", MID(K1276,2,2)="02","경기",MID(K1276,2,2)="03","충청",MID(K1276,2,2)="04","충청",MID(K1276,2,2)="05","전라",MID(K1276,2,2)="06","전라",MID(K1276,2,2)="07","경북",MID(K1276,2,2)="08","경남",MID(K1276,2,2)="09","강원",MID(K1276,2,2)="10","제주",TRUE,"국외")</f>
        <v>서울</v>
      </c>
    </row>
    <row r="1277" spans="1:12" ht="17.25" thickBot="1">
      <c r="A1277" s="3" t="s">
        <v>1385</v>
      </c>
      <c r="B1277" s="3" t="s">
        <v>145</v>
      </c>
      <c r="C1277" s="3"/>
      <c r="D1277" s="4" t="s">
        <v>254</v>
      </c>
      <c r="E1277" s="4" t="s">
        <v>12</v>
      </c>
      <c r="F1277" s="4"/>
      <c r="G1277" s="9"/>
      <c r="H1277" s="4"/>
      <c r="I1277" s="9"/>
      <c r="J1277" s="3">
        <v>11356</v>
      </c>
      <c r="K1277" s="3">
        <v>50106</v>
      </c>
      <c r="L1277" s="17" t="str" cm="1">
        <f t="array" ref="L1277">_xlfn.IFS(MID(K1277,2,2)="01", "서울", MID(K1277,2,2)="02","경기",MID(K1277,2,2)="03","충청",MID(K1277,2,2)="04","충청",MID(K1277,2,2)="05","전라",MID(K1277,2,2)="06","전라",MID(K1277,2,2)="07","경북",MID(K1277,2,2)="08","경남",MID(K1277,2,2)="09","강원",MID(K1277,2,2)="10","제주",TRUE,"국외")</f>
        <v>서울</v>
      </c>
    </row>
    <row r="1278" spans="1:12" ht="17.25" thickBot="1">
      <c r="A1278" s="3" t="s">
        <v>1386</v>
      </c>
      <c r="B1278" s="3" t="s">
        <v>36</v>
      </c>
      <c r="C1278" s="3"/>
      <c r="D1278" s="4" t="s">
        <v>254</v>
      </c>
      <c r="E1278" s="4" t="s">
        <v>607</v>
      </c>
      <c r="F1278" s="4"/>
      <c r="G1278" s="9"/>
      <c r="H1278" s="4"/>
      <c r="I1278" s="9"/>
      <c r="J1278" s="3">
        <v>13273</v>
      </c>
      <c r="K1278" s="3">
        <v>50402</v>
      </c>
      <c r="L1278" s="17" t="str" cm="1">
        <f t="array" ref="L1278">_xlfn.IFS(MID(K1278,2,2)="01", "서울", MID(K1278,2,2)="02","경기",MID(K1278,2,2)="03","충청",MID(K1278,2,2)="04","충청",MID(K1278,2,2)="05","전라",MID(K1278,2,2)="06","전라",MID(K1278,2,2)="07","경북",MID(K1278,2,2)="08","경남",MID(K1278,2,2)="09","강원",MID(K1278,2,2)="10","제주",TRUE,"국외")</f>
        <v>충청</v>
      </c>
    </row>
    <row r="1279" spans="1:12" ht="17.25" thickBot="1">
      <c r="A1279" s="3" t="s">
        <v>1387</v>
      </c>
      <c r="B1279" s="3" t="s">
        <v>82</v>
      </c>
      <c r="C1279" s="3"/>
      <c r="D1279" s="4" t="s">
        <v>254</v>
      </c>
      <c r="E1279" s="4" t="s">
        <v>906</v>
      </c>
      <c r="F1279" s="4">
        <v>2015</v>
      </c>
      <c r="G1279" s="8">
        <v>0</v>
      </c>
      <c r="H1279" s="4" t="s">
        <v>18</v>
      </c>
      <c r="I1279" s="8">
        <v>0.2</v>
      </c>
      <c r="J1279" s="3">
        <v>11531</v>
      </c>
      <c r="K1279" s="3">
        <v>50605</v>
      </c>
      <c r="L1279" s="17" t="str" cm="1">
        <f t="array" ref="L1279">_xlfn.IFS(MID(K1279,2,2)="01", "서울", MID(K1279,2,2)="02","경기",MID(K1279,2,2)="03","충청",MID(K1279,2,2)="04","충청",MID(K1279,2,2)="05","전라",MID(K1279,2,2)="06","전라",MID(K1279,2,2)="07","경북",MID(K1279,2,2)="08","경남",MID(K1279,2,2)="09","강원",MID(K1279,2,2)="10","제주",TRUE,"국외")</f>
        <v>전라</v>
      </c>
    </row>
    <row r="1280" spans="1:12" ht="17.25" thickBot="1">
      <c r="A1280" s="3" t="s">
        <v>1388</v>
      </c>
      <c r="B1280" s="3" t="s">
        <v>335</v>
      </c>
      <c r="C1280" s="3" t="s">
        <v>549</v>
      </c>
      <c r="D1280" s="4" t="s">
        <v>254</v>
      </c>
      <c r="E1280" s="4" t="s">
        <v>9</v>
      </c>
      <c r="F1280" s="4">
        <v>2015</v>
      </c>
      <c r="G1280" s="8">
        <v>-0.1</v>
      </c>
      <c r="H1280" s="4" t="s">
        <v>9</v>
      </c>
      <c r="I1280" s="8">
        <v>-0.8</v>
      </c>
      <c r="J1280" s="3">
        <v>11389</v>
      </c>
      <c r="K1280" s="3">
        <v>50804</v>
      </c>
      <c r="L1280" s="17" t="str" cm="1">
        <f t="array" ref="L1280">_xlfn.IFS(MID(K1280,2,2)="01", "서울", MID(K1280,2,2)="02","경기",MID(K1280,2,2)="03","충청",MID(K1280,2,2)="04","충청",MID(K1280,2,2)="05","전라",MID(K1280,2,2)="06","전라",MID(K1280,2,2)="07","경북",MID(K1280,2,2)="08","경남",MID(K1280,2,2)="09","강원",MID(K1280,2,2)="10","제주",TRUE,"국외")</f>
        <v>경남</v>
      </c>
    </row>
    <row r="1281" spans="1:12" ht="17.25" thickBot="1">
      <c r="A1281" s="3" t="s">
        <v>1389</v>
      </c>
      <c r="B1281" s="3" t="s">
        <v>1084</v>
      </c>
      <c r="C1281" s="3"/>
      <c r="D1281" s="4" t="s">
        <v>254</v>
      </c>
      <c r="E1281" s="4" t="s">
        <v>23</v>
      </c>
      <c r="F1281" s="4">
        <v>2020</v>
      </c>
      <c r="G1281" s="9"/>
      <c r="H1281" s="4" t="s">
        <v>607</v>
      </c>
      <c r="I1281" s="8">
        <v>-0.1</v>
      </c>
      <c r="J1281" s="3">
        <v>13057</v>
      </c>
      <c r="K1281" s="3">
        <v>50808</v>
      </c>
      <c r="L1281" s="17" t="str" cm="1">
        <f t="array" ref="L1281">_xlfn.IFS(MID(K1281,2,2)="01", "서울", MID(K1281,2,2)="02","경기",MID(K1281,2,2)="03","충청",MID(K1281,2,2)="04","충청",MID(K1281,2,2)="05","전라",MID(K1281,2,2)="06","전라",MID(K1281,2,2)="07","경북",MID(K1281,2,2)="08","경남",MID(K1281,2,2)="09","강원",MID(K1281,2,2)="10","제주",TRUE,"국외")</f>
        <v>경남</v>
      </c>
    </row>
    <row r="1282" spans="1:12" ht="17.25" thickBot="1">
      <c r="A1282" s="3" t="s">
        <v>1390</v>
      </c>
      <c r="B1282" s="3" t="s">
        <v>176</v>
      </c>
      <c r="C1282" s="3" t="s">
        <v>119</v>
      </c>
      <c r="D1282" s="4" t="s">
        <v>254</v>
      </c>
      <c r="E1282" s="4" t="s">
        <v>3</v>
      </c>
      <c r="F1282" s="4">
        <v>2015</v>
      </c>
      <c r="G1282" s="8">
        <v>0.1</v>
      </c>
      <c r="H1282" s="4" t="s">
        <v>3</v>
      </c>
      <c r="I1282" s="8">
        <v>0.1</v>
      </c>
      <c r="J1282" s="3">
        <v>11415</v>
      </c>
      <c r="K1282" s="3">
        <v>50302</v>
      </c>
      <c r="L1282" s="17" t="str" cm="1">
        <f t="array" ref="L1282">_xlfn.IFS(MID(K1282,2,2)="01", "서울", MID(K1282,2,2)="02","경기",MID(K1282,2,2)="03","충청",MID(K1282,2,2)="04","충청",MID(K1282,2,2)="05","전라",MID(K1282,2,2)="06","전라",MID(K1282,2,2)="07","경북",MID(K1282,2,2)="08","경남",MID(K1282,2,2)="09","강원",MID(K1282,2,2)="10","제주",TRUE,"국외")</f>
        <v>충청</v>
      </c>
    </row>
    <row r="1283" spans="1:12" ht="17.25" thickBot="1">
      <c r="A1283" s="3" t="s">
        <v>1108</v>
      </c>
      <c r="B1283" s="3" t="s">
        <v>81</v>
      </c>
      <c r="C1283" s="3"/>
      <c r="D1283" s="4" t="s">
        <v>254</v>
      </c>
      <c r="E1283" s="4" t="s">
        <v>6</v>
      </c>
      <c r="F1283" s="4">
        <v>2022</v>
      </c>
      <c r="G1283" s="9"/>
      <c r="H1283" s="4" t="s">
        <v>6</v>
      </c>
      <c r="I1283" s="8">
        <v>0</v>
      </c>
      <c r="J1283" s="3">
        <v>14686</v>
      </c>
      <c r="K1283" s="3">
        <v>50105</v>
      </c>
      <c r="L1283" s="17" t="str" cm="1">
        <f t="array" ref="L1283">_xlfn.IFS(MID(K1283,2,2)="01", "서울", MID(K1283,2,2)="02","경기",MID(K1283,2,2)="03","충청",MID(K1283,2,2)="04","충청",MID(K1283,2,2)="05","전라",MID(K1283,2,2)="06","전라",MID(K1283,2,2)="07","경북",MID(K1283,2,2)="08","경남",MID(K1283,2,2)="09","강원",MID(K1283,2,2)="10","제주",TRUE,"국외")</f>
        <v>서울</v>
      </c>
    </row>
    <row r="1284" spans="1:12" ht="17.25" thickBot="1">
      <c r="A1284" s="3" t="s">
        <v>1391</v>
      </c>
      <c r="B1284" s="3" t="s">
        <v>66</v>
      </c>
      <c r="C1284" s="3" t="s">
        <v>221</v>
      </c>
      <c r="D1284" s="4" t="s">
        <v>254</v>
      </c>
      <c r="E1284" s="4" t="s">
        <v>12</v>
      </c>
      <c r="F1284" s="4"/>
      <c r="G1284" s="9"/>
      <c r="H1284" s="4"/>
      <c r="I1284" s="9"/>
      <c r="J1284" s="3">
        <v>12563</v>
      </c>
      <c r="K1284" s="3">
        <v>50110</v>
      </c>
      <c r="L1284" s="17" t="str" cm="1">
        <f t="array" ref="L1284">_xlfn.IFS(MID(K1284,2,2)="01", "서울", MID(K1284,2,2)="02","경기",MID(K1284,2,2)="03","충청",MID(K1284,2,2)="04","충청",MID(K1284,2,2)="05","전라",MID(K1284,2,2)="06","전라",MID(K1284,2,2)="07","경북",MID(K1284,2,2)="08","경남",MID(K1284,2,2)="09","강원",MID(K1284,2,2)="10","제주",TRUE,"국외")</f>
        <v>서울</v>
      </c>
    </row>
    <row r="1285" spans="1:12" ht="17.25" thickBot="1">
      <c r="A1285" s="3" t="s">
        <v>1392</v>
      </c>
      <c r="B1285" s="3" t="s">
        <v>68</v>
      </c>
      <c r="C1285" s="3"/>
      <c r="D1285" s="4" t="s">
        <v>254</v>
      </c>
      <c r="E1285" s="4" t="s">
        <v>607</v>
      </c>
      <c r="F1285" s="4">
        <v>2018</v>
      </c>
      <c r="G1285" s="9"/>
      <c r="H1285" s="4" t="s">
        <v>607</v>
      </c>
      <c r="I1285" s="8">
        <v>0</v>
      </c>
      <c r="J1285" s="3">
        <v>13190</v>
      </c>
      <c r="K1285" s="3">
        <v>50101</v>
      </c>
      <c r="L1285" s="17" t="str" cm="1">
        <f t="array" ref="L1285">_xlfn.IFS(MID(K1285,2,2)="01", "서울", MID(K1285,2,2)="02","경기",MID(K1285,2,2)="03","충청",MID(K1285,2,2)="04","충청",MID(K1285,2,2)="05","전라",MID(K1285,2,2)="06","전라",MID(K1285,2,2)="07","경북",MID(K1285,2,2)="08","경남",MID(K1285,2,2)="09","강원",MID(K1285,2,2)="10","제주",TRUE,"국외")</f>
        <v>서울</v>
      </c>
    </row>
    <row r="1286" spans="1:12" ht="17.25" thickBot="1">
      <c r="A1286" s="3" t="s">
        <v>1393</v>
      </c>
      <c r="B1286" s="3" t="s">
        <v>101</v>
      </c>
      <c r="C1286" s="3" t="s">
        <v>208</v>
      </c>
      <c r="D1286" s="4" t="s">
        <v>254</v>
      </c>
      <c r="E1286" s="4" t="s">
        <v>26</v>
      </c>
      <c r="F1286" s="4">
        <v>2016</v>
      </c>
      <c r="G1286" s="9"/>
      <c r="H1286" s="4" t="s">
        <v>26</v>
      </c>
      <c r="I1286" s="8">
        <v>0</v>
      </c>
      <c r="J1286" s="3">
        <v>11386</v>
      </c>
      <c r="K1286" s="3">
        <v>50207</v>
      </c>
      <c r="L1286" s="17" t="str" cm="1">
        <f t="array" ref="L1286">_xlfn.IFS(MID(K1286,2,2)="01", "서울", MID(K1286,2,2)="02","경기",MID(K1286,2,2)="03","충청",MID(K1286,2,2)="04","충청",MID(K1286,2,2)="05","전라",MID(K1286,2,2)="06","전라",MID(K1286,2,2)="07","경북",MID(K1286,2,2)="08","경남",MID(K1286,2,2)="09","강원",MID(K1286,2,2)="10","제주",TRUE,"국외")</f>
        <v>경기</v>
      </c>
    </row>
    <row r="1287" spans="1:12" ht="17.25" thickBot="1">
      <c r="A1287" s="3" t="s">
        <v>1394</v>
      </c>
      <c r="B1287" s="3" t="s">
        <v>66</v>
      </c>
      <c r="C1287" s="3" t="s">
        <v>133</v>
      </c>
      <c r="D1287" s="4" t="s">
        <v>254</v>
      </c>
      <c r="E1287" s="4" t="s">
        <v>23</v>
      </c>
      <c r="F1287" s="4">
        <v>2015</v>
      </c>
      <c r="G1287" s="8">
        <v>-0.2</v>
      </c>
      <c r="H1287" s="4" t="s">
        <v>23</v>
      </c>
      <c r="I1287" s="8">
        <v>-0.2</v>
      </c>
      <c r="J1287" s="3">
        <v>11423</v>
      </c>
      <c r="K1287" s="3">
        <v>50110</v>
      </c>
      <c r="L1287" s="17" t="str" cm="1">
        <f t="array" ref="L1287">_xlfn.IFS(MID(K1287,2,2)="01", "서울", MID(K1287,2,2)="02","경기",MID(K1287,2,2)="03","충청",MID(K1287,2,2)="04","충청",MID(K1287,2,2)="05","전라",MID(K1287,2,2)="06","전라",MID(K1287,2,2)="07","경북",MID(K1287,2,2)="08","경남",MID(K1287,2,2)="09","강원",MID(K1287,2,2)="10","제주",TRUE,"국외")</f>
        <v>서울</v>
      </c>
    </row>
    <row r="1288" spans="1:12" ht="17.25" thickBot="1">
      <c r="A1288" s="3" t="s">
        <v>1395</v>
      </c>
      <c r="B1288" s="3" t="s">
        <v>8</v>
      </c>
      <c r="C1288" s="3" t="s">
        <v>83</v>
      </c>
      <c r="D1288" s="4" t="s">
        <v>254</v>
      </c>
      <c r="E1288" s="4" t="s">
        <v>28</v>
      </c>
      <c r="F1288" s="4"/>
      <c r="G1288" s="9"/>
      <c r="H1288" s="4"/>
      <c r="I1288" s="9"/>
      <c r="J1288" s="3">
        <v>15853</v>
      </c>
      <c r="K1288" s="3">
        <v>50116</v>
      </c>
      <c r="L1288" s="17" t="str" cm="1">
        <f t="array" ref="L1288">_xlfn.IFS(MID(K1288,2,2)="01", "서울", MID(K1288,2,2)="02","경기",MID(K1288,2,2)="03","충청",MID(K1288,2,2)="04","충청",MID(K1288,2,2)="05","전라",MID(K1288,2,2)="06","전라",MID(K1288,2,2)="07","경북",MID(K1288,2,2)="08","경남",MID(K1288,2,2)="09","강원",MID(K1288,2,2)="10","제주",TRUE,"국외")</f>
        <v>서울</v>
      </c>
    </row>
    <row r="1289" spans="1:12" ht="17.25" thickBot="1">
      <c r="A1289" s="3" t="s">
        <v>1396</v>
      </c>
      <c r="B1289" s="3" t="s">
        <v>66</v>
      </c>
      <c r="C1289" s="3" t="s">
        <v>208</v>
      </c>
      <c r="D1289" s="4" t="s">
        <v>254</v>
      </c>
      <c r="E1289" s="4" t="s">
        <v>28</v>
      </c>
      <c r="F1289" s="4"/>
      <c r="G1289" s="9"/>
      <c r="H1289" s="4"/>
      <c r="I1289" s="9"/>
      <c r="J1289" s="3">
        <v>13235</v>
      </c>
      <c r="K1289" s="3">
        <v>50110</v>
      </c>
      <c r="L1289" s="17" t="str" cm="1">
        <f t="array" ref="L1289">_xlfn.IFS(MID(K1289,2,2)="01", "서울", MID(K1289,2,2)="02","경기",MID(K1289,2,2)="03","충청",MID(K1289,2,2)="04","충청",MID(K1289,2,2)="05","전라",MID(K1289,2,2)="06","전라",MID(K1289,2,2)="07","경북",MID(K1289,2,2)="08","경남",MID(K1289,2,2)="09","강원",MID(K1289,2,2)="10","제주",TRUE,"국외")</f>
        <v>서울</v>
      </c>
    </row>
    <row r="1290" spans="1:12" ht="17.25" thickBot="1">
      <c r="A1290" s="3" t="s">
        <v>1397</v>
      </c>
      <c r="B1290" s="3" t="s">
        <v>1398</v>
      </c>
      <c r="C1290" s="3" t="s">
        <v>1399</v>
      </c>
      <c r="D1290" s="4" t="s">
        <v>254</v>
      </c>
      <c r="E1290" s="4" t="s">
        <v>607</v>
      </c>
      <c r="F1290" s="4"/>
      <c r="G1290" s="9"/>
      <c r="H1290" s="4"/>
      <c r="I1290" s="9"/>
      <c r="J1290" s="3">
        <v>13276</v>
      </c>
      <c r="K1290" s="3">
        <v>50708</v>
      </c>
      <c r="L1290" s="17" t="str" cm="1">
        <f t="array" ref="L1290">_xlfn.IFS(MID(K1290,2,2)="01", "서울", MID(K1290,2,2)="02","경기",MID(K1290,2,2)="03","충청",MID(K1290,2,2)="04","충청",MID(K1290,2,2)="05","전라",MID(K1290,2,2)="06","전라",MID(K1290,2,2)="07","경북",MID(K1290,2,2)="08","경남",MID(K1290,2,2)="09","강원",MID(K1290,2,2)="10","제주",TRUE,"국외")</f>
        <v>경북</v>
      </c>
    </row>
    <row r="1291" spans="1:12" ht="17.25" thickBot="1">
      <c r="A1291" s="3" t="s">
        <v>1400</v>
      </c>
      <c r="B1291" s="3" t="s">
        <v>25</v>
      </c>
      <c r="C1291" s="3" t="s">
        <v>133</v>
      </c>
      <c r="D1291" s="4" t="s">
        <v>254</v>
      </c>
      <c r="E1291" s="4" t="s">
        <v>906</v>
      </c>
      <c r="F1291" s="4">
        <v>2019</v>
      </c>
      <c r="G1291" s="9"/>
      <c r="H1291" s="4" t="s">
        <v>18</v>
      </c>
      <c r="I1291" s="8">
        <v>0.1</v>
      </c>
      <c r="J1291" s="3">
        <v>13010</v>
      </c>
      <c r="K1291" s="3">
        <v>50403</v>
      </c>
      <c r="L1291" s="17" t="str" cm="1">
        <f t="array" ref="L1291">_xlfn.IFS(MID(K1291,2,2)="01", "서울", MID(K1291,2,2)="02","경기",MID(K1291,2,2)="03","충청",MID(K1291,2,2)="04","충청",MID(K1291,2,2)="05","전라",MID(K1291,2,2)="06","전라",MID(K1291,2,2)="07","경북",MID(K1291,2,2)="08","경남",MID(K1291,2,2)="09","강원",MID(K1291,2,2)="10","제주",TRUE,"국외")</f>
        <v>충청</v>
      </c>
    </row>
    <row r="1292" spans="1:12" ht="17.25" thickBot="1">
      <c r="A1292" s="3" t="s">
        <v>1401</v>
      </c>
      <c r="B1292" s="3" t="s">
        <v>101</v>
      </c>
      <c r="C1292" s="3" t="s">
        <v>83</v>
      </c>
      <c r="D1292" s="4" t="s">
        <v>254</v>
      </c>
      <c r="E1292" s="4" t="s">
        <v>26</v>
      </c>
      <c r="F1292" s="4"/>
      <c r="G1292" s="9"/>
      <c r="H1292" s="4"/>
      <c r="I1292" s="9"/>
      <c r="J1292" s="3">
        <v>12977</v>
      </c>
      <c r="K1292" s="3">
        <v>50207</v>
      </c>
      <c r="L1292" s="17" t="str" cm="1">
        <f t="array" ref="L1292">_xlfn.IFS(MID(K1292,2,2)="01", "서울", MID(K1292,2,2)="02","경기",MID(K1292,2,2)="03","충청",MID(K1292,2,2)="04","충청",MID(K1292,2,2)="05","전라",MID(K1292,2,2)="06","전라",MID(K1292,2,2)="07","경북",MID(K1292,2,2)="08","경남",MID(K1292,2,2)="09","강원",MID(K1292,2,2)="10","제주",TRUE,"국외")</f>
        <v>경기</v>
      </c>
    </row>
    <row r="1293" spans="1:12" ht="17.25" thickBot="1">
      <c r="A1293" s="3" t="s">
        <v>1402</v>
      </c>
      <c r="B1293" s="3" t="s">
        <v>40</v>
      </c>
      <c r="C1293" s="3"/>
      <c r="D1293" s="4" t="s">
        <v>254</v>
      </c>
      <c r="E1293" s="4" t="s">
        <v>9</v>
      </c>
      <c r="F1293" s="4">
        <v>2017</v>
      </c>
      <c r="G1293" s="9"/>
      <c r="H1293" s="4" t="s">
        <v>28</v>
      </c>
      <c r="I1293" s="8">
        <v>12.6</v>
      </c>
      <c r="J1293" s="3">
        <v>11394</v>
      </c>
      <c r="K1293" s="3">
        <v>50108</v>
      </c>
      <c r="L1293" s="17" t="str" cm="1">
        <f t="array" ref="L1293">_xlfn.IFS(MID(K1293,2,2)="01", "서울", MID(K1293,2,2)="02","경기",MID(K1293,2,2)="03","충청",MID(K1293,2,2)="04","충청",MID(K1293,2,2)="05","전라",MID(K1293,2,2)="06","전라",MID(K1293,2,2)="07","경북",MID(K1293,2,2)="08","경남",MID(K1293,2,2)="09","강원",MID(K1293,2,2)="10","제주",TRUE,"국외")</f>
        <v>서울</v>
      </c>
    </row>
    <row r="1294" spans="1:12" ht="17.25" thickBot="1">
      <c r="A1294" s="3" t="s">
        <v>1403</v>
      </c>
      <c r="B1294" s="3" t="s">
        <v>158</v>
      </c>
      <c r="C1294" s="3" t="s">
        <v>133</v>
      </c>
      <c r="D1294" s="4" t="s">
        <v>254</v>
      </c>
      <c r="E1294" s="4" t="s">
        <v>6</v>
      </c>
      <c r="F1294" s="4">
        <v>2015</v>
      </c>
      <c r="G1294" s="8">
        <v>1.4</v>
      </c>
      <c r="H1294" s="4" t="s">
        <v>6</v>
      </c>
      <c r="I1294" s="8">
        <v>6.5</v>
      </c>
      <c r="J1294" s="3">
        <v>11298</v>
      </c>
      <c r="K1294" s="3">
        <v>50501</v>
      </c>
      <c r="L1294" s="17" t="str" cm="1">
        <f t="array" ref="L1294">_xlfn.IFS(MID(K1294,2,2)="01", "서울", MID(K1294,2,2)="02","경기",MID(K1294,2,2)="03","충청",MID(K1294,2,2)="04","충청",MID(K1294,2,2)="05","전라",MID(K1294,2,2)="06","전라",MID(K1294,2,2)="07","경북",MID(K1294,2,2)="08","경남",MID(K1294,2,2)="09","강원",MID(K1294,2,2)="10","제주",TRUE,"국외")</f>
        <v>전라</v>
      </c>
    </row>
    <row r="1295" spans="1:12" ht="17.25" thickBot="1">
      <c r="A1295" s="3" t="s">
        <v>1404</v>
      </c>
      <c r="B1295" s="3" t="s">
        <v>52</v>
      </c>
      <c r="C1295" s="3"/>
      <c r="D1295" s="4" t="s">
        <v>254</v>
      </c>
      <c r="E1295" s="4" t="s">
        <v>20</v>
      </c>
      <c r="F1295" s="4">
        <v>2015</v>
      </c>
      <c r="G1295" s="8">
        <v>0.1</v>
      </c>
      <c r="H1295" s="4" t="s">
        <v>20</v>
      </c>
      <c r="I1295" s="8">
        <v>0.1</v>
      </c>
      <c r="J1295" s="3">
        <v>11550</v>
      </c>
      <c r="K1295" s="3">
        <v>50803</v>
      </c>
      <c r="L1295" s="17" t="str" cm="1">
        <f t="array" ref="L1295">_xlfn.IFS(MID(K1295,2,2)="01", "서울", MID(K1295,2,2)="02","경기",MID(K1295,2,2)="03","충청",MID(K1295,2,2)="04","충청",MID(K1295,2,2)="05","전라",MID(K1295,2,2)="06","전라",MID(K1295,2,2)="07","경북",MID(K1295,2,2)="08","경남",MID(K1295,2,2)="09","강원",MID(K1295,2,2)="10","제주",TRUE,"국외")</f>
        <v>경남</v>
      </c>
    </row>
    <row r="1296" spans="1:12" ht="17.25" thickBot="1">
      <c r="A1296" s="3" t="s">
        <v>1405</v>
      </c>
      <c r="B1296" s="3" t="s">
        <v>332</v>
      </c>
      <c r="C1296" s="3" t="s">
        <v>45</v>
      </c>
      <c r="D1296" s="4" t="s">
        <v>254</v>
      </c>
      <c r="E1296" s="4" t="s">
        <v>23</v>
      </c>
      <c r="F1296" s="4"/>
      <c r="G1296" s="9"/>
      <c r="H1296" s="4"/>
      <c r="I1296" s="9"/>
      <c r="J1296" s="3">
        <v>11421</v>
      </c>
      <c r="K1296" s="3">
        <v>50705</v>
      </c>
      <c r="L1296" s="17" t="str" cm="1">
        <f t="array" ref="L1296">_xlfn.IFS(MID(K1296,2,2)="01", "서울", MID(K1296,2,2)="02","경기",MID(K1296,2,2)="03","충청",MID(K1296,2,2)="04","충청",MID(K1296,2,2)="05","전라",MID(K1296,2,2)="06","전라",MID(K1296,2,2)="07","경북",MID(K1296,2,2)="08","경남",MID(K1296,2,2)="09","강원",MID(K1296,2,2)="10","제주",TRUE,"국외")</f>
        <v>경북</v>
      </c>
    </row>
    <row r="1297" spans="1:12" ht="17.25" thickBot="1">
      <c r="A1297" s="3" t="s">
        <v>1406</v>
      </c>
      <c r="B1297" s="3" t="s">
        <v>176</v>
      </c>
      <c r="C1297" s="3"/>
      <c r="D1297" s="4" t="s">
        <v>1407</v>
      </c>
      <c r="E1297" s="4" t="s">
        <v>28</v>
      </c>
      <c r="F1297" s="4">
        <v>2015</v>
      </c>
      <c r="G1297" s="8">
        <v>-0.2</v>
      </c>
      <c r="H1297" s="4" t="s">
        <v>28</v>
      </c>
      <c r="I1297" s="8">
        <v>10.199999999999999</v>
      </c>
      <c r="J1297" s="3">
        <v>11323</v>
      </c>
      <c r="K1297" s="3">
        <v>50302</v>
      </c>
      <c r="L1297" s="17" t="str" cm="1">
        <f t="array" ref="L1297">_xlfn.IFS(MID(K1297,2,2)="01", "서울", MID(K1297,2,2)="02","경기",MID(K1297,2,2)="03","충청",MID(K1297,2,2)="04","충청",MID(K1297,2,2)="05","전라",MID(K1297,2,2)="06","전라",MID(K1297,2,2)="07","경북",MID(K1297,2,2)="08","경남",MID(K1297,2,2)="09","강원",MID(K1297,2,2)="10","제주",TRUE,"국외")</f>
        <v>충청</v>
      </c>
    </row>
    <row r="1298" spans="1:12" ht="17.25" thickBot="1">
      <c r="A1298" s="3" t="s">
        <v>1408</v>
      </c>
      <c r="B1298" s="3" t="s">
        <v>335</v>
      </c>
      <c r="C1298" s="3" t="s">
        <v>90</v>
      </c>
      <c r="D1298" s="4" t="s">
        <v>1407</v>
      </c>
      <c r="E1298" s="4" t="s">
        <v>28</v>
      </c>
      <c r="F1298" s="4">
        <v>2015</v>
      </c>
      <c r="G1298" s="8">
        <v>0.3</v>
      </c>
      <c r="H1298" s="4" t="s">
        <v>28</v>
      </c>
      <c r="I1298" s="8">
        <v>-0.1</v>
      </c>
      <c r="J1298" s="3">
        <v>11324</v>
      </c>
      <c r="K1298" s="3">
        <v>50804</v>
      </c>
      <c r="L1298" s="17" t="str" cm="1">
        <f t="array" ref="L1298">_xlfn.IFS(MID(K1298,2,2)="01", "서울", MID(K1298,2,2)="02","경기",MID(K1298,2,2)="03","충청",MID(K1298,2,2)="04","충청",MID(K1298,2,2)="05","전라",MID(K1298,2,2)="06","전라",MID(K1298,2,2)="07","경북",MID(K1298,2,2)="08","경남",MID(K1298,2,2)="09","강원",MID(K1298,2,2)="10","제주",TRUE,"국외")</f>
        <v>경남</v>
      </c>
    </row>
    <row r="1299" spans="1:12" ht="17.25" thickBot="1">
      <c r="A1299" s="3" t="s">
        <v>1409</v>
      </c>
      <c r="B1299" s="3"/>
      <c r="C1299" s="3"/>
      <c r="D1299" s="4" t="s">
        <v>181</v>
      </c>
      <c r="E1299" s="4" t="s">
        <v>6</v>
      </c>
      <c r="F1299" s="4">
        <v>2015</v>
      </c>
      <c r="G1299" s="8">
        <v>0.3</v>
      </c>
      <c r="H1299" s="4" t="s">
        <v>6</v>
      </c>
      <c r="I1299" s="8">
        <v>0.3</v>
      </c>
      <c r="J1299" s="3">
        <v>11548</v>
      </c>
      <c r="K1299" s="3"/>
      <c r="L1299" s="17" t="str" cm="1">
        <f t="array" ref="L1299">_xlfn.IFS(MID(K1299,2,2)="01", "서울", MID(K1299,2,2)="02","경기",MID(K1299,2,2)="03","충청",MID(K1299,2,2)="04","충청",MID(K1299,2,2)="05","전라",MID(K1299,2,2)="06","전라",MID(K1299,2,2)="07","경북",MID(K1299,2,2)="08","경남",MID(K1299,2,2)="09","강원",MID(K1299,2,2)="10","제주",TRUE,"국외")</f>
        <v>국외</v>
      </c>
    </row>
    <row r="1300" spans="1:12" ht="17.25" thickBot="1">
      <c r="A1300" s="3" t="s">
        <v>1410</v>
      </c>
      <c r="B1300" s="3"/>
      <c r="C1300" s="3"/>
      <c r="D1300" s="4" t="s">
        <v>181</v>
      </c>
      <c r="E1300" s="4" t="s">
        <v>6</v>
      </c>
      <c r="F1300" s="4">
        <v>2015</v>
      </c>
      <c r="G1300" s="8">
        <v>0.6</v>
      </c>
      <c r="H1300" s="4" t="s">
        <v>6</v>
      </c>
      <c r="I1300" s="8">
        <v>0.6</v>
      </c>
      <c r="J1300" s="3">
        <v>11305</v>
      </c>
      <c r="K1300" s="3"/>
      <c r="L1300" s="17" t="str" cm="1">
        <f t="array" ref="L1300">_xlfn.IFS(MID(K1300,2,2)="01", "서울", MID(K1300,2,2)="02","경기",MID(K1300,2,2)="03","충청",MID(K1300,2,2)="04","충청",MID(K1300,2,2)="05","전라",MID(K1300,2,2)="06","전라",MID(K1300,2,2)="07","경북",MID(K1300,2,2)="08","경남",MID(K1300,2,2)="09","강원",MID(K1300,2,2)="10","제주",TRUE,"국외")</f>
        <v>국외</v>
      </c>
    </row>
    <row r="1301" spans="1:12" ht="17.25" thickBot="1">
      <c r="A1301" s="3" t="s">
        <v>1411</v>
      </c>
      <c r="B1301" s="3"/>
      <c r="C1301" s="3"/>
      <c r="D1301" s="4" t="s">
        <v>181</v>
      </c>
      <c r="E1301" s="4" t="s">
        <v>6</v>
      </c>
      <c r="F1301" s="4">
        <v>2015</v>
      </c>
      <c r="G1301" s="8">
        <v>3.7</v>
      </c>
      <c r="H1301" s="4" t="s">
        <v>6</v>
      </c>
      <c r="I1301" s="8">
        <v>3.7</v>
      </c>
      <c r="J1301" s="3">
        <v>11301</v>
      </c>
      <c r="K1301" s="3"/>
      <c r="L1301" s="17" t="str" cm="1">
        <f t="array" ref="L1301">_xlfn.IFS(MID(K1301,2,2)="01", "서울", MID(K1301,2,2)="02","경기",MID(K1301,2,2)="03","충청",MID(K1301,2,2)="04","충청",MID(K1301,2,2)="05","전라",MID(K1301,2,2)="06","전라",MID(K1301,2,2)="07","경북",MID(K1301,2,2)="08","경남",MID(K1301,2,2)="09","강원",MID(K1301,2,2)="10","제주",TRUE,"국외")</f>
        <v>국외</v>
      </c>
    </row>
    <row r="1302" spans="1:12" ht="17.25" thickBot="1">
      <c r="A1302" s="3" t="s">
        <v>1412</v>
      </c>
      <c r="B1302" s="3"/>
      <c r="C1302" s="3"/>
      <c r="D1302" s="4" t="s">
        <v>181</v>
      </c>
      <c r="E1302" s="4" t="s">
        <v>28</v>
      </c>
      <c r="F1302" s="4">
        <v>2015</v>
      </c>
      <c r="G1302" s="8">
        <v>1.6</v>
      </c>
      <c r="H1302" s="4" t="s">
        <v>28</v>
      </c>
      <c r="I1302" s="8">
        <v>1.6</v>
      </c>
      <c r="J1302" s="3">
        <v>11493</v>
      </c>
      <c r="K1302" s="3"/>
      <c r="L1302" s="17" t="str" cm="1">
        <f t="array" ref="L1302">_xlfn.IFS(MID(K1302,2,2)="01", "서울", MID(K1302,2,2)="02","경기",MID(K1302,2,2)="03","충청",MID(K1302,2,2)="04","충청",MID(K1302,2,2)="05","전라",MID(K1302,2,2)="06","전라",MID(K1302,2,2)="07","경북",MID(K1302,2,2)="08","경남",MID(K1302,2,2)="09","강원",MID(K1302,2,2)="10","제주",TRUE,"국외")</f>
        <v>국외</v>
      </c>
    </row>
    <row r="1303" spans="1:12" ht="17.25" thickBot="1">
      <c r="A1303" s="3" t="s">
        <v>1413</v>
      </c>
      <c r="B1303" s="3"/>
      <c r="C1303" s="3"/>
      <c r="D1303" s="4" t="s">
        <v>181</v>
      </c>
      <c r="E1303" s="4" t="s">
        <v>28</v>
      </c>
      <c r="F1303" s="4">
        <v>2015</v>
      </c>
      <c r="G1303" s="8">
        <v>4</v>
      </c>
      <c r="H1303" s="4" t="s">
        <v>28</v>
      </c>
      <c r="I1303" s="8">
        <v>6.6</v>
      </c>
      <c r="J1303" s="3">
        <v>11338</v>
      </c>
      <c r="K1303" s="3"/>
      <c r="L1303" s="17" t="str" cm="1">
        <f t="array" ref="L1303">_xlfn.IFS(MID(K1303,2,2)="01", "서울", MID(K1303,2,2)="02","경기",MID(K1303,2,2)="03","충청",MID(K1303,2,2)="04","충청",MID(K1303,2,2)="05","전라",MID(K1303,2,2)="06","전라",MID(K1303,2,2)="07","경북",MID(K1303,2,2)="08","경남",MID(K1303,2,2)="09","강원",MID(K1303,2,2)="10","제주",TRUE,"국외")</f>
        <v>국외</v>
      </c>
    </row>
    <row r="1304" spans="1:12" ht="17.25" thickBot="1">
      <c r="A1304" s="3" t="s">
        <v>1414</v>
      </c>
      <c r="B1304" s="3"/>
      <c r="C1304" s="3"/>
      <c r="D1304" s="4" t="s">
        <v>181</v>
      </c>
      <c r="E1304" s="4" t="s">
        <v>28</v>
      </c>
      <c r="F1304" s="4">
        <v>2015</v>
      </c>
      <c r="G1304" s="8">
        <v>-0.1</v>
      </c>
      <c r="H1304" s="4" t="s">
        <v>28</v>
      </c>
      <c r="I1304" s="8">
        <v>-0.1</v>
      </c>
      <c r="J1304" s="3">
        <v>11326</v>
      </c>
      <c r="K1304" s="3"/>
      <c r="L1304" s="17" t="str" cm="1">
        <f t="array" ref="L1304">_xlfn.IFS(MID(K1304,2,2)="01", "서울", MID(K1304,2,2)="02","경기",MID(K1304,2,2)="03","충청",MID(K1304,2,2)="04","충청",MID(K1304,2,2)="05","전라",MID(K1304,2,2)="06","전라",MID(K1304,2,2)="07","경북",MID(K1304,2,2)="08","경남",MID(K1304,2,2)="09","강원",MID(K1304,2,2)="10","제주",TRUE,"국외")</f>
        <v>국외</v>
      </c>
    </row>
    <row r="1305" spans="1:12" ht="17.25" thickBot="1">
      <c r="A1305" s="3" t="s">
        <v>1415</v>
      </c>
      <c r="B1305" s="3"/>
      <c r="C1305" s="3"/>
      <c r="D1305" s="4" t="s">
        <v>181</v>
      </c>
      <c r="E1305" s="4" t="s">
        <v>20</v>
      </c>
      <c r="F1305" s="4">
        <v>2015</v>
      </c>
      <c r="G1305" s="8">
        <v>2.4</v>
      </c>
      <c r="H1305" s="4" t="s">
        <v>20</v>
      </c>
      <c r="I1305" s="8">
        <v>11</v>
      </c>
      <c r="J1305" s="3">
        <v>11495</v>
      </c>
      <c r="K1305" s="3"/>
      <c r="L1305" s="17" t="str" cm="1">
        <f t="array" ref="L1305">_xlfn.IFS(MID(K1305,2,2)="01", "서울", MID(K1305,2,2)="02","경기",MID(K1305,2,2)="03","충청",MID(K1305,2,2)="04","충청",MID(K1305,2,2)="05","전라",MID(K1305,2,2)="06","전라",MID(K1305,2,2)="07","경북",MID(K1305,2,2)="08","경남",MID(K1305,2,2)="09","강원",MID(K1305,2,2)="10","제주",TRUE,"국외")</f>
        <v>국외</v>
      </c>
    </row>
    <row r="1306" spans="1:12" ht="17.25" thickBot="1">
      <c r="A1306" s="3" t="s">
        <v>1416</v>
      </c>
      <c r="B1306" s="3"/>
      <c r="C1306" s="3"/>
      <c r="D1306" s="4" t="s">
        <v>181</v>
      </c>
      <c r="E1306" s="4" t="s">
        <v>20</v>
      </c>
      <c r="F1306" s="4">
        <v>2014</v>
      </c>
      <c r="G1306" s="8">
        <v>0.8</v>
      </c>
      <c r="H1306" s="4" t="s">
        <v>20</v>
      </c>
      <c r="I1306" s="8">
        <v>0.8</v>
      </c>
      <c r="J1306" s="3">
        <v>11352</v>
      </c>
      <c r="K1306" s="3"/>
      <c r="L1306" s="17" t="str" cm="1">
        <f t="array" ref="L1306">_xlfn.IFS(MID(K1306,2,2)="01", "서울", MID(K1306,2,2)="02","경기",MID(K1306,2,2)="03","충청",MID(K1306,2,2)="04","충청",MID(K1306,2,2)="05","전라",MID(K1306,2,2)="06","전라",MID(K1306,2,2)="07","경북",MID(K1306,2,2)="08","경남",MID(K1306,2,2)="09","강원",MID(K1306,2,2)="10","제주",TRUE,"국외")</f>
        <v>국외</v>
      </c>
    </row>
    <row r="1307" spans="1:12" ht="17.25" thickBot="1">
      <c r="A1307" s="3" t="s">
        <v>1417</v>
      </c>
      <c r="B1307" s="3"/>
      <c r="C1307" s="3"/>
      <c r="D1307" s="4" t="s">
        <v>181</v>
      </c>
      <c r="E1307" s="4" t="s">
        <v>20</v>
      </c>
      <c r="F1307" s="4">
        <v>2015</v>
      </c>
      <c r="G1307" s="8">
        <v>4.3</v>
      </c>
      <c r="H1307" s="4" t="s">
        <v>20</v>
      </c>
      <c r="I1307" s="8">
        <v>4.3</v>
      </c>
      <c r="J1307" s="3">
        <v>11345</v>
      </c>
      <c r="K1307" s="3"/>
      <c r="L1307" s="17" t="str" cm="1">
        <f t="array" ref="L1307">_xlfn.IFS(MID(K1307,2,2)="01", "서울", MID(K1307,2,2)="02","경기",MID(K1307,2,2)="03","충청",MID(K1307,2,2)="04","충청",MID(K1307,2,2)="05","전라",MID(K1307,2,2)="06","전라",MID(K1307,2,2)="07","경북",MID(K1307,2,2)="08","경남",MID(K1307,2,2)="09","강원",MID(K1307,2,2)="10","제주",TRUE,"국외")</f>
        <v>국외</v>
      </c>
    </row>
    <row r="1308" spans="1:12" ht="17.25" thickBot="1">
      <c r="A1308" s="3" t="s">
        <v>1418</v>
      </c>
      <c r="B1308" s="3"/>
      <c r="C1308" s="3"/>
      <c r="D1308" s="4" t="s">
        <v>181</v>
      </c>
      <c r="E1308" s="4" t="s">
        <v>12</v>
      </c>
      <c r="F1308" s="4">
        <v>2015</v>
      </c>
      <c r="G1308" s="8">
        <v>4.5999999999999996</v>
      </c>
      <c r="H1308" s="4" t="s">
        <v>12</v>
      </c>
      <c r="I1308" s="8">
        <v>8.1999999999999993</v>
      </c>
      <c r="J1308" s="3">
        <v>11497</v>
      </c>
      <c r="K1308" s="3"/>
      <c r="L1308" s="17" t="str" cm="1">
        <f t="array" ref="L1308">_xlfn.IFS(MID(K1308,2,2)="01", "서울", MID(K1308,2,2)="02","경기",MID(K1308,2,2)="03","충청",MID(K1308,2,2)="04","충청",MID(K1308,2,2)="05","전라",MID(K1308,2,2)="06","전라",MID(K1308,2,2)="07","경북",MID(K1308,2,2)="08","경남",MID(K1308,2,2)="09","강원",MID(K1308,2,2)="10","제주",TRUE,"국외")</f>
        <v>국외</v>
      </c>
    </row>
    <row r="1309" spans="1:12" ht="17.25" thickBot="1">
      <c r="A1309" s="3" t="s">
        <v>1419</v>
      </c>
      <c r="B1309" s="3"/>
      <c r="C1309" s="3"/>
      <c r="D1309" s="4" t="s">
        <v>181</v>
      </c>
      <c r="E1309" s="4" t="s">
        <v>607</v>
      </c>
      <c r="F1309" s="4">
        <v>2015</v>
      </c>
      <c r="G1309" s="8">
        <v>1.6</v>
      </c>
      <c r="H1309" s="4" t="s">
        <v>607</v>
      </c>
      <c r="I1309" s="8">
        <v>1.6</v>
      </c>
      <c r="J1309" s="3">
        <v>11372</v>
      </c>
      <c r="K1309" s="3"/>
      <c r="L1309" s="17" t="str" cm="1">
        <f t="array" ref="L1309">_xlfn.IFS(MID(K1309,2,2)="01", "서울", MID(K1309,2,2)="02","경기",MID(K1309,2,2)="03","충청",MID(K1309,2,2)="04","충청",MID(K1309,2,2)="05","전라",MID(K1309,2,2)="06","전라",MID(K1309,2,2)="07","경북",MID(K1309,2,2)="08","경남",MID(K1309,2,2)="09","강원",MID(K1309,2,2)="10","제주",TRUE,"국외")</f>
        <v>국외</v>
      </c>
    </row>
    <row r="1310" spans="1:12" ht="17.25" thickBot="1">
      <c r="A1310" s="3" t="s">
        <v>862</v>
      </c>
      <c r="B1310" s="3"/>
      <c r="C1310" s="3"/>
      <c r="D1310" s="4" t="s">
        <v>181</v>
      </c>
      <c r="E1310" s="4" t="s">
        <v>607</v>
      </c>
      <c r="F1310" s="4">
        <v>2015</v>
      </c>
      <c r="G1310" s="8">
        <v>5.0999999999999996</v>
      </c>
      <c r="H1310" s="4" t="s">
        <v>607</v>
      </c>
      <c r="I1310" s="8">
        <v>22.1</v>
      </c>
      <c r="J1310" s="3">
        <v>11368</v>
      </c>
      <c r="K1310" s="3"/>
      <c r="L1310" s="17" t="str" cm="1">
        <f t="array" ref="L1310">_xlfn.IFS(MID(K1310,2,2)="01", "서울", MID(K1310,2,2)="02","경기",MID(K1310,2,2)="03","충청",MID(K1310,2,2)="04","충청",MID(K1310,2,2)="05","전라",MID(K1310,2,2)="06","전라",MID(K1310,2,2)="07","경북",MID(K1310,2,2)="08","경남",MID(K1310,2,2)="09","강원",MID(K1310,2,2)="10","제주",TRUE,"국외")</f>
        <v>국외</v>
      </c>
    </row>
    <row r="1311" spans="1:12" ht="17.25" thickBot="1">
      <c r="A1311" s="3" t="s">
        <v>1420</v>
      </c>
      <c r="B1311" s="3"/>
      <c r="C1311" s="3"/>
      <c r="D1311" s="4" t="s">
        <v>181</v>
      </c>
      <c r="E1311" s="4" t="s">
        <v>906</v>
      </c>
      <c r="F1311" s="4">
        <v>2015</v>
      </c>
      <c r="G1311" s="8">
        <v>3.5</v>
      </c>
      <c r="H1311" s="4" t="s">
        <v>28</v>
      </c>
      <c r="I1311" s="8">
        <v>19.100000000000001</v>
      </c>
      <c r="J1311" s="3">
        <v>11380</v>
      </c>
      <c r="K1311" s="3"/>
      <c r="L1311" s="17" t="str" cm="1">
        <f t="array" ref="L1311">_xlfn.IFS(MID(K1311,2,2)="01", "서울", MID(K1311,2,2)="02","경기",MID(K1311,2,2)="03","충청",MID(K1311,2,2)="04","충청",MID(K1311,2,2)="05","전라",MID(K1311,2,2)="06","전라",MID(K1311,2,2)="07","경북",MID(K1311,2,2)="08","경남",MID(K1311,2,2)="09","강원",MID(K1311,2,2)="10","제주",TRUE,"국외")</f>
        <v>국외</v>
      </c>
    </row>
    <row r="1312" spans="1:12" ht="17.25" thickBot="1">
      <c r="A1312" s="3" t="s">
        <v>1421</v>
      </c>
      <c r="B1312" s="3"/>
      <c r="C1312" s="3"/>
      <c r="D1312" s="4" t="s">
        <v>181</v>
      </c>
      <c r="E1312" s="4" t="s">
        <v>26</v>
      </c>
      <c r="F1312" s="4">
        <v>2015</v>
      </c>
      <c r="G1312" s="8">
        <v>-0.4</v>
      </c>
      <c r="H1312" s="4" t="s">
        <v>26</v>
      </c>
      <c r="I1312" s="8">
        <v>-0.4</v>
      </c>
      <c r="J1312" s="3">
        <v>11382</v>
      </c>
      <c r="K1312" s="3"/>
      <c r="L1312" s="17" t="str" cm="1">
        <f t="array" ref="L1312">_xlfn.IFS(MID(K1312,2,2)="01", "서울", MID(K1312,2,2)="02","경기",MID(K1312,2,2)="03","충청",MID(K1312,2,2)="04","충청",MID(K1312,2,2)="05","전라",MID(K1312,2,2)="06","전라",MID(K1312,2,2)="07","경북",MID(K1312,2,2)="08","경남",MID(K1312,2,2)="09","강원",MID(K1312,2,2)="10","제주",TRUE,"국외")</f>
        <v>국외</v>
      </c>
    </row>
    <row r="1313" spans="1:12" ht="17.25" thickBot="1">
      <c r="A1313" s="3" t="s">
        <v>1422</v>
      </c>
      <c r="B1313" s="3"/>
      <c r="C1313" s="3"/>
      <c r="D1313" s="4" t="s">
        <v>181</v>
      </c>
      <c r="E1313" s="4" t="s">
        <v>26</v>
      </c>
      <c r="F1313" s="4">
        <v>2015</v>
      </c>
      <c r="G1313" s="8">
        <v>1.2</v>
      </c>
      <c r="H1313" s="4" t="s">
        <v>26</v>
      </c>
      <c r="I1313" s="8">
        <v>1.2</v>
      </c>
      <c r="J1313" s="3">
        <v>11496</v>
      </c>
      <c r="K1313" s="3"/>
      <c r="L1313" s="17" t="str" cm="1">
        <f t="array" ref="L1313">_xlfn.IFS(MID(K1313,2,2)="01", "서울", MID(K1313,2,2)="02","경기",MID(K1313,2,2)="03","충청",MID(K1313,2,2)="04","충청",MID(K1313,2,2)="05","전라",MID(K1313,2,2)="06","전라",MID(K1313,2,2)="07","경북",MID(K1313,2,2)="08","경남",MID(K1313,2,2)="09","강원",MID(K1313,2,2)="10","제주",TRUE,"국외")</f>
        <v>국외</v>
      </c>
    </row>
    <row r="1314" spans="1:12" ht="17.25" thickBot="1">
      <c r="A1314" s="3" t="s">
        <v>191</v>
      </c>
      <c r="B1314" s="3"/>
      <c r="C1314" s="3"/>
      <c r="D1314" s="4" t="s">
        <v>181</v>
      </c>
      <c r="E1314" s="4" t="s">
        <v>26</v>
      </c>
      <c r="F1314" s="4">
        <v>2015</v>
      </c>
      <c r="G1314" s="8">
        <v>1.1000000000000001</v>
      </c>
      <c r="H1314" s="4" t="s">
        <v>26</v>
      </c>
      <c r="I1314" s="8">
        <v>1.1000000000000001</v>
      </c>
      <c r="J1314" s="3">
        <v>11494</v>
      </c>
      <c r="K1314" s="3"/>
      <c r="L1314" s="17" t="str" cm="1">
        <f t="array" ref="L1314">_xlfn.IFS(MID(K1314,2,2)="01", "서울", MID(K1314,2,2)="02","경기",MID(K1314,2,2)="03","충청",MID(K1314,2,2)="04","충청",MID(K1314,2,2)="05","전라",MID(K1314,2,2)="06","전라",MID(K1314,2,2)="07","경북",MID(K1314,2,2)="08","경남",MID(K1314,2,2)="09","강원",MID(K1314,2,2)="10","제주",TRUE,"국외")</f>
        <v>국외</v>
      </c>
    </row>
    <row r="1315" spans="1:12" ht="17.25" thickBot="1">
      <c r="A1315" s="3" t="s">
        <v>1423</v>
      </c>
      <c r="B1315" s="3"/>
      <c r="C1315" s="3"/>
      <c r="D1315" s="4" t="s">
        <v>181</v>
      </c>
      <c r="E1315" s="4" t="s">
        <v>9</v>
      </c>
      <c r="F1315" s="4">
        <v>2015</v>
      </c>
      <c r="G1315" s="8">
        <v>5.2</v>
      </c>
      <c r="H1315" s="4" t="s">
        <v>9</v>
      </c>
      <c r="I1315" s="8">
        <v>6.1</v>
      </c>
      <c r="J1315" s="3">
        <v>11395</v>
      </c>
      <c r="K1315" s="3"/>
      <c r="L1315" s="17" t="str" cm="1">
        <f t="array" ref="L1315">_xlfn.IFS(MID(K1315,2,2)="01", "서울", MID(K1315,2,2)="02","경기",MID(K1315,2,2)="03","충청",MID(K1315,2,2)="04","충청",MID(K1315,2,2)="05","전라",MID(K1315,2,2)="06","전라",MID(K1315,2,2)="07","경북",MID(K1315,2,2)="08","경남",MID(K1315,2,2)="09","강원",MID(K1315,2,2)="10","제주",TRUE,"국외")</f>
        <v>국외</v>
      </c>
    </row>
    <row r="1316" spans="1:12" ht="17.25" thickBot="1">
      <c r="A1316" s="3" t="s">
        <v>1424</v>
      </c>
      <c r="B1316" s="3"/>
      <c r="C1316" s="3"/>
      <c r="D1316" s="4" t="s">
        <v>181</v>
      </c>
      <c r="E1316" s="4" t="s">
        <v>9</v>
      </c>
      <c r="F1316" s="4">
        <v>2015</v>
      </c>
      <c r="G1316" s="8">
        <v>6.9</v>
      </c>
      <c r="H1316" s="4" t="s">
        <v>9</v>
      </c>
      <c r="I1316" s="8">
        <v>25.4</v>
      </c>
      <c r="J1316" s="3">
        <v>11393</v>
      </c>
      <c r="K1316" s="3"/>
      <c r="L1316" s="17" t="str" cm="1">
        <f t="array" ref="L1316">_xlfn.IFS(MID(K1316,2,2)="01", "서울", MID(K1316,2,2)="02","경기",MID(K1316,2,2)="03","충청",MID(K1316,2,2)="04","충청",MID(K1316,2,2)="05","전라",MID(K1316,2,2)="06","전라",MID(K1316,2,2)="07","경북",MID(K1316,2,2)="08","경남",MID(K1316,2,2)="09","강원",MID(K1316,2,2)="10","제주",TRUE,"국외")</f>
        <v>국외</v>
      </c>
    </row>
    <row r="1317" spans="1:12" ht="17.25" thickBot="1">
      <c r="A1317" s="3" t="s">
        <v>1425</v>
      </c>
      <c r="B1317" s="3"/>
      <c r="C1317" s="3"/>
      <c r="D1317" s="4" t="s">
        <v>181</v>
      </c>
      <c r="E1317" s="4" t="s">
        <v>9</v>
      </c>
      <c r="F1317" s="4">
        <v>2015</v>
      </c>
      <c r="G1317" s="8">
        <v>4.2</v>
      </c>
      <c r="H1317" s="4" t="s">
        <v>9</v>
      </c>
      <c r="I1317" s="8">
        <v>23.7</v>
      </c>
      <c r="J1317" s="3">
        <v>11392</v>
      </c>
      <c r="K1317" s="3"/>
      <c r="L1317" s="17" t="str" cm="1">
        <f t="array" ref="L1317">_xlfn.IFS(MID(K1317,2,2)="01", "서울", MID(K1317,2,2)="02","경기",MID(K1317,2,2)="03","충청",MID(K1317,2,2)="04","충청",MID(K1317,2,2)="05","전라",MID(K1317,2,2)="06","전라",MID(K1317,2,2)="07","경북",MID(K1317,2,2)="08","경남",MID(K1317,2,2)="09","강원",MID(K1317,2,2)="10","제주",TRUE,"국외")</f>
        <v>국외</v>
      </c>
    </row>
    <row r="1318" spans="1:12" ht="17.25" thickBot="1">
      <c r="A1318" s="3" t="s">
        <v>1426</v>
      </c>
      <c r="B1318" s="3"/>
      <c r="C1318" s="3"/>
      <c r="D1318" s="4" t="s">
        <v>181</v>
      </c>
      <c r="E1318" s="4" t="s">
        <v>23</v>
      </c>
      <c r="F1318" s="4">
        <v>2015</v>
      </c>
      <c r="G1318" s="8">
        <v>1.8</v>
      </c>
      <c r="H1318" s="4" t="s">
        <v>23</v>
      </c>
      <c r="I1318" s="8">
        <v>1.8</v>
      </c>
      <c r="J1318" s="3">
        <v>11408</v>
      </c>
      <c r="K1318" s="3"/>
      <c r="L1318" s="17" t="str" cm="1">
        <f t="array" ref="L1318">_xlfn.IFS(MID(K1318,2,2)="01", "서울", MID(K1318,2,2)="02","경기",MID(K1318,2,2)="03","충청",MID(K1318,2,2)="04","충청",MID(K1318,2,2)="05","전라",MID(K1318,2,2)="06","전라",MID(K1318,2,2)="07","경북",MID(K1318,2,2)="08","경남",MID(K1318,2,2)="09","강원",MID(K1318,2,2)="10","제주",TRUE,"국외")</f>
        <v>국외</v>
      </c>
    </row>
    <row r="1319" spans="1:12" ht="17.25" thickBot="1">
      <c r="A1319" s="3" t="s">
        <v>1427</v>
      </c>
      <c r="B1319" s="3"/>
      <c r="C1319" s="3"/>
      <c r="D1319" s="4" t="s">
        <v>181</v>
      </c>
      <c r="E1319" s="4" t="s">
        <v>23</v>
      </c>
      <c r="F1319" s="4">
        <v>2015</v>
      </c>
      <c r="G1319" s="8">
        <v>5.2</v>
      </c>
      <c r="H1319" s="4" t="s">
        <v>23</v>
      </c>
      <c r="I1319" s="8">
        <v>5.2</v>
      </c>
      <c r="J1319" s="3">
        <v>11409</v>
      </c>
      <c r="K1319" s="3"/>
      <c r="L1319" s="17" t="str" cm="1">
        <f t="array" ref="L1319">_xlfn.IFS(MID(K1319,2,2)="01", "서울", MID(K1319,2,2)="02","경기",MID(K1319,2,2)="03","충청",MID(K1319,2,2)="04","충청",MID(K1319,2,2)="05","전라",MID(K1319,2,2)="06","전라",MID(K1319,2,2)="07","경북",MID(K1319,2,2)="08","경남",MID(K1319,2,2)="09","강원",MID(K1319,2,2)="10","제주",TRUE,"국외")</f>
        <v>국외</v>
      </c>
    </row>
    <row r="1320" spans="1:12" ht="17.25" thickBot="1">
      <c r="A1320" s="3" t="s">
        <v>1428</v>
      </c>
      <c r="B1320" s="3"/>
      <c r="C1320" s="3"/>
      <c r="D1320" s="4" t="s">
        <v>181</v>
      </c>
      <c r="E1320" s="4" t="s">
        <v>3</v>
      </c>
      <c r="F1320" s="4">
        <v>2015</v>
      </c>
      <c r="G1320" s="8">
        <v>3.1</v>
      </c>
      <c r="H1320" s="4" t="s">
        <v>3</v>
      </c>
      <c r="I1320" s="8">
        <v>6.1</v>
      </c>
      <c r="J1320" s="3">
        <v>11549</v>
      </c>
      <c r="K1320" s="3"/>
      <c r="L1320" s="17" t="str" cm="1">
        <f t="array" ref="L1320">_xlfn.IFS(MID(K1320,2,2)="01", "서울", MID(K1320,2,2)="02","경기",MID(K1320,2,2)="03","충청",MID(K1320,2,2)="04","충청",MID(K1320,2,2)="05","전라",MID(K1320,2,2)="06","전라",MID(K1320,2,2)="07","경북",MID(K1320,2,2)="08","경남",MID(K1320,2,2)="09","강원",MID(K1320,2,2)="10","제주",TRUE,"국외")</f>
        <v>국외</v>
      </c>
    </row>
    <row r="1321" spans="1:12" ht="17.25" thickBot="1">
      <c r="A1321" s="3" t="s">
        <v>1429</v>
      </c>
      <c r="B1321" s="3"/>
      <c r="C1321" s="3" t="s">
        <v>1430</v>
      </c>
      <c r="D1321" s="4" t="s">
        <v>181</v>
      </c>
      <c r="E1321" s="4" t="s">
        <v>3</v>
      </c>
      <c r="F1321" s="4">
        <v>2015</v>
      </c>
      <c r="G1321" s="8">
        <v>0.5</v>
      </c>
      <c r="H1321" s="4" t="s">
        <v>3</v>
      </c>
      <c r="I1321" s="8">
        <v>0.5</v>
      </c>
      <c r="J1321" s="3">
        <v>11416</v>
      </c>
      <c r="K1321" s="3"/>
      <c r="L1321" s="17" t="str" cm="1">
        <f t="array" ref="L1321">_xlfn.IFS(MID(K1321,2,2)="01", "서울", MID(K1321,2,2)="02","경기",MID(K1321,2,2)="03","충청",MID(K1321,2,2)="04","충청",MID(K1321,2,2)="05","전라",MID(K1321,2,2)="06","전라",MID(K1321,2,2)="07","경북",MID(K1321,2,2)="08","경남",MID(K1321,2,2)="09","강원",MID(K1321,2,2)="10","제주",TRUE,"국외")</f>
        <v>국외</v>
      </c>
    </row>
    <row r="1322" spans="1:12" ht="17.25" thickBot="1">
      <c r="A1322" s="3" t="s">
        <v>1431</v>
      </c>
      <c r="B1322" s="3"/>
      <c r="C1322" s="3"/>
      <c r="D1322" s="4" t="s">
        <v>181</v>
      </c>
      <c r="E1322" s="4" t="s">
        <v>3</v>
      </c>
      <c r="F1322" s="4">
        <v>2015</v>
      </c>
      <c r="G1322" s="8">
        <v>0.1</v>
      </c>
      <c r="H1322" s="4" t="s">
        <v>3</v>
      </c>
      <c r="I1322" s="8">
        <v>0.1</v>
      </c>
      <c r="J1322" s="3">
        <v>11490</v>
      </c>
      <c r="K1322" s="3"/>
      <c r="L1322" s="17" t="str" cm="1">
        <f t="array" ref="L1322">_xlfn.IFS(MID(K1322,2,2)="01", "서울", MID(K1322,2,2)="02","경기",MID(K1322,2,2)="03","충청",MID(K1322,2,2)="04","충청",MID(K1322,2,2)="05","전라",MID(K1322,2,2)="06","전라",MID(K1322,2,2)="07","경북",MID(K1322,2,2)="08","경남",MID(K1322,2,2)="09","강원",MID(K1322,2,2)="10","제주",TRUE,"국외")</f>
        <v>국외</v>
      </c>
    </row>
    <row r="1323" spans="1:12" ht="17.25" thickBot="1">
      <c r="A1323" s="3" t="s">
        <v>1432</v>
      </c>
      <c r="B1323" s="3" t="s">
        <v>63</v>
      </c>
      <c r="C1323" s="3" t="s">
        <v>90</v>
      </c>
      <c r="D1323" s="4" t="s">
        <v>205</v>
      </c>
      <c r="E1323" s="4" t="s">
        <v>6</v>
      </c>
      <c r="F1323" s="4"/>
      <c r="G1323" s="9"/>
      <c r="H1323" s="4"/>
      <c r="I1323" s="9"/>
      <c r="J1323" s="3">
        <v>12520</v>
      </c>
      <c r="K1323" s="3">
        <v>50807</v>
      </c>
      <c r="L1323" s="17" t="str" cm="1">
        <f t="array" ref="L1323">_xlfn.IFS(MID(K1323,2,2)="01", "서울", MID(K1323,2,2)="02","경기",MID(K1323,2,2)="03","충청",MID(K1323,2,2)="04","충청",MID(K1323,2,2)="05","전라",MID(K1323,2,2)="06","전라",MID(K1323,2,2)="07","경북",MID(K1323,2,2)="08","경남",MID(K1323,2,2)="09","강원",MID(K1323,2,2)="10","제주",TRUE,"국외")</f>
        <v>경남</v>
      </c>
    </row>
    <row r="1324" spans="1:12" ht="17.25" thickBot="1">
      <c r="A1324" s="3" t="s">
        <v>1270</v>
      </c>
      <c r="B1324" s="3" t="s">
        <v>66</v>
      </c>
      <c r="C1324" s="3"/>
      <c r="D1324" s="4" t="s">
        <v>205</v>
      </c>
      <c r="E1324" s="4" t="s">
        <v>12</v>
      </c>
      <c r="F1324" s="4">
        <v>2019</v>
      </c>
      <c r="G1324" s="9"/>
      <c r="H1324" s="4" t="s">
        <v>12</v>
      </c>
      <c r="I1324" s="8">
        <v>-0.1</v>
      </c>
      <c r="J1324" s="3">
        <v>14187</v>
      </c>
      <c r="K1324" s="3">
        <v>50110</v>
      </c>
      <c r="L1324" s="17" t="str" cm="1">
        <f t="array" ref="L1324">_xlfn.IFS(MID(K1324,2,2)="01", "서울", MID(K1324,2,2)="02","경기",MID(K1324,2,2)="03","충청",MID(K1324,2,2)="04","충청",MID(K1324,2,2)="05","전라",MID(K1324,2,2)="06","전라",MID(K1324,2,2)="07","경북",MID(K1324,2,2)="08","경남",MID(K1324,2,2)="09","강원",MID(K1324,2,2)="10","제주",TRUE,"국외")</f>
        <v>서울</v>
      </c>
    </row>
    <row r="1325" spans="1:12" ht="17.25" thickBot="1">
      <c r="A1325" s="3" t="s">
        <v>1433</v>
      </c>
      <c r="B1325" s="3" t="s">
        <v>126</v>
      </c>
      <c r="C1325" s="3"/>
      <c r="D1325" s="4" t="s">
        <v>205</v>
      </c>
      <c r="E1325" s="4" t="s">
        <v>607</v>
      </c>
      <c r="F1325" s="4"/>
      <c r="G1325" s="9"/>
      <c r="H1325" s="4"/>
      <c r="I1325" s="9"/>
      <c r="J1325" s="3">
        <v>14197</v>
      </c>
      <c r="K1325" s="3">
        <v>50206</v>
      </c>
      <c r="L1325" s="17" t="str" cm="1">
        <f t="array" ref="L1325">_xlfn.IFS(MID(K1325,2,2)="01", "서울", MID(K1325,2,2)="02","경기",MID(K1325,2,2)="03","충청",MID(K1325,2,2)="04","충청",MID(K1325,2,2)="05","전라",MID(K1325,2,2)="06","전라",MID(K1325,2,2)="07","경북",MID(K1325,2,2)="08","경남",MID(K1325,2,2)="09","강원",MID(K1325,2,2)="10","제주",TRUE,"국외")</f>
        <v>경기</v>
      </c>
    </row>
    <row r="1326" spans="1:12" ht="17.25" thickBot="1">
      <c r="A1326" s="3" t="s">
        <v>1434</v>
      </c>
      <c r="B1326" s="3" t="s">
        <v>22</v>
      </c>
      <c r="C1326" s="3" t="s">
        <v>237</v>
      </c>
      <c r="D1326" s="4" t="s">
        <v>205</v>
      </c>
      <c r="E1326" s="4" t="s">
        <v>906</v>
      </c>
      <c r="F1326" s="4">
        <v>2015</v>
      </c>
      <c r="G1326" s="8">
        <v>0.2</v>
      </c>
      <c r="H1326" s="4" t="s">
        <v>18</v>
      </c>
      <c r="I1326" s="8">
        <v>1.7</v>
      </c>
      <c r="J1326" s="3">
        <v>11498</v>
      </c>
      <c r="K1326" s="3">
        <v>50209</v>
      </c>
      <c r="L1326" s="17" t="str" cm="1">
        <f t="array" ref="L1326">_xlfn.IFS(MID(K1326,2,2)="01", "서울", MID(K1326,2,2)="02","경기",MID(K1326,2,2)="03","충청",MID(K1326,2,2)="04","충청",MID(K1326,2,2)="05","전라",MID(K1326,2,2)="06","전라",MID(K1326,2,2)="07","경북",MID(K1326,2,2)="08","경남",MID(K1326,2,2)="09","강원",MID(K1326,2,2)="10","제주",TRUE,"국외")</f>
        <v>경기</v>
      </c>
    </row>
    <row r="1327" spans="1:12" ht="17.25" thickBot="1">
      <c r="A1327" s="3" t="s">
        <v>1435</v>
      </c>
      <c r="B1327" s="3" t="s">
        <v>8</v>
      </c>
      <c r="C1327" s="3"/>
      <c r="D1327" s="4" t="s">
        <v>205</v>
      </c>
      <c r="E1327" s="4" t="s">
        <v>906</v>
      </c>
      <c r="F1327" s="4"/>
      <c r="G1327" s="9"/>
      <c r="H1327" s="4"/>
      <c r="I1327" s="9"/>
      <c r="J1327" s="3">
        <v>14217</v>
      </c>
      <c r="K1327" s="3">
        <v>50116</v>
      </c>
      <c r="L1327" s="17" t="str" cm="1">
        <f t="array" ref="L1327">_xlfn.IFS(MID(K1327,2,2)="01", "서울", MID(K1327,2,2)="02","경기",MID(K1327,2,2)="03","충청",MID(K1327,2,2)="04","충청",MID(K1327,2,2)="05","전라",MID(K1327,2,2)="06","전라",MID(K1327,2,2)="07","경북",MID(K1327,2,2)="08","경남",MID(K1327,2,2)="09","강원",MID(K1327,2,2)="10","제주",TRUE,"국외")</f>
        <v>서울</v>
      </c>
    </row>
    <row r="1328" spans="1:12" ht="17.25" thickBot="1">
      <c r="A1328" s="3" t="s">
        <v>1436</v>
      </c>
      <c r="B1328" s="3" t="s">
        <v>42</v>
      </c>
      <c r="C1328" s="3" t="s">
        <v>172</v>
      </c>
      <c r="D1328" s="4" t="s">
        <v>205</v>
      </c>
      <c r="E1328" s="4" t="s">
        <v>906</v>
      </c>
      <c r="F1328" s="4">
        <v>2016</v>
      </c>
      <c r="G1328" s="9"/>
      <c r="H1328" s="4" t="s">
        <v>18</v>
      </c>
      <c r="I1328" s="8">
        <v>0.1</v>
      </c>
      <c r="J1328" s="3">
        <v>12683</v>
      </c>
      <c r="K1328" s="3">
        <v>50502</v>
      </c>
      <c r="L1328" s="17" t="str" cm="1">
        <f t="array" ref="L1328">_xlfn.IFS(MID(K1328,2,2)="01", "서울", MID(K1328,2,2)="02","경기",MID(K1328,2,2)="03","충청",MID(K1328,2,2)="04","충청",MID(K1328,2,2)="05","전라",MID(K1328,2,2)="06","전라",MID(K1328,2,2)="07","경북",MID(K1328,2,2)="08","경남",MID(K1328,2,2)="09","강원",MID(K1328,2,2)="10","제주",TRUE,"국외")</f>
        <v>전라</v>
      </c>
    </row>
    <row r="1329" spans="1:12" ht="17.25" thickBot="1">
      <c r="A1329" s="3" t="s">
        <v>1437</v>
      </c>
      <c r="B1329" s="3" t="s">
        <v>22</v>
      </c>
      <c r="C1329" s="3"/>
      <c r="D1329" s="4" t="s">
        <v>205</v>
      </c>
      <c r="E1329" s="4" t="s">
        <v>26</v>
      </c>
      <c r="F1329" s="4">
        <v>2019</v>
      </c>
      <c r="G1329" s="9"/>
      <c r="H1329" s="4" t="s">
        <v>20</v>
      </c>
      <c r="I1329" s="8">
        <v>2</v>
      </c>
      <c r="J1329" s="3">
        <v>13056</v>
      </c>
      <c r="K1329" s="3">
        <v>50209</v>
      </c>
      <c r="L1329" s="17" t="str" cm="1">
        <f t="array" ref="L1329">_xlfn.IFS(MID(K1329,2,2)="01", "서울", MID(K1329,2,2)="02","경기",MID(K1329,2,2)="03","충청",MID(K1329,2,2)="04","충청",MID(K1329,2,2)="05","전라",MID(K1329,2,2)="06","전라",MID(K1329,2,2)="07","경북",MID(K1329,2,2)="08","경남",MID(K1329,2,2)="09","강원",MID(K1329,2,2)="10","제주",TRUE,"국외")</f>
        <v>경기</v>
      </c>
    </row>
    <row r="1330" spans="1:12" ht="17.25" thickBot="1">
      <c r="A1330" s="3" t="s">
        <v>686</v>
      </c>
      <c r="B1330" s="3" t="s">
        <v>25</v>
      </c>
      <c r="C1330" s="3"/>
      <c r="D1330" s="4" t="s">
        <v>205</v>
      </c>
      <c r="E1330" s="4" t="s">
        <v>9</v>
      </c>
      <c r="F1330" s="4"/>
      <c r="G1330" s="9"/>
      <c r="H1330" s="4"/>
      <c r="I1330" s="9"/>
      <c r="J1330" s="3">
        <v>12687</v>
      </c>
      <c r="K1330" s="3">
        <v>50403</v>
      </c>
      <c r="L1330" s="17" t="str" cm="1">
        <f t="array" ref="L1330">_xlfn.IFS(MID(K1330,2,2)="01", "서울", MID(K1330,2,2)="02","경기",MID(K1330,2,2)="03","충청",MID(K1330,2,2)="04","충청",MID(K1330,2,2)="05","전라",MID(K1330,2,2)="06","전라",MID(K1330,2,2)="07","경북",MID(K1330,2,2)="08","경남",MID(K1330,2,2)="09","강원",MID(K1330,2,2)="10","제주",TRUE,"국외")</f>
        <v>충청</v>
      </c>
    </row>
    <row r="1331" spans="1:12" ht="17.25" thickBot="1">
      <c r="A1331" s="3" t="s">
        <v>1438</v>
      </c>
      <c r="B1331" s="3" t="s">
        <v>147</v>
      </c>
      <c r="C1331" s="3"/>
      <c r="D1331" s="4" t="s">
        <v>205</v>
      </c>
      <c r="E1331" s="4" t="s">
        <v>9</v>
      </c>
      <c r="F1331" s="4">
        <v>2016</v>
      </c>
      <c r="G1331" s="9"/>
      <c r="H1331" s="4" t="s">
        <v>3</v>
      </c>
      <c r="I1331" s="8">
        <v>-1.1000000000000001</v>
      </c>
      <c r="J1331" s="3">
        <v>12662</v>
      </c>
      <c r="K1331" s="3">
        <v>50208</v>
      </c>
      <c r="L1331" s="17" t="str" cm="1">
        <f t="array" ref="L1331">_xlfn.IFS(MID(K1331,2,2)="01", "서울", MID(K1331,2,2)="02","경기",MID(K1331,2,2)="03","충청",MID(K1331,2,2)="04","충청",MID(K1331,2,2)="05","전라",MID(K1331,2,2)="06","전라",MID(K1331,2,2)="07","경북",MID(K1331,2,2)="08","경남",MID(K1331,2,2)="09","강원",MID(K1331,2,2)="10","제주",TRUE,"국외")</f>
        <v>경기</v>
      </c>
    </row>
    <row r="1332" spans="1:12" ht="17.25" thickBot="1">
      <c r="A1332" s="3" t="s">
        <v>1439</v>
      </c>
      <c r="B1332" s="3" t="s">
        <v>147</v>
      </c>
      <c r="C1332" s="3"/>
      <c r="D1332" s="4" t="s">
        <v>205</v>
      </c>
      <c r="E1332" s="4" t="s">
        <v>9</v>
      </c>
      <c r="F1332" s="4"/>
      <c r="G1332" s="9"/>
      <c r="H1332" s="4"/>
      <c r="I1332" s="9"/>
      <c r="J1332" s="3">
        <v>14203</v>
      </c>
      <c r="K1332" s="3">
        <v>50208</v>
      </c>
      <c r="L1332" s="17" t="str" cm="1">
        <f t="array" ref="L1332">_xlfn.IFS(MID(K1332,2,2)="01", "서울", MID(K1332,2,2)="02","경기",MID(K1332,2,2)="03","충청",MID(K1332,2,2)="04","충청",MID(K1332,2,2)="05","전라",MID(K1332,2,2)="06","전라",MID(K1332,2,2)="07","경북",MID(K1332,2,2)="08","경남",MID(K1332,2,2)="09","강원",MID(K1332,2,2)="10","제주",TRUE,"국외")</f>
        <v>경기</v>
      </c>
    </row>
    <row r="1333" spans="1:12" ht="17.25" thickBot="1">
      <c r="A1333" s="3" t="s">
        <v>1034</v>
      </c>
      <c r="B1333" s="3" t="s">
        <v>112</v>
      </c>
      <c r="C1333" s="3"/>
      <c r="D1333" s="4" t="s">
        <v>205</v>
      </c>
      <c r="E1333" s="4" t="s">
        <v>9</v>
      </c>
      <c r="F1333" s="4">
        <v>2020</v>
      </c>
      <c r="G1333" s="9"/>
      <c r="H1333" s="4" t="s">
        <v>9</v>
      </c>
      <c r="I1333" s="8">
        <v>0</v>
      </c>
      <c r="J1333" s="3">
        <v>12699</v>
      </c>
      <c r="K1333" s="3">
        <v>50113</v>
      </c>
      <c r="L1333" s="17" t="str" cm="1">
        <f t="array" ref="L1333">_xlfn.IFS(MID(K1333,2,2)="01", "서울", MID(K1333,2,2)="02","경기",MID(K1333,2,2)="03","충청",MID(K1333,2,2)="04","충청",MID(K1333,2,2)="05","전라",MID(K1333,2,2)="06","전라",MID(K1333,2,2)="07","경북",MID(K1333,2,2)="08","경남",MID(K1333,2,2)="09","강원",MID(K1333,2,2)="10","제주",TRUE,"국외")</f>
        <v>서울</v>
      </c>
    </row>
    <row r="1334" spans="1:12" ht="17.25" thickBot="1">
      <c r="A1334" s="3" t="s">
        <v>1440</v>
      </c>
      <c r="B1334" s="3" t="s">
        <v>335</v>
      </c>
      <c r="C1334" s="3" t="s">
        <v>90</v>
      </c>
      <c r="D1334" s="4" t="s">
        <v>205</v>
      </c>
      <c r="E1334" s="4" t="s">
        <v>9</v>
      </c>
      <c r="F1334" s="4">
        <v>2015</v>
      </c>
      <c r="G1334" s="8">
        <v>-0.3</v>
      </c>
      <c r="H1334" s="4" t="s">
        <v>9</v>
      </c>
      <c r="I1334" s="8">
        <v>0.2</v>
      </c>
      <c r="J1334" s="3">
        <v>11483</v>
      </c>
      <c r="K1334" s="3">
        <v>50804</v>
      </c>
      <c r="L1334" s="17" t="str" cm="1">
        <f t="array" ref="L1334">_xlfn.IFS(MID(K1334,2,2)="01", "서울", MID(K1334,2,2)="02","경기",MID(K1334,2,2)="03","충청",MID(K1334,2,2)="04","충청",MID(K1334,2,2)="05","전라",MID(K1334,2,2)="06","전라",MID(K1334,2,2)="07","경북",MID(K1334,2,2)="08","경남",MID(K1334,2,2)="09","강원",MID(K1334,2,2)="10","제주",TRUE,"국외")</f>
        <v>경남</v>
      </c>
    </row>
    <row r="1335" spans="1:12" ht="17.25" thickBot="1">
      <c r="A1335" s="3" t="s">
        <v>1441</v>
      </c>
      <c r="B1335" s="3" t="s">
        <v>1</v>
      </c>
      <c r="C1335" s="3" t="s">
        <v>45</v>
      </c>
      <c r="D1335" s="4" t="s">
        <v>205</v>
      </c>
      <c r="E1335" s="4" t="s">
        <v>23</v>
      </c>
      <c r="F1335" s="4">
        <v>2017</v>
      </c>
      <c r="G1335" s="9"/>
      <c r="H1335" s="4" t="s">
        <v>23</v>
      </c>
      <c r="I1335" s="8">
        <v>0</v>
      </c>
      <c r="J1335" s="3">
        <v>12644</v>
      </c>
      <c r="K1335" s="3">
        <v>50107</v>
      </c>
      <c r="L1335" s="17" t="str" cm="1">
        <f t="array" ref="L1335">_xlfn.IFS(MID(K1335,2,2)="01", "서울", MID(K1335,2,2)="02","경기",MID(K1335,2,2)="03","충청",MID(K1335,2,2)="04","충청",MID(K1335,2,2)="05","전라",MID(K1335,2,2)="06","전라",MID(K1335,2,2)="07","경북",MID(K1335,2,2)="08","경남",MID(K1335,2,2)="09","강원",MID(K1335,2,2)="10","제주",TRUE,"국외")</f>
        <v>서울</v>
      </c>
    </row>
    <row r="1336" spans="1:12" ht="17.25" thickBot="1">
      <c r="A1336" s="3" t="s">
        <v>1442</v>
      </c>
      <c r="B1336" s="3" t="s">
        <v>38</v>
      </c>
      <c r="C1336" s="3" t="s">
        <v>483</v>
      </c>
      <c r="D1336" s="4" t="s">
        <v>205</v>
      </c>
      <c r="E1336" s="4" t="s">
        <v>3</v>
      </c>
      <c r="F1336" s="4"/>
      <c r="G1336" s="9"/>
      <c r="H1336" s="4"/>
      <c r="I1336" s="9"/>
      <c r="J1336" s="3">
        <v>11418</v>
      </c>
      <c r="K1336" s="3">
        <v>50109</v>
      </c>
      <c r="L1336" s="17" t="str" cm="1">
        <f t="array" ref="L1336">_xlfn.IFS(MID(K1336,2,2)="01", "서울", MID(K1336,2,2)="02","경기",MID(K1336,2,2)="03","충청",MID(K1336,2,2)="04","충청",MID(K1336,2,2)="05","전라",MID(K1336,2,2)="06","전라",MID(K1336,2,2)="07","경북",MID(K1336,2,2)="08","경남",MID(K1336,2,2)="09","강원",MID(K1336,2,2)="10","제주",TRUE,"국외")</f>
        <v>서울</v>
      </c>
    </row>
    <row r="1337" spans="1:12" ht="17.25" thickBot="1">
      <c r="A1337" s="3" t="s">
        <v>1443</v>
      </c>
      <c r="B1337" s="3" t="s">
        <v>38</v>
      </c>
      <c r="C1337" s="3"/>
      <c r="D1337" s="4" t="s">
        <v>205</v>
      </c>
      <c r="E1337" s="4" t="s">
        <v>3</v>
      </c>
      <c r="F1337" s="4">
        <v>2015</v>
      </c>
      <c r="G1337" s="8">
        <v>-0.2</v>
      </c>
      <c r="H1337" s="4" t="s">
        <v>3</v>
      </c>
      <c r="I1337" s="8">
        <v>-0.2</v>
      </c>
      <c r="J1337" s="3">
        <v>11419</v>
      </c>
      <c r="K1337" s="3">
        <v>50109</v>
      </c>
      <c r="L1337" s="17" t="str" cm="1">
        <f t="array" ref="L1337">_xlfn.IFS(MID(K1337,2,2)="01", "서울", MID(K1337,2,2)="02","경기",MID(K1337,2,2)="03","충청",MID(K1337,2,2)="04","충청",MID(K1337,2,2)="05","전라",MID(K1337,2,2)="06","전라",MID(K1337,2,2)="07","경북",MID(K1337,2,2)="08","경남",MID(K1337,2,2)="09","강원",MID(K1337,2,2)="10","제주",TRUE,"국외")</f>
        <v>서울</v>
      </c>
    </row>
    <row r="1338" spans="1:12" ht="17.25" thickBot="1">
      <c r="A1338" s="3" t="s">
        <v>1444</v>
      </c>
      <c r="B1338" s="3" t="s">
        <v>1033</v>
      </c>
      <c r="C1338" s="3"/>
      <c r="D1338" s="4" t="s">
        <v>205</v>
      </c>
      <c r="E1338" s="4" t="s">
        <v>3</v>
      </c>
      <c r="F1338" s="4">
        <v>2015</v>
      </c>
      <c r="G1338" s="8">
        <v>0.9</v>
      </c>
      <c r="H1338" s="4" t="s">
        <v>3</v>
      </c>
      <c r="I1338" s="8">
        <v>0</v>
      </c>
      <c r="J1338" s="3">
        <v>11492</v>
      </c>
      <c r="K1338" s="3">
        <v>51101</v>
      </c>
      <c r="L1338" s="17" t="str" cm="1">
        <f t="array" ref="L1338">_xlfn.IFS(MID(K1338,2,2)="01", "서울", MID(K1338,2,2)="02","경기",MID(K1338,2,2)="03","충청",MID(K1338,2,2)="04","충청",MID(K1338,2,2)="05","전라",MID(K1338,2,2)="06","전라",MID(K1338,2,2)="07","경북",MID(K1338,2,2)="08","경남",MID(K1338,2,2)="09","강원",MID(K1338,2,2)="10","제주",TRUE,"국외")</f>
        <v>국외</v>
      </c>
    </row>
    <row r="1339" spans="1:12" ht="17.25" thickBot="1">
      <c r="A1339" s="3" t="s">
        <v>1445</v>
      </c>
      <c r="B1339" s="3" t="s">
        <v>169</v>
      </c>
      <c r="C1339" s="3"/>
      <c r="D1339" s="4" t="s">
        <v>243</v>
      </c>
      <c r="E1339" s="4" t="s">
        <v>6</v>
      </c>
      <c r="F1339" s="4">
        <v>2019</v>
      </c>
      <c r="G1339" s="9"/>
      <c r="H1339" s="4" t="s">
        <v>6</v>
      </c>
      <c r="I1339" s="8">
        <v>0.7</v>
      </c>
      <c r="J1339" s="3">
        <v>11263</v>
      </c>
      <c r="K1339" s="3">
        <v>50606</v>
      </c>
      <c r="L1339" s="17" t="str" cm="1">
        <f t="array" ref="L1339">_xlfn.IFS(MID(K1339,2,2)="01", "서울", MID(K1339,2,2)="02","경기",MID(K1339,2,2)="03","충청",MID(K1339,2,2)="04","충청",MID(K1339,2,2)="05","전라",MID(K1339,2,2)="06","전라",MID(K1339,2,2)="07","경북",MID(K1339,2,2)="08","경남",MID(K1339,2,2)="09","강원",MID(K1339,2,2)="10","제주",TRUE,"국외")</f>
        <v>전라</v>
      </c>
    </row>
    <row r="1340" spans="1:12" ht="17.25" thickBot="1">
      <c r="A1340" s="3" t="s">
        <v>1361</v>
      </c>
      <c r="B1340" s="3" t="s">
        <v>34</v>
      </c>
      <c r="C1340" s="3"/>
      <c r="D1340" s="4" t="s">
        <v>243</v>
      </c>
      <c r="E1340" s="4"/>
      <c r="F1340" s="4">
        <v>2015</v>
      </c>
      <c r="G1340" s="9"/>
      <c r="H1340" s="4" t="s">
        <v>9</v>
      </c>
      <c r="I1340" s="8">
        <v>26.6</v>
      </c>
      <c r="J1340" s="3">
        <v>11310</v>
      </c>
      <c r="K1340" s="3">
        <v>50701</v>
      </c>
      <c r="L1340" s="17" t="str" cm="1">
        <f t="array" ref="L1340">_xlfn.IFS(MID(K1340,2,2)="01", "서울", MID(K1340,2,2)="02","경기",MID(K1340,2,2)="03","충청",MID(K1340,2,2)="04","충청",MID(K1340,2,2)="05","전라",MID(K1340,2,2)="06","전라",MID(K1340,2,2)="07","경북",MID(K1340,2,2)="08","경남",MID(K1340,2,2)="09","강원",MID(K1340,2,2)="10","제주",TRUE,"국외")</f>
        <v>경북</v>
      </c>
    </row>
    <row r="1341" spans="1:12" ht="17.25" thickBot="1">
      <c r="A1341" s="3" t="s">
        <v>1446</v>
      </c>
      <c r="B1341" s="3" t="s">
        <v>275</v>
      </c>
      <c r="C1341" s="3"/>
      <c r="D1341" s="4" t="s">
        <v>243</v>
      </c>
      <c r="E1341" s="4" t="s">
        <v>20</v>
      </c>
      <c r="F1341" s="4">
        <v>2014</v>
      </c>
      <c r="G1341" s="8">
        <v>0.1</v>
      </c>
      <c r="H1341" s="4" t="s">
        <v>20</v>
      </c>
      <c r="I1341" s="8">
        <v>0.2</v>
      </c>
      <c r="J1341" s="3">
        <v>11211</v>
      </c>
      <c r="K1341" s="3">
        <v>51001</v>
      </c>
      <c r="L1341" s="17" t="str" cm="1">
        <f t="array" ref="L1341">_xlfn.IFS(MID(K1341,2,2)="01", "서울", MID(K1341,2,2)="02","경기",MID(K1341,2,2)="03","충청",MID(K1341,2,2)="04","충청",MID(K1341,2,2)="05","전라",MID(K1341,2,2)="06","전라",MID(K1341,2,2)="07","경북",MID(K1341,2,2)="08","경남",MID(K1341,2,2)="09","강원",MID(K1341,2,2)="10","제주",TRUE,"국외")</f>
        <v>제주</v>
      </c>
    </row>
    <row r="1342" spans="1:12" ht="17.25" thickBot="1">
      <c r="A1342" s="3" t="s">
        <v>1447</v>
      </c>
      <c r="B1342" s="3" t="s">
        <v>107</v>
      </c>
      <c r="C1342" s="3" t="s">
        <v>133</v>
      </c>
      <c r="D1342" s="4" t="s">
        <v>243</v>
      </c>
      <c r="E1342" s="4" t="s">
        <v>12</v>
      </c>
      <c r="F1342" s="4">
        <v>2014</v>
      </c>
      <c r="G1342" s="8">
        <v>-0.2</v>
      </c>
      <c r="H1342" s="4" t="s">
        <v>28</v>
      </c>
      <c r="I1342" s="8">
        <v>-1.7</v>
      </c>
      <c r="J1342" s="3">
        <v>11243</v>
      </c>
      <c r="K1342" s="3">
        <v>50602</v>
      </c>
      <c r="L1342" s="17" t="str" cm="1">
        <f t="array" ref="L1342">_xlfn.IFS(MID(K1342,2,2)="01", "서울", MID(K1342,2,2)="02","경기",MID(K1342,2,2)="03","충청",MID(K1342,2,2)="04","충청",MID(K1342,2,2)="05","전라",MID(K1342,2,2)="06","전라",MID(K1342,2,2)="07","경북",MID(K1342,2,2)="08","경남",MID(K1342,2,2)="09","강원",MID(K1342,2,2)="10","제주",TRUE,"국외")</f>
        <v>전라</v>
      </c>
    </row>
    <row r="1343" spans="1:12" ht="17.25" thickBot="1">
      <c r="A1343" s="3" t="s">
        <v>1448</v>
      </c>
      <c r="B1343" s="3" t="s">
        <v>241</v>
      </c>
      <c r="C1343" s="3"/>
      <c r="D1343" s="4" t="s">
        <v>243</v>
      </c>
      <c r="E1343" s="4" t="s">
        <v>607</v>
      </c>
      <c r="F1343" s="4">
        <v>2016</v>
      </c>
      <c r="G1343" s="9"/>
      <c r="H1343" s="4" t="s">
        <v>15</v>
      </c>
      <c r="I1343" s="8">
        <v>2</v>
      </c>
      <c r="J1343" s="3">
        <v>11242</v>
      </c>
      <c r="K1343" s="3">
        <v>50202</v>
      </c>
      <c r="L1343" s="17" t="str" cm="1">
        <f t="array" ref="L1343">_xlfn.IFS(MID(K1343,2,2)="01", "서울", MID(K1343,2,2)="02","경기",MID(K1343,2,2)="03","충청",MID(K1343,2,2)="04","충청",MID(K1343,2,2)="05","전라",MID(K1343,2,2)="06","전라",MID(K1343,2,2)="07","경북",MID(K1343,2,2)="08","경남",MID(K1343,2,2)="09","강원",MID(K1343,2,2)="10","제주",TRUE,"국외")</f>
        <v>경기</v>
      </c>
    </row>
    <row r="1344" spans="1:12" ht="17.25" thickBot="1">
      <c r="A1344" s="3" t="s">
        <v>1449</v>
      </c>
      <c r="B1344" s="3" t="s">
        <v>70</v>
      </c>
      <c r="C1344" s="3"/>
      <c r="D1344" s="4" t="s">
        <v>243</v>
      </c>
      <c r="E1344" s="4" t="s">
        <v>906</v>
      </c>
      <c r="F1344" s="4">
        <v>2015</v>
      </c>
      <c r="G1344" s="9"/>
      <c r="H1344" s="4" t="s">
        <v>18</v>
      </c>
      <c r="I1344" s="8">
        <v>4.3</v>
      </c>
      <c r="J1344" s="3">
        <v>11226</v>
      </c>
      <c r="K1344" s="3">
        <v>50103</v>
      </c>
      <c r="L1344" s="17" t="str" cm="1">
        <f t="array" ref="L1344">_xlfn.IFS(MID(K1344,2,2)="01", "서울", MID(K1344,2,2)="02","경기",MID(K1344,2,2)="03","충청",MID(K1344,2,2)="04","충청",MID(K1344,2,2)="05","전라",MID(K1344,2,2)="06","전라",MID(K1344,2,2)="07","경북",MID(K1344,2,2)="08","경남",MID(K1344,2,2)="09","강원",MID(K1344,2,2)="10","제주",TRUE,"국외")</f>
        <v>서울</v>
      </c>
    </row>
    <row r="1345" spans="1:12" ht="17.25" thickBot="1">
      <c r="A1345" s="3" t="s">
        <v>1450</v>
      </c>
      <c r="B1345" s="3" t="s">
        <v>70</v>
      </c>
      <c r="C1345" s="3"/>
      <c r="D1345" s="4" t="s">
        <v>243</v>
      </c>
      <c r="E1345" s="4" t="s">
        <v>26</v>
      </c>
      <c r="F1345" s="4">
        <v>2018</v>
      </c>
      <c r="G1345" s="9"/>
      <c r="H1345" s="4" t="s">
        <v>26</v>
      </c>
      <c r="I1345" s="8">
        <v>0</v>
      </c>
      <c r="J1345" s="3">
        <v>11203</v>
      </c>
      <c r="K1345" s="3">
        <v>50103</v>
      </c>
      <c r="L1345" s="17" t="str" cm="1">
        <f t="array" ref="L1345">_xlfn.IFS(MID(K1345,2,2)="01", "서울", MID(K1345,2,2)="02","경기",MID(K1345,2,2)="03","충청",MID(K1345,2,2)="04","충청",MID(K1345,2,2)="05","전라",MID(K1345,2,2)="06","전라",MID(K1345,2,2)="07","경북",MID(K1345,2,2)="08","경남",MID(K1345,2,2)="09","강원",MID(K1345,2,2)="10","제주",TRUE,"국외")</f>
        <v>서울</v>
      </c>
    </row>
    <row r="1346" spans="1:12" ht="17.25" thickBot="1">
      <c r="A1346" s="3" t="s">
        <v>1451</v>
      </c>
      <c r="B1346" s="3" t="s">
        <v>11</v>
      </c>
      <c r="C1346" s="3"/>
      <c r="D1346" s="4" t="s">
        <v>243</v>
      </c>
      <c r="E1346" s="4" t="s">
        <v>9</v>
      </c>
      <c r="F1346" s="4">
        <v>2014</v>
      </c>
      <c r="G1346" s="8">
        <v>0</v>
      </c>
      <c r="H1346" s="4" t="s">
        <v>9</v>
      </c>
      <c r="I1346" s="8">
        <v>0.5</v>
      </c>
      <c r="J1346" s="3">
        <v>11229</v>
      </c>
      <c r="K1346" s="3">
        <v>50802</v>
      </c>
      <c r="L1346" s="17" t="str" cm="1">
        <f t="array" ref="L1346">_xlfn.IFS(MID(K1346,2,2)="01", "서울", MID(K1346,2,2)="02","경기",MID(K1346,2,2)="03","충청",MID(K1346,2,2)="04","충청",MID(K1346,2,2)="05","전라",MID(K1346,2,2)="06","전라",MID(K1346,2,2)="07","경북",MID(K1346,2,2)="08","경남",MID(K1346,2,2)="09","강원",MID(K1346,2,2)="10","제주",TRUE,"국외")</f>
        <v>경남</v>
      </c>
    </row>
    <row r="1347" spans="1:12" ht="17.25" thickBot="1">
      <c r="A1347" s="3" t="s">
        <v>1452</v>
      </c>
      <c r="B1347" s="3" t="s">
        <v>332</v>
      </c>
      <c r="C1347" s="3"/>
      <c r="D1347" s="4" t="s">
        <v>243</v>
      </c>
      <c r="E1347" s="4" t="s">
        <v>23</v>
      </c>
      <c r="F1347" s="4">
        <v>2014</v>
      </c>
      <c r="G1347" s="8">
        <v>0.3</v>
      </c>
      <c r="H1347" s="4" t="s">
        <v>23</v>
      </c>
      <c r="I1347" s="8">
        <v>0.3</v>
      </c>
      <c r="J1347" s="3">
        <v>11196</v>
      </c>
      <c r="K1347" s="3">
        <v>50705</v>
      </c>
      <c r="L1347" s="17" t="str" cm="1">
        <f t="array" ref="L1347">_xlfn.IFS(MID(K1347,2,2)="01", "서울", MID(K1347,2,2)="02","경기",MID(K1347,2,2)="03","충청",MID(K1347,2,2)="04","충청",MID(K1347,2,2)="05","전라",MID(K1347,2,2)="06","전라",MID(K1347,2,2)="07","경북",MID(K1347,2,2)="08","경남",MID(K1347,2,2)="09","강원",MID(K1347,2,2)="10","제주",TRUE,"국외")</f>
        <v>경북</v>
      </c>
    </row>
    <row r="1348" spans="1:12" ht="17.25" thickBot="1">
      <c r="A1348" s="3" t="s">
        <v>1453</v>
      </c>
      <c r="B1348" s="3" t="s">
        <v>176</v>
      </c>
      <c r="C1348" s="3"/>
      <c r="D1348" s="4" t="s">
        <v>243</v>
      </c>
      <c r="E1348" s="4" t="s">
        <v>3</v>
      </c>
      <c r="F1348" s="4">
        <v>2014</v>
      </c>
      <c r="G1348" s="8">
        <v>0</v>
      </c>
      <c r="H1348" s="4" t="s">
        <v>3</v>
      </c>
      <c r="I1348" s="8">
        <v>-0.4</v>
      </c>
      <c r="J1348" s="3">
        <v>11278</v>
      </c>
      <c r="K1348" s="3">
        <v>50302</v>
      </c>
      <c r="L1348" s="17" t="str" cm="1">
        <f t="array" ref="L1348">_xlfn.IFS(MID(K1348,2,2)="01", "서울", MID(K1348,2,2)="02","경기",MID(K1348,2,2)="03","충청",MID(K1348,2,2)="04","충청",MID(K1348,2,2)="05","전라",MID(K1348,2,2)="06","전라",MID(K1348,2,2)="07","경북",MID(K1348,2,2)="08","경남",MID(K1348,2,2)="09","강원",MID(K1348,2,2)="10","제주",TRUE,"국외")</f>
        <v>충청</v>
      </c>
    </row>
    <row r="1349" spans="1:12" ht="17.25" thickBot="1">
      <c r="A1349" s="3" t="s">
        <v>1454</v>
      </c>
      <c r="B1349" s="3" t="s">
        <v>126</v>
      </c>
      <c r="C1349" s="3" t="s">
        <v>172</v>
      </c>
      <c r="D1349" s="4" t="s">
        <v>254</v>
      </c>
      <c r="E1349" s="4" t="s">
        <v>6</v>
      </c>
      <c r="F1349" s="4">
        <v>2014</v>
      </c>
      <c r="G1349" s="8">
        <v>0</v>
      </c>
      <c r="H1349" s="4" t="s">
        <v>23</v>
      </c>
      <c r="I1349" s="8">
        <v>3.2</v>
      </c>
      <c r="J1349" s="3">
        <v>11255</v>
      </c>
      <c r="K1349" s="3">
        <v>50206</v>
      </c>
      <c r="L1349" s="17" t="str" cm="1">
        <f t="array" ref="L1349">_xlfn.IFS(MID(K1349,2,2)="01", "서울", MID(K1349,2,2)="02","경기",MID(K1349,2,2)="03","충청",MID(K1349,2,2)="04","충청",MID(K1349,2,2)="05","전라",MID(K1349,2,2)="06","전라",MID(K1349,2,2)="07","경북",MID(K1349,2,2)="08","경남",MID(K1349,2,2)="09","강원",MID(K1349,2,2)="10","제주",TRUE,"국외")</f>
        <v>경기</v>
      </c>
    </row>
    <row r="1350" spans="1:12" ht="17.25" thickBot="1">
      <c r="A1350" s="3" t="s">
        <v>1455</v>
      </c>
      <c r="B1350" s="3" t="s">
        <v>82</v>
      </c>
      <c r="C1350" s="3" t="s">
        <v>133</v>
      </c>
      <c r="D1350" s="4" t="s">
        <v>254</v>
      </c>
      <c r="E1350" s="4"/>
      <c r="F1350" s="4">
        <v>2015</v>
      </c>
      <c r="G1350" s="9"/>
      <c r="H1350" s="4" t="s">
        <v>28</v>
      </c>
      <c r="I1350" s="8">
        <v>24.8</v>
      </c>
      <c r="J1350" s="3">
        <v>11308</v>
      </c>
      <c r="K1350" s="3">
        <v>50605</v>
      </c>
      <c r="L1350" s="17" t="str" cm="1">
        <f t="array" ref="L1350">_xlfn.IFS(MID(K1350,2,2)="01", "서울", MID(K1350,2,2)="02","경기",MID(K1350,2,2)="03","충청",MID(K1350,2,2)="04","충청",MID(K1350,2,2)="05","전라",MID(K1350,2,2)="06","전라",MID(K1350,2,2)="07","경북",MID(K1350,2,2)="08","경남",MID(K1350,2,2)="09","강원",MID(K1350,2,2)="10","제주",TRUE,"국외")</f>
        <v>전라</v>
      </c>
    </row>
    <row r="1351" spans="1:12" ht="17.25" thickBot="1">
      <c r="A1351" s="3" t="s">
        <v>1456</v>
      </c>
      <c r="B1351" s="3" t="s">
        <v>81</v>
      </c>
      <c r="C1351" s="3" t="s">
        <v>45</v>
      </c>
      <c r="D1351" s="4" t="s">
        <v>254</v>
      </c>
      <c r="E1351" s="4"/>
      <c r="F1351" s="4">
        <v>2015</v>
      </c>
      <c r="G1351" s="9"/>
      <c r="H1351" s="4" t="s">
        <v>28</v>
      </c>
      <c r="I1351" s="8">
        <v>-0.9</v>
      </c>
      <c r="J1351" s="3">
        <v>11333</v>
      </c>
      <c r="K1351" s="3">
        <v>50105</v>
      </c>
      <c r="L1351" s="17" t="str" cm="1">
        <f t="array" ref="L1351">_xlfn.IFS(MID(K1351,2,2)="01", "서울", MID(K1351,2,2)="02","경기",MID(K1351,2,2)="03","충청",MID(K1351,2,2)="04","충청",MID(K1351,2,2)="05","전라",MID(K1351,2,2)="06","전라",MID(K1351,2,2)="07","경북",MID(K1351,2,2)="08","경남",MID(K1351,2,2)="09","강원",MID(K1351,2,2)="10","제주",TRUE,"국외")</f>
        <v>서울</v>
      </c>
    </row>
    <row r="1352" spans="1:12" ht="17.25" thickBot="1">
      <c r="A1352" s="3" t="s">
        <v>1457</v>
      </c>
      <c r="B1352" s="3" t="s">
        <v>5</v>
      </c>
      <c r="C1352" s="3" t="s">
        <v>119</v>
      </c>
      <c r="D1352" s="4" t="s">
        <v>254</v>
      </c>
      <c r="E1352" s="4"/>
      <c r="F1352" s="4">
        <v>2019</v>
      </c>
      <c r="G1352" s="9"/>
      <c r="H1352" s="4" t="s">
        <v>26</v>
      </c>
      <c r="I1352" s="8">
        <v>-0.4</v>
      </c>
      <c r="J1352" s="3">
        <v>11328</v>
      </c>
      <c r="K1352" s="3">
        <v>50114</v>
      </c>
      <c r="L1352" s="17" t="str" cm="1">
        <f t="array" ref="L1352">_xlfn.IFS(MID(K1352,2,2)="01", "서울", MID(K1352,2,2)="02","경기",MID(K1352,2,2)="03","충청",MID(K1352,2,2)="04","충청",MID(K1352,2,2)="05","전라",MID(K1352,2,2)="06","전라",MID(K1352,2,2)="07","경북",MID(K1352,2,2)="08","경남",MID(K1352,2,2)="09","강원",MID(K1352,2,2)="10","제주",TRUE,"국외")</f>
        <v>서울</v>
      </c>
    </row>
    <row r="1353" spans="1:12" ht="17.25" thickBot="1">
      <c r="A1353" s="3" t="s">
        <v>1458</v>
      </c>
      <c r="B1353" s="3" t="s">
        <v>241</v>
      </c>
      <c r="C1353" s="3" t="s">
        <v>133</v>
      </c>
      <c r="D1353" s="4" t="s">
        <v>254</v>
      </c>
      <c r="E1353" s="4"/>
      <c r="F1353" s="4">
        <v>2019</v>
      </c>
      <c r="G1353" s="9"/>
      <c r="H1353" s="4" t="s">
        <v>28</v>
      </c>
      <c r="I1353" s="8">
        <v>0.1</v>
      </c>
      <c r="J1353" s="3">
        <v>11330</v>
      </c>
      <c r="K1353" s="3">
        <v>50202</v>
      </c>
      <c r="L1353" s="17" t="str" cm="1">
        <f t="array" ref="L1353">_xlfn.IFS(MID(K1353,2,2)="01", "서울", MID(K1353,2,2)="02","경기",MID(K1353,2,2)="03","충청",MID(K1353,2,2)="04","충청",MID(K1353,2,2)="05","전라",MID(K1353,2,2)="06","전라",MID(K1353,2,2)="07","경북",MID(K1353,2,2)="08","경남",MID(K1353,2,2)="09","강원",MID(K1353,2,2)="10","제주",TRUE,"국외")</f>
        <v>경기</v>
      </c>
    </row>
    <row r="1354" spans="1:12" ht="17.25" thickBot="1">
      <c r="A1354" s="3" t="s">
        <v>1459</v>
      </c>
      <c r="B1354" s="3" t="s">
        <v>68</v>
      </c>
      <c r="C1354" s="3"/>
      <c r="D1354" s="4" t="s">
        <v>254</v>
      </c>
      <c r="E1354" s="4"/>
      <c r="F1354" s="4">
        <v>2015</v>
      </c>
      <c r="G1354" s="9"/>
      <c r="H1354" s="4" t="s">
        <v>28</v>
      </c>
      <c r="I1354" s="8">
        <v>10.4</v>
      </c>
      <c r="J1354" s="3">
        <v>11334</v>
      </c>
      <c r="K1354" s="3">
        <v>50101</v>
      </c>
      <c r="L1354" s="17" t="str" cm="1">
        <f t="array" ref="L1354">_xlfn.IFS(MID(K1354,2,2)="01", "서울", MID(K1354,2,2)="02","경기",MID(K1354,2,2)="03","충청",MID(K1354,2,2)="04","충청",MID(K1354,2,2)="05","전라",MID(K1354,2,2)="06","전라",MID(K1354,2,2)="07","경북",MID(K1354,2,2)="08","경남",MID(K1354,2,2)="09","강원",MID(K1354,2,2)="10","제주",TRUE,"국외")</f>
        <v>서울</v>
      </c>
    </row>
    <row r="1355" spans="1:12" ht="17.25" thickBot="1">
      <c r="A1355" s="3" t="s">
        <v>1460</v>
      </c>
      <c r="B1355" s="3" t="s">
        <v>93</v>
      </c>
      <c r="C1355" s="3"/>
      <c r="D1355" s="4" t="s">
        <v>254</v>
      </c>
      <c r="E1355" s="4"/>
      <c r="F1355" s="4">
        <v>2015</v>
      </c>
      <c r="G1355" s="9"/>
      <c r="H1355" s="4" t="s">
        <v>9</v>
      </c>
      <c r="I1355" s="8">
        <v>-1.2</v>
      </c>
      <c r="J1355" s="3">
        <v>11329</v>
      </c>
      <c r="K1355" s="3">
        <v>50805</v>
      </c>
      <c r="L1355" s="17" t="str" cm="1">
        <f t="array" ref="L1355">_xlfn.IFS(MID(K1355,2,2)="01", "서울", MID(K1355,2,2)="02","경기",MID(K1355,2,2)="03","충청",MID(K1355,2,2)="04","충청",MID(K1355,2,2)="05","전라",MID(K1355,2,2)="06","전라",MID(K1355,2,2)="07","경북",MID(K1355,2,2)="08","경남",MID(K1355,2,2)="09","강원",MID(K1355,2,2)="10","제주",TRUE,"국외")</f>
        <v>경남</v>
      </c>
    </row>
    <row r="1356" spans="1:12" ht="17.25" thickBot="1">
      <c r="A1356" s="3" t="s">
        <v>1461</v>
      </c>
      <c r="B1356" s="3" t="s">
        <v>40</v>
      </c>
      <c r="C1356" s="3" t="s">
        <v>1224</v>
      </c>
      <c r="D1356" s="4" t="s">
        <v>254</v>
      </c>
      <c r="E1356" s="4" t="s">
        <v>20</v>
      </c>
      <c r="F1356" s="4">
        <v>2015</v>
      </c>
      <c r="G1356" s="9"/>
      <c r="H1356" s="4" t="s">
        <v>28</v>
      </c>
      <c r="I1356" s="8">
        <v>11.2</v>
      </c>
      <c r="J1356" s="3">
        <v>11212</v>
      </c>
      <c r="K1356" s="3">
        <v>50108</v>
      </c>
      <c r="L1356" s="17" t="str" cm="1">
        <f t="array" ref="L1356">_xlfn.IFS(MID(K1356,2,2)="01", "서울", MID(K1356,2,2)="02","경기",MID(K1356,2,2)="03","충청",MID(K1356,2,2)="04","충청",MID(K1356,2,2)="05","전라",MID(K1356,2,2)="06","전라",MID(K1356,2,2)="07","경북",MID(K1356,2,2)="08","경남",MID(K1356,2,2)="09","강원",MID(K1356,2,2)="10","제주",TRUE,"국외")</f>
        <v>서울</v>
      </c>
    </row>
    <row r="1357" spans="1:12" ht="17.25" thickBot="1">
      <c r="A1357" s="3" t="s">
        <v>1462</v>
      </c>
      <c r="B1357" s="3" t="s">
        <v>1</v>
      </c>
      <c r="C1357" s="3"/>
      <c r="D1357" s="4" t="s">
        <v>254</v>
      </c>
      <c r="E1357" s="4" t="s">
        <v>12</v>
      </c>
      <c r="F1357" s="4">
        <v>2015</v>
      </c>
      <c r="G1357" s="9"/>
      <c r="H1357" s="4" t="s">
        <v>12</v>
      </c>
      <c r="I1357" s="8">
        <v>1.6</v>
      </c>
      <c r="J1357" s="3">
        <v>11248</v>
      </c>
      <c r="K1357" s="3">
        <v>50107</v>
      </c>
      <c r="L1357" s="17" t="str" cm="1">
        <f t="array" ref="L1357">_xlfn.IFS(MID(K1357,2,2)="01", "서울", MID(K1357,2,2)="02","경기",MID(K1357,2,2)="03","충청",MID(K1357,2,2)="04","충청",MID(K1357,2,2)="05","전라",MID(K1357,2,2)="06","전라",MID(K1357,2,2)="07","경북",MID(K1357,2,2)="08","경남",MID(K1357,2,2)="09","강원",MID(K1357,2,2)="10","제주",TRUE,"국외")</f>
        <v>서울</v>
      </c>
    </row>
    <row r="1358" spans="1:12" ht="17.25" thickBot="1">
      <c r="A1358" s="3" t="s">
        <v>1463</v>
      </c>
      <c r="B1358" s="3" t="s">
        <v>96</v>
      </c>
      <c r="C1358" s="3"/>
      <c r="D1358" s="4" t="s">
        <v>254</v>
      </c>
      <c r="E1358" s="4" t="s">
        <v>607</v>
      </c>
      <c r="F1358" s="4"/>
      <c r="G1358" s="9"/>
      <c r="H1358" s="4"/>
      <c r="I1358" s="9"/>
      <c r="J1358" s="3">
        <v>11235</v>
      </c>
      <c r="K1358" s="3">
        <v>50601</v>
      </c>
      <c r="L1358" s="17" t="str" cm="1">
        <f t="array" ref="L1358">_xlfn.IFS(MID(K1358,2,2)="01", "서울", MID(K1358,2,2)="02","경기",MID(K1358,2,2)="03","충청",MID(K1358,2,2)="04","충청",MID(K1358,2,2)="05","전라",MID(K1358,2,2)="06","전라",MID(K1358,2,2)="07","경북",MID(K1358,2,2)="08","경남",MID(K1358,2,2)="09","강원",MID(K1358,2,2)="10","제주",TRUE,"국외")</f>
        <v>전라</v>
      </c>
    </row>
    <row r="1359" spans="1:12" ht="17.25" thickBot="1">
      <c r="A1359" s="3" t="s">
        <v>1464</v>
      </c>
      <c r="B1359" s="3" t="s">
        <v>121</v>
      </c>
      <c r="C1359" s="3"/>
      <c r="D1359" s="4" t="s">
        <v>254</v>
      </c>
      <c r="E1359" s="4" t="s">
        <v>906</v>
      </c>
      <c r="F1359" s="4">
        <v>2014</v>
      </c>
      <c r="G1359" s="8">
        <v>0.2</v>
      </c>
      <c r="H1359" s="4" t="s">
        <v>18</v>
      </c>
      <c r="I1359" s="8">
        <v>0.2</v>
      </c>
      <c r="J1359" s="3">
        <v>11222</v>
      </c>
      <c r="K1359" s="3">
        <v>50604</v>
      </c>
      <c r="L1359" s="17" t="str" cm="1">
        <f t="array" ref="L1359">_xlfn.IFS(MID(K1359,2,2)="01", "서울", MID(K1359,2,2)="02","경기",MID(K1359,2,2)="03","충청",MID(K1359,2,2)="04","충청",MID(K1359,2,2)="05","전라",MID(K1359,2,2)="06","전라",MID(K1359,2,2)="07","경북",MID(K1359,2,2)="08","경남",MID(K1359,2,2)="09","강원",MID(K1359,2,2)="10","제주",TRUE,"국외")</f>
        <v>전라</v>
      </c>
    </row>
    <row r="1360" spans="1:12" ht="17.25" thickBot="1">
      <c r="A1360" s="3" t="s">
        <v>1465</v>
      </c>
      <c r="B1360" s="3" t="s">
        <v>228</v>
      </c>
      <c r="C1360" s="3" t="s">
        <v>133</v>
      </c>
      <c r="D1360" s="4" t="s">
        <v>254</v>
      </c>
      <c r="E1360" s="4" t="s">
        <v>26</v>
      </c>
      <c r="F1360" s="4">
        <v>2014</v>
      </c>
      <c r="G1360" s="8">
        <v>0</v>
      </c>
      <c r="H1360" s="4" t="s">
        <v>26</v>
      </c>
      <c r="I1360" s="8">
        <v>0</v>
      </c>
      <c r="J1360" s="3">
        <v>11204</v>
      </c>
      <c r="K1360" s="3">
        <v>50702</v>
      </c>
      <c r="L1360" s="17" t="str" cm="1">
        <f t="array" ref="L1360">_xlfn.IFS(MID(K1360,2,2)="01", "서울", MID(K1360,2,2)="02","경기",MID(K1360,2,2)="03","충청",MID(K1360,2,2)="04","충청",MID(K1360,2,2)="05","전라",MID(K1360,2,2)="06","전라",MID(K1360,2,2)="07","경북",MID(K1360,2,2)="08","경남",MID(K1360,2,2)="09","강원",MID(K1360,2,2)="10","제주",TRUE,"국외")</f>
        <v>경북</v>
      </c>
    </row>
    <row r="1361" spans="1:12" ht="17.25" thickBot="1">
      <c r="A1361" s="3" t="s">
        <v>1466</v>
      </c>
      <c r="B1361" s="3" t="s">
        <v>96</v>
      </c>
      <c r="C1361" s="3" t="s">
        <v>208</v>
      </c>
      <c r="D1361" s="4" t="s">
        <v>254</v>
      </c>
      <c r="E1361" s="4" t="s">
        <v>9</v>
      </c>
      <c r="F1361" s="4">
        <v>2014</v>
      </c>
      <c r="G1361" s="8">
        <v>0</v>
      </c>
      <c r="H1361" s="4" t="s">
        <v>3</v>
      </c>
      <c r="I1361" s="8">
        <v>-0.1</v>
      </c>
      <c r="J1361" s="3">
        <v>11230</v>
      </c>
      <c r="K1361" s="3">
        <v>50601</v>
      </c>
      <c r="L1361" s="17" t="str" cm="1">
        <f t="array" ref="L1361">_xlfn.IFS(MID(K1361,2,2)="01", "서울", MID(K1361,2,2)="02","경기",MID(K1361,2,2)="03","충청",MID(K1361,2,2)="04","충청",MID(K1361,2,2)="05","전라",MID(K1361,2,2)="06","전라",MID(K1361,2,2)="07","경북",MID(K1361,2,2)="08","경남",MID(K1361,2,2)="09","강원",MID(K1361,2,2)="10","제주",TRUE,"국외")</f>
        <v>전라</v>
      </c>
    </row>
    <row r="1362" spans="1:12" ht="17.25" thickBot="1">
      <c r="A1362" s="3" t="s">
        <v>1467</v>
      </c>
      <c r="B1362" s="3" t="s">
        <v>70</v>
      </c>
      <c r="C1362" s="3"/>
      <c r="D1362" s="4" t="s">
        <v>254</v>
      </c>
      <c r="E1362" s="4" t="s">
        <v>23</v>
      </c>
      <c r="F1362" s="4">
        <v>2017</v>
      </c>
      <c r="G1362" s="9"/>
      <c r="H1362" s="4" t="s">
        <v>23</v>
      </c>
      <c r="I1362" s="8">
        <v>0</v>
      </c>
      <c r="J1362" s="3">
        <v>11197</v>
      </c>
      <c r="K1362" s="3">
        <v>50103</v>
      </c>
      <c r="L1362" s="17" t="str" cm="1">
        <f t="array" ref="L1362">_xlfn.IFS(MID(K1362,2,2)="01", "서울", MID(K1362,2,2)="02","경기",MID(K1362,2,2)="03","충청",MID(K1362,2,2)="04","충청",MID(K1362,2,2)="05","전라",MID(K1362,2,2)="06","전라",MID(K1362,2,2)="07","경북",MID(K1362,2,2)="08","경남",MID(K1362,2,2)="09","강원",MID(K1362,2,2)="10","제주",TRUE,"국외")</f>
        <v>서울</v>
      </c>
    </row>
    <row r="1363" spans="1:12" ht="17.25" thickBot="1">
      <c r="A1363" s="3" t="s">
        <v>1468</v>
      </c>
      <c r="B1363" s="3" t="s">
        <v>140</v>
      </c>
      <c r="C1363" s="3" t="s">
        <v>119</v>
      </c>
      <c r="D1363" s="4" t="s">
        <v>254</v>
      </c>
      <c r="E1363" s="4" t="s">
        <v>3</v>
      </c>
      <c r="F1363" s="4">
        <v>2014</v>
      </c>
      <c r="G1363" s="8">
        <v>0</v>
      </c>
      <c r="H1363" s="4" t="s">
        <v>3</v>
      </c>
      <c r="I1363" s="8">
        <v>-0.2</v>
      </c>
      <c r="J1363" s="3">
        <v>11276</v>
      </c>
      <c r="K1363" s="3">
        <v>50801</v>
      </c>
      <c r="L1363" s="17" t="str" cm="1">
        <f t="array" ref="L1363">_xlfn.IFS(MID(K1363,2,2)="01", "서울", MID(K1363,2,2)="02","경기",MID(K1363,2,2)="03","충청",MID(K1363,2,2)="04","충청",MID(K1363,2,2)="05","전라",MID(K1363,2,2)="06","전라",MID(K1363,2,2)="07","경북",MID(K1363,2,2)="08","경남",MID(K1363,2,2)="09","강원",MID(K1363,2,2)="10","제주",TRUE,"국외")</f>
        <v>경남</v>
      </c>
    </row>
    <row r="1364" spans="1:12" ht="17.25" thickBot="1">
      <c r="A1364" s="3" t="s">
        <v>1469</v>
      </c>
      <c r="B1364" s="3" t="s">
        <v>112</v>
      </c>
      <c r="C1364" s="3" t="s">
        <v>83</v>
      </c>
      <c r="D1364" s="4" t="s">
        <v>254</v>
      </c>
      <c r="E1364" s="4" t="s">
        <v>6</v>
      </c>
      <c r="F1364" s="4"/>
      <c r="G1364" s="9"/>
      <c r="H1364" s="4"/>
      <c r="I1364" s="9"/>
      <c r="J1364" s="3">
        <v>11259</v>
      </c>
      <c r="K1364" s="3">
        <v>50113</v>
      </c>
      <c r="L1364" s="17" t="str" cm="1">
        <f t="array" ref="L1364">_xlfn.IFS(MID(K1364,2,2)="01", "서울", MID(K1364,2,2)="02","경기",MID(K1364,2,2)="03","충청",MID(K1364,2,2)="04","충청",MID(K1364,2,2)="05","전라",MID(K1364,2,2)="06","전라",MID(K1364,2,2)="07","경북",MID(K1364,2,2)="08","경남",MID(K1364,2,2)="09","강원",MID(K1364,2,2)="10","제주",TRUE,"국외")</f>
        <v>서울</v>
      </c>
    </row>
    <row r="1365" spans="1:12" ht="17.25" thickBot="1">
      <c r="A1365" s="3" t="s">
        <v>1470</v>
      </c>
      <c r="B1365" s="3" t="s">
        <v>158</v>
      </c>
      <c r="C1365" s="3" t="s">
        <v>1471</v>
      </c>
      <c r="D1365" s="4" t="s">
        <v>254</v>
      </c>
      <c r="E1365" s="4"/>
      <c r="F1365" s="4">
        <v>2015</v>
      </c>
      <c r="G1365" s="9"/>
      <c r="H1365" s="4" t="s">
        <v>28</v>
      </c>
      <c r="I1365" s="8">
        <v>3.1</v>
      </c>
      <c r="J1365" s="3">
        <v>11316</v>
      </c>
      <c r="K1365" s="3">
        <v>50501</v>
      </c>
      <c r="L1365" s="17" t="str" cm="1">
        <f t="array" ref="L1365">_xlfn.IFS(MID(K1365,2,2)="01", "서울", MID(K1365,2,2)="02","경기",MID(K1365,2,2)="03","충청",MID(K1365,2,2)="04","충청",MID(K1365,2,2)="05","전라",MID(K1365,2,2)="06","전라",MID(K1365,2,2)="07","경북",MID(K1365,2,2)="08","경남",MID(K1365,2,2)="09","강원",MID(K1365,2,2)="10","제주",TRUE,"국외")</f>
        <v>전라</v>
      </c>
    </row>
    <row r="1366" spans="1:12" ht="17.25" thickBot="1">
      <c r="A1366" s="3" t="s">
        <v>1472</v>
      </c>
      <c r="B1366" s="3" t="s">
        <v>11</v>
      </c>
      <c r="C1366" s="3"/>
      <c r="D1366" s="4" t="s">
        <v>254</v>
      </c>
      <c r="E1366" s="4" t="s">
        <v>20</v>
      </c>
      <c r="F1366" s="4">
        <v>2015</v>
      </c>
      <c r="G1366" s="9"/>
      <c r="H1366" s="4" t="s">
        <v>28</v>
      </c>
      <c r="I1366" s="8">
        <v>0.3</v>
      </c>
      <c r="J1366" s="3">
        <v>11214</v>
      </c>
      <c r="K1366" s="3">
        <v>50802</v>
      </c>
      <c r="L1366" s="17" t="str" cm="1">
        <f t="array" ref="L1366">_xlfn.IFS(MID(K1366,2,2)="01", "서울", MID(K1366,2,2)="02","경기",MID(K1366,2,2)="03","충청",MID(K1366,2,2)="04","충청",MID(K1366,2,2)="05","전라",MID(K1366,2,2)="06","전라",MID(K1366,2,2)="07","경북",MID(K1366,2,2)="08","경남",MID(K1366,2,2)="09","강원",MID(K1366,2,2)="10","제주",TRUE,"국외")</f>
        <v>경남</v>
      </c>
    </row>
    <row r="1367" spans="1:12" ht="17.25" thickBot="1">
      <c r="A1367" s="3" t="s">
        <v>1473</v>
      </c>
      <c r="B1367" s="3" t="s">
        <v>8</v>
      </c>
      <c r="C1367" s="3"/>
      <c r="D1367" s="4" t="s">
        <v>254</v>
      </c>
      <c r="E1367" s="4" t="s">
        <v>12</v>
      </c>
      <c r="F1367" s="4">
        <v>2015</v>
      </c>
      <c r="G1367" s="9"/>
      <c r="H1367" s="4" t="s">
        <v>12</v>
      </c>
      <c r="I1367" s="8">
        <v>-3.4</v>
      </c>
      <c r="J1367" s="3">
        <v>11246</v>
      </c>
      <c r="K1367" s="3">
        <v>50116</v>
      </c>
      <c r="L1367" s="17" t="str" cm="1">
        <f t="array" ref="L1367">_xlfn.IFS(MID(K1367,2,2)="01", "서울", MID(K1367,2,2)="02","경기",MID(K1367,2,2)="03","충청",MID(K1367,2,2)="04","충청",MID(K1367,2,2)="05","전라",MID(K1367,2,2)="06","전라",MID(K1367,2,2)="07","경북",MID(K1367,2,2)="08","경남",MID(K1367,2,2)="09","강원",MID(K1367,2,2)="10","제주",TRUE,"국외")</f>
        <v>서울</v>
      </c>
    </row>
    <row r="1368" spans="1:12" ht="17.25" thickBot="1">
      <c r="A1368" s="3" t="s">
        <v>1474</v>
      </c>
      <c r="B1368" s="3" t="s">
        <v>40</v>
      </c>
      <c r="C1368" s="3"/>
      <c r="D1368" s="4" t="s">
        <v>254</v>
      </c>
      <c r="E1368" s="4" t="s">
        <v>607</v>
      </c>
      <c r="F1368" s="4">
        <v>2015</v>
      </c>
      <c r="G1368" s="9"/>
      <c r="H1368" s="4" t="s">
        <v>607</v>
      </c>
      <c r="I1368" s="8">
        <v>-0.3</v>
      </c>
      <c r="J1368" s="3">
        <v>11240</v>
      </c>
      <c r="K1368" s="3">
        <v>50108</v>
      </c>
      <c r="L1368" s="17" t="str" cm="1">
        <f t="array" ref="L1368">_xlfn.IFS(MID(K1368,2,2)="01", "서울", MID(K1368,2,2)="02","경기",MID(K1368,2,2)="03","충청",MID(K1368,2,2)="04","충청",MID(K1368,2,2)="05","전라",MID(K1368,2,2)="06","전라",MID(K1368,2,2)="07","경북",MID(K1368,2,2)="08","경남",MID(K1368,2,2)="09","강원",MID(K1368,2,2)="10","제주",TRUE,"국외")</f>
        <v>서울</v>
      </c>
    </row>
    <row r="1369" spans="1:12" ht="17.25" thickBot="1">
      <c r="A1369" s="3" t="s">
        <v>1475</v>
      </c>
      <c r="B1369" s="3" t="s">
        <v>70</v>
      </c>
      <c r="C1369" s="3"/>
      <c r="D1369" s="4" t="s">
        <v>254</v>
      </c>
      <c r="E1369" s="4" t="s">
        <v>906</v>
      </c>
      <c r="F1369" s="4">
        <v>2019</v>
      </c>
      <c r="G1369" s="9"/>
      <c r="H1369" s="4" t="s">
        <v>18</v>
      </c>
      <c r="I1369" s="8">
        <v>0.7</v>
      </c>
      <c r="J1369" s="3">
        <v>11225</v>
      </c>
      <c r="K1369" s="3">
        <v>50103</v>
      </c>
      <c r="L1369" s="17" t="str" cm="1">
        <f t="array" ref="L1369">_xlfn.IFS(MID(K1369,2,2)="01", "서울", MID(K1369,2,2)="02","경기",MID(K1369,2,2)="03","충청",MID(K1369,2,2)="04","충청",MID(K1369,2,2)="05","전라",MID(K1369,2,2)="06","전라",MID(K1369,2,2)="07","경북",MID(K1369,2,2)="08","경남",MID(K1369,2,2)="09","강원",MID(K1369,2,2)="10","제주",TRUE,"국외")</f>
        <v>서울</v>
      </c>
    </row>
    <row r="1370" spans="1:12" ht="17.25" thickBot="1">
      <c r="A1370" s="3" t="s">
        <v>1476</v>
      </c>
      <c r="B1370" s="3" t="s">
        <v>70</v>
      </c>
      <c r="C1370" s="3"/>
      <c r="D1370" s="4" t="s">
        <v>254</v>
      </c>
      <c r="E1370" s="4" t="s">
        <v>26</v>
      </c>
      <c r="F1370" s="4">
        <v>2017</v>
      </c>
      <c r="G1370" s="9"/>
      <c r="H1370" s="4" t="s">
        <v>26</v>
      </c>
      <c r="I1370" s="8">
        <v>0</v>
      </c>
      <c r="J1370" s="3">
        <v>11205</v>
      </c>
      <c r="K1370" s="3">
        <v>50103</v>
      </c>
      <c r="L1370" s="17" t="str" cm="1">
        <f t="array" ref="L1370">_xlfn.IFS(MID(K1370,2,2)="01", "서울", MID(K1370,2,2)="02","경기",MID(K1370,2,2)="03","충청",MID(K1370,2,2)="04","충청",MID(K1370,2,2)="05","전라",MID(K1370,2,2)="06","전라",MID(K1370,2,2)="07","경북",MID(K1370,2,2)="08","경남",MID(K1370,2,2)="09","강원",MID(K1370,2,2)="10","제주",TRUE,"국외")</f>
        <v>서울</v>
      </c>
    </row>
    <row r="1371" spans="1:12" ht="17.25" thickBot="1">
      <c r="A1371" s="3" t="s">
        <v>1477</v>
      </c>
      <c r="B1371" s="3" t="s">
        <v>1</v>
      </c>
      <c r="C1371" s="3" t="s">
        <v>83</v>
      </c>
      <c r="D1371" s="4" t="s">
        <v>254</v>
      </c>
      <c r="E1371" s="4" t="s">
        <v>9</v>
      </c>
      <c r="F1371" s="4">
        <v>2014</v>
      </c>
      <c r="G1371" s="8">
        <v>-0.1</v>
      </c>
      <c r="H1371" s="4" t="s">
        <v>9</v>
      </c>
      <c r="I1371" s="8">
        <v>3.8</v>
      </c>
      <c r="J1371" s="3">
        <v>11232</v>
      </c>
      <c r="K1371" s="3">
        <v>50107</v>
      </c>
      <c r="L1371" s="17" t="str" cm="1">
        <f t="array" ref="L1371">_xlfn.IFS(MID(K1371,2,2)="01", "서울", MID(K1371,2,2)="02","경기",MID(K1371,2,2)="03","충청",MID(K1371,2,2)="04","충청",MID(K1371,2,2)="05","전라",MID(K1371,2,2)="06","전라",MID(K1371,2,2)="07","경북",MID(K1371,2,2)="08","경남",MID(K1371,2,2)="09","강원",MID(K1371,2,2)="10","제주",TRUE,"국외")</f>
        <v>서울</v>
      </c>
    </row>
    <row r="1372" spans="1:12" ht="17.25" thickBot="1">
      <c r="A1372" s="3" t="s">
        <v>1478</v>
      </c>
      <c r="B1372" s="3" t="s">
        <v>169</v>
      </c>
      <c r="C1372" s="3" t="s">
        <v>1479</v>
      </c>
      <c r="D1372" s="4" t="s">
        <v>254</v>
      </c>
      <c r="E1372" s="4" t="s">
        <v>23</v>
      </c>
      <c r="F1372" s="4">
        <v>2015</v>
      </c>
      <c r="G1372" s="9"/>
      <c r="H1372" s="4" t="s">
        <v>26</v>
      </c>
      <c r="I1372" s="8">
        <v>2.9</v>
      </c>
      <c r="J1372" s="3">
        <v>11198</v>
      </c>
      <c r="K1372" s="3">
        <v>50606</v>
      </c>
      <c r="L1372" s="17" t="str" cm="1">
        <f t="array" ref="L1372">_xlfn.IFS(MID(K1372,2,2)="01", "서울", MID(K1372,2,2)="02","경기",MID(K1372,2,2)="03","충청",MID(K1372,2,2)="04","충청",MID(K1372,2,2)="05","전라",MID(K1372,2,2)="06","전라",MID(K1372,2,2)="07","경북",MID(K1372,2,2)="08","경남",MID(K1372,2,2)="09","강원",MID(K1372,2,2)="10","제주",TRUE,"국외")</f>
        <v>전라</v>
      </c>
    </row>
    <row r="1373" spans="1:12" ht="17.25" thickBot="1">
      <c r="A1373" s="3" t="s">
        <v>369</v>
      </c>
      <c r="B1373" s="3" t="s">
        <v>332</v>
      </c>
      <c r="C1373" s="3" t="s">
        <v>538</v>
      </c>
      <c r="D1373" s="4" t="s">
        <v>254</v>
      </c>
      <c r="E1373" s="4" t="s">
        <v>3</v>
      </c>
      <c r="F1373" s="4">
        <v>2014</v>
      </c>
      <c r="G1373" s="8">
        <v>-2.1</v>
      </c>
      <c r="H1373" s="4" t="s">
        <v>23</v>
      </c>
      <c r="I1373" s="8">
        <v>-2.7</v>
      </c>
      <c r="J1373" s="3">
        <v>11266</v>
      </c>
      <c r="K1373" s="3">
        <v>50705</v>
      </c>
      <c r="L1373" s="17" t="str" cm="1">
        <f t="array" ref="L1373">_xlfn.IFS(MID(K1373,2,2)="01", "서울", MID(K1373,2,2)="02","경기",MID(K1373,2,2)="03","충청",MID(K1373,2,2)="04","충청",MID(K1373,2,2)="05","전라",MID(K1373,2,2)="06","전라",MID(K1373,2,2)="07","경북",MID(K1373,2,2)="08","경남",MID(K1373,2,2)="09","강원",MID(K1373,2,2)="10","제주",TRUE,"국외")</f>
        <v>경북</v>
      </c>
    </row>
    <row r="1374" spans="1:12" ht="17.25" thickBot="1">
      <c r="A1374" s="3" t="s">
        <v>1107</v>
      </c>
      <c r="B1374" s="3" t="s">
        <v>52</v>
      </c>
      <c r="C1374" s="3" t="s">
        <v>136</v>
      </c>
      <c r="D1374" s="4" t="s">
        <v>254</v>
      </c>
      <c r="E1374" s="4" t="s">
        <v>6</v>
      </c>
      <c r="F1374" s="4">
        <v>2014</v>
      </c>
      <c r="G1374" s="8">
        <v>0.1</v>
      </c>
      <c r="H1374" s="4" t="s">
        <v>6</v>
      </c>
      <c r="I1374" s="8">
        <v>0.1</v>
      </c>
      <c r="J1374" s="3">
        <v>11257</v>
      </c>
      <c r="K1374" s="3">
        <v>50803</v>
      </c>
      <c r="L1374" s="17" t="str" cm="1">
        <f t="array" ref="L1374">_xlfn.IFS(MID(K1374,2,2)="01", "서울", MID(K1374,2,2)="02","경기",MID(K1374,2,2)="03","충청",MID(K1374,2,2)="04","충청",MID(K1374,2,2)="05","전라",MID(K1374,2,2)="06","전라",MID(K1374,2,2)="07","경북",MID(K1374,2,2)="08","경남",MID(K1374,2,2)="09","강원",MID(K1374,2,2)="10","제주",TRUE,"국외")</f>
        <v>경남</v>
      </c>
    </row>
    <row r="1375" spans="1:12" ht="17.25" thickBot="1">
      <c r="A1375" s="3" t="s">
        <v>1085</v>
      </c>
      <c r="B1375" s="3" t="s">
        <v>332</v>
      </c>
      <c r="C1375" s="3" t="s">
        <v>90</v>
      </c>
      <c r="D1375" s="4" t="s">
        <v>254</v>
      </c>
      <c r="E1375" s="4"/>
      <c r="F1375" s="4"/>
      <c r="G1375" s="9"/>
      <c r="H1375" s="4"/>
      <c r="I1375" s="9"/>
      <c r="J1375" s="3">
        <v>11340</v>
      </c>
      <c r="K1375" s="3">
        <v>50705</v>
      </c>
      <c r="L1375" s="17" t="str" cm="1">
        <f t="array" ref="L1375">_xlfn.IFS(MID(K1375,2,2)="01", "서울", MID(K1375,2,2)="02","경기",MID(K1375,2,2)="03","충청",MID(K1375,2,2)="04","충청",MID(K1375,2,2)="05","전라",MID(K1375,2,2)="06","전라",MID(K1375,2,2)="07","경북",MID(K1375,2,2)="08","경남",MID(K1375,2,2)="09","강원",MID(K1375,2,2)="10","제주",TRUE,"국외")</f>
        <v>경북</v>
      </c>
    </row>
    <row r="1376" spans="1:12" ht="17.25" thickBot="1">
      <c r="A1376" s="3" t="s">
        <v>1480</v>
      </c>
      <c r="B1376" s="3" t="s">
        <v>66</v>
      </c>
      <c r="C1376" s="3" t="s">
        <v>133</v>
      </c>
      <c r="D1376" s="4" t="s">
        <v>254</v>
      </c>
      <c r="E1376" s="4" t="s">
        <v>20</v>
      </c>
      <c r="F1376" s="4">
        <v>2015</v>
      </c>
      <c r="G1376" s="9"/>
      <c r="H1376" s="4" t="s">
        <v>20</v>
      </c>
      <c r="I1376" s="8">
        <v>12</v>
      </c>
      <c r="J1376" s="3">
        <v>11213</v>
      </c>
      <c r="K1376" s="3">
        <v>50110</v>
      </c>
      <c r="L1376" s="17" t="str" cm="1">
        <f t="array" ref="L1376">_xlfn.IFS(MID(K1376,2,2)="01", "서울", MID(K1376,2,2)="02","경기",MID(K1376,2,2)="03","충청",MID(K1376,2,2)="04","충청",MID(K1376,2,2)="05","전라",MID(K1376,2,2)="06","전라",MID(K1376,2,2)="07","경북",MID(K1376,2,2)="08","경남",MID(K1376,2,2)="09","강원",MID(K1376,2,2)="10","제주",TRUE,"국외")</f>
        <v>서울</v>
      </c>
    </row>
    <row r="1377" spans="1:12" ht="17.25" thickBot="1">
      <c r="A1377" s="3" t="s">
        <v>1481</v>
      </c>
      <c r="B1377" s="3" t="s">
        <v>34</v>
      </c>
      <c r="C1377" s="3"/>
      <c r="D1377" s="4" t="s">
        <v>254</v>
      </c>
      <c r="E1377" s="4" t="s">
        <v>12</v>
      </c>
      <c r="F1377" s="4"/>
      <c r="G1377" s="9"/>
      <c r="H1377" s="4"/>
      <c r="I1377" s="9"/>
      <c r="J1377" s="3">
        <v>11250</v>
      </c>
      <c r="K1377" s="3">
        <v>50701</v>
      </c>
      <c r="L1377" s="17" t="str" cm="1">
        <f t="array" ref="L1377">_xlfn.IFS(MID(K1377,2,2)="01", "서울", MID(K1377,2,2)="02","경기",MID(K1377,2,2)="03","충청",MID(K1377,2,2)="04","충청",MID(K1377,2,2)="05","전라",MID(K1377,2,2)="06","전라",MID(K1377,2,2)="07","경북",MID(K1377,2,2)="08","경남",MID(K1377,2,2)="09","강원",MID(K1377,2,2)="10","제주",TRUE,"국외")</f>
        <v>경북</v>
      </c>
    </row>
    <row r="1378" spans="1:12" ht="17.25" thickBot="1">
      <c r="A1378" s="3" t="s">
        <v>548</v>
      </c>
      <c r="B1378" s="3" t="s">
        <v>22</v>
      </c>
      <c r="C1378" s="3" t="s">
        <v>221</v>
      </c>
      <c r="D1378" s="4" t="s">
        <v>254</v>
      </c>
      <c r="E1378" s="4" t="s">
        <v>607</v>
      </c>
      <c r="F1378" s="4">
        <v>2014</v>
      </c>
      <c r="G1378" s="8">
        <v>0.1</v>
      </c>
      <c r="H1378" s="4" t="s">
        <v>607</v>
      </c>
      <c r="I1378" s="8">
        <v>3.4</v>
      </c>
      <c r="J1378" s="3">
        <v>11236</v>
      </c>
      <c r="K1378" s="3">
        <v>50209</v>
      </c>
      <c r="L1378" s="17" t="str" cm="1">
        <f t="array" ref="L1378">_xlfn.IFS(MID(K1378,2,2)="01", "서울", MID(K1378,2,2)="02","경기",MID(K1378,2,2)="03","충청",MID(K1378,2,2)="04","충청",MID(K1378,2,2)="05","전라",MID(K1378,2,2)="06","전라",MID(K1378,2,2)="07","경북",MID(K1378,2,2)="08","경남",MID(K1378,2,2)="09","강원",MID(K1378,2,2)="10","제주",TRUE,"국외")</f>
        <v>경기</v>
      </c>
    </row>
    <row r="1379" spans="1:12" ht="17.25" thickBot="1">
      <c r="A1379" s="3" t="s">
        <v>1482</v>
      </c>
      <c r="B1379" s="3" t="s">
        <v>101</v>
      </c>
      <c r="C1379" s="3"/>
      <c r="D1379" s="4" t="s">
        <v>254</v>
      </c>
      <c r="E1379" s="4" t="s">
        <v>906</v>
      </c>
      <c r="F1379" s="4">
        <v>2014</v>
      </c>
      <c r="G1379" s="8">
        <v>0.1</v>
      </c>
      <c r="H1379" s="4" t="s">
        <v>18</v>
      </c>
      <c r="I1379" s="8">
        <v>37</v>
      </c>
      <c r="J1379" s="3">
        <v>11224</v>
      </c>
      <c r="K1379" s="3">
        <v>50207</v>
      </c>
      <c r="L1379" s="17" t="str" cm="1">
        <f t="array" ref="L1379">_xlfn.IFS(MID(K1379,2,2)="01", "서울", MID(K1379,2,2)="02","경기",MID(K1379,2,2)="03","충청",MID(K1379,2,2)="04","충청",MID(K1379,2,2)="05","전라",MID(K1379,2,2)="06","전라",MID(K1379,2,2)="07","경북",MID(K1379,2,2)="08","경남",MID(K1379,2,2)="09","강원",MID(K1379,2,2)="10","제주",TRUE,"국외")</f>
        <v>경기</v>
      </c>
    </row>
    <row r="1380" spans="1:12" ht="17.25" thickBot="1">
      <c r="A1380" s="3" t="s">
        <v>1483</v>
      </c>
      <c r="B1380" s="3" t="s">
        <v>68</v>
      </c>
      <c r="C1380" s="3" t="s">
        <v>83</v>
      </c>
      <c r="D1380" s="4" t="s">
        <v>254</v>
      </c>
      <c r="E1380" s="4" t="s">
        <v>26</v>
      </c>
      <c r="F1380" s="4">
        <v>2014</v>
      </c>
      <c r="G1380" s="8">
        <v>-0.2</v>
      </c>
      <c r="H1380" s="4" t="s">
        <v>3</v>
      </c>
      <c r="I1380" s="8">
        <v>1</v>
      </c>
      <c r="J1380" s="3">
        <v>11206</v>
      </c>
      <c r="K1380" s="3">
        <v>50101</v>
      </c>
      <c r="L1380" s="17" t="str" cm="1">
        <f t="array" ref="L1380">_xlfn.IFS(MID(K1380,2,2)="01", "서울", MID(K1380,2,2)="02","경기",MID(K1380,2,2)="03","충청",MID(K1380,2,2)="04","충청",MID(K1380,2,2)="05","전라",MID(K1380,2,2)="06","전라",MID(K1380,2,2)="07","경북",MID(K1380,2,2)="08","경남",MID(K1380,2,2)="09","강원",MID(K1380,2,2)="10","제주",TRUE,"국외")</f>
        <v>서울</v>
      </c>
    </row>
    <row r="1381" spans="1:12" ht="17.25" thickBot="1">
      <c r="A1381" s="3" t="s">
        <v>1484</v>
      </c>
      <c r="B1381" s="3" t="s">
        <v>112</v>
      </c>
      <c r="C1381" s="3" t="s">
        <v>218</v>
      </c>
      <c r="D1381" s="4" t="s">
        <v>254</v>
      </c>
      <c r="E1381" s="4" t="s">
        <v>9</v>
      </c>
      <c r="F1381" s="4">
        <v>2014</v>
      </c>
      <c r="G1381" s="8">
        <v>0</v>
      </c>
      <c r="H1381" s="4" t="s">
        <v>9</v>
      </c>
      <c r="I1381" s="8">
        <v>0.1</v>
      </c>
      <c r="J1381" s="3">
        <v>11231</v>
      </c>
      <c r="K1381" s="3">
        <v>50113</v>
      </c>
      <c r="L1381" s="17" t="str" cm="1">
        <f t="array" ref="L1381">_xlfn.IFS(MID(K1381,2,2)="01", "서울", MID(K1381,2,2)="02","경기",MID(K1381,2,2)="03","충청",MID(K1381,2,2)="04","충청",MID(K1381,2,2)="05","전라",MID(K1381,2,2)="06","전라",MID(K1381,2,2)="07","경북",MID(K1381,2,2)="08","경남",MID(K1381,2,2)="09","강원",MID(K1381,2,2)="10","제주",TRUE,"국외")</f>
        <v>서울</v>
      </c>
    </row>
    <row r="1382" spans="1:12" ht="17.25" thickBot="1">
      <c r="A1382" s="3" t="s">
        <v>1485</v>
      </c>
      <c r="B1382" s="3" t="s">
        <v>17</v>
      </c>
      <c r="C1382" s="3" t="s">
        <v>549</v>
      </c>
      <c r="D1382" s="4" t="s">
        <v>254</v>
      </c>
      <c r="E1382" s="4" t="s">
        <v>23</v>
      </c>
      <c r="F1382" s="4"/>
      <c r="G1382" s="9"/>
      <c r="H1382" s="4"/>
      <c r="I1382" s="9"/>
      <c r="J1382" s="3">
        <v>11403</v>
      </c>
      <c r="K1382" s="3">
        <v>50903</v>
      </c>
      <c r="L1382" s="17" t="str" cm="1">
        <f t="array" ref="L1382">_xlfn.IFS(MID(K1382,2,2)="01", "서울", MID(K1382,2,2)="02","경기",MID(K1382,2,2)="03","충청",MID(K1382,2,2)="04","충청",MID(K1382,2,2)="05","전라",MID(K1382,2,2)="06","전라",MID(K1382,2,2)="07","경북",MID(K1382,2,2)="08","경남",MID(K1382,2,2)="09","강원",MID(K1382,2,2)="10","제주",TRUE,"국외")</f>
        <v>강원</v>
      </c>
    </row>
    <row r="1383" spans="1:12" ht="17.25" thickBot="1">
      <c r="A1383" s="3" t="s">
        <v>1016</v>
      </c>
      <c r="B1383" s="3" t="s">
        <v>32</v>
      </c>
      <c r="C1383" s="3" t="s">
        <v>752</v>
      </c>
      <c r="D1383" s="4" t="s">
        <v>254</v>
      </c>
      <c r="E1383" s="4" t="s">
        <v>3</v>
      </c>
      <c r="F1383" s="4">
        <v>2014</v>
      </c>
      <c r="G1383" s="8">
        <v>-0.2</v>
      </c>
      <c r="H1383" s="4" t="s">
        <v>3</v>
      </c>
      <c r="I1383" s="8">
        <v>-0.2</v>
      </c>
      <c r="J1383" s="3">
        <v>11270</v>
      </c>
      <c r="K1383" s="3">
        <v>50111</v>
      </c>
      <c r="L1383" s="17" t="str" cm="1">
        <f t="array" ref="L1383">_xlfn.IFS(MID(K1383,2,2)="01", "서울", MID(K1383,2,2)="02","경기",MID(K1383,2,2)="03","충청",MID(K1383,2,2)="04","충청",MID(K1383,2,2)="05","전라",MID(K1383,2,2)="06","전라",MID(K1383,2,2)="07","경북",MID(K1383,2,2)="08","경남",MID(K1383,2,2)="09","강원",MID(K1383,2,2)="10","제주",TRUE,"국외")</f>
        <v>서울</v>
      </c>
    </row>
    <row r="1384" spans="1:12" ht="17.25" thickBot="1">
      <c r="A1384" s="3" t="s">
        <v>1486</v>
      </c>
      <c r="B1384" s="3" t="s">
        <v>17</v>
      </c>
      <c r="C1384" s="3" t="s">
        <v>174</v>
      </c>
      <c r="D1384" s="4" t="s">
        <v>254</v>
      </c>
      <c r="E1384" s="4" t="s">
        <v>6</v>
      </c>
      <c r="F1384" s="4"/>
      <c r="G1384" s="9"/>
      <c r="H1384" s="4"/>
      <c r="I1384" s="9"/>
      <c r="J1384" s="3">
        <v>11256</v>
      </c>
      <c r="K1384" s="3">
        <v>50903</v>
      </c>
      <c r="L1384" s="17" t="str" cm="1">
        <f t="array" ref="L1384">_xlfn.IFS(MID(K1384,2,2)="01", "서울", MID(K1384,2,2)="02","경기",MID(K1384,2,2)="03","충청",MID(K1384,2,2)="04","충청",MID(K1384,2,2)="05","전라",MID(K1384,2,2)="06","전라",MID(K1384,2,2)="07","경북",MID(K1384,2,2)="08","경남",MID(K1384,2,2)="09","강원",MID(K1384,2,2)="10","제주",TRUE,"국외")</f>
        <v>강원</v>
      </c>
    </row>
    <row r="1385" spans="1:12" ht="17.25" thickBot="1">
      <c r="A1385" s="3" t="s">
        <v>1487</v>
      </c>
      <c r="B1385" s="3" t="s">
        <v>50</v>
      </c>
      <c r="C1385" s="3"/>
      <c r="D1385" s="4" t="s">
        <v>254</v>
      </c>
      <c r="E1385" s="4"/>
      <c r="F1385" s="4">
        <v>2015</v>
      </c>
      <c r="G1385" s="9"/>
      <c r="H1385" s="4" t="s">
        <v>28</v>
      </c>
      <c r="I1385" s="8">
        <v>0.4</v>
      </c>
      <c r="J1385" s="3">
        <v>11312</v>
      </c>
      <c r="K1385" s="3">
        <v>50301</v>
      </c>
      <c r="L1385" s="17" t="str" cm="1">
        <f t="array" ref="L1385">_xlfn.IFS(MID(K1385,2,2)="01", "서울", MID(K1385,2,2)="02","경기",MID(K1385,2,2)="03","충청",MID(K1385,2,2)="04","충청",MID(K1385,2,2)="05","전라",MID(K1385,2,2)="06","전라",MID(K1385,2,2)="07","경북",MID(K1385,2,2)="08","경남",MID(K1385,2,2)="09","강원",MID(K1385,2,2)="10","제주",TRUE,"국외")</f>
        <v>충청</v>
      </c>
    </row>
    <row r="1386" spans="1:12" ht="17.25" thickBot="1">
      <c r="A1386" s="3" t="s">
        <v>1488</v>
      </c>
      <c r="B1386" s="3" t="s">
        <v>153</v>
      </c>
      <c r="C1386" s="3"/>
      <c r="D1386" s="4" t="s">
        <v>254</v>
      </c>
      <c r="E1386" s="4" t="s">
        <v>20</v>
      </c>
      <c r="F1386" s="4">
        <v>2018</v>
      </c>
      <c r="G1386" s="9"/>
      <c r="H1386" s="4" t="s">
        <v>20</v>
      </c>
      <c r="I1386" s="8">
        <v>-0.2</v>
      </c>
      <c r="J1386" s="3">
        <v>13247</v>
      </c>
      <c r="K1386" s="3">
        <v>50210</v>
      </c>
      <c r="L1386" s="17" t="str" cm="1">
        <f t="array" ref="L1386">_xlfn.IFS(MID(K1386,2,2)="01", "서울", MID(K1386,2,2)="02","경기",MID(K1386,2,2)="03","충청",MID(K1386,2,2)="04","충청",MID(K1386,2,2)="05","전라",MID(K1386,2,2)="06","전라",MID(K1386,2,2)="07","경북",MID(K1386,2,2)="08","경남",MID(K1386,2,2)="09","강원",MID(K1386,2,2)="10","제주",TRUE,"국외")</f>
        <v>경기</v>
      </c>
    </row>
    <row r="1387" spans="1:12" ht="17.25" thickBot="1">
      <c r="A1387" s="3" t="s">
        <v>1489</v>
      </c>
      <c r="B1387" s="3" t="s">
        <v>66</v>
      </c>
      <c r="C1387" s="3"/>
      <c r="D1387" s="4" t="s">
        <v>254</v>
      </c>
      <c r="E1387" s="4" t="s">
        <v>12</v>
      </c>
      <c r="F1387" s="4">
        <v>2015</v>
      </c>
      <c r="G1387" s="9"/>
      <c r="H1387" s="4" t="s">
        <v>12</v>
      </c>
      <c r="I1387" s="8">
        <v>2.1</v>
      </c>
      <c r="J1387" s="3">
        <v>11244</v>
      </c>
      <c r="K1387" s="3">
        <v>50110</v>
      </c>
      <c r="L1387" s="17" t="str" cm="1">
        <f t="array" ref="L1387">_xlfn.IFS(MID(K1387,2,2)="01", "서울", MID(K1387,2,2)="02","경기",MID(K1387,2,2)="03","충청",MID(K1387,2,2)="04","충청",MID(K1387,2,2)="05","전라",MID(K1387,2,2)="06","전라",MID(K1387,2,2)="07","경북",MID(K1387,2,2)="08","경남",MID(K1387,2,2)="09","강원",MID(K1387,2,2)="10","제주",TRUE,"국외")</f>
        <v>서울</v>
      </c>
    </row>
    <row r="1388" spans="1:12" ht="17.25" thickBot="1">
      <c r="A1388" s="3" t="s">
        <v>1490</v>
      </c>
      <c r="B1388" s="3" t="s">
        <v>5</v>
      </c>
      <c r="C1388" s="3"/>
      <c r="D1388" s="4" t="s">
        <v>254</v>
      </c>
      <c r="E1388" s="4" t="s">
        <v>607</v>
      </c>
      <c r="F1388" s="4">
        <v>2015</v>
      </c>
      <c r="G1388" s="9"/>
      <c r="H1388" s="4" t="s">
        <v>607</v>
      </c>
      <c r="I1388" s="8">
        <v>-0.2</v>
      </c>
      <c r="J1388" s="3">
        <v>11371</v>
      </c>
      <c r="K1388" s="3">
        <v>50114</v>
      </c>
      <c r="L1388" s="17" t="str" cm="1">
        <f t="array" ref="L1388">_xlfn.IFS(MID(K1388,2,2)="01", "서울", MID(K1388,2,2)="02","경기",MID(K1388,2,2)="03","충청",MID(K1388,2,2)="04","충청",MID(K1388,2,2)="05","전라",MID(K1388,2,2)="06","전라",MID(K1388,2,2)="07","경북",MID(K1388,2,2)="08","경남",MID(K1388,2,2)="09","강원",MID(K1388,2,2)="10","제주",TRUE,"국외")</f>
        <v>서울</v>
      </c>
    </row>
    <row r="1389" spans="1:12" ht="17.25" thickBot="1">
      <c r="A1389" s="3" t="s">
        <v>1491</v>
      </c>
      <c r="B1389" s="3" t="s">
        <v>74</v>
      </c>
      <c r="C1389" s="3" t="s">
        <v>90</v>
      </c>
      <c r="D1389" s="4" t="s">
        <v>254</v>
      </c>
      <c r="E1389" s="4" t="s">
        <v>906</v>
      </c>
      <c r="F1389" s="4">
        <v>2015</v>
      </c>
      <c r="G1389" s="9"/>
      <c r="H1389" s="4" t="s">
        <v>18</v>
      </c>
      <c r="I1389" s="8">
        <v>0</v>
      </c>
      <c r="J1389" s="3">
        <v>11219</v>
      </c>
      <c r="K1389" s="3">
        <v>50102</v>
      </c>
      <c r="L1389" s="17" t="str" cm="1">
        <f t="array" ref="L1389">_xlfn.IFS(MID(K1389,2,2)="01", "서울", MID(K1389,2,2)="02","경기",MID(K1389,2,2)="03","충청",MID(K1389,2,2)="04","충청",MID(K1389,2,2)="05","전라",MID(K1389,2,2)="06","전라",MID(K1389,2,2)="07","경북",MID(K1389,2,2)="08","경남",MID(K1389,2,2)="09","강원",MID(K1389,2,2)="10","제주",TRUE,"국외")</f>
        <v>서울</v>
      </c>
    </row>
    <row r="1390" spans="1:12" ht="17.25" thickBot="1">
      <c r="A1390" s="3" t="s">
        <v>1492</v>
      </c>
      <c r="B1390" s="3" t="s">
        <v>1084</v>
      </c>
      <c r="C1390" s="3"/>
      <c r="D1390" s="4" t="s">
        <v>254</v>
      </c>
      <c r="E1390" s="4" t="s">
        <v>9</v>
      </c>
      <c r="F1390" s="4">
        <v>2019</v>
      </c>
      <c r="G1390" s="9"/>
      <c r="H1390" s="4" t="s">
        <v>9</v>
      </c>
      <c r="I1390" s="8">
        <v>-1.8</v>
      </c>
      <c r="J1390" s="3">
        <v>13279</v>
      </c>
      <c r="K1390" s="3">
        <v>50808</v>
      </c>
      <c r="L1390" s="17" t="str" cm="1">
        <f t="array" ref="L1390">_xlfn.IFS(MID(K1390,2,2)="01", "서울", MID(K1390,2,2)="02","경기",MID(K1390,2,2)="03","충청",MID(K1390,2,2)="04","충청",MID(K1390,2,2)="05","전라",MID(K1390,2,2)="06","전라",MID(K1390,2,2)="07","경북",MID(K1390,2,2)="08","경남",MID(K1390,2,2)="09","강원",MID(K1390,2,2)="10","제주",TRUE,"국외")</f>
        <v>경남</v>
      </c>
    </row>
    <row r="1391" spans="1:12" ht="17.25" thickBot="1">
      <c r="A1391" s="3" t="s">
        <v>1493</v>
      </c>
      <c r="B1391" s="3" t="s">
        <v>22</v>
      </c>
      <c r="C1391" s="3"/>
      <c r="D1391" s="4" t="s">
        <v>254</v>
      </c>
      <c r="E1391" s="4" t="s">
        <v>3</v>
      </c>
      <c r="F1391" s="4">
        <v>2015</v>
      </c>
      <c r="G1391" s="9"/>
      <c r="H1391" s="4" t="s">
        <v>3</v>
      </c>
      <c r="I1391" s="8">
        <v>0</v>
      </c>
      <c r="J1391" s="3">
        <v>11503</v>
      </c>
      <c r="K1391" s="3">
        <v>50209</v>
      </c>
      <c r="L1391" s="17" t="str" cm="1">
        <f t="array" ref="L1391">_xlfn.IFS(MID(K1391,2,2)="01", "서울", MID(K1391,2,2)="02","경기",MID(K1391,2,2)="03","충청",MID(K1391,2,2)="04","충청",MID(K1391,2,2)="05","전라",MID(K1391,2,2)="06","전라",MID(K1391,2,2)="07","경북",MID(K1391,2,2)="08","경남",MID(K1391,2,2)="09","강원",MID(K1391,2,2)="10","제주",TRUE,"국외")</f>
        <v>경기</v>
      </c>
    </row>
    <row r="1392" spans="1:12" ht="17.25" thickBot="1">
      <c r="A1392" s="3" t="s">
        <v>699</v>
      </c>
      <c r="B1392" s="3" t="s">
        <v>32</v>
      </c>
      <c r="C1392" s="3"/>
      <c r="D1392" s="4" t="s">
        <v>254</v>
      </c>
      <c r="E1392" s="4" t="s">
        <v>6</v>
      </c>
      <c r="F1392" s="4">
        <v>2014</v>
      </c>
      <c r="G1392" s="8">
        <v>-0.2</v>
      </c>
      <c r="H1392" s="4" t="s">
        <v>6</v>
      </c>
      <c r="I1392" s="8">
        <v>9.4</v>
      </c>
      <c r="J1392" s="3">
        <v>11261</v>
      </c>
      <c r="K1392" s="3">
        <v>50111</v>
      </c>
      <c r="L1392" s="17" t="str" cm="1">
        <f t="array" ref="L1392">_xlfn.IFS(MID(K1392,2,2)="01", "서울", MID(K1392,2,2)="02","경기",MID(K1392,2,2)="03","충청",MID(K1392,2,2)="04","충청",MID(K1392,2,2)="05","전라",MID(K1392,2,2)="06","전라",MID(K1392,2,2)="07","경북",MID(K1392,2,2)="08","경남",MID(K1392,2,2)="09","강원",MID(K1392,2,2)="10","제주",TRUE,"국외")</f>
        <v>서울</v>
      </c>
    </row>
    <row r="1393" spans="1:12" ht="17.25" thickBot="1">
      <c r="A1393" s="3" t="s">
        <v>1494</v>
      </c>
      <c r="B1393" s="3" t="s">
        <v>22</v>
      </c>
      <c r="C1393" s="3" t="s">
        <v>1347</v>
      </c>
      <c r="D1393" s="4" t="s">
        <v>254</v>
      </c>
      <c r="E1393" s="4"/>
      <c r="F1393" s="4"/>
      <c r="G1393" s="9"/>
      <c r="H1393" s="4"/>
      <c r="I1393" s="9"/>
      <c r="J1393" s="3">
        <v>11313</v>
      </c>
      <c r="K1393" s="3">
        <v>50209</v>
      </c>
      <c r="L1393" s="17" t="str" cm="1">
        <f t="array" ref="L1393">_xlfn.IFS(MID(K1393,2,2)="01", "서울", MID(K1393,2,2)="02","경기",MID(K1393,2,2)="03","충청",MID(K1393,2,2)="04","충청",MID(K1393,2,2)="05","전라",MID(K1393,2,2)="06","전라",MID(K1393,2,2)="07","경북",MID(K1393,2,2)="08","경남",MID(K1393,2,2)="09","강원",MID(K1393,2,2)="10","제주",TRUE,"국외")</f>
        <v>경기</v>
      </c>
    </row>
    <row r="1394" spans="1:12" ht="17.25" thickBot="1">
      <c r="A1394" s="3" t="s">
        <v>1495</v>
      </c>
      <c r="B1394" s="3" t="s">
        <v>11</v>
      </c>
      <c r="C1394" s="3"/>
      <c r="D1394" s="4" t="s">
        <v>254</v>
      </c>
      <c r="E1394" s="4" t="s">
        <v>20</v>
      </c>
      <c r="F1394" s="4">
        <v>2018</v>
      </c>
      <c r="G1394" s="9"/>
      <c r="H1394" s="4" t="s">
        <v>20</v>
      </c>
      <c r="I1394" s="8">
        <v>-0.1</v>
      </c>
      <c r="J1394" s="3">
        <v>13250</v>
      </c>
      <c r="K1394" s="3">
        <v>50802</v>
      </c>
      <c r="L1394" s="17" t="str" cm="1">
        <f t="array" ref="L1394">_xlfn.IFS(MID(K1394,2,2)="01", "서울", MID(K1394,2,2)="02","경기",MID(K1394,2,2)="03","충청",MID(K1394,2,2)="04","충청",MID(K1394,2,2)="05","전라",MID(K1394,2,2)="06","전라",MID(K1394,2,2)="07","경북",MID(K1394,2,2)="08","경남",MID(K1394,2,2)="09","강원",MID(K1394,2,2)="10","제주",TRUE,"국외")</f>
        <v>경남</v>
      </c>
    </row>
    <row r="1395" spans="1:12" ht="17.25" thickBot="1">
      <c r="A1395" s="3" t="s">
        <v>1496</v>
      </c>
      <c r="B1395" s="3" t="s">
        <v>1497</v>
      </c>
      <c r="C1395" s="3" t="s">
        <v>549</v>
      </c>
      <c r="D1395" s="4" t="s">
        <v>254</v>
      </c>
      <c r="E1395" s="4" t="s">
        <v>12</v>
      </c>
      <c r="F1395" s="4"/>
      <c r="G1395" s="9"/>
      <c r="H1395" s="4"/>
      <c r="I1395" s="9"/>
      <c r="J1395" s="3">
        <v>11254</v>
      </c>
      <c r="K1395" s="3">
        <v>50112</v>
      </c>
      <c r="L1395" s="17" t="str" cm="1">
        <f t="array" ref="L1395">_xlfn.IFS(MID(K1395,2,2)="01", "서울", MID(K1395,2,2)="02","경기",MID(K1395,2,2)="03","충청",MID(K1395,2,2)="04","충청",MID(K1395,2,2)="05","전라",MID(K1395,2,2)="06","전라",MID(K1395,2,2)="07","경북",MID(K1395,2,2)="08","경남",MID(K1395,2,2)="09","강원",MID(K1395,2,2)="10","제주",TRUE,"국외")</f>
        <v>서울</v>
      </c>
    </row>
    <row r="1396" spans="1:12" ht="17.25" thickBot="1">
      <c r="A1396" s="3" t="s">
        <v>1498</v>
      </c>
      <c r="B1396" s="3" t="s">
        <v>121</v>
      </c>
      <c r="C1396" s="3"/>
      <c r="D1396" s="4" t="s">
        <v>254</v>
      </c>
      <c r="E1396" s="4" t="s">
        <v>607</v>
      </c>
      <c r="F1396" s="4">
        <v>2016</v>
      </c>
      <c r="G1396" s="9"/>
      <c r="H1396" s="4" t="s">
        <v>607</v>
      </c>
      <c r="I1396" s="8">
        <v>0.9</v>
      </c>
      <c r="J1396" s="3">
        <v>12527</v>
      </c>
      <c r="K1396" s="3">
        <v>50604</v>
      </c>
      <c r="L1396" s="17" t="str" cm="1">
        <f t="array" ref="L1396">_xlfn.IFS(MID(K1396,2,2)="01", "서울", MID(K1396,2,2)="02","경기",MID(K1396,2,2)="03","충청",MID(K1396,2,2)="04","충청",MID(K1396,2,2)="05","전라",MID(K1396,2,2)="06","전라",MID(K1396,2,2)="07","경북",MID(K1396,2,2)="08","경남",MID(K1396,2,2)="09","강원",MID(K1396,2,2)="10","제주",TRUE,"국외")</f>
        <v>전라</v>
      </c>
    </row>
    <row r="1397" spans="1:12" ht="17.25" thickBot="1">
      <c r="A1397" s="3" t="s">
        <v>1499</v>
      </c>
      <c r="B1397" s="3" t="s">
        <v>147</v>
      </c>
      <c r="C1397" s="3" t="s">
        <v>1347</v>
      </c>
      <c r="D1397" s="4" t="s">
        <v>254</v>
      </c>
      <c r="E1397" s="4" t="s">
        <v>906</v>
      </c>
      <c r="F1397" s="4"/>
      <c r="G1397" s="9"/>
      <c r="H1397" s="4"/>
      <c r="I1397" s="9"/>
      <c r="J1397" s="3">
        <v>11221</v>
      </c>
      <c r="K1397" s="3">
        <v>50208</v>
      </c>
      <c r="L1397" s="17" t="str" cm="1">
        <f t="array" ref="L1397">_xlfn.IFS(MID(K1397,2,2)="01", "서울", MID(K1397,2,2)="02","경기",MID(K1397,2,2)="03","충청",MID(K1397,2,2)="04","충청",MID(K1397,2,2)="05","전라",MID(K1397,2,2)="06","전라",MID(K1397,2,2)="07","경북",MID(K1397,2,2)="08","경남",MID(K1397,2,2)="09","강원",MID(K1397,2,2)="10","제주",TRUE,"국외")</f>
        <v>경기</v>
      </c>
    </row>
    <row r="1398" spans="1:12" ht="17.25" thickBot="1">
      <c r="A1398" s="3" t="s">
        <v>1500</v>
      </c>
      <c r="B1398" s="3" t="s">
        <v>107</v>
      </c>
      <c r="C1398" s="3"/>
      <c r="D1398" s="4" t="s">
        <v>254</v>
      </c>
      <c r="E1398" s="4" t="s">
        <v>26</v>
      </c>
      <c r="F1398" s="4">
        <v>2020</v>
      </c>
      <c r="G1398" s="9"/>
      <c r="H1398" s="4" t="s">
        <v>3</v>
      </c>
      <c r="I1398" s="8">
        <v>-0.2</v>
      </c>
      <c r="J1398" s="3">
        <v>12985</v>
      </c>
      <c r="K1398" s="3">
        <v>50602</v>
      </c>
      <c r="L1398" s="17" t="str" cm="1">
        <f t="array" ref="L1398">_xlfn.IFS(MID(K1398,2,2)="01", "서울", MID(K1398,2,2)="02","경기",MID(K1398,2,2)="03","충청",MID(K1398,2,2)="04","충청",MID(K1398,2,2)="05","전라",MID(K1398,2,2)="06","전라",MID(K1398,2,2)="07","경북",MID(K1398,2,2)="08","경남",MID(K1398,2,2)="09","강원",MID(K1398,2,2)="10","제주",TRUE,"국외")</f>
        <v>전라</v>
      </c>
    </row>
    <row r="1399" spans="1:12" ht="17.25" thickBot="1">
      <c r="A1399" s="3" t="s">
        <v>1501</v>
      </c>
      <c r="B1399" s="3" t="s">
        <v>14</v>
      </c>
      <c r="C1399" s="3" t="s">
        <v>538</v>
      </c>
      <c r="D1399" s="4" t="s">
        <v>254</v>
      </c>
      <c r="E1399" s="4" t="s">
        <v>9</v>
      </c>
      <c r="F1399" s="4"/>
      <c r="G1399" s="9"/>
      <c r="H1399" s="4"/>
      <c r="I1399" s="9"/>
      <c r="J1399" s="3">
        <v>11234</v>
      </c>
      <c r="K1399" s="3">
        <v>50703</v>
      </c>
      <c r="L1399" s="17" t="str" cm="1">
        <f t="array" ref="L1399">_xlfn.IFS(MID(K1399,2,2)="01", "서울", MID(K1399,2,2)="02","경기",MID(K1399,2,2)="03","충청",MID(K1399,2,2)="04","충청",MID(K1399,2,2)="05","전라",MID(K1399,2,2)="06","전라",MID(K1399,2,2)="07","경북",MID(K1399,2,2)="08","경남",MID(K1399,2,2)="09","강원",MID(K1399,2,2)="10","제주",TRUE,"국외")</f>
        <v>경북</v>
      </c>
    </row>
    <row r="1400" spans="1:12" ht="17.25" thickBot="1">
      <c r="A1400" s="3" t="s">
        <v>155</v>
      </c>
      <c r="B1400" s="3" t="s">
        <v>81</v>
      </c>
      <c r="C1400" s="3" t="s">
        <v>739</v>
      </c>
      <c r="D1400" s="4" t="s">
        <v>254</v>
      </c>
      <c r="E1400" s="4" t="s">
        <v>23</v>
      </c>
      <c r="F1400" s="4">
        <v>2014</v>
      </c>
      <c r="G1400" s="8">
        <v>-0.2</v>
      </c>
      <c r="H1400" s="4" t="s">
        <v>23</v>
      </c>
      <c r="I1400" s="8">
        <v>-2.1</v>
      </c>
      <c r="J1400" s="3">
        <v>11289</v>
      </c>
      <c r="K1400" s="3">
        <v>50105</v>
      </c>
      <c r="L1400" s="17" t="str" cm="1">
        <f t="array" ref="L1400">_xlfn.IFS(MID(K1400,2,2)="01", "서울", MID(K1400,2,2)="02","경기",MID(K1400,2,2)="03","충청",MID(K1400,2,2)="04","충청",MID(K1400,2,2)="05","전라",MID(K1400,2,2)="06","전라",MID(K1400,2,2)="07","경북",MID(K1400,2,2)="08","경남",MID(K1400,2,2)="09","강원",MID(K1400,2,2)="10","제주",TRUE,"국외")</f>
        <v>서울</v>
      </c>
    </row>
    <row r="1401" spans="1:12" ht="17.25" thickBot="1">
      <c r="A1401" s="3" t="s">
        <v>1502</v>
      </c>
      <c r="B1401" s="3" t="s">
        <v>275</v>
      </c>
      <c r="C1401" s="3"/>
      <c r="D1401" s="4" t="s">
        <v>254</v>
      </c>
      <c r="E1401" s="4" t="s">
        <v>3</v>
      </c>
      <c r="F1401" s="4">
        <v>2014</v>
      </c>
      <c r="G1401" s="8">
        <v>-0.1</v>
      </c>
      <c r="H1401" s="4" t="s">
        <v>607</v>
      </c>
      <c r="I1401" s="8">
        <v>0.9</v>
      </c>
      <c r="J1401" s="3">
        <v>11284</v>
      </c>
      <c r="K1401" s="3">
        <v>51001</v>
      </c>
      <c r="L1401" s="17" t="str" cm="1">
        <f t="array" ref="L1401">_xlfn.IFS(MID(K1401,2,2)="01", "서울", MID(K1401,2,2)="02","경기",MID(K1401,2,2)="03","충청",MID(K1401,2,2)="04","충청",MID(K1401,2,2)="05","전라",MID(K1401,2,2)="06","전라",MID(K1401,2,2)="07","경북",MID(K1401,2,2)="08","경남",MID(K1401,2,2)="09","강원",MID(K1401,2,2)="10","제주",TRUE,"국외")</f>
        <v>제주</v>
      </c>
    </row>
    <row r="1402" spans="1:12" ht="17.25" thickBot="1">
      <c r="A1402" s="3" t="s">
        <v>1503</v>
      </c>
      <c r="B1402" s="3" t="s">
        <v>140</v>
      </c>
      <c r="C1402" s="3" t="s">
        <v>221</v>
      </c>
      <c r="D1402" s="4" t="s">
        <v>254</v>
      </c>
      <c r="E1402" s="4" t="s">
        <v>6</v>
      </c>
      <c r="F1402" s="4">
        <v>2014</v>
      </c>
      <c r="G1402" s="8">
        <v>0.4</v>
      </c>
      <c r="H1402" s="4" t="s">
        <v>18</v>
      </c>
      <c r="I1402" s="8">
        <v>2.1</v>
      </c>
      <c r="J1402" s="3">
        <v>11260</v>
      </c>
      <c r="K1402" s="3">
        <v>50801</v>
      </c>
      <c r="L1402" s="17" t="str" cm="1">
        <f t="array" ref="L1402">_xlfn.IFS(MID(K1402,2,2)="01", "서울", MID(K1402,2,2)="02","경기",MID(K1402,2,2)="03","충청",MID(K1402,2,2)="04","충청",MID(K1402,2,2)="05","전라",MID(K1402,2,2)="06","전라",MID(K1402,2,2)="07","경북",MID(K1402,2,2)="08","경남",MID(K1402,2,2)="09","강원",MID(K1402,2,2)="10","제주",TRUE,"국외")</f>
        <v>경남</v>
      </c>
    </row>
    <row r="1403" spans="1:12" ht="17.25" thickBot="1">
      <c r="A1403" s="3" t="s">
        <v>1342</v>
      </c>
      <c r="B1403" s="3" t="s">
        <v>145</v>
      </c>
      <c r="C1403" s="3"/>
      <c r="D1403" s="4" t="s">
        <v>254</v>
      </c>
      <c r="E1403" s="4"/>
      <c r="F1403" s="4">
        <v>2015</v>
      </c>
      <c r="G1403" s="9"/>
      <c r="H1403" s="4" t="s">
        <v>28</v>
      </c>
      <c r="I1403" s="8">
        <v>8.1</v>
      </c>
      <c r="J1403" s="3">
        <v>11339</v>
      </c>
      <c r="K1403" s="3">
        <v>50106</v>
      </c>
      <c r="L1403" s="17" t="str" cm="1">
        <f t="array" ref="L1403">_xlfn.IFS(MID(K1403,2,2)="01", "서울", MID(K1403,2,2)="02","경기",MID(K1403,2,2)="03","충청",MID(K1403,2,2)="04","충청",MID(K1403,2,2)="05","전라",MID(K1403,2,2)="06","전라",MID(K1403,2,2)="07","경북",MID(K1403,2,2)="08","경남",MID(K1403,2,2)="09","강원",MID(K1403,2,2)="10","제주",TRUE,"국외")</f>
        <v>서울</v>
      </c>
    </row>
    <row r="1404" spans="1:12" ht="17.25" thickBot="1">
      <c r="A1404" s="3" t="s">
        <v>1504</v>
      </c>
      <c r="B1404" s="3" t="s">
        <v>38</v>
      </c>
      <c r="C1404" s="3"/>
      <c r="D1404" s="4" t="s">
        <v>254</v>
      </c>
      <c r="E1404" s="4" t="s">
        <v>20</v>
      </c>
      <c r="F1404" s="4"/>
      <c r="G1404" s="9"/>
      <c r="H1404" s="4"/>
      <c r="I1404" s="9"/>
      <c r="J1404" s="3">
        <v>13248</v>
      </c>
      <c r="K1404" s="3">
        <v>50109</v>
      </c>
      <c r="L1404" s="17" t="str" cm="1">
        <f t="array" ref="L1404">_xlfn.IFS(MID(K1404,2,2)="01", "서울", MID(K1404,2,2)="02","경기",MID(K1404,2,2)="03","충청",MID(K1404,2,2)="04","충청",MID(K1404,2,2)="05","전라",MID(K1404,2,2)="06","전라",MID(K1404,2,2)="07","경북",MID(K1404,2,2)="08","경남",MID(K1404,2,2)="09","강원",MID(K1404,2,2)="10","제주",TRUE,"국외")</f>
        <v>서울</v>
      </c>
    </row>
    <row r="1405" spans="1:12" ht="17.25" thickBot="1">
      <c r="A1405" s="3" t="s">
        <v>1505</v>
      </c>
      <c r="B1405" s="3" t="s">
        <v>14</v>
      </c>
      <c r="C1405" s="3"/>
      <c r="D1405" s="4" t="s">
        <v>254</v>
      </c>
      <c r="E1405" s="4" t="s">
        <v>607</v>
      </c>
      <c r="F1405" s="4">
        <v>2020</v>
      </c>
      <c r="G1405" s="9"/>
      <c r="H1405" s="4" t="s">
        <v>15</v>
      </c>
      <c r="I1405" s="8">
        <v>0.4</v>
      </c>
      <c r="J1405" s="3">
        <v>13191</v>
      </c>
      <c r="K1405" s="3">
        <v>50703</v>
      </c>
      <c r="L1405" s="17" t="str" cm="1">
        <f t="array" ref="L1405">_xlfn.IFS(MID(K1405,2,2)="01", "서울", MID(K1405,2,2)="02","경기",MID(K1405,2,2)="03","충청",MID(K1405,2,2)="04","충청",MID(K1405,2,2)="05","전라",MID(K1405,2,2)="06","전라",MID(K1405,2,2)="07","경북",MID(K1405,2,2)="08","경남",MID(K1405,2,2)="09","강원",MID(K1405,2,2)="10","제주",TRUE,"국외")</f>
        <v>경북</v>
      </c>
    </row>
    <row r="1406" spans="1:12" ht="17.25" thickBot="1">
      <c r="A1406" s="3" t="s">
        <v>1506</v>
      </c>
      <c r="B1406" s="3" t="s">
        <v>40</v>
      </c>
      <c r="C1406" s="3"/>
      <c r="D1406" s="4" t="s">
        <v>254</v>
      </c>
      <c r="E1406" s="4" t="s">
        <v>906</v>
      </c>
      <c r="F1406" s="4"/>
      <c r="G1406" s="9"/>
      <c r="H1406" s="4"/>
      <c r="I1406" s="9"/>
      <c r="J1406" s="3">
        <v>11223</v>
      </c>
      <c r="K1406" s="3">
        <v>50108</v>
      </c>
      <c r="L1406" s="17" t="str" cm="1">
        <f t="array" ref="L1406">_xlfn.IFS(MID(K1406,2,2)="01", "서울", MID(K1406,2,2)="02","경기",MID(K1406,2,2)="03","충청",MID(K1406,2,2)="04","충청",MID(K1406,2,2)="05","전라",MID(K1406,2,2)="06","전라",MID(K1406,2,2)="07","경북",MID(K1406,2,2)="08","경남",MID(K1406,2,2)="09","강원",MID(K1406,2,2)="10","제주",TRUE,"국외")</f>
        <v>서울</v>
      </c>
    </row>
    <row r="1407" spans="1:12" ht="17.25" thickBot="1">
      <c r="A1407" s="3" t="s">
        <v>1507</v>
      </c>
      <c r="B1407" s="3" t="s">
        <v>101</v>
      </c>
      <c r="C1407" s="3"/>
      <c r="D1407" s="4" t="s">
        <v>254</v>
      </c>
      <c r="E1407" s="4" t="s">
        <v>26</v>
      </c>
      <c r="F1407" s="4">
        <v>2019</v>
      </c>
      <c r="G1407" s="9"/>
      <c r="H1407" s="4" t="s">
        <v>607</v>
      </c>
      <c r="I1407" s="8">
        <v>-0.4</v>
      </c>
      <c r="J1407" s="3">
        <v>11207</v>
      </c>
      <c r="K1407" s="3">
        <v>50207</v>
      </c>
      <c r="L1407" s="17" t="str" cm="1">
        <f t="array" ref="L1407">_xlfn.IFS(MID(K1407,2,2)="01", "서울", MID(K1407,2,2)="02","경기",MID(K1407,2,2)="03","충청",MID(K1407,2,2)="04","충청",MID(K1407,2,2)="05","전라",MID(K1407,2,2)="06","전라",MID(K1407,2,2)="07","경북",MID(K1407,2,2)="08","경남",MID(K1407,2,2)="09","강원",MID(K1407,2,2)="10","제주",TRUE,"국외")</f>
        <v>경기</v>
      </c>
    </row>
    <row r="1408" spans="1:12" ht="17.25" thickBot="1">
      <c r="A1408" s="3" t="s">
        <v>1508</v>
      </c>
      <c r="B1408" s="3" t="s">
        <v>22</v>
      </c>
      <c r="C1408" s="3" t="s">
        <v>208</v>
      </c>
      <c r="D1408" s="4" t="s">
        <v>254</v>
      </c>
      <c r="E1408" s="4" t="s">
        <v>9</v>
      </c>
      <c r="F1408" s="4">
        <v>2014</v>
      </c>
      <c r="G1408" s="8">
        <v>0.1</v>
      </c>
      <c r="H1408" s="4" t="s">
        <v>6</v>
      </c>
      <c r="I1408" s="8">
        <v>7.5</v>
      </c>
      <c r="J1408" s="3">
        <v>11233</v>
      </c>
      <c r="K1408" s="3">
        <v>50209</v>
      </c>
      <c r="L1408" s="17" t="str" cm="1">
        <f t="array" ref="L1408">_xlfn.IFS(MID(K1408,2,2)="01", "서울", MID(K1408,2,2)="02","경기",MID(K1408,2,2)="03","충청",MID(K1408,2,2)="04","충청",MID(K1408,2,2)="05","전라",MID(K1408,2,2)="06","전라",MID(K1408,2,2)="07","경북",MID(K1408,2,2)="08","경남",MID(K1408,2,2)="09","강원",MID(K1408,2,2)="10","제주",TRUE,"국외")</f>
        <v>경기</v>
      </c>
    </row>
    <row r="1409" spans="1:12" ht="17.25" thickBot="1">
      <c r="A1409" s="3" t="s">
        <v>1509</v>
      </c>
      <c r="B1409" s="3" t="s">
        <v>81</v>
      </c>
      <c r="C1409" s="3"/>
      <c r="D1409" s="4" t="s">
        <v>254</v>
      </c>
      <c r="E1409" s="4" t="s">
        <v>23</v>
      </c>
      <c r="F1409" s="4">
        <v>2021</v>
      </c>
      <c r="G1409" s="9"/>
      <c r="H1409" s="4" t="s">
        <v>23</v>
      </c>
      <c r="I1409" s="8">
        <v>-0.1</v>
      </c>
      <c r="J1409" s="3">
        <v>12645</v>
      </c>
      <c r="K1409" s="3">
        <v>50105</v>
      </c>
      <c r="L1409" s="17" t="str" cm="1">
        <f t="array" ref="L1409">_xlfn.IFS(MID(K1409,2,2)="01", "서울", MID(K1409,2,2)="02","경기",MID(K1409,2,2)="03","충청",MID(K1409,2,2)="04","충청",MID(K1409,2,2)="05","전라",MID(K1409,2,2)="06","전라",MID(K1409,2,2)="07","경북",MID(K1409,2,2)="08","경남",MID(K1409,2,2)="09","강원",MID(K1409,2,2)="10","제주",TRUE,"국외")</f>
        <v>서울</v>
      </c>
    </row>
    <row r="1410" spans="1:12" ht="17.25" thickBot="1">
      <c r="A1410" s="3" t="s">
        <v>1510</v>
      </c>
      <c r="B1410" s="3" t="s">
        <v>40</v>
      </c>
      <c r="C1410" s="3" t="s">
        <v>174</v>
      </c>
      <c r="D1410" s="4" t="s">
        <v>254</v>
      </c>
      <c r="E1410" s="4" t="s">
        <v>3</v>
      </c>
      <c r="F1410" s="4">
        <v>2015</v>
      </c>
      <c r="G1410" s="9"/>
      <c r="H1410" s="4" t="s">
        <v>3</v>
      </c>
      <c r="I1410" s="8">
        <v>0</v>
      </c>
      <c r="J1410" s="3">
        <v>11274</v>
      </c>
      <c r="K1410" s="3">
        <v>50108</v>
      </c>
      <c r="L1410" s="17" t="str" cm="1">
        <f t="array" ref="L1410">_xlfn.IFS(MID(K1410,2,2)="01", "서울", MID(K1410,2,2)="02","경기",MID(K1410,2,2)="03","충청",MID(K1410,2,2)="04","충청",MID(K1410,2,2)="05","전라",MID(K1410,2,2)="06","전라",MID(K1410,2,2)="07","경북",MID(K1410,2,2)="08","경남",MID(K1410,2,2)="09","강원",MID(K1410,2,2)="10","제주",TRUE,"국외")</f>
        <v>서울</v>
      </c>
    </row>
    <row r="1411" spans="1:12" ht="17.25" thickBot="1">
      <c r="A1411" s="3" t="s">
        <v>1511</v>
      </c>
      <c r="B1411" s="3" t="s">
        <v>1084</v>
      </c>
      <c r="C1411" s="3"/>
      <c r="D1411" s="4" t="s">
        <v>254</v>
      </c>
      <c r="E1411" s="4" t="s">
        <v>6</v>
      </c>
      <c r="F1411" s="4"/>
      <c r="G1411" s="9"/>
      <c r="H1411" s="4"/>
      <c r="I1411" s="9"/>
      <c r="J1411" s="3">
        <v>13182</v>
      </c>
      <c r="K1411" s="3">
        <v>50808</v>
      </c>
      <c r="L1411" s="17" t="str" cm="1">
        <f t="array" ref="L1411">_xlfn.IFS(MID(K1411,2,2)="01", "서울", MID(K1411,2,2)="02","경기",MID(K1411,2,2)="03","충청",MID(K1411,2,2)="04","충청",MID(K1411,2,2)="05","전라",MID(K1411,2,2)="06","전라",MID(K1411,2,2)="07","경북",MID(K1411,2,2)="08","경남",MID(K1411,2,2)="09","강원",MID(K1411,2,2)="10","제주",TRUE,"국외")</f>
        <v>경남</v>
      </c>
    </row>
    <row r="1412" spans="1:12" ht="17.25" thickBot="1">
      <c r="A1412" s="3" t="s">
        <v>1512</v>
      </c>
      <c r="B1412" s="3" t="s">
        <v>70</v>
      </c>
      <c r="C1412" s="3" t="s">
        <v>122</v>
      </c>
      <c r="D1412" s="4" t="s">
        <v>254</v>
      </c>
      <c r="E1412" s="4"/>
      <c r="F1412" s="4">
        <v>2017</v>
      </c>
      <c r="G1412" s="9"/>
      <c r="H1412" s="4" t="s">
        <v>18</v>
      </c>
      <c r="I1412" s="8">
        <v>1.6</v>
      </c>
      <c r="J1412" s="3">
        <v>12997</v>
      </c>
      <c r="K1412" s="3">
        <v>50103</v>
      </c>
      <c r="L1412" s="17" t="str" cm="1">
        <f t="array" ref="L1412">_xlfn.IFS(MID(K1412,2,2)="01", "서울", MID(K1412,2,2)="02","경기",MID(K1412,2,2)="03","충청",MID(K1412,2,2)="04","충청",MID(K1412,2,2)="05","전라",MID(K1412,2,2)="06","전라",MID(K1412,2,2)="07","경북",MID(K1412,2,2)="08","경남",MID(K1412,2,2)="09","강원",MID(K1412,2,2)="10","제주",TRUE,"국외")</f>
        <v>서울</v>
      </c>
    </row>
    <row r="1413" spans="1:12" ht="17.25" thickBot="1">
      <c r="A1413" s="3" t="s">
        <v>1513</v>
      </c>
      <c r="B1413" s="3" t="s">
        <v>32</v>
      </c>
      <c r="C1413" s="3" t="s">
        <v>218</v>
      </c>
      <c r="D1413" s="4" t="s">
        <v>254</v>
      </c>
      <c r="E1413" s="4" t="s">
        <v>12</v>
      </c>
      <c r="F1413" s="4"/>
      <c r="G1413" s="9"/>
      <c r="H1413" s="4"/>
      <c r="I1413" s="9"/>
      <c r="J1413" s="3">
        <v>11295</v>
      </c>
      <c r="K1413" s="3">
        <v>50111</v>
      </c>
      <c r="L1413" s="17" t="str" cm="1">
        <f t="array" ref="L1413">_xlfn.IFS(MID(K1413,2,2)="01", "서울", MID(K1413,2,2)="02","경기",MID(K1413,2,2)="03","충청",MID(K1413,2,2)="04","충청",MID(K1413,2,2)="05","전라",MID(K1413,2,2)="06","전라",MID(K1413,2,2)="07","경북",MID(K1413,2,2)="08","경남",MID(K1413,2,2)="09","강원",MID(K1413,2,2)="10","제주",TRUE,"국외")</f>
        <v>서울</v>
      </c>
    </row>
    <row r="1414" spans="1:12" ht="17.25" thickBot="1">
      <c r="A1414" s="3" t="s">
        <v>1514</v>
      </c>
      <c r="B1414" s="3" t="s">
        <v>101</v>
      </c>
      <c r="C1414" s="3"/>
      <c r="D1414" s="4" t="s">
        <v>254</v>
      </c>
      <c r="E1414" s="4" t="s">
        <v>607</v>
      </c>
      <c r="F1414" s="4">
        <v>2016</v>
      </c>
      <c r="G1414" s="9"/>
      <c r="H1414" s="4" t="s">
        <v>26</v>
      </c>
      <c r="I1414" s="8">
        <v>1.5</v>
      </c>
      <c r="J1414" s="3">
        <v>12678</v>
      </c>
      <c r="K1414" s="3">
        <v>50207</v>
      </c>
      <c r="L1414" s="17" t="str" cm="1">
        <f t="array" ref="L1414">_xlfn.IFS(MID(K1414,2,2)="01", "서울", MID(K1414,2,2)="02","경기",MID(K1414,2,2)="03","충청",MID(K1414,2,2)="04","충청",MID(K1414,2,2)="05","전라",MID(K1414,2,2)="06","전라",MID(K1414,2,2)="07","경북",MID(K1414,2,2)="08","경남",MID(K1414,2,2)="09","강원",MID(K1414,2,2)="10","제주",TRUE,"국외")</f>
        <v>경기</v>
      </c>
    </row>
    <row r="1415" spans="1:12" ht="17.25" thickBot="1">
      <c r="A1415" s="3" t="s">
        <v>1515</v>
      </c>
      <c r="B1415" s="3" t="s">
        <v>93</v>
      </c>
      <c r="C1415" s="3"/>
      <c r="D1415" s="4" t="s">
        <v>254</v>
      </c>
      <c r="E1415" s="4" t="s">
        <v>9</v>
      </c>
      <c r="F1415" s="4">
        <v>2020</v>
      </c>
      <c r="G1415" s="9"/>
      <c r="H1415" s="4" t="s">
        <v>6</v>
      </c>
      <c r="I1415" s="8">
        <v>-0.4</v>
      </c>
      <c r="J1415" s="3">
        <v>14747</v>
      </c>
      <c r="K1415" s="3">
        <v>50805</v>
      </c>
      <c r="L1415" s="17" t="str" cm="1">
        <f t="array" ref="L1415">_xlfn.IFS(MID(K1415,2,2)="01", "서울", MID(K1415,2,2)="02","경기",MID(K1415,2,2)="03","충청",MID(K1415,2,2)="04","충청",MID(K1415,2,2)="05","전라",MID(K1415,2,2)="06","전라",MID(K1415,2,2)="07","경북",MID(K1415,2,2)="08","경남",MID(K1415,2,2)="09","강원",MID(K1415,2,2)="10","제주",TRUE,"국외")</f>
        <v>경남</v>
      </c>
    </row>
    <row r="1416" spans="1:12" ht="17.25" thickBot="1">
      <c r="A1416" s="3" t="s">
        <v>1516</v>
      </c>
      <c r="B1416" s="3" t="s">
        <v>32</v>
      </c>
      <c r="C1416" s="3" t="s">
        <v>90</v>
      </c>
      <c r="D1416" s="4" t="s">
        <v>254</v>
      </c>
      <c r="E1416" s="4" t="s">
        <v>23</v>
      </c>
      <c r="F1416" s="4">
        <v>2015</v>
      </c>
      <c r="G1416" s="9"/>
      <c r="H1416" s="4" t="s">
        <v>23</v>
      </c>
      <c r="I1416" s="8">
        <v>-0.7</v>
      </c>
      <c r="J1416" s="3">
        <v>11406</v>
      </c>
      <c r="K1416" s="3">
        <v>50111</v>
      </c>
      <c r="L1416" s="17" t="str" cm="1">
        <f t="array" ref="L1416">_xlfn.IFS(MID(K1416,2,2)="01", "서울", MID(K1416,2,2)="02","경기",MID(K1416,2,2)="03","충청",MID(K1416,2,2)="04","충청",MID(K1416,2,2)="05","전라",MID(K1416,2,2)="06","전라",MID(K1416,2,2)="07","경북",MID(K1416,2,2)="08","경남",MID(K1416,2,2)="09","강원",MID(K1416,2,2)="10","제주",TRUE,"국외")</f>
        <v>서울</v>
      </c>
    </row>
    <row r="1417" spans="1:12" ht="17.25" thickBot="1">
      <c r="A1417" s="3" t="s">
        <v>1517</v>
      </c>
      <c r="B1417" s="3" t="s">
        <v>66</v>
      </c>
      <c r="C1417" s="3" t="s">
        <v>208</v>
      </c>
      <c r="D1417" s="4" t="s">
        <v>254</v>
      </c>
      <c r="E1417" s="4" t="s">
        <v>3</v>
      </c>
      <c r="F1417" s="4">
        <v>2014</v>
      </c>
      <c r="G1417" s="8">
        <v>0.2</v>
      </c>
      <c r="H1417" s="4" t="s">
        <v>3</v>
      </c>
      <c r="I1417" s="8">
        <v>0.3</v>
      </c>
      <c r="J1417" s="3">
        <v>11273</v>
      </c>
      <c r="K1417" s="3">
        <v>50110</v>
      </c>
      <c r="L1417" s="17" t="str" cm="1">
        <f t="array" ref="L1417">_xlfn.IFS(MID(K1417,2,2)="01", "서울", MID(K1417,2,2)="02","경기",MID(K1417,2,2)="03","충청",MID(K1417,2,2)="04","충청",MID(K1417,2,2)="05","전라",MID(K1417,2,2)="06","전라",MID(K1417,2,2)="07","경북",MID(K1417,2,2)="08","경남",MID(K1417,2,2)="09","강원",MID(K1417,2,2)="10","제주",TRUE,"국외")</f>
        <v>서울</v>
      </c>
    </row>
    <row r="1418" spans="1:12" ht="17.25" thickBot="1">
      <c r="A1418" s="3" t="s">
        <v>1518</v>
      </c>
      <c r="B1418" s="3" t="s">
        <v>121</v>
      </c>
      <c r="C1418" s="3"/>
      <c r="D1418" s="4" t="s">
        <v>254</v>
      </c>
      <c r="E1418" s="4" t="s">
        <v>6</v>
      </c>
      <c r="F1418" s="4"/>
      <c r="G1418" s="9"/>
      <c r="H1418" s="4"/>
      <c r="I1418" s="9"/>
      <c r="J1418" s="3">
        <v>11424</v>
      </c>
      <c r="K1418" s="3">
        <v>50604</v>
      </c>
      <c r="L1418" s="17" t="str" cm="1">
        <f t="array" ref="L1418">_xlfn.IFS(MID(K1418,2,2)="01", "서울", MID(K1418,2,2)="02","경기",MID(K1418,2,2)="03","충청",MID(K1418,2,2)="04","충청",MID(K1418,2,2)="05","전라",MID(K1418,2,2)="06","전라",MID(K1418,2,2)="07","경북",MID(K1418,2,2)="08","경남",MID(K1418,2,2)="09","강원",MID(K1418,2,2)="10","제주",TRUE,"국외")</f>
        <v>전라</v>
      </c>
    </row>
    <row r="1419" spans="1:12" ht="17.25" thickBot="1">
      <c r="A1419" s="3" t="s">
        <v>1519</v>
      </c>
      <c r="B1419" s="3" t="s">
        <v>34</v>
      </c>
      <c r="C1419" s="3" t="s">
        <v>329</v>
      </c>
      <c r="D1419" s="4" t="s">
        <v>254</v>
      </c>
      <c r="E1419" s="4"/>
      <c r="F1419" s="4">
        <v>2015</v>
      </c>
      <c r="G1419" s="9"/>
      <c r="H1419" s="4" t="s">
        <v>28</v>
      </c>
      <c r="I1419" s="8">
        <v>-0.1</v>
      </c>
      <c r="J1419" s="3">
        <v>11335</v>
      </c>
      <c r="K1419" s="3">
        <v>50701</v>
      </c>
      <c r="L1419" s="17" t="str" cm="1">
        <f t="array" ref="L1419">_xlfn.IFS(MID(K1419,2,2)="01", "서울", MID(K1419,2,2)="02","경기",MID(K1419,2,2)="03","충청",MID(K1419,2,2)="04","충청",MID(K1419,2,2)="05","전라",MID(K1419,2,2)="06","전라",MID(K1419,2,2)="07","경북",MID(K1419,2,2)="08","경남",MID(K1419,2,2)="09","강원",MID(K1419,2,2)="10","제주",TRUE,"국외")</f>
        <v>경북</v>
      </c>
    </row>
    <row r="1420" spans="1:12" ht="17.25" thickBot="1">
      <c r="A1420" s="3" t="s">
        <v>1520</v>
      </c>
      <c r="B1420" s="3" t="s">
        <v>11</v>
      </c>
      <c r="C1420" s="3"/>
      <c r="D1420" s="4" t="s">
        <v>254</v>
      </c>
      <c r="E1420" s="4" t="s">
        <v>20</v>
      </c>
      <c r="F1420" s="4"/>
      <c r="G1420" s="9"/>
      <c r="H1420" s="4"/>
      <c r="I1420" s="9"/>
      <c r="J1420" s="3">
        <v>13246</v>
      </c>
      <c r="K1420" s="3">
        <v>50802</v>
      </c>
      <c r="L1420" s="17" t="str" cm="1">
        <f t="array" ref="L1420">_xlfn.IFS(MID(K1420,2,2)="01", "서울", MID(K1420,2,2)="02","경기",MID(K1420,2,2)="03","충청",MID(K1420,2,2)="04","충청",MID(K1420,2,2)="05","전라",MID(K1420,2,2)="06","전라",MID(K1420,2,2)="07","경북",MID(K1420,2,2)="08","경남",MID(K1420,2,2)="09","강원",MID(K1420,2,2)="10","제주",TRUE,"국외")</f>
        <v>경남</v>
      </c>
    </row>
    <row r="1421" spans="1:12" ht="17.25" thickBot="1">
      <c r="A1421" s="3" t="s">
        <v>1521</v>
      </c>
      <c r="B1421" s="3" t="s">
        <v>70</v>
      </c>
      <c r="C1421" s="3"/>
      <c r="D1421" s="4" t="s">
        <v>254</v>
      </c>
      <c r="E1421" s="4" t="s">
        <v>607</v>
      </c>
      <c r="F1421" s="4"/>
      <c r="G1421" s="9"/>
      <c r="H1421" s="4"/>
      <c r="I1421" s="9"/>
      <c r="J1421" s="3">
        <v>14697</v>
      </c>
      <c r="K1421" s="3">
        <v>50103</v>
      </c>
      <c r="L1421" s="17" t="str" cm="1">
        <f t="array" ref="L1421">_xlfn.IFS(MID(K1421,2,2)="01", "서울", MID(K1421,2,2)="02","경기",MID(K1421,2,2)="03","충청",MID(K1421,2,2)="04","충청",MID(K1421,2,2)="05","전라",MID(K1421,2,2)="06","전라",MID(K1421,2,2)="07","경북",MID(K1421,2,2)="08","경남",MID(K1421,2,2)="09","강원",MID(K1421,2,2)="10","제주",TRUE,"국외")</f>
        <v>서울</v>
      </c>
    </row>
    <row r="1422" spans="1:12" ht="17.25" thickBot="1">
      <c r="A1422" s="3" t="s">
        <v>1522</v>
      </c>
      <c r="B1422" s="3" t="s">
        <v>158</v>
      </c>
      <c r="C1422" s="3"/>
      <c r="D1422" s="4" t="s">
        <v>254</v>
      </c>
      <c r="E1422" s="4" t="s">
        <v>26</v>
      </c>
      <c r="F1422" s="4"/>
      <c r="G1422" s="9"/>
      <c r="H1422" s="4"/>
      <c r="I1422" s="9"/>
      <c r="J1422" s="3">
        <v>11208</v>
      </c>
      <c r="K1422" s="3">
        <v>50501</v>
      </c>
      <c r="L1422" s="17" t="str" cm="1">
        <f t="array" ref="L1422">_xlfn.IFS(MID(K1422,2,2)="01", "서울", MID(K1422,2,2)="02","경기",MID(K1422,2,2)="03","충청",MID(K1422,2,2)="04","충청",MID(K1422,2,2)="05","전라",MID(K1422,2,2)="06","전라",MID(K1422,2,2)="07","경북",MID(K1422,2,2)="08","경남",MID(K1422,2,2)="09","강원",MID(K1422,2,2)="10","제주",TRUE,"국외")</f>
        <v>전라</v>
      </c>
    </row>
    <row r="1423" spans="1:12" ht="17.25" thickBot="1">
      <c r="A1423" s="3" t="s">
        <v>1523</v>
      </c>
      <c r="B1423" s="3" t="s">
        <v>153</v>
      </c>
      <c r="C1423" s="3" t="s">
        <v>99</v>
      </c>
      <c r="D1423" s="4" t="s">
        <v>254</v>
      </c>
      <c r="E1423" s="4" t="s">
        <v>23</v>
      </c>
      <c r="F1423" s="4">
        <v>2014</v>
      </c>
      <c r="G1423" s="8">
        <v>0</v>
      </c>
      <c r="H1423" s="4" t="s">
        <v>23</v>
      </c>
      <c r="I1423" s="8">
        <v>0</v>
      </c>
      <c r="J1423" s="3">
        <v>11199</v>
      </c>
      <c r="K1423" s="3">
        <v>50210</v>
      </c>
      <c r="L1423" s="17" t="str" cm="1">
        <f t="array" ref="L1423">_xlfn.IFS(MID(K1423,2,2)="01", "서울", MID(K1423,2,2)="02","경기",MID(K1423,2,2)="03","충청",MID(K1423,2,2)="04","충청",MID(K1423,2,2)="05","전라",MID(K1423,2,2)="06","전라",MID(K1423,2,2)="07","경북",MID(K1423,2,2)="08","경남",MID(K1423,2,2)="09","강원",MID(K1423,2,2)="10","제주",TRUE,"국외")</f>
        <v>경기</v>
      </c>
    </row>
    <row r="1424" spans="1:12" ht="17.25" thickBot="1">
      <c r="A1424" s="3" t="s">
        <v>1524</v>
      </c>
      <c r="B1424" s="3" t="s">
        <v>112</v>
      </c>
      <c r="C1424" s="3" t="s">
        <v>172</v>
      </c>
      <c r="D1424" s="4" t="s">
        <v>254</v>
      </c>
      <c r="E1424" s="4" t="s">
        <v>3</v>
      </c>
      <c r="F1424" s="4">
        <v>2017</v>
      </c>
      <c r="G1424" s="9"/>
      <c r="H1424" s="4" t="s">
        <v>3</v>
      </c>
      <c r="I1424" s="8">
        <v>0.1</v>
      </c>
      <c r="J1424" s="3">
        <v>11271</v>
      </c>
      <c r="K1424" s="3">
        <v>50113</v>
      </c>
      <c r="L1424" s="17" t="str" cm="1">
        <f t="array" ref="L1424">_xlfn.IFS(MID(K1424,2,2)="01", "서울", MID(K1424,2,2)="02","경기",MID(K1424,2,2)="03","충청",MID(K1424,2,2)="04","충청",MID(K1424,2,2)="05","전라",MID(K1424,2,2)="06","전라",MID(K1424,2,2)="07","경북",MID(K1424,2,2)="08","경남",MID(K1424,2,2)="09","강원",MID(K1424,2,2)="10","제주",TRUE,"국외")</f>
        <v>서울</v>
      </c>
    </row>
    <row r="1425" spans="1:12" ht="17.25" thickBot="1">
      <c r="A1425" s="3" t="s">
        <v>1525</v>
      </c>
      <c r="B1425" s="3" t="s">
        <v>5</v>
      </c>
      <c r="C1425" s="3" t="s">
        <v>133</v>
      </c>
      <c r="D1425" s="4" t="s">
        <v>254</v>
      </c>
      <c r="E1425" s="4" t="s">
        <v>12</v>
      </c>
      <c r="F1425" s="4"/>
      <c r="G1425" s="9"/>
      <c r="H1425" s="4"/>
      <c r="I1425" s="9"/>
      <c r="J1425" s="3">
        <v>13262</v>
      </c>
      <c r="K1425" s="3">
        <v>50114</v>
      </c>
      <c r="L1425" s="17" t="str" cm="1">
        <f t="array" ref="L1425">_xlfn.IFS(MID(K1425,2,2)="01", "서울", MID(K1425,2,2)="02","경기",MID(K1425,2,2)="03","충청",MID(K1425,2,2)="04","충청",MID(K1425,2,2)="05","전라",MID(K1425,2,2)="06","전라",MID(K1425,2,2)="07","경북",MID(K1425,2,2)="08","경남",MID(K1425,2,2)="09","강원",MID(K1425,2,2)="10","제주",TRUE,"국외")</f>
        <v>서울</v>
      </c>
    </row>
    <row r="1426" spans="1:12" ht="17.25" thickBot="1">
      <c r="A1426" s="3" t="s">
        <v>1526</v>
      </c>
      <c r="B1426" s="3" t="s">
        <v>96</v>
      </c>
      <c r="C1426" s="3" t="s">
        <v>172</v>
      </c>
      <c r="D1426" s="4" t="s">
        <v>254</v>
      </c>
      <c r="E1426" s="4" t="s">
        <v>26</v>
      </c>
      <c r="F1426" s="4"/>
      <c r="G1426" s="9"/>
      <c r="H1426" s="4"/>
      <c r="I1426" s="9"/>
      <c r="J1426" s="3">
        <v>11209</v>
      </c>
      <c r="K1426" s="3">
        <v>50601</v>
      </c>
      <c r="L1426" s="17" t="str" cm="1">
        <f t="array" ref="L1426">_xlfn.IFS(MID(K1426,2,2)="01", "서울", MID(K1426,2,2)="02","경기",MID(K1426,2,2)="03","충청",MID(K1426,2,2)="04","충청",MID(K1426,2,2)="05","전라",MID(K1426,2,2)="06","전라",MID(K1426,2,2)="07","경북",MID(K1426,2,2)="08","경남",MID(K1426,2,2)="09","강원",MID(K1426,2,2)="10","제주",TRUE,"국외")</f>
        <v>전라</v>
      </c>
    </row>
    <row r="1427" spans="1:12" ht="17.25" thickBot="1">
      <c r="A1427" s="3" t="s">
        <v>1527</v>
      </c>
      <c r="B1427" s="3" t="s">
        <v>153</v>
      </c>
      <c r="C1427" s="3" t="s">
        <v>99</v>
      </c>
      <c r="D1427" s="4" t="s">
        <v>254</v>
      </c>
      <c r="E1427" s="4" t="s">
        <v>23</v>
      </c>
      <c r="F1427" s="4"/>
      <c r="G1427" s="9"/>
      <c r="H1427" s="4"/>
      <c r="I1427" s="9"/>
      <c r="J1427" s="3">
        <v>13255</v>
      </c>
      <c r="K1427" s="3">
        <v>50210</v>
      </c>
      <c r="L1427" s="17" t="str" cm="1">
        <f t="array" ref="L1427">_xlfn.IFS(MID(K1427,2,2)="01", "서울", MID(K1427,2,2)="02","경기",MID(K1427,2,2)="03","충청",MID(K1427,2,2)="04","충청",MID(K1427,2,2)="05","전라",MID(K1427,2,2)="06","전라",MID(K1427,2,2)="07","경북",MID(K1427,2,2)="08","경남",MID(K1427,2,2)="09","강원",MID(K1427,2,2)="10","제주",TRUE,"국외")</f>
        <v>경기</v>
      </c>
    </row>
    <row r="1428" spans="1:12" ht="17.25" thickBot="1">
      <c r="A1428" s="3" t="s">
        <v>1528</v>
      </c>
      <c r="B1428" s="3" t="s">
        <v>40</v>
      </c>
      <c r="C1428" s="3" t="s">
        <v>549</v>
      </c>
      <c r="D1428" s="4" t="s">
        <v>254</v>
      </c>
      <c r="E1428" s="4" t="s">
        <v>6</v>
      </c>
      <c r="F1428" s="4"/>
      <c r="G1428" s="9"/>
      <c r="H1428" s="4"/>
      <c r="I1428" s="9"/>
      <c r="J1428" s="3">
        <v>11258</v>
      </c>
      <c r="K1428" s="3">
        <v>50108</v>
      </c>
      <c r="L1428" s="17" t="str" cm="1">
        <f t="array" ref="L1428">_xlfn.IFS(MID(K1428,2,2)="01", "서울", MID(K1428,2,2)="02","경기",MID(K1428,2,2)="03","충청",MID(K1428,2,2)="04","충청",MID(K1428,2,2)="05","전라",MID(K1428,2,2)="06","전라",MID(K1428,2,2)="07","경북",MID(K1428,2,2)="08","경남",MID(K1428,2,2)="09","강원",MID(K1428,2,2)="10","제주",TRUE,"국외")</f>
        <v>서울</v>
      </c>
    </row>
    <row r="1429" spans="1:12" ht="17.25" thickBot="1">
      <c r="A1429" s="3" t="s">
        <v>1529</v>
      </c>
      <c r="B1429" s="3" t="s">
        <v>140</v>
      </c>
      <c r="C1429" s="3"/>
      <c r="D1429" s="4" t="s">
        <v>254</v>
      </c>
      <c r="E1429" s="4" t="s">
        <v>20</v>
      </c>
      <c r="F1429" s="4">
        <v>2016</v>
      </c>
      <c r="G1429" s="9"/>
      <c r="H1429" s="4" t="s">
        <v>20</v>
      </c>
      <c r="I1429" s="8">
        <v>-1.2</v>
      </c>
      <c r="J1429" s="3">
        <v>12512</v>
      </c>
      <c r="K1429" s="3">
        <v>50801</v>
      </c>
      <c r="L1429" s="17" t="str" cm="1">
        <f t="array" ref="L1429">_xlfn.IFS(MID(K1429,2,2)="01", "서울", MID(K1429,2,2)="02","경기",MID(K1429,2,2)="03","충청",MID(K1429,2,2)="04","충청",MID(K1429,2,2)="05","전라",MID(K1429,2,2)="06","전라",MID(K1429,2,2)="07","경북",MID(K1429,2,2)="08","경남",MID(K1429,2,2)="09","강원",MID(K1429,2,2)="10","제주",TRUE,"국외")</f>
        <v>경남</v>
      </c>
    </row>
    <row r="1430" spans="1:12" ht="17.25" thickBot="1">
      <c r="A1430" s="3" t="s">
        <v>1530</v>
      </c>
      <c r="B1430" s="3" t="s">
        <v>147</v>
      </c>
      <c r="C1430" s="3" t="s">
        <v>208</v>
      </c>
      <c r="D1430" s="4" t="s">
        <v>254</v>
      </c>
      <c r="E1430" s="4" t="s">
        <v>12</v>
      </c>
      <c r="F1430" s="4">
        <v>2016</v>
      </c>
      <c r="G1430" s="9"/>
      <c r="H1430" s="4" t="s">
        <v>12</v>
      </c>
      <c r="I1430" s="8">
        <v>-0.1</v>
      </c>
      <c r="J1430" s="3">
        <v>11245</v>
      </c>
      <c r="K1430" s="3">
        <v>50208</v>
      </c>
      <c r="L1430" s="17" t="str" cm="1">
        <f t="array" ref="L1430">_xlfn.IFS(MID(K1430,2,2)="01", "서울", MID(K1430,2,2)="02","경기",MID(K1430,2,2)="03","충청",MID(K1430,2,2)="04","충청",MID(K1430,2,2)="05","전라",MID(K1430,2,2)="06","전라",MID(K1430,2,2)="07","경북",MID(K1430,2,2)="08","경남",MID(K1430,2,2)="09","강원",MID(K1430,2,2)="10","제주",TRUE,"국외")</f>
        <v>경기</v>
      </c>
    </row>
    <row r="1431" spans="1:12" ht="17.25" thickBot="1">
      <c r="A1431" s="3" t="s">
        <v>1531</v>
      </c>
      <c r="B1431" s="3" t="s">
        <v>22</v>
      </c>
      <c r="C1431" s="3"/>
      <c r="D1431" s="4" t="s">
        <v>254</v>
      </c>
      <c r="E1431" s="4" t="s">
        <v>906</v>
      </c>
      <c r="F1431" s="4">
        <v>2016</v>
      </c>
      <c r="G1431" s="9"/>
      <c r="H1431" s="4" t="s">
        <v>18</v>
      </c>
      <c r="I1431" s="8">
        <v>0</v>
      </c>
      <c r="J1431" s="3">
        <v>12703</v>
      </c>
      <c r="K1431" s="3">
        <v>50209</v>
      </c>
      <c r="L1431" s="17" t="str" cm="1">
        <f t="array" ref="L1431">_xlfn.IFS(MID(K1431,2,2)="01", "서울", MID(K1431,2,2)="02","경기",MID(K1431,2,2)="03","충청",MID(K1431,2,2)="04","충청",MID(K1431,2,2)="05","전라",MID(K1431,2,2)="06","전라",MID(K1431,2,2)="07","경북",MID(K1431,2,2)="08","경남",MID(K1431,2,2)="09","강원",MID(K1431,2,2)="10","제주",TRUE,"국외")</f>
        <v>경기</v>
      </c>
    </row>
    <row r="1432" spans="1:12" ht="17.25" thickBot="1">
      <c r="A1432" s="3" t="s">
        <v>1532</v>
      </c>
      <c r="B1432" s="3" t="s">
        <v>332</v>
      </c>
      <c r="C1432" s="3" t="s">
        <v>538</v>
      </c>
      <c r="D1432" s="4" t="s">
        <v>254</v>
      </c>
      <c r="E1432" s="4" t="s">
        <v>23</v>
      </c>
      <c r="F1432" s="4">
        <v>2018</v>
      </c>
      <c r="G1432" s="9"/>
      <c r="H1432" s="4" t="s">
        <v>23</v>
      </c>
      <c r="I1432" s="8">
        <v>-0.7</v>
      </c>
      <c r="J1432" s="3">
        <v>13241</v>
      </c>
      <c r="K1432" s="3">
        <v>50705</v>
      </c>
      <c r="L1432" s="17" t="str" cm="1">
        <f t="array" ref="L1432">_xlfn.IFS(MID(K1432,2,2)="01", "서울", MID(K1432,2,2)="02","경기",MID(K1432,2,2)="03","충청",MID(K1432,2,2)="04","충청",MID(K1432,2,2)="05","전라",MID(K1432,2,2)="06","전라",MID(K1432,2,2)="07","경북",MID(K1432,2,2)="08","경남",MID(K1432,2,2)="09","강원",MID(K1432,2,2)="10","제주",TRUE,"국외")</f>
        <v>경북</v>
      </c>
    </row>
    <row r="1433" spans="1:12" ht="17.25" thickBot="1">
      <c r="A1433" s="3" t="s">
        <v>1533</v>
      </c>
      <c r="B1433" s="3" t="s">
        <v>25</v>
      </c>
      <c r="C1433" s="3"/>
      <c r="D1433" s="4" t="s">
        <v>254</v>
      </c>
      <c r="E1433" s="4" t="s">
        <v>3</v>
      </c>
      <c r="F1433" s="4">
        <v>2020</v>
      </c>
      <c r="G1433" s="9"/>
      <c r="H1433" s="4" t="s">
        <v>3</v>
      </c>
      <c r="I1433" s="8">
        <v>-0.8</v>
      </c>
      <c r="J1433" s="3">
        <v>11269</v>
      </c>
      <c r="K1433" s="3">
        <v>50403</v>
      </c>
      <c r="L1433" s="17" t="str" cm="1">
        <f t="array" ref="L1433">_xlfn.IFS(MID(K1433,2,2)="01", "서울", MID(K1433,2,2)="02","경기",MID(K1433,2,2)="03","충청",MID(K1433,2,2)="04","충청",MID(K1433,2,2)="05","전라",MID(K1433,2,2)="06","전라",MID(K1433,2,2)="07","경북",MID(K1433,2,2)="08","경남",MID(K1433,2,2)="09","강원",MID(K1433,2,2)="10","제주",TRUE,"국외")</f>
        <v>충청</v>
      </c>
    </row>
    <row r="1434" spans="1:12" ht="17.25" thickBot="1">
      <c r="A1434" s="3" t="s">
        <v>1534</v>
      </c>
      <c r="B1434" s="3" t="s">
        <v>25</v>
      </c>
      <c r="C1434" s="3"/>
      <c r="D1434" s="4" t="s">
        <v>1407</v>
      </c>
      <c r="E1434" s="4"/>
      <c r="F1434" s="4">
        <v>2016</v>
      </c>
      <c r="G1434" s="9"/>
      <c r="H1434" s="4" t="s">
        <v>28</v>
      </c>
      <c r="I1434" s="8">
        <v>0.3</v>
      </c>
      <c r="J1434" s="3">
        <v>12655</v>
      </c>
      <c r="K1434" s="3">
        <v>50403</v>
      </c>
      <c r="L1434" s="17" t="str" cm="1">
        <f t="array" ref="L1434">_xlfn.IFS(MID(K1434,2,2)="01", "서울", MID(K1434,2,2)="02","경기",MID(K1434,2,2)="03","충청",MID(K1434,2,2)="04","충청",MID(K1434,2,2)="05","전라",MID(K1434,2,2)="06","전라",MID(K1434,2,2)="07","경북",MID(K1434,2,2)="08","경남",MID(K1434,2,2)="09","강원",MID(K1434,2,2)="10","제주",TRUE,"국외")</f>
        <v>충청</v>
      </c>
    </row>
    <row r="1435" spans="1:12" ht="17.25" thickBot="1">
      <c r="A1435" s="3" t="s">
        <v>1535</v>
      </c>
      <c r="B1435" s="3" t="s">
        <v>140</v>
      </c>
      <c r="C1435" s="3" t="s">
        <v>1471</v>
      </c>
      <c r="D1435" s="4" t="s">
        <v>1407</v>
      </c>
      <c r="E1435" s="4"/>
      <c r="F1435" s="4">
        <v>2015</v>
      </c>
      <c r="G1435" s="9"/>
      <c r="H1435" s="4" t="s">
        <v>28</v>
      </c>
      <c r="I1435" s="8">
        <v>4.8</v>
      </c>
      <c r="J1435" s="3">
        <v>11311</v>
      </c>
      <c r="K1435" s="3">
        <v>50801</v>
      </c>
      <c r="L1435" s="17" t="str" cm="1">
        <f t="array" ref="L1435">_xlfn.IFS(MID(K1435,2,2)="01", "서울", MID(K1435,2,2)="02","경기",MID(K1435,2,2)="03","충청",MID(K1435,2,2)="04","충청",MID(K1435,2,2)="05","전라",MID(K1435,2,2)="06","전라",MID(K1435,2,2)="07","경북",MID(K1435,2,2)="08","경남",MID(K1435,2,2)="09","강원",MID(K1435,2,2)="10","제주",TRUE,"국외")</f>
        <v>경남</v>
      </c>
    </row>
    <row r="1436" spans="1:12" ht="17.25" thickBot="1">
      <c r="A1436" s="3" t="s">
        <v>1536</v>
      </c>
      <c r="B1436" s="3"/>
      <c r="C1436" s="3"/>
      <c r="D1436" s="4" t="s">
        <v>181</v>
      </c>
      <c r="E1436" s="4" t="s">
        <v>6</v>
      </c>
      <c r="F1436" s="4">
        <v>2014</v>
      </c>
      <c r="G1436" s="8">
        <v>2.6</v>
      </c>
      <c r="H1436" s="4" t="s">
        <v>6</v>
      </c>
      <c r="I1436" s="8">
        <v>2.6</v>
      </c>
      <c r="J1436" s="3">
        <v>11265</v>
      </c>
      <c r="K1436" s="3"/>
      <c r="L1436" s="17" t="str" cm="1">
        <f t="array" ref="L1436">_xlfn.IFS(MID(K1436,2,2)="01", "서울", MID(K1436,2,2)="02","경기",MID(K1436,2,2)="03","충청",MID(K1436,2,2)="04","충청",MID(K1436,2,2)="05","전라",MID(K1436,2,2)="06","전라",MID(K1436,2,2)="07","경북",MID(K1436,2,2)="08","경남",MID(K1436,2,2)="09","강원",MID(K1436,2,2)="10","제주",TRUE,"국외")</f>
        <v>국외</v>
      </c>
    </row>
    <row r="1437" spans="1:12" ht="17.25" thickBot="1">
      <c r="A1437" s="3" t="s">
        <v>1537</v>
      </c>
      <c r="B1437" s="3"/>
      <c r="C1437" s="3"/>
      <c r="D1437" s="4" t="s">
        <v>181</v>
      </c>
      <c r="E1437" s="4" t="s">
        <v>6</v>
      </c>
      <c r="F1437" s="4">
        <v>2014</v>
      </c>
      <c r="G1437" s="8">
        <v>1.2</v>
      </c>
      <c r="H1437" s="4" t="s">
        <v>6</v>
      </c>
      <c r="I1437" s="8">
        <v>1.2</v>
      </c>
      <c r="J1437" s="3">
        <v>11292</v>
      </c>
      <c r="K1437" s="3"/>
      <c r="L1437" s="17" t="str" cm="1">
        <f t="array" ref="L1437">_xlfn.IFS(MID(K1437,2,2)="01", "서울", MID(K1437,2,2)="02","경기",MID(K1437,2,2)="03","충청",MID(K1437,2,2)="04","충청",MID(K1437,2,2)="05","전라",MID(K1437,2,2)="06","전라",MID(K1437,2,2)="07","경북",MID(K1437,2,2)="08","경남",MID(K1437,2,2)="09","강원",MID(K1437,2,2)="10","제주",TRUE,"국외")</f>
        <v>국외</v>
      </c>
    </row>
    <row r="1438" spans="1:12" ht="17.25" thickBot="1">
      <c r="A1438" s="3" t="s">
        <v>1538</v>
      </c>
      <c r="B1438" s="3"/>
      <c r="C1438" s="3"/>
      <c r="D1438" s="4" t="s">
        <v>181</v>
      </c>
      <c r="E1438" s="4" t="s">
        <v>6</v>
      </c>
      <c r="F1438" s="4">
        <v>2014</v>
      </c>
      <c r="G1438" s="8">
        <v>1</v>
      </c>
      <c r="H1438" s="4" t="s">
        <v>6</v>
      </c>
      <c r="I1438" s="8">
        <v>1</v>
      </c>
      <c r="J1438" s="3">
        <v>11262</v>
      </c>
      <c r="K1438" s="3"/>
      <c r="L1438" s="17" t="str" cm="1">
        <f t="array" ref="L1438">_xlfn.IFS(MID(K1438,2,2)="01", "서울", MID(K1438,2,2)="02","경기",MID(K1438,2,2)="03","충청",MID(K1438,2,2)="04","충청",MID(K1438,2,2)="05","전라",MID(K1438,2,2)="06","전라",MID(K1438,2,2)="07","경북",MID(K1438,2,2)="08","경남",MID(K1438,2,2)="09","강원",MID(K1438,2,2)="10","제주",TRUE,"국외")</f>
        <v>국외</v>
      </c>
    </row>
    <row r="1439" spans="1:12" ht="17.25" thickBot="1">
      <c r="A1439" s="3" t="s">
        <v>1539</v>
      </c>
      <c r="B1439" s="3"/>
      <c r="C1439" s="3"/>
      <c r="D1439" s="4" t="s">
        <v>181</v>
      </c>
      <c r="E1439" s="4" t="s">
        <v>6</v>
      </c>
      <c r="F1439" s="4">
        <v>2014</v>
      </c>
      <c r="G1439" s="8">
        <v>2.5</v>
      </c>
      <c r="H1439" s="4" t="s">
        <v>6</v>
      </c>
      <c r="I1439" s="8">
        <v>6.8</v>
      </c>
      <c r="J1439" s="3">
        <v>11264</v>
      </c>
      <c r="K1439" s="3"/>
      <c r="L1439" s="17" t="str" cm="1">
        <f t="array" ref="L1439">_xlfn.IFS(MID(K1439,2,2)="01", "서울", MID(K1439,2,2)="02","경기",MID(K1439,2,2)="03","충청",MID(K1439,2,2)="04","충청",MID(K1439,2,2)="05","전라",MID(K1439,2,2)="06","전라",MID(K1439,2,2)="07","경북",MID(K1439,2,2)="08","경남",MID(K1439,2,2)="09","강원",MID(K1439,2,2)="10","제주",TRUE,"국외")</f>
        <v>국외</v>
      </c>
    </row>
    <row r="1440" spans="1:12" ht="17.25" thickBot="1">
      <c r="A1440" s="3" t="s">
        <v>1540</v>
      </c>
      <c r="B1440" s="3"/>
      <c r="C1440" s="3"/>
      <c r="D1440" s="4" t="s">
        <v>181</v>
      </c>
      <c r="E1440" s="4"/>
      <c r="F1440" s="4">
        <v>2015</v>
      </c>
      <c r="G1440" s="9"/>
      <c r="H1440" s="4" t="s">
        <v>28</v>
      </c>
      <c r="I1440" s="8">
        <v>0.2</v>
      </c>
      <c r="J1440" s="3">
        <v>11325</v>
      </c>
      <c r="K1440" s="3"/>
      <c r="L1440" s="17" t="str" cm="1">
        <f t="array" ref="L1440">_xlfn.IFS(MID(K1440,2,2)="01", "서울", MID(K1440,2,2)="02","경기",MID(K1440,2,2)="03","충청",MID(K1440,2,2)="04","충청",MID(K1440,2,2)="05","전라",MID(K1440,2,2)="06","전라",MID(K1440,2,2)="07","경북",MID(K1440,2,2)="08","경남",MID(K1440,2,2)="09","강원",MID(K1440,2,2)="10","제주",TRUE,"국외")</f>
        <v>국외</v>
      </c>
    </row>
    <row r="1441" spans="1:12" ht="17.25" thickBot="1">
      <c r="A1441" s="3" t="s">
        <v>1541</v>
      </c>
      <c r="B1441" s="3" t="s">
        <v>107</v>
      </c>
      <c r="C1441" s="3" t="s">
        <v>739</v>
      </c>
      <c r="D1441" s="4" t="s">
        <v>181</v>
      </c>
      <c r="E1441" s="4"/>
      <c r="F1441" s="4">
        <v>2016</v>
      </c>
      <c r="G1441" s="9"/>
      <c r="H1441" s="4" t="s">
        <v>28</v>
      </c>
      <c r="I1441" s="8">
        <v>0</v>
      </c>
      <c r="J1441" s="3">
        <v>12647</v>
      </c>
      <c r="K1441" s="3">
        <v>50602</v>
      </c>
      <c r="L1441" s="17" t="str" cm="1">
        <f t="array" ref="L1441">_xlfn.IFS(MID(K1441,2,2)="01", "서울", MID(K1441,2,2)="02","경기",MID(K1441,2,2)="03","충청",MID(K1441,2,2)="04","충청",MID(K1441,2,2)="05","전라",MID(K1441,2,2)="06","전라",MID(K1441,2,2)="07","경북",MID(K1441,2,2)="08","경남",MID(K1441,2,2)="09","강원",MID(K1441,2,2)="10","제주",TRUE,"국외")</f>
        <v>전라</v>
      </c>
    </row>
    <row r="1442" spans="1:12" ht="17.25" thickBot="1">
      <c r="A1442" s="3" t="s">
        <v>1542</v>
      </c>
      <c r="B1442" s="3" t="s">
        <v>275</v>
      </c>
      <c r="C1442" s="3" t="s">
        <v>538</v>
      </c>
      <c r="D1442" s="4" t="s">
        <v>181</v>
      </c>
      <c r="E1442" s="4"/>
      <c r="F1442" s="4"/>
      <c r="G1442" s="9"/>
      <c r="H1442" s="4"/>
      <c r="I1442" s="9"/>
      <c r="J1442" s="3">
        <v>11343</v>
      </c>
      <c r="K1442" s="3">
        <v>51001</v>
      </c>
      <c r="L1442" s="17" t="str" cm="1">
        <f t="array" ref="L1442">_xlfn.IFS(MID(K1442,2,2)="01", "서울", MID(K1442,2,2)="02","경기",MID(K1442,2,2)="03","충청",MID(K1442,2,2)="04","충청",MID(K1442,2,2)="05","전라",MID(K1442,2,2)="06","전라",MID(K1442,2,2)="07","경북",MID(K1442,2,2)="08","경남",MID(K1442,2,2)="09","강원",MID(K1442,2,2)="10","제주",TRUE,"국외")</f>
        <v>제주</v>
      </c>
    </row>
    <row r="1443" spans="1:12" ht="17.25" thickBot="1">
      <c r="A1443" s="3" t="s">
        <v>1543</v>
      </c>
      <c r="B1443" s="3"/>
      <c r="C1443" s="3"/>
      <c r="D1443" s="4" t="s">
        <v>181</v>
      </c>
      <c r="E1443" s="4" t="s">
        <v>20</v>
      </c>
      <c r="F1443" s="4">
        <v>2014</v>
      </c>
      <c r="G1443" s="8">
        <v>4.7</v>
      </c>
      <c r="H1443" s="4" t="s">
        <v>20</v>
      </c>
      <c r="I1443" s="8">
        <v>4.7</v>
      </c>
      <c r="J1443" s="3">
        <v>11217</v>
      </c>
      <c r="K1443" s="3"/>
      <c r="L1443" s="17" t="str" cm="1">
        <f t="array" ref="L1443">_xlfn.IFS(MID(K1443,2,2)="01", "서울", MID(K1443,2,2)="02","경기",MID(K1443,2,2)="03","충청",MID(K1443,2,2)="04","충청",MID(K1443,2,2)="05","전라",MID(K1443,2,2)="06","전라",MID(K1443,2,2)="07","경북",MID(K1443,2,2)="08","경남",MID(K1443,2,2)="09","강원",MID(K1443,2,2)="10","제주",TRUE,"국외")</f>
        <v>국외</v>
      </c>
    </row>
    <row r="1444" spans="1:12" ht="17.25" thickBot="1">
      <c r="A1444" s="3" t="s">
        <v>1544</v>
      </c>
      <c r="B1444" s="3"/>
      <c r="C1444" s="3"/>
      <c r="D1444" s="4" t="s">
        <v>181</v>
      </c>
      <c r="E1444" s="4" t="s">
        <v>20</v>
      </c>
      <c r="F1444" s="4">
        <v>2014</v>
      </c>
      <c r="G1444" s="8">
        <v>0.2</v>
      </c>
      <c r="H1444" s="4" t="s">
        <v>18</v>
      </c>
      <c r="I1444" s="8">
        <v>2.2999999999999998</v>
      </c>
      <c r="J1444" s="3">
        <v>11287</v>
      </c>
      <c r="K1444" s="3"/>
      <c r="L1444" s="17" t="str" cm="1">
        <f t="array" ref="L1444">_xlfn.IFS(MID(K1444,2,2)="01", "서울", MID(K1444,2,2)="02","경기",MID(K1444,2,2)="03","충청",MID(K1444,2,2)="04","충청",MID(K1444,2,2)="05","전라",MID(K1444,2,2)="06","전라",MID(K1444,2,2)="07","경북",MID(K1444,2,2)="08","경남",MID(K1444,2,2)="09","강원",MID(K1444,2,2)="10","제주",TRUE,"국외")</f>
        <v>국외</v>
      </c>
    </row>
    <row r="1445" spans="1:12" ht="17.25" thickBot="1">
      <c r="A1445" s="3" t="s">
        <v>1545</v>
      </c>
      <c r="B1445" s="3"/>
      <c r="C1445" s="3"/>
      <c r="D1445" s="4" t="s">
        <v>181</v>
      </c>
      <c r="E1445" s="4" t="s">
        <v>20</v>
      </c>
      <c r="F1445" s="4">
        <v>2014</v>
      </c>
      <c r="G1445" s="8">
        <v>0.4</v>
      </c>
      <c r="H1445" s="4" t="s">
        <v>20</v>
      </c>
      <c r="I1445" s="8">
        <v>0.4</v>
      </c>
      <c r="J1445" s="3">
        <v>11216</v>
      </c>
      <c r="K1445" s="3"/>
      <c r="L1445" s="17" t="str" cm="1">
        <f t="array" ref="L1445">_xlfn.IFS(MID(K1445,2,2)="01", "서울", MID(K1445,2,2)="02","경기",MID(K1445,2,2)="03","충청",MID(K1445,2,2)="04","충청",MID(K1445,2,2)="05","전라",MID(K1445,2,2)="06","전라",MID(K1445,2,2)="07","경북",MID(K1445,2,2)="08","경남",MID(K1445,2,2)="09","강원",MID(K1445,2,2)="10","제주",TRUE,"국외")</f>
        <v>국외</v>
      </c>
    </row>
    <row r="1446" spans="1:12" ht="17.25" thickBot="1">
      <c r="A1446" s="3" t="s">
        <v>1546</v>
      </c>
      <c r="B1446" s="3"/>
      <c r="C1446" s="3"/>
      <c r="D1446" s="4" t="s">
        <v>181</v>
      </c>
      <c r="E1446" s="4" t="s">
        <v>20</v>
      </c>
      <c r="F1446" s="4">
        <v>2014</v>
      </c>
      <c r="G1446" s="8">
        <v>1.6</v>
      </c>
      <c r="H1446" s="4" t="s">
        <v>20</v>
      </c>
      <c r="I1446" s="8">
        <v>1.6</v>
      </c>
      <c r="J1446" s="3">
        <v>11282</v>
      </c>
      <c r="K1446" s="3"/>
      <c r="L1446" s="17" t="str" cm="1">
        <f t="array" ref="L1446">_xlfn.IFS(MID(K1446,2,2)="01", "서울", MID(K1446,2,2)="02","경기",MID(K1446,2,2)="03","충청",MID(K1446,2,2)="04","충청",MID(K1446,2,2)="05","전라",MID(K1446,2,2)="06","전라",MID(K1446,2,2)="07","경북",MID(K1446,2,2)="08","경남",MID(K1446,2,2)="09","강원",MID(K1446,2,2)="10","제주",TRUE,"국외")</f>
        <v>국외</v>
      </c>
    </row>
    <row r="1447" spans="1:12" ht="17.25" thickBot="1">
      <c r="A1447" s="3" t="s">
        <v>1547</v>
      </c>
      <c r="B1447" s="3"/>
      <c r="C1447" s="3"/>
      <c r="D1447" s="4" t="s">
        <v>181</v>
      </c>
      <c r="E1447" s="4" t="s">
        <v>12</v>
      </c>
      <c r="F1447" s="4">
        <v>2014</v>
      </c>
      <c r="G1447" s="8">
        <v>2.2999999999999998</v>
      </c>
      <c r="H1447" s="4" t="s">
        <v>12</v>
      </c>
      <c r="I1447" s="8">
        <v>2.2999999999999998</v>
      </c>
      <c r="J1447" s="3">
        <v>11249</v>
      </c>
      <c r="K1447" s="3"/>
      <c r="L1447" s="17" t="str" cm="1">
        <f t="array" ref="L1447">_xlfn.IFS(MID(K1447,2,2)="01", "서울", MID(K1447,2,2)="02","경기",MID(K1447,2,2)="03","충청",MID(K1447,2,2)="04","충청",MID(K1447,2,2)="05","전라",MID(K1447,2,2)="06","전라",MID(K1447,2,2)="07","경북",MID(K1447,2,2)="08","경남",MID(K1447,2,2)="09","강원",MID(K1447,2,2)="10","제주",TRUE,"국외")</f>
        <v>국외</v>
      </c>
    </row>
    <row r="1448" spans="1:12" ht="17.25" thickBot="1">
      <c r="A1448" s="3" t="s">
        <v>1548</v>
      </c>
      <c r="B1448" s="3"/>
      <c r="C1448" s="3"/>
      <c r="D1448" s="4" t="s">
        <v>181</v>
      </c>
      <c r="E1448" s="4" t="s">
        <v>12</v>
      </c>
      <c r="F1448" s="4">
        <v>2014</v>
      </c>
      <c r="G1448" s="8">
        <v>5.8</v>
      </c>
      <c r="H1448" s="4" t="s">
        <v>12</v>
      </c>
      <c r="I1448" s="8">
        <v>22</v>
      </c>
      <c r="J1448" s="3">
        <v>11252</v>
      </c>
      <c r="K1448" s="3"/>
      <c r="L1448" s="17" t="str" cm="1">
        <f t="array" ref="L1448">_xlfn.IFS(MID(K1448,2,2)="01", "서울", MID(K1448,2,2)="02","경기",MID(K1448,2,2)="03","충청",MID(K1448,2,2)="04","충청",MID(K1448,2,2)="05","전라",MID(K1448,2,2)="06","전라",MID(K1448,2,2)="07","경북",MID(K1448,2,2)="08","경남",MID(K1448,2,2)="09","강원",MID(K1448,2,2)="10","제주",TRUE,"국외")</f>
        <v>국외</v>
      </c>
    </row>
    <row r="1449" spans="1:12" ht="17.25" thickBot="1">
      <c r="A1449" s="3" t="s">
        <v>1549</v>
      </c>
      <c r="B1449" s="3"/>
      <c r="C1449" s="3"/>
      <c r="D1449" s="4" t="s">
        <v>181</v>
      </c>
      <c r="E1449" s="4" t="s">
        <v>607</v>
      </c>
      <c r="F1449" s="4">
        <v>2014</v>
      </c>
      <c r="G1449" s="8">
        <v>2.4</v>
      </c>
      <c r="H1449" s="4" t="s">
        <v>28</v>
      </c>
      <c r="I1449" s="8">
        <v>6.8</v>
      </c>
      <c r="J1449" s="3">
        <v>11288</v>
      </c>
      <c r="K1449" s="3"/>
      <c r="L1449" s="17" t="str" cm="1">
        <f t="array" ref="L1449">_xlfn.IFS(MID(K1449,2,2)="01", "서울", MID(K1449,2,2)="02","경기",MID(K1449,2,2)="03","충청",MID(K1449,2,2)="04","충청",MID(K1449,2,2)="05","전라",MID(K1449,2,2)="06","전라",MID(K1449,2,2)="07","경북",MID(K1449,2,2)="08","경남",MID(K1449,2,2)="09","강원",MID(K1449,2,2)="10","제주",TRUE,"국외")</f>
        <v>국외</v>
      </c>
    </row>
    <row r="1450" spans="1:12" ht="17.25" thickBot="1">
      <c r="A1450" s="3" t="s">
        <v>1550</v>
      </c>
      <c r="B1450" s="3"/>
      <c r="C1450" s="3"/>
      <c r="D1450" s="4" t="s">
        <v>181</v>
      </c>
      <c r="E1450" s="4" t="s">
        <v>607</v>
      </c>
      <c r="F1450" s="4">
        <v>2014</v>
      </c>
      <c r="G1450" s="8">
        <v>1.1000000000000001</v>
      </c>
      <c r="H1450" s="4" t="s">
        <v>607</v>
      </c>
      <c r="I1450" s="8">
        <v>1.1000000000000001</v>
      </c>
      <c r="J1450" s="3">
        <v>11237</v>
      </c>
      <c r="K1450" s="3"/>
      <c r="L1450" s="17" t="str" cm="1">
        <f t="array" ref="L1450">_xlfn.IFS(MID(K1450,2,2)="01", "서울", MID(K1450,2,2)="02","경기",MID(K1450,2,2)="03","충청",MID(K1450,2,2)="04","충청",MID(K1450,2,2)="05","전라",MID(K1450,2,2)="06","전라",MID(K1450,2,2)="07","경북",MID(K1450,2,2)="08","경남",MID(K1450,2,2)="09","강원",MID(K1450,2,2)="10","제주",TRUE,"국외")</f>
        <v>국외</v>
      </c>
    </row>
    <row r="1451" spans="1:12" ht="17.25" thickBot="1">
      <c r="A1451" s="3" t="s">
        <v>1551</v>
      </c>
      <c r="B1451" s="3"/>
      <c r="C1451" s="3"/>
      <c r="D1451" s="4" t="s">
        <v>181</v>
      </c>
      <c r="E1451" s="4" t="s">
        <v>607</v>
      </c>
      <c r="F1451" s="4">
        <v>2014</v>
      </c>
      <c r="G1451" s="8">
        <v>2.2999999999999998</v>
      </c>
      <c r="H1451" s="4" t="s">
        <v>607</v>
      </c>
      <c r="I1451" s="8">
        <v>2.2999999999999998</v>
      </c>
      <c r="J1451" s="3">
        <v>11239</v>
      </c>
      <c r="K1451" s="3"/>
      <c r="L1451" s="17" t="str" cm="1">
        <f t="array" ref="L1451">_xlfn.IFS(MID(K1451,2,2)="01", "서울", MID(K1451,2,2)="02","경기",MID(K1451,2,2)="03","충청",MID(K1451,2,2)="04","충청",MID(K1451,2,2)="05","전라",MID(K1451,2,2)="06","전라",MID(K1451,2,2)="07","경북",MID(K1451,2,2)="08","경남",MID(K1451,2,2)="09","강원",MID(K1451,2,2)="10","제주",TRUE,"국외")</f>
        <v>국외</v>
      </c>
    </row>
    <row r="1452" spans="1:12" ht="17.25" thickBot="1">
      <c r="A1452" s="3" t="s">
        <v>1552</v>
      </c>
      <c r="B1452" s="3"/>
      <c r="C1452" s="3"/>
      <c r="D1452" s="4" t="s">
        <v>181</v>
      </c>
      <c r="E1452" s="4" t="s">
        <v>906</v>
      </c>
      <c r="F1452" s="4">
        <v>2014</v>
      </c>
      <c r="G1452" s="8">
        <v>1.6</v>
      </c>
      <c r="H1452" s="4" t="s">
        <v>18</v>
      </c>
      <c r="I1452" s="8">
        <v>1.6</v>
      </c>
      <c r="J1452" s="3">
        <v>11218</v>
      </c>
      <c r="K1452" s="3"/>
      <c r="L1452" s="17" t="str" cm="1">
        <f t="array" ref="L1452">_xlfn.IFS(MID(K1452,2,2)="01", "서울", MID(K1452,2,2)="02","경기",MID(K1452,2,2)="03","충청",MID(K1452,2,2)="04","충청",MID(K1452,2,2)="05","전라",MID(K1452,2,2)="06","전라",MID(K1452,2,2)="07","경북",MID(K1452,2,2)="08","경남",MID(K1452,2,2)="09","강원",MID(K1452,2,2)="10","제주",TRUE,"국외")</f>
        <v>국외</v>
      </c>
    </row>
    <row r="1453" spans="1:12" ht="17.25" thickBot="1">
      <c r="A1453" s="3" t="s">
        <v>1553</v>
      </c>
      <c r="B1453" s="3"/>
      <c r="C1453" s="3"/>
      <c r="D1453" s="4" t="s">
        <v>181</v>
      </c>
      <c r="E1453" s="4" t="s">
        <v>26</v>
      </c>
      <c r="F1453" s="4">
        <v>2014</v>
      </c>
      <c r="G1453" s="8">
        <v>2.1</v>
      </c>
      <c r="H1453" s="4" t="s">
        <v>26</v>
      </c>
      <c r="I1453" s="8">
        <v>2.1</v>
      </c>
      <c r="J1453" s="3">
        <v>11201</v>
      </c>
      <c r="K1453" s="3"/>
      <c r="L1453" s="17" t="str" cm="1">
        <f t="array" ref="L1453">_xlfn.IFS(MID(K1453,2,2)="01", "서울", MID(K1453,2,2)="02","경기",MID(K1453,2,2)="03","충청",MID(K1453,2,2)="04","충청",MID(K1453,2,2)="05","전라",MID(K1453,2,2)="06","전라",MID(K1453,2,2)="07","경북",MID(K1453,2,2)="08","경남",MID(K1453,2,2)="09","강원",MID(K1453,2,2)="10","제주",TRUE,"국외")</f>
        <v>국외</v>
      </c>
    </row>
    <row r="1454" spans="1:12" ht="17.25" thickBot="1">
      <c r="A1454" s="3" t="s">
        <v>1554</v>
      </c>
      <c r="B1454" s="3"/>
      <c r="C1454" s="3"/>
      <c r="D1454" s="4" t="s">
        <v>181</v>
      </c>
      <c r="E1454" s="4" t="s">
        <v>26</v>
      </c>
      <c r="F1454" s="4">
        <v>2014</v>
      </c>
      <c r="G1454" s="8">
        <v>0.1</v>
      </c>
      <c r="H1454" s="4" t="s">
        <v>26</v>
      </c>
      <c r="I1454" s="8">
        <v>0.1</v>
      </c>
      <c r="J1454" s="3">
        <v>11202</v>
      </c>
      <c r="K1454" s="3"/>
      <c r="L1454" s="17" t="str" cm="1">
        <f t="array" ref="L1454">_xlfn.IFS(MID(K1454,2,2)="01", "서울", MID(K1454,2,2)="02","경기",MID(K1454,2,2)="03","충청",MID(K1454,2,2)="04","충청",MID(K1454,2,2)="05","전라",MID(K1454,2,2)="06","전라",MID(K1454,2,2)="07","경북",MID(K1454,2,2)="08","경남",MID(K1454,2,2)="09","강원",MID(K1454,2,2)="10","제주",TRUE,"국외")</f>
        <v>국외</v>
      </c>
    </row>
    <row r="1455" spans="1:12" ht="17.25" thickBot="1">
      <c r="A1455" s="3" t="s">
        <v>1555</v>
      </c>
      <c r="B1455" s="3"/>
      <c r="C1455" s="3"/>
      <c r="D1455" s="4" t="s">
        <v>181</v>
      </c>
      <c r="E1455" s="4" t="s">
        <v>26</v>
      </c>
      <c r="F1455" s="4">
        <v>2014</v>
      </c>
      <c r="G1455" s="8">
        <v>1.4</v>
      </c>
      <c r="H1455" s="4" t="s">
        <v>26</v>
      </c>
      <c r="I1455" s="8">
        <v>1.1000000000000001</v>
      </c>
      <c r="J1455" s="3">
        <v>11293</v>
      </c>
      <c r="K1455" s="3"/>
      <c r="L1455" s="17" t="str" cm="1">
        <f t="array" ref="L1455">_xlfn.IFS(MID(K1455,2,2)="01", "서울", MID(K1455,2,2)="02","경기",MID(K1455,2,2)="03","충청",MID(K1455,2,2)="04","충청",MID(K1455,2,2)="05","전라",MID(K1455,2,2)="06","전라",MID(K1455,2,2)="07","경북",MID(K1455,2,2)="08","경남",MID(K1455,2,2)="09","강원",MID(K1455,2,2)="10","제주",TRUE,"국외")</f>
        <v>국외</v>
      </c>
    </row>
    <row r="1456" spans="1:12" ht="17.25" thickBot="1">
      <c r="A1456" s="3" t="s">
        <v>1415</v>
      </c>
      <c r="B1456" s="3"/>
      <c r="C1456" s="3"/>
      <c r="D1456" s="4" t="s">
        <v>181</v>
      </c>
      <c r="E1456" s="4" t="s">
        <v>9</v>
      </c>
      <c r="F1456" s="4">
        <v>2014</v>
      </c>
      <c r="G1456" s="8">
        <v>1.8</v>
      </c>
      <c r="H1456" s="4" t="s">
        <v>9</v>
      </c>
      <c r="I1456" s="8">
        <v>1.8</v>
      </c>
      <c r="J1456" s="3">
        <v>11228</v>
      </c>
      <c r="K1456" s="3"/>
      <c r="L1456" s="17" t="str" cm="1">
        <f t="array" ref="L1456">_xlfn.IFS(MID(K1456,2,2)="01", "서울", MID(K1456,2,2)="02","경기",MID(K1456,2,2)="03","충청",MID(K1456,2,2)="04","충청",MID(K1456,2,2)="05","전라",MID(K1456,2,2)="06","전라",MID(K1456,2,2)="07","경북",MID(K1456,2,2)="08","경남",MID(K1456,2,2)="09","강원",MID(K1456,2,2)="10","제주",TRUE,"국외")</f>
        <v>국외</v>
      </c>
    </row>
    <row r="1457" spans="1:12" ht="17.25" thickBot="1">
      <c r="A1457" s="3" t="s">
        <v>187</v>
      </c>
      <c r="B1457" s="3"/>
      <c r="C1457" s="3"/>
      <c r="D1457" s="4" t="s">
        <v>181</v>
      </c>
      <c r="E1457" s="4" t="s">
        <v>23</v>
      </c>
      <c r="F1457" s="4">
        <v>2014</v>
      </c>
      <c r="G1457" s="8">
        <v>3.5</v>
      </c>
      <c r="H1457" s="4" t="s">
        <v>23</v>
      </c>
      <c r="I1457" s="8">
        <v>3.5</v>
      </c>
      <c r="J1457" s="3">
        <v>11195</v>
      </c>
      <c r="K1457" s="3"/>
      <c r="L1457" s="17" t="str" cm="1">
        <f t="array" ref="L1457">_xlfn.IFS(MID(K1457,2,2)="01", "서울", MID(K1457,2,2)="02","경기",MID(K1457,2,2)="03","충청",MID(K1457,2,2)="04","충청",MID(K1457,2,2)="05","전라",MID(K1457,2,2)="06","전라",MID(K1457,2,2)="07","경북",MID(K1457,2,2)="08","경남",MID(K1457,2,2)="09","강원",MID(K1457,2,2)="10","제주",TRUE,"국외")</f>
        <v>국외</v>
      </c>
    </row>
    <row r="1458" spans="1:12" ht="17.25" thickBot="1">
      <c r="A1458" s="3" t="s">
        <v>1556</v>
      </c>
      <c r="B1458" s="3"/>
      <c r="C1458" s="3"/>
      <c r="D1458" s="4" t="s">
        <v>181</v>
      </c>
      <c r="E1458" s="4" t="s">
        <v>23</v>
      </c>
      <c r="F1458" s="4">
        <v>2014</v>
      </c>
      <c r="G1458" s="8">
        <v>5.6</v>
      </c>
      <c r="H1458" s="4" t="s">
        <v>23</v>
      </c>
      <c r="I1458" s="8">
        <v>13.3</v>
      </c>
      <c r="J1458" s="3">
        <v>11194</v>
      </c>
      <c r="K1458" s="3"/>
      <c r="L1458" s="17" t="str" cm="1">
        <f t="array" ref="L1458">_xlfn.IFS(MID(K1458,2,2)="01", "서울", MID(K1458,2,2)="02","경기",MID(K1458,2,2)="03","충청",MID(K1458,2,2)="04","충청",MID(K1458,2,2)="05","전라",MID(K1458,2,2)="06","전라",MID(K1458,2,2)="07","경북",MID(K1458,2,2)="08","경남",MID(K1458,2,2)="09","강원",MID(K1458,2,2)="10","제주",TRUE,"국외")</f>
        <v>국외</v>
      </c>
    </row>
    <row r="1459" spans="1:12" ht="17.25" thickBot="1">
      <c r="A1459" s="3" t="s">
        <v>1557</v>
      </c>
      <c r="B1459" s="3"/>
      <c r="C1459" s="3"/>
      <c r="D1459" s="4" t="s">
        <v>181</v>
      </c>
      <c r="E1459" s="4" t="s">
        <v>3</v>
      </c>
      <c r="F1459" s="4">
        <v>2014</v>
      </c>
      <c r="G1459" s="8">
        <v>1.1000000000000001</v>
      </c>
      <c r="H1459" s="4" t="s">
        <v>3</v>
      </c>
      <c r="I1459" s="8">
        <v>1.1000000000000001</v>
      </c>
      <c r="J1459" s="3">
        <v>11286</v>
      </c>
      <c r="K1459" s="3"/>
      <c r="L1459" s="17" t="str" cm="1">
        <f t="array" ref="L1459">_xlfn.IFS(MID(K1459,2,2)="01", "서울", MID(K1459,2,2)="02","경기",MID(K1459,2,2)="03","충청",MID(K1459,2,2)="04","충청",MID(K1459,2,2)="05","전라",MID(K1459,2,2)="06","전라",MID(K1459,2,2)="07","경북",MID(K1459,2,2)="08","경남",MID(K1459,2,2)="09","강원",MID(K1459,2,2)="10","제주",TRUE,"국외")</f>
        <v>국외</v>
      </c>
    </row>
    <row r="1460" spans="1:12" ht="17.25" thickBot="1">
      <c r="A1460" s="3" t="s">
        <v>1558</v>
      </c>
      <c r="B1460" s="3"/>
      <c r="C1460" s="3"/>
      <c r="D1460" s="4" t="s">
        <v>181</v>
      </c>
      <c r="E1460" s="4" t="s">
        <v>3</v>
      </c>
      <c r="F1460" s="4">
        <v>2014</v>
      </c>
      <c r="G1460" s="8">
        <v>2.1</v>
      </c>
      <c r="H1460" s="4" t="s">
        <v>3</v>
      </c>
      <c r="I1460" s="8">
        <v>2.1</v>
      </c>
      <c r="J1460" s="3">
        <v>11275</v>
      </c>
      <c r="K1460" s="3"/>
      <c r="L1460" s="17" t="str" cm="1">
        <f t="array" ref="L1460">_xlfn.IFS(MID(K1460,2,2)="01", "서울", MID(K1460,2,2)="02","경기",MID(K1460,2,2)="03","충청",MID(K1460,2,2)="04","충청",MID(K1460,2,2)="05","전라",MID(K1460,2,2)="06","전라",MID(K1460,2,2)="07","경북",MID(K1460,2,2)="08","경남",MID(K1460,2,2)="09","강원",MID(K1460,2,2)="10","제주",TRUE,"국외")</f>
        <v>국외</v>
      </c>
    </row>
    <row r="1461" spans="1:12" ht="17.25" thickBot="1">
      <c r="A1461" s="3" t="s">
        <v>1559</v>
      </c>
      <c r="B1461" s="3"/>
      <c r="C1461" s="3"/>
      <c r="D1461" s="4" t="s">
        <v>181</v>
      </c>
      <c r="E1461" s="4" t="s">
        <v>3</v>
      </c>
      <c r="F1461" s="4">
        <v>2014</v>
      </c>
      <c r="G1461" s="8">
        <v>0.1</v>
      </c>
      <c r="H1461" s="4" t="s">
        <v>3</v>
      </c>
      <c r="I1461" s="8">
        <v>0.1</v>
      </c>
      <c r="J1461" s="3">
        <v>11277</v>
      </c>
      <c r="K1461" s="3"/>
      <c r="L1461" s="17" t="str" cm="1">
        <f t="array" ref="L1461">_xlfn.IFS(MID(K1461,2,2)="01", "서울", MID(K1461,2,2)="02","경기",MID(K1461,2,2)="03","충청",MID(K1461,2,2)="04","충청",MID(K1461,2,2)="05","전라",MID(K1461,2,2)="06","전라",MID(K1461,2,2)="07","경북",MID(K1461,2,2)="08","경남",MID(K1461,2,2)="09","강원",MID(K1461,2,2)="10","제주",TRUE,"국외")</f>
        <v>국외</v>
      </c>
    </row>
    <row r="1462" spans="1:12" ht="17.25" thickBot="1">
      <c r="A1462" s="3" t="s">
        <v>1560</v>
      </c>
      <c r="B1462" s="3"/>
      <c r="C1462" s="3"/>
      <c r="D1462" s="4" t="s">
        <v>181</v>
      </c>
      <c r="E1462" s="4" t="s">
        <v>3</v>
      </c>
      <c r="F1462" s="4">
        <v>2014</v>
      </c>
      <c r="G1462" s="8">
        <v>3.1</v>
      </c>
      <c r="H1462" s="4" t="s">
        <v>3</v>
      </c>
      <c r="I1462" s="8">
        <v>3.1</v>
      </c>
      <c r="J1462" s="3">
        <v>11272</v>
      </c>
      <c r="K1462" s="3"/>
      <c r="L1462" s="17" t="str" cm="1">
        <f t="array" ref="L1462">_xlfn.IFS(MID(K1462,2,2)="01", "서울", MID(K1462,2,2)="02","경기",MID(K1462,2,2)="03","충청",MID(K1462,2,2)="04","충청",MID(K1462,2,2)="05","전라",MID(K1462,2,2)="06","전라",MID(K1462,2,2)="07","경북",MID(K1462,2,2)="08","경남",MID(K1462,2,2)="09","강원",MID(K1462,2,2)="10","제주",TRUE,"국외")</f>
        <v>국외</v>
      </c>
    </row>
    <row r="1463" spans="1:12" ht="17.25" thickBot="1">
      <c r="A1463" s="3" t="s">
        <v>1561</v>
      </c>
      <c r="B1463" s="3" t="s">
        <v>11</v>
      </c>
      <c r="C1463" s="3" t="s">
        <v>119</v>
      </c>
      <c r="D1463" s="4" t="s">
        <v>205</v>
      </c>
      <c r="E1463" s="4" t="s">
        <v>6</v>
      </c>
      <c r="F1463" s="4">
        <v>2015</v>
      </c>
      <c r="G1463" s="9"/>
      <c r="H1463" s="4" t="s">
        <v>6</v>
      </c>
      <c r="I1463" s="8">
        <v>-0.3</v>
      </c>
      <c r="J1463" s="3">
        <v>11482</v>
      </c>
      <c r="K1463" s="3">
        <v>50802</v>
      </c>
      <c r="L1463" s="17" t="str" cm="1">
        <f t="array" ref="L1463">_xlfn.IFS(MID(K1463,2,2)="01", "서울", MID(K1463,2,2)="02","경기",MID(K1463,2,2)="03","충청",MID(K1463,2,2)="04","충청",MID(K1463,2,2)="05","전라",MID(K1463,2,2)="06","전라",MID(K1463,2,2)="07","경북",MID(K1463,2,2)="08","경남",MID(K1463,2,2)="09","강원",MID(K1463,2,2)="10","제주",TRUE,"국외")</f>
        <v>경남</v>
      </c>
    </row>
    <row r="1464" spans="1:12" ht="17.25" thickBot="1">
      <c r="A1464" s="3" t="s">
        <v>1562</v>
      </c>
      <c r="B1464" s="3" t="s">
        <v>1563</v>
      </c>
      <c r="C1464" s="3" t="s">
        <v>1564</v>
      </c>
      <c r="D1464" s="4" t="s">
        <v>205</v>
      </c>
      <c r="E1464" s="4" t="s">
        <v>6</v>
      </c>
      <c r="F1464" s="4">
        <v>2014</v>
      </c>
      <c r="G1464" s="8">
        <v>0</v>
      </c>
      <c r="H1464" s="4" t="s">
        <v>6</v>
      </c>
      <c r="I1464" s="8">
        <v>0</v>
      </c>
      <c r="J1464" s="3">
        <v>11296</v>
      </c>
      <c r="K1464" s="3">
        <v>51103</v>
      </c>
      <c r="L1464" s="17" t="str" cm="1">
        <f t="array" ref="L1464">_xlfn.IFS(MID(K1464,2,2)="01", "서울", MID(K1464,2,2)="02","경기",MID(K1464,2,2)="03","충청",MID(K1464,2,2)="04","충청",MID(K1464,2,2)="05","전라",MID(K1464,2,2)="06","전라",MID(K1464,2,2)="07","경북",MID(K1464,2,2)="08","경남",MID(K1464,2,2)="09","강원",MID(K1464,2,2)="10","제주",TRUE,"국외")</f>
        <v>국외</v>
      </c>
    </row>
    <row r="1465" spans="1:12" ht="17.25" thickBot="1">
      <c r="A1465" s="3" t="s">
        <v>1565</v>
      </c>
      <c r="B1465" s="3" t="s">
        <v>38</v>
      </c>
      <c r="C1465" s="3"/>
      <c r="D1465" s="4" t="s">
        <v>205</v>
      </c>
      <c r="E1465" s="4"/>
      <c r="F1465" s="4"/>
      <c r="G1465" s="9"/>
      <c r="H1465" s="4"/>
      <c r="I1465" s="9"/>
      <c r="J1465" s="3">
        <v>13234</v>
      </c>
      <c r="K1465" s="3">
        <v>50109</v>
      </c>
      <c r="L1465" s="17" t="str" cm="1">
        <f t="array" ref="L1465">_xlfn.IFS(MID(K1465,2,2)="01", "서울", MID(K1465,2,2)="02","경기",MID(K1465,2,2)="03","충청",MID(K1465,2,2)="04","충청",MID(K1465,2,2)="05","전라",MID(K1465,2,2)="06","전라",MID(K1465,2,2)="07","경북",MID(K1465,2,2)="08","경남",MID(K1465,2,2)="09","강원",MID(K1465,2,2)="10","제주",TRUE,"국외")</f>
        <v>서울</v>
      </c>
    </row>
    <row r="1466" spans="1:12" ht="17.25" thickBot="1">
      <c r="A1466" s="3" t="s">
        <v>1566</v>
      </c>
      <c r="B1466" s="3" t="s">
        <v>38</v>
      </c>
      <c r="C1466" s="3" t="s">
        <v>122</v>
      </c>
      <c r="D1466" s="4" t="s">
        <v>205</v>
      </c>
      <c r="E1466" s="4"/>
      <c r="F1466" s="4">
        <v>2015</v>
      </c>
      <c r="G1466" s="9"/>
      <c r="H1466" s="4" t="s">
        <v>28</v>
      </c>
      <c r="I1466" s="8">
        <v>3.4</v>
      </c>
      <c r="J1466" s="3">
        <v>11342</v>
      </c>
      <c r="K1466" s="3">
        <v>50109</v>
      </c>
      <c r="L1466" s="17" t="str" cm="1">
        <f t="array" ref="L1466">_xlfn.IFS(MID(K1466,2,2)="01", "서울", MID(K1466,2,2)="02","경기",MID(K1466,2,2)="03","충청",MID(K1466,2,2)="04","충청",MID(K1466,2,2)="05","전라",MID(K1466,2,2)="06","전라",MID(K1466,2,2)="07","경북",MID(K1466,2,2)="08","경남",MID(K1466,2,2)="09","강원",MID(K1466,2,2)="10","제주",TRUE,"국외")</f>
        <v>서울</v>
      </c>
    </row>
    <row r="1467" spans="1:12" ht="17.25" thickBot="1">
      <c r="A1467" s="3" t="s">
        <v>1567</v>
      </c>
      <c r="B1467" s="3" t="s">
        <v>22</v>
      </c>
      <c r="C1467" s="3" t="s">
        <v>221</v>
      </c>
      <c r="D1467" s="4" t="s">
        <v>205</v>
      </c>
      <c r="E1467" s="4" t="s">
        <v>20</v>
      </c>
      <c r="F1467" s="4">
        <v>2015</v>
      </c>
      <c r="G1467" s="9"/>
      <c r="H1467" s="4" t="s">
        <v>20</v>
      </c>
      <c r="I1467" s="8">
        <v>0</v>
      </c>
      <c r="J1467" s="3">
        <v>11348</v>
      </c>
      <c r="K1467" s="3">
        <v>50209</v>
      </c>
      <c r="L1467" s="17" t="str" cm="1">
        <f t="array" ref="L1467">_xlfn.IFS(MID(K1467,2,2)="01", "서울", MID(K1467,2,2)="02","경기",MID(K1467,2,2)="03","충청",MID(K1467,2,2)="04","충청",MID(K1467,2,2)="05","전라",MID(K1467,2,2)="06","전라",MID(K1467,2,2)="07","경북",MID(K1467,2,2)="08","경남",MID(K1467,2,2)="09","강원",MID(K1467,2,2)="10","제주",TRUE,"국외")</f>
        <v>경기</v>
      </c>
    </row>
    <row r="1468" spans="1:12" ht="17.25" thickBot="1">
      <c r="A1468" s="3" t="s">
        <v>1568</v>
      </c>
      <c r="B1468" s="3" t="s">
        <v>38</v>
      </c>
      <c r="C1468" s="3" t="s">
        <v>133</v>
      </c>
      <c r="D1468" s="4" t="s">
        <v>205</v>
      </c>
      <c r="E1468" s="4" t="s">
        <v>12</v>
      </c>
      <c r="F1468" s="4">
        <v>2015</v>
      </c>
      <c r="G1468" s="9"/>
      <c r="H1468" s="4" t="s">
        <v>12</v>
      </c>
      <c r="I1468" s="8">
        <v>0</v>
      </c>
      <c r="J1468" s="3">
        <v>11279</v>
      </c>
      <c r="K1468" s="3">
        <v>50109</v>
      </c>
      <c r="L1468" s="17" t="str" cm="1">
        <f t="array" ref="L1468">_xlfn.IFS(MID(K1468,2,2)="01", "서울", MID(K1468,2,2)="02","경기",MID(K1468,2,2)="03","충청",MID(K1468,2,2)="04","충청",MID(K1468,2,2)="05","전라",MID(K1468,2,2)="06","전라",MID(K1468,2,2)="07","경북",MID(K1468,2,2)="08","경남",MID(K1468,2,2)="09","강원",MID(K1468,2,2)="10","제주",TRUE,"국외")</f>
        <v>서울</v>
      </c>
    </row>
    <row r="1469" spans="1:12" ht="17.25" thickBot="1">
      <c r="A1469" s="3" t="s">
        <v>1569</v>
      </c>
      <c r="B1469" s="3" t="s">
        <v>140</v>
      </c>
      <c r="C1469" s="3" t="s">
        <v>99</v>
      </c>
      <c r="D1469" s="4" t="s">
        <v>205</v>
      </c>
      <c r="E1469" s="4" t="s">
        <v>607</v>
      </c>
      <c r="F1469" s="4">
        <v>2019</v>
      </c>
      <c r="G1469" s="9"/>
      <c r="H1469" s="4" t="s">
        <v>607</v>
      </c>
      <c r="I1469" s="8">
        <v>0.1</v>
      </c>
      <c r="J1469" s="3">
        <v>13275</v>
      </c>
      <c r="K1469" s="3">
        <v>50801</v>
      </c>
      <c r="L1469" s="17" t="str" cm="1">
        <f t="array" ref="L1469">_xlfn.IFS(MID(K1469,2,2)="01", "서울", MID(K1469,2,2)="02","경기",MID(K1469,2,2)="03","충청",MID(K1469,2,2)="04","충청",MID(K1469,2,2)="05","전라",MID(K1469,2,2)="06","전라",MID(K1469,2,2)="07","경북",MID(K1469,2,2)="08","경남",MID(K1469,2,2)="09","강원",MID(K1469,2,2)="10","제주",TRUE,"국외")</f>
        <v>경남</v>
      </c>
    </row>
    <row r="1470" spans="1:12" ht="17.25" thickBot="1">
      <c r="A1470" s="3" t="s">
        <v>1570</v>
      </c>
      <c r="B1470" s="3" t="s">
        <v>101</v>
      </c>
      <c r="C1470" s="3" t="s">
        <v>122</v>
      </c>
      <c r="D1470" s="4" t="s">
        <v>205</v>
      </c>
      <c r="E1470" s="4" t="s">
        <v>607</v>
      </c>
      <c r="F1470" s="4">
        <v>2017</v>
      </c>
      <c r="G1470" s="9"/>
      <c r="H1470" s="4" t="s">
        <v>28</v>
      </c>
      <c r="I1470" s="8">
        <v>6.5</v>
      </c>
      <c r="J1470" s="3">
        <v>12943</v>
      </c>
      <c r="K1470" s="3">
        <v>50207</v>
      </c>
      <c r="L1470" s="17" t="str" cm="1">
        <f t="array" ref="L1470">_xlfn.IFS(MID(K1470,2,2)="01", "서울", MID(K1470,2,2)="02","경기",MID(K1470,2,2)="03","충청",MID(K1470,2,2)="04","충청",MID(K1470,2,2)="05","전라",MID(K1470,2,2)="06","전라",MID(K1470,2,2)="07","경북",MID(K1470,2,2)="08","경남",MID(K1470,2,2)="09","강원",MID(K1470,2,2)="10","제주",TRUE,"국외")</f>
        <v>경기</v>
      </c>
    </row>
    <row r="1471" spans="1:12" ht="17.25" thickBot="1">
      <c r="A1471" s="3" t="s">
        <v>1571</v>
      </c>
      <c r="B1471" s="3" t="s">
        <v>74</v>
      </c>
      <c r="C1471" s="3" t="s">
        <v>218</v>
      </c>
      <c r="D1471" s="4" t="s">
        <v>205</v>
      </c>
      <c r="E1471" s="4" t="s">
        <v>607</v>
      </c>
      <c r="F1471" s="4">
        <v>2016</v>
      </c>
      <c r="G1471" s="9"/>
      <c r="H1471" s="4" t="s">
        <v>607</v>
      </c>
      <c r="I1471" s="8">
        <v>0.1</v>
      </c>
      <c r="J1471" s="3">
        <v>12528</v>
      </c>
      <c r="K1471" s="3">
        <v>50102</v>
      </c>
      <c r="L1471" s="17" t="str" cm="1">
        <f t="array" ref="L1471">_xlfn.IFS(MID(K1471,2,2)="01", "서울", MID(K1471,2,2)="02","경기",MID(K1471,2,2)="03","충청",MID(K1471,2,2)="04","충청",MID(K1471,2,2)="05","전라",MID(K1471,2,2)="06","전라",MID(K1471,2,2)="07","경북",MID(K1471,2,2)="08","경남",MID(K1471,2,2)="09","강원",MID(K1471,2,2)="10","제주",TRUE,"국외")</f>
        <v>서울</v>
      </c>
    </row>
    <row r="1472" spans="1:12" ht="17.25" thickBot="1">
      <c r="A1472" s="3" t="s">
        <v>1572</v>
      </c>
      <c r="B1472" s="3" t="s">
        <v>464</v>
      </c>
      <c r="C1472" s="3" t="s">
        <v>90</v>
      </c>
      <c r="D1472" s="4" t="s">
        <v>205</v>
      </c>
      <c r="E1472" s="4" t="s">
        <v>607</v>
      </c>
      <c r="F1472" s="4">
        <v>2015</v>
      </c>
      <c r="G1472" s="9"/>
      <c r="H1472" s="4" t="s">
        <v>607</v>
      </c>
      <c r="I1472" s="8">
        <v>0</v>
      </c>
      <c r="J1472" s="3">
        <v>11370</v>
      </c>
      <c r="K1472" s="3">
        <v>50706</v>
      </c>
      <c r="L1472" s="17" t="str" cm="1">
        <f t="array" ref="L1472">_xlfn.IFS(MID(K1472,2,2)="01", "서울", MID(K1472,2,2)="02","경기",MID(K1472,2,2)="03","충청",MID(K1472,2,2)="04","충청",MID(K1472,2,2)="05","전라",MID(K1472,2,2)="06","전라",MID(K1472,2,2)="07","경북",MID(K1472,2,2)="08","경남",MID(K1472,2,2)="09","강원",MID(K1472,2,2)="10","제주",TRUE,"국외")</f>
        <v>경북</v>
      </c>
    </row>
    <row r="1473" spans="1:12" ht="17.25" thickBot="1">
      <c r="A1473" s="3" t="s">
        <v>1573</v>
      </c>
      <c r="B1473" s="3" t="s">
        <v>121</v>
      </c>
      <c r="C1473" s="3" t="s">
        <v>174</v>
      </c>
      <c r="D1473" s="4" t="s">
        <v>205</v>
      </c>
      <c r="E1473" s="4" t="s">
        <v>26</v>
      </c>
      <c r="F1473" s="4">
        <v>2016</v>
      </c>
      <c r="G1473" s="9"/>
      <c r="H1473" s="4" t="s">
        <v>26</v>
      </c>
      <c r="I1473" s="8">
        <v>0.4</v>
      </c>
      <c r="J1473" s="3">
        <v>12649</v>
      </c>
      <c r="K1473" s="3">
        <v>50604</v>
      </c>
      <c r="L1473" s="17" t="str" cm="1">
        <f t="array" ref="L1473">_xlfn.IFS(MID(K1473,2,2)="01", "서울", MID(K1473,2,2)="02","경기",MID(K1473,2,2)="03","충청",MID(K1473,2,2)="04","충청",MID(K1473,2,2)="05","전라",MID(K1473,2,2)="06","전라",MID(K1473,2,2)="07","경북",MID(K1473,2,2)="08","경남",MID(K1473,2,2)="09","강원",MID(K1473,2,2)="10","제주",TRUE,"국외")</f>
        <v>전라</v>
      </c>
    </row>
    <row r="1474" spans="1:12" ht="17.25" thickBot="1">
      <c r="A1474" s="3" t="s">
        <v>1574</v>
      </c>
      <c r="B1474" s="3" t="s">
        <v>81</v>
      </c>
      <c r="C1474" s="3" t="s">
        <v>133</v>
      </c>
      <c r="D1474" s="4" t="s">
        <v>205</v>
      </c>
      <c r="E1474" s="4" t="s">
        <v>26</v>
      </c>
      <c r="F1474" s="4">
        <v>2016</v>
      </c>
      <c r="G1474" s="9"/>
      <c r="H1474" s="4" t="s">
        <v>26</v>
      </c>
      <c r="I1474" s="8">
        <v>0</v>
      </c>
      <c r="J1474" s="3">
        <v>12665</v>
      </c>
      <c r="K1474" s="3">
        <v>50105</v>
      </c>
      <c r="L1474" s="17" t="str" cm="1">
        <f t="array" ref="L1474">_xlfn.IFS(MID(K1474,2,2)="01", "서울", MID(K1474,2,2)="02","경기",MID(K1474,2,2)="03","충청",MID(K1474,2,2)="04","충청",MID(K1474,2,2)="05","전라",MID(K1474,2,2)="06","전라",MID(K1474,2,2)="07","경북",MID(K1474,2,2)="08","경남",MID(K1474,2,2)="09","강원",MID(K1474,2,2)="10","제주",TRUE,"국외")</f>
        <v>서울</v>
      </c>
    </row>
    <row r="1475" spans="1:12" ht="17.25" thickBot="1">
      <c r="A1475" s="3" t="s">
        <v>1439</v>
      </c>
      <c r="B1475" s="3" t="s">
        <v>68</v>
      </c>
      <c r="C1475" s="3" t="s">
        <v>83</v>
      </c>
      <c r="D1475" s="4" t="s">
        <v>205</v>
      </c>
      <c r="E1475" s="4" t="s">
        <v>9</v>
      </c>
      <c r="F1475" s="4">
        <v>2015</v>
      </c>
      <c r="G1475" s="9"/>
      <c r="H1475" s="4" t="s">
        <v>28</v>
      </c>
      <c r="I1475" s="8">
        <v>4.5</v>
      </c>
      <c r="J1475" s="3">
        <v>11397</v>
      </c>
      <c r="K1475" s="3">
        <v>50101</v>
      </c>
      <c r="L1475" s="17" t="str" cm="1">
        <f t="array" ref="L1475">_xlfn.IFS(MID(K1475,2,2)="01", "서울", MID(K1475,2,2)="02","경기",MID(K1475,2,2)="03","충청",MID(K1475,2,2)="04","충청",MID(K1475,2,2)="05","전라",MID(K1475,2,2)="06","전라",MID(K1475,2,2)="07","경북",MID(K1475,2,2)="08","경남",MID(K1475,2,2)="09","강원",MID(K1475,2,2)="10","제주",TRUE,"국외")</f>
        <v>서울</v>
      </c>
    </row>
    <row r="1476" spans="1:12" ht="17.25" thickBot="1">
      <c r="A1476" s="3" t="s">
        <v>1575</v>
      </c>
      <c r="B1476" s="3" t="s">
        <v>1019</v>
      </c>
      <c r="C1476" s="3" t="s">
        <v>752</v>
      </c>
      <c r="D1476" s="4" t="s">
        <v>205</v>
      </c>
      <c r="E1476" s="4" t="s">
        <v>23</v>
      </c>
      <c r="F1476" s="4"/>
      <c r="G1476" s="9"/>
      <c r="H1476" s="4"/>
      <c r="I1476" s="9"/>
      <c r="J1476" s="3">
        <v>11402</v>
      </c>
      <c r="K1476" s="3">
        <v>50201</v>
      </c>
      <c r="L1476" s="17" t="str" cm="1">
        <f t="array" ref="L1476">_xlfn.IFS(MID(K1476,2,2)="01", "서울", MID(K1476,2,2)="02","경기",MID(K1476,2,2)="03","충청",MID(K1476,2,2)="04","충청",MID(K1476,2,2)="05","전라",MID(K1476,2,2)="06","전라",MID(K1476,2,2)="07","경북",MID(K1476,2,2)="08","경남",MID(K1476,2,2)="09","강원",MID(K1476,2,2)="10","제주",TRUE,"국외")</f>
        <v>경기</v>
      </c>
    </row>
    <row r="1477" spans="1:12" ht="17.25" thickBot="1">
      <c r="A1477" s="3" t="s">
        <v>1576</v>
      </c>
      <c r="B1477" s="3" t="s">
        <v>32</v>
      </c>
      <c r="C1477" s="3"/>
      <c r="D1477" s="4" t="s">
        <v>205</v>
      </c>
      <c r="E1477" s="4" t="s">
        <v>23</v>
      </c>
      <c r="F1477" s="4">
        <v>2018</v>
      </c>
      <c r="G1477" s="9"/>
      <c r="H1477" s="4" t="s">
        <v>23</v>
      </c>
      <c r="I1477" s="8">
        <v>0.5</v>
      </c>
      <c r="J1477" s="3">
        <v>13240</v>
      </c>
      <c r="K1477" s="3">
        <v>50111</v>
      </c>
      <c r="L1477" s="17" t="str" cm="1">
        <f t="array" ref="L1477">_xlfn.IFS(MID(K1477,2,2)="01", "서울", MID(K1477,2,2)="02","경기",MID(K1477,2,2)="03","충청",MID(K1477,2,2)="04","충청",MID(K1477,2,2)="05","전라",MID(K1477,2,2)="06","전라",MID(K1477,2,2)="07","경북",MID(K1477,2,2)="08","경남",MID(K1477,2,2)="09","강원",MID(K1477,2,2)="10","제주",TRUE,"국외")</f>
        <v>서울</v>
      </c>
    </row>
    <row r="1478" spans="1:12" ht="17.25" thickBot="1">
      <c r="A1478" s="3" t="s">
        <v>1577</v>
      </c>
      <c r="B1478" s="3" t="s">
        <v>176</v>
      </c>
      <c r="C1478" s="3"/>
      <c r="D1478" s="4" t="s">
        <v>205</v>
      </c>
      <c r="E1478" s="4" t="s">
        <v>3</v>
      </c>
      <c r="F1478" s="4">
        <v>2015</v>
      </c>
      <c r="G1478" s="9"/>
      <c r="H1478" s="4" t="s">
        <v>3</v>
      </c>
      <c r="I1478" s="8">
        <v>3.7</v>
      </c>
      <c r="J1478" s="3">
        <v>11413</v>
      </c>
      <c r="K1478" s="3">
        <v>50302</v>
      </c>
      <c r="L1478" s="17" t="str" cm="1">
        <f t="array" ref="L1478">_xlfn.IFS(MID(K1478,2,2)="01", "서울", MID(K1478,2,2)="02","경기",MID(K1478,2,2)="03","충청",MID(K1478,2,2)="04","충청",MID(K1478,2,2)="05","전라",MID(K1478,2,2)="06","전라",MID(K1478,2,2)="07","경북",MID(K1478,2,2)="08","경남",MID(K1478,2,2)="09","강원",MID(K1478,2,2)="10","제주",TRUE,"국외")</f>
        <v>충청</v>
      </c>
    </row>
    <row r="1479" spans="1:12" ht="17.25" thickBot="1">
      <c r="A1479" s="3" t="s">
        <v>1578</v>
      </c>
      <c r="B1479" s="3" t="s">
        <v>1</v>
      </c>
      <c r="C1479" s="3"/>
      <c r="D1479" s="4" t="s">
        <v>2</v>
      </c>
      <c r="E1479" s="4" t="s">
        <v>12</v>
      </c>
      <c r="F1479" s="4">
        <v>2013</v>
      </c>
      <c r="G1479" s="8">
        <v>0</v>
      </c>
      <c r="H1479" s="4" t="s">
        <v>6</v>
      </c>
      <c r="I1479" s="8">
        <v>5.0999999999999996</v>
      </c>
      <c r="J1479" s="3">
        <v>11164</v>
      </c>
      <c r="K1479" s="3">
        <v>50107</v>
      </c>
      <c r="L1479" s="17" t="str" cm="1">
        <f t="array" ref="L1479">_xlfn.IFS(MID(K1479,2,2)="01", "서울", MID(K1479,2,2)="02","경기",MID(K1479,2,2)="03","충청",MID(K1479,2,2)="04","충청",MID(K1479,2,2)="05","전라",MID(K1479,2,2)="06","전라",MID(K1479,2,2)="07","경북",MID(K1479,2,2)="08","경남",MID(K1479,2,2)="09","강원",MID(K1479,2,2)="10","제주",TRUE,"국외")</f>
        <v>서울</v>
      </c>
    </row>
    <row r="1480" spans="1:12" ht="17.25" thickBot="1">
      <c r="A1480" s="3" t="s">
        <v>1579</v>
      </c>
      <c r="B1480" s="3" t="s">
        <v>93</v>
      </c>
      <c r="C1480" s="3"/>
      <c r="D1480" s="4" t="s">
        <v>2</v>
      </c>
      <c r="E1480" s="4" t="s">
        <v>607</v>
      </c>
      <c r="F1480" s="4"/>
      <c r="G1480" s="9"/>
      <c r="H1480" s="4"/>
      <c r="I1480" s="9"/>
      <c r="J1480" s="3">
        <v>11078</v>
      </c>
      <c r="K1480" s="3">
        <v>50805</v>
      </c>
      <c r="L1480" s="17" t="str" cm="1">
        <f t="array" ref="L1480">_xlfn.IFS(MID(K1480,2,2)="01", "서울", MID(K1480,2,2)="02","경기",MID(K1480,2,2)="03","충청",MID(K1480,2,2)="04","충청",MID(K1480,2,2)="05","전라",MID(K1480,2,2)="06","전라",MID(K1480,2,2)="07","경북",MID(K1480,2,2)="08","경남",MID(K1480,2,2)="09","강원",MID(K1480,2,2)="10","제주",TRUE,"국외")</f>
        <v>경남</v>
      </c>
    </row>
    <row r="1481" spans="1:12" ht="17.25" thickBot="1">
      <c r="A1481" s="3" t="s">
        <v>1580</v>
      </c>
      <c r="B1481" s="3" t="s">
        <v>36</v>
      </c>
      <c r="C1481" s="3"/>
      <c r="D1481" s="4" t="s">
        <v>2</v>
      </c>
      <c r="E1481" s="4" t="s">
        <v>906</v>
      </c>
      <c r="F1481" s="4">
        <v>2013</v>
      </c>
      <c r="G1481" s="8">
        <v>0.1</v>
      </c>
      <c r="H1481" s="4" t="s">
        <v>18</v>
      </c>
      <c r="I1481" s="8">
        <v>9.8000000000000007</v>
      </c>
      <c r="J1481" s="3">
        <v>11126</v>
      </c>
      <c r="K1481" s="3">
        <v>50402</v>
      </c>
      <c r="L1481" s="17" t="str" cm="1">
        <f t="array" ref="L1481">_xlfn.IFS(MID(K1481,2,2)="01", "서울", MID(K1481,2,2)="02","경기",MID(K1481,2,2)="03","충청",MID(K1481,2,2)="04","충청",MID(K1481,2,2)="05","전라",MID(K1481,2,2)="06","전라",MID(K1481,2,2)="07","경북",MID(K1481,2,2)="08","경남",MID(K1481,2,2)="09","강원",MID(K1481,2,2)="10","제주",TRUE,"국외")</f>
        <v>충청</v>
      </c>
    </row>
    <row r="1482" spans="1:12" ht="17.25" thickBot="1">
      <c r="A1482" s="3" t="s">
        <v>1581</v>
      </c>
      <c r="B1482" s="3" t="s">
        <v>25</v>
      </c>
      <c r="C1482" s="3"/>
      <c r="D1482" s="4" t="s">
        <v>2</v>
      </c>
      <c r="E1482" s="4" t="s">
        <v>26</v>
      </c>
      <c r="F1482" s="4">
        <v>2016</v>
      </c>
      <c r="G1482" s="9"/>
      <c r="H1482" s="4" t="s">
        <v>26</v>
      </c>
      <c r="I1482" s="8">
        <v>6.9</v>
      </c>
      <c r="J1482" s="3">
        <v>11098</v>
      </c>
      <c r="K1482" s="3">
        <v>50403</v>
      </c>
      <c r="L1482" s="17" t="str" cm="1">
        <f t="array" ref="L1482">_xlfn.IFS(MID(K1482,2,2)="01", "서울", MID(K1482,2,2)="02","경기",MID(K1482,2,2)="03","충청",MID(K1482,2,2)="04","충청",MID(K1482,2,2)="05","전라",MID(K1482,2,2)="06","전라",MID(K1482,2,2)="07","경북",MID(K1482,2,2)="08","경남",MID(K1482,2,2)="09","강원",MID(K1482,2,2)="10","제주",TRUE,"국외")</f>
        <v>충청</v>
      </c>
    </row>
    <row r="1483" spans="1:12" ht="17.25" thickBot="1">
      <c r="A1483" s="3" t="s">
        <v>1582</v>
      </c>
      <c r="B1483" s="3" t="s">
        <v>32</v>
      </c>
      <c r="C1483" s="3"/>
      <c r="D1483" s="4" t="s">
        <v>2</v>
      </c>
      <c r="E1483" s="4" t="s">
        <v>3</v>
      </c>
      <c r="F1483" s="4">
        <v>2013</v>
      </c>
      <c r="G1483" s="8">
        <v>0</v>
      </c>
      <c r="H1483" s="4" t="s">
        <v>3</v>
      </c>
      <c r="I1483" s="8">
        <v>0</v>
      </c>
      <c r="J1483" s="3">
        <v>11115</v>
      </c>
      <c r="K1483" s="3">
        <v>50111</v>
      </c>
      <c r="L1483" s="17" t="str" cm="1">
        <f t="array" ref="L1483">_xlfn.IFS(MID(K1483,2,2)="01", "서울", MID(K1483,2,2)="02","경기",MID(K1483,2,2)="03","충청",MID(K1483,2,2)="04","충청",MID(K1483,2,2)="05","전라",MID(K1483,2,2)="06","전라",MID(K1483,2,2)="07","경북",MID(K1483,2,2)="08","경남",MID(K1483,2,2)="09","강원",MID(K1483,2,2)="10","제주",TRUE,"국외")</f>
        <v>서울</v>
      </c>
    </row>
    <row r="1484" spans="1:12" ht="17.25" thickBot="1">
      <c r="A1484" s="3" t="s">
        <v>1583</v>
      </c>
      <c r="B1484" s="3" t="s">
        <v>25</v>
      </c>
      <c r="C1484" s="3"/>
      <c r="D1484" s="4" t="s">
        <v>2</v>
      </c>
      <c r="E1484" s="4" t="s">
        <v>20</v>
      </c>
      <c r="F1484" s="4">
        <v>2016</v>
      </c>
      <c r="G1484" s="9"/>
      <c r="H1484" s="4" t="s">
        <v>26</v>
      </c>
      <c r="I1484" s="8">
        <v>8.6999999999999993</v>
      </c>
      <c r="J1484" s="3">
        <v>11087</v>
      </c>
      <c r="K1484" s="3">
        <v>50403</v>
      </c>
      <c r="L1484" s="17" t="str" cm="1">
        <f t="array" ref="L1484">_xlfn.IFS(MID(K1484,2,2)="01", "서울", MID(K1484,2,2)="02","경기",MID(K1484,2,2)="03","충청",MID(K1484,2,2)="04","충청",MID(K1484,2,2)="05","전라",MID(K1484,2,2)="06","전라",MID(K1484,2,2)="07","경북",MID(K1484,2,2)="08","경남",MID(K1484,2,2)="09","강원",MID(K1484,2,2)="10","제주",TRUE,"국외")</f>
        <v>충청</v>
      </c>
    </row>
    <row r="1485" spans="1:12" ht="17.25" thickBot="1">
      <c r="A1485" s="3" t="s">
        <v>1584</v>
      </c>
      <c r="B1485" s="3" t="s">
        <v>351</v>
      </c>
      <c r="C1485" s="3" t="s">
        <v>122</v>
      </c>
      <c r="D1485" s="4" t="s">
        <v>2</v>
      </c>
      <c r="E1485" s="4" t="s">
        <v>6</v>
      </c>
      <c r="F1485" s="4">
        <v>2013</v>
      </c>
      <c r="G1485" s="8">
        <v>-0.2</v>
      </c>
      <c r="H1485" s="4" t="s">
        <v>6</v>
      </c>
      <c r="I1485" s="8">
        <v>-0.2</v>
      </c>
      <c r="J1485" s="3">
        <v>11069</v>
      </c>
      <c r="K1485" s="3">
        <v>50203</v>
      </c>
      <c r="L1485" s="17" t="str" cm="1">
        <f t="array" ref="L1485">_xlfn.IFS(MID(K1485,2,2)="01", "서울", MID(K1485,2,2)="02","경기",MID(K1485,2,2)="03","충청",MID(K1485,2,2)="04","충청",MID(K1485,2,2)="05","전라",MID(K1485,2,2)="06","전라",MID(K1485,2,2)="07","경북",MID(K1485,2,2)="08","경남",MID(K1485,2,2)="09","강원",MID(K1485,2,2)="10","제주",TRUE,"국외")</f>
        <v>경기</v>
      </c>
    </row>
    <row r="1486" spans="1:12" ht="17.25" thickBot="1">
      <c r="A1486" s="3" t="s">
        <v>1585</v>
      </c>
      <c r="B1486" s="3" t="s">
        <v>93</v>
      </c>
      <c r="C1486" s="3"/>
      <c r="D1486" s="4" t="s">
        <v>2</v>
      </c>
      <c r="E1486" s="4" t="s">
        <v>9</v>
      </c>
      <c r="F1486" s="4"/>
      <c r="G1486" s="9"/>
      <c r="H1486" s="4"/>
      <c r="I1486" s="9"/>
      <c r="J1486" s="3">
        <v>11082</v>
      </c>
      <c r="K1486" s="3">
        <v>50805</v>
      </c>
      <c r="L1486" s="17" t="str" cm="1">
        <f t="array" ref="L1486">_xlfn.IFS(MID(K1486,2,2)="01", "서울", MID(K1486,2,2)="02","경기",MID(K1486,2,2)="03","충청",MID(K1486,2,2)="04","충청",MID(K1486,2,2)="05","전라",MID(K1486,2,2)="06","전라",MID(K1486,2,2)="07","경북",MID(K1486,2,2)="08","경남",MID(K1486,2,2)="09","강원",MID(K1486,2,2)="10","제주",TRUE,"국외")</f>
        <v>경남</v>
      </c>
    </row>
    <row r="1487" spans="1:12" ht="17.25" thickBot="1">
      <c r="A1487" s="3" t="s">
        <v>1586</v>
      </c>
      <c r="B1487" s="3" t="s">
        <v>93</v>
      </c>
      <c r="C1487" s="3"/>
      <c r="D1487" s="4" t="s">
        <v>2</v>
      </c>
      <c r="E1487" s="4" t="s">
        <v>23</v>
      </c>
      <c r="F1487" s="4">
        <v>2013</v>
      </c>
      <c r="G1487" s="8">
        <v>0</v>
      </c>
      <c r="H1487" s="4" t="s">
        <v>28</v>
      </c>
      <c r="I1487" s="8">
        <v>0.3</v>
      </c>
      <c r="J1487" s="3">
        <v>11111</v>
      </c>
      <c r="K1487" s="3">
        <v>50805</v>
      </c>
      <c r="L1487" s="17" t="str" cm="1">
        <f t="array" ref="L1487">_xlfn.IFS(MID(K1487,2,2)="01", "서울", MID(K1487,2,2)="02","경기",MID(K1487,2,2)="03","충청",MID(K1487,2,2)="04","충청",MID(K1487,2,2)="05","전라",MID(K1487,2,2)="06","전라",MID(K1487,2,2)="07","경북",MID(K1487,2,2)="08","경남",MID(K1487,2,2)="09","강원",MID(K1487,2,2)="10","제주",TRUE,"국외")</f>
        <v>경남</v>
      </c>
    </row>
    <row r="1488" spans="1:12" ht="17.25" thickBot="1">
      <c r="A1488" s="3" t="s">
        <v>1587</v>
      </c>
      <c r="B1488" s="3" t="s">
        <v>70</v>
      </c>
      <c r="C1488" s="3" t="s">
        <v>218</v>
      </c>
      <c r="D1488" s="4" t="s">
        <v>2</v>
      </c>
      <c r="E1488" s="4" t="s">
        <v>12</v>
      </c>
      <c r="F1488" s="4">
        <v>2013</v>
      </c>
      <c r="G1488" s="8">
        <v>0.7</v>
      </c>
      <c r="H1488" s="4" t="s">
        <v>12</v>
      </c>
      <c r="I1488" s="8">
        <v>1</v>
      </c>
      <c r="J1488" s="3">
        <v>11142</v>
      </c>
      <c r="K1488" s="3">
        <v>50103</v>
      </c>
      <c r="L1488" s="17" t="str" cm="1">
        <f t="array" ref="L1488">_xlfn.IFS(MID(K1488,2,2)="01", "서울", MID(K1488,2,2)="02","경기",MID(K1488,2,2)="03","충청",MID(K1488,2,2)="04","충청",MID(K1488,2,2)="05","전라",MID(K1488,2,2)="06","전라",MID(K1488,2,2)="07","경북",MID(K1488,2,2)="08","경남",MID(K1488,2,2)="09","강원",MID(K1488,2,2)="10","제주",TRUE,"국외")</f>
        <v>서울</v>
      </c>
    </row>
    <row r="1489" spans="1:12" ht="17.25" thickBot="1">
      <c r="A1489" s="3" t="s">
        <v>1588</v>
      </c>
      <c r="B1489" s="3" t="s">
        <v>17</v>
      </c>
      <c r="C1489" s="3" t="s">
        <v>549</v>
      </c>
      <c r="D1489" s="4" t="s">
        <v>2</v>
      </c>
      <c r="E1489" s="4" t="s">
        <v>607</v>
      </c>
      <c r="F1489" s="4"/>
      <c r="G1489" s="9"/>
      <c r="H1489" s="4"/>
      <c r="I1489" s="9"/>
      <c r="J1489" s="3">
        <v>11077</v>
      </c>
      <c r="K1489" s="3">
        <v>50903</v>
      </c>
      <c r="L1489" s="17" t="str" cm="1">
        <f t="array" ref="L1489">_xlfn.IFS(MID(K1489,2,2)="01", "서울", MID(K1489,2,2)="02","경기",MID(K1489,2,2)="03","충청",MID(K1489,2,2)="04","충청",MID(K1489,2,2)="05","전라",MID(K1489,2,2)="06","전라",MID(K1489,2,2)="07","경북",MID(K1489,2,2)="08","경남",MID(K1489,2,2)="09","강원",MID(K1489,2,2)="10","제주",TRUE,"국외")</f>
        <v>강원</v>
      </c>
    </row>
    <row r="1490" spans="1:12" ht="17.25" thickBot="1">
      <c r="A1490" s="3" t="s">
        <v>1589</v>
      </c>
      <c r="B1490" s="3" t="s">
        <v>44</v>
      </c>
      <c r="C1490" s="3" t="s">
        <v>133</v>
      </c>
      <c r="D1490" s="4" t="s">
        <v>2</v>
      </c>
      <c r="E1490" s="4" t="s">
        <v>906</v>
      </c>
      <c r="F1490" s="4"/>
      <c r="G1490" s="9"/>
      <c r="H1490" s="4"/>
      <c r="I1490" s="9"/>
      <c r="J1490" s="3">
        <v>11127</v>
      </c>
      <c r="K1490" s="3">
        <v>50809</v>
      </c>
      <c r="L1490" s="17" t="str" cm="1">
        <f t="array" ref="L1490">_xlfn.IFS(MID(K1490,2,2)="01", "서울", MID(K1490,2,2)="02","경기",MID(K1490,2,2)="03","충청",MID(K1490,2,2)="04","충청",MID(K1490,2,2)="05","전라",MID(K1490,2,2)="06","전라",MID(K1490,2,2)="07","경북",MID(K1490,2,2)="08","경남",MID(K1490,2,2)="09","강원",MID(K1490,2,2)="10","제주",TRUE,"국외")</f>
        <v>경남</v>
      </c>
    </row>
    <row r="1491" spans="1:12" ht="17.25" thickBot="1">
      <c r="A1491" s="3" t="s">
        <v>1590</v>
      </c>
      <c r="B1491" s="3" t="s">
        <v>36</v>
      </c>
      <c r="C1491" s="3"/>
      <c r="D1491" s="4" t="s">
        <v>2</v>
      </c>
      <c r="E1491" s="4" t="s">
        <v>26</v>
      </c>
      <c r="F1491" s="4">
        <v>2016</v>
      </c>
      <c r="G1491" s="9"/>
      <c r="H1491" s="4" t="s">
        <v>6</v>
      </c>
      <c r="I1491" s="8">
        <v>2.6</v>
      </c>
      <c r="J1491" s="3">
        <v>11099</v>
      </c>
      <c r="K1491" s="3">
        <v>50402</v>
      </c>
      <c r="L1491" s="17" t="str" cm="1">
        <f t="array" ref="L1491">_xlfn.IFS(MID(K1491,2,2)="01", "서울", MID(K1491,2,2)="02","경기",MID(K1491,2,2)="03","충청",MID(K1491,2,2)="04","충청",MID(K1491,2,2)="05","전라",MID(K1491,2,2)="06","전라",MID(K1491,2,2)="07","경북",MID(K1491,2,2)="08","경남",MID(K1491,2,2)="09","강원",MID(K1491,2,2)="10","제주",TRUE,"국외")</f>
        <v>충청</v>
      </c>
    </row>
    <row r="1492" spans="1:12" ht="17.25" thickBot="1">
      <c r="A1492" s="3" t="s">
        <v>1591</v>
      </c>
      <c r="B1492" s="3" t="s">
        <v>128</v>
      </c>
      <c r="C1492" s="3"/>
      <c r="D1492" s="4" t="s">
        <v>2</v>
      </c>
      <c r="E1492" s="4" t="s">
        <v>3</v>
      </c>
      <c r="F1492" s="4"/>
      <c r="G1492" s="9"/>
      <c r="H1492" s="4"/>
      <c r="I1492" s="9"/>
      <c r="J1492" s="3">
        <v>13237</v>
      </c>
      <c r="K1492" s="3">
        <v>50901</v>
      </c>
      <c r="L1492" s="17" t="str" cm="1">
        <f t="array" ref="L1492">_xlfn.IFS(MID(K1492,2,2)="01", "서울", MID(K1492,2,2)="02","경기",MID(K1492,2,2)="03","충청",MID(K1492,2,2)="04","충청",MID(K1492,2,2)="05","전라",MID(K1492,2,2)="06","전라",MID(K1492,2,2)="07","경북",MID(K1492,2,2)="08","경남",MID(K1492,2,2)="09","강원",MID(K1492,2,2)="10","제주",TRUE,"국외")</f>
        <v>강원</v>
      </c>
    </row>
    <row r="1493" spans="1:12" ht="17.25" thickBot="1">
      <c r="A1493" s="3" t="s">
        <v>1592</v>
      </c>
      <c r="B1493" s="3" t="s">
        <v>66</v>
      </c>
      <c r="C1493" s="3" t="s">
        <v>1593</v>
      </c>
      <c r="D1493" s="4" t="s">
        <v>2</v>
      </c>
      <c r="E1493" s="4" t="s">
        <v>23</v>
      </c>
      <c r="F1493" s="4">
        <v>2015</v>
      </c>
      <c r="G1493" s="9"/>
      <c r="H1493" s="4" t="s">
        <v>28</v>
      </c>
      <c r="I1493" s="8">
        <v>-0.7</v>
      </c>
      <c r="J1493" s="3">
        <v>11332</v>
      </c>
      <c r="K1493" s="3">
        <v>50110</v>
      </c>
      <c r="L1493" s="17" t="str" cm="1">
        <f t="array" ref="L1493">_xlfn.IFS(MID(K1493,2,2)="01", "서울", MID(K1493,2,2)="02","경기",MID(K1493,2,2)="03","충청",MID(K1493,2,2)="04","충청",MID(K1493,2,2)="05","전라",MID(K1493,2,2)="06","전라",MID(K1493,2,2)="07","경북",MID(K1493,2,2)="08","경남",MID(K1493,2,2)="09","강원",MID(K1493,2,2)="10","제주",TRUE,"국외")</f>
        <v>서울</v>
      </c>
    </row>
    <row r="1494" spans="1:12" ht="17.25" thickBot="1">
      <c r="A1494" s="3" t="s">
        <v>1594</v>
      </c>
      <c r="B1494" s="3" t="s">
        <v>128</v>
      </c>
      <c r="C1494" s="3"/>
      <c r="D1494" s="4" t="s">
        <v>2</v>
      </c>
      <c r="E1494" s="4" t="s">
        <v>9</v>
      </c>
      <c r="F1494" s="4">
        <v>2015</v>
      </c>
      <c r="G1494" s="9"/>
      <c r="H1494" s="4" t="s">
        <v>9</v>
      </c>
      <c r="I1494" s="8">
        <v>0</v>
      </c>
      <c r="J1494" s="3">
        <v>11425</v>
      </c>
      <c r="K1494" s="3">
        <v>50901</v>
      </c>
      <c r="L1494" s="17" t="str" cm="1">
        <f t="array" ref="L1494">_xlfn.IFS(MID(K1494,2,2)="01", "서울", MID(K1494,2,2)="02","경기",MID(K1494,2,2)="03","충청",MID(K1494,2,2)="04","충청",MID(K1494,2,2)="05","전라",MID(K1494,2,2)="06","전라",MID(K1494,2,2)="07","경북",MID(K1494,2,2)="08","경남",MID(K1494,2,2)="09","강원",MID(K1494,2,2)="10","제주",TRUE,"국외")</f>
        <v>강원</v>
      </c>
    </row>
    <row r="1495" spans="1:12" ht="17.25" thickBot="1">
      <c r="A1495" s="3" t="s">
        <v>1595</v>
      </c>
      <c r="B1495" s="3" t="s">
        <v>32</v>
      </c>
      <c r="C1495" s="3" t="s">
        <v>122</v>
      </c>
      <c r="D1495" s="4" t="s">
        <v>2</v>
      </c>
      <c r="E1495" s="4" t="s">
        <v>6</v>
      </c>
      <c r="F1495" s="4">
        <v>2013</v>
      </c>
      <c r="G1495" s="8">
        <v>-0.2</v>
      </c>
      <c r="H1495" s="4" t="s">
        <v>6</v>
      </c>
      <c r="I1495" s="8">
        <v>-3.6</v>
      </c>
      <c r="J1495" s="3">
        <v>11071</v>
      </c>
      <c r="K1495" s="3">
        <v>50111</v>
      </c>
      <c r="L1495" s="17" t="str" cm="1">
        <f t="array" ref="L1495">_xlfn.IFS(MID(K1495,2,2)="01", "서울", MID(K1495,2,2)="02","경기",MID(K1495,2,2)="03","충청",MID(K1495,2,2)="04","충청",MID(K1495,2,2)="05","전라",MID(K1495,2,2)="06","전라",MID(K1495,2,2)="07","경북",MID(K1495,2,2)="08","경남",MID(K1495,2,2)="09","강원",MID(K1495,2,2)="10","제주",TRUE,"국외")</f>
        <v>서울</v>
      </c>
    </row>
    <row r="1496" spans="1:12" ht="17.25" thickBot="1">
      <c r="A1496" s="3" t="s">
        <v>1596</v>
      </c>
      <c r="B1496" s="3" t="s">
        <v>332</v>
      </c>
      <c r="C1496" s="3"/>
      <c r="D1496" s="4" t="s">
        <v>2</v>
      </c>
      <c r="E1496" s="4" t="s">
        <v>20</v>
      </c>
      <c r="F1496" s="4">
        <v>2018</v>
      </c>
      <c r="G1496" s="9"/>
      <c r="H1496" s="4" t="s">
        <v>20</v>
      </c>
      <c r="I1496" s="8">
        <v>1.5</v>
      </c>
      <c r="J1496" s="3">
        <v>12697</v>
      </c>
      <c r="K1496" s="3">
        <v>50705</v>
      </c>
      <c r="L1496" s="17" t="str" cm="1">
        <f t="array" ref="L1496">_xlfn.IFS(MID(K1496,2,2)="01", "서울", MID(K1496,2,2)="02","경기",MID(K1496,2,2)="03","충청",MID(K1496,2,2)="04","충청",MID(K1496,2,2)="05","전라",MID(K1496,2,2)="06","전라",MID(K1496,2,2)="07","경북",MID(K1496,2,2)="08","경남",MID(K1496,2,2)="09","강원",MID(K1496,2,2)="10","제주",TRUE,"국외")</f>
        <v>경북</v>
      </c>
    </row>
    <row r="1497" spans="1:12" ht="17.25" thickBot="1">
      <c r="A1497" s="3" t="s">
        <v>1597</v>
      </c>
      <c r="B1497" s="3" t="s">
        <v>66</v>
      </c>
      <c r="C1497" s="3" t="s">
        <v>99</v>
      </c>
      <c r="D1497" s="4" t="s">
        <v>2</v>
      </c>
      <c r="E1497" s="4" t="s">
        <v>12</v>
      </c>
      <c r="F1497" s="4">
        <v>2015</v>
      </c>
      <c r="G1497" s="9"/>
      <c r="H1497" s="4" t="s">
        <v>12</v>
      </c>
      <c r="I1497" s="8">
        <v>4.0999999999999996</v>
      </c>
      <c r="J1497" s="3">
        <v>11168</v>
      </c>
      <c r="K1497" s="3">
        <v>50110</v>
      </c>
      <c r="L1497" s="17" t="str" cm="1">
        <f t="array" ref="L1497">_xlfn.IFS(MID(K1497,2,2)="01", "서울", MID(K1497,2,2)="02","경기",MID(K1497,2,2)="03","충청",MID(K1497,2,2)="04","충청",MID(K1497,2,2)="05","전라",MID(K1497,2,2)="06","전라",MID(K1497,2,2)="07","경북",MID(K1497,2,2)="08","경남",MID(K1497,2,2)="09","강원",MID(K1497,2,2)="10","제주",TRUE,"국외")</f>
        <v>서울</v>
      </c>
    </row>
    <row r="1498" spans="1:12" ht="17.25" thickBot="1">
      <c r="A1498" s="3" t="s">
        <v>1598</v>
      </c>
      <c r="B1498" s="3" t="s">
        <v>82</v>
      </c>
      <c r="C1498" s="3"/>
      <c r="D1498" s="4" t="s">
        <v>2</v>
      </c>
      <c r="E1498" s="4" t="s">
        <v>607</v>
      </c>
      <c r="F1498" s="4">
        <v>2017</v>
      </c>
      <c r="G1498" s="9"/>
      <c r="H1498" s="4" t="s">
        <v>607</v>
      </c>
      <c r="I1498" s="8">
        <v>-0.4</v>
      </c>
      <c r="J1498" s="3">
        <v>11364</v>
      </c>
      <c r="K1498" s="3">
        <v>50605</v>
      </c>
      <c r="L1498" s="17" t="str" cm="1">
        <f t="array" ref="L1498">_xlfn.IFS(MID(K1498,2,2)="01", "서울", MID(K1498,2,2)="02","경기",MID(K1498,2,2)="03","충청",MID(K1498,2,2)="04","충청",MID(K1498,2,2)="05","전라",MID(K1498,2,2)="06","전라",MID(K1498,2,2)="07","경북",MID(K1498,2,2)="08","경남",MID(K1498,2,2)="09","강원",MID(K1498,2,2)="10","제주",TRUE,"국외")</f>
        <v>전라</v>
      </c>
    </row>
    <row r="1499" spans="1:12" ht="17.25" thickBot="1">
      <c r="A1499" s="3" t="s">
        <v>114</v>
      </c>
      <c r="B1499" s="3" t="s">
        <v>25</v>
      </c>
      <c r="C1499" s="3"/>
      <c r="D1499" s="4" t="s">
        <v>2</v>
      </c>
      <c r="E1499" s="4" t="s">
        <v>906</v>
      </c>
      <c r="F1499" s="4">
        <v>2015</v>
      </c>
      <c r="G1499" s="9"/>
      <c r="H1499" s="4" t="s">
        <v>18</v>
      </c>
      <c r="I1499" s="8">
        <v>-0.7</v>
      </c>
      <c r="J1499" s="3">
        <v>11131</v>
      </c>
      <c r="K1499" s="3">
        <v>50403</v>
      </c>
      <c r="L1499" s="17" t="str" cm="1">
        <f t="array" ref="L1499">_xlfn.IFS(MID(K1499,2,2)="01", "서울", MID(K1499,2,2)="02","경기",MID(K1499,2,2)="03","충청",MID(K1499,2,2)="04","충청",MID(K1499,2,2)="05","전라",MID(K1499,2,2)="06","전라",MID(K1499,2,2)="07","경북",MID(K1499,2,2)="08","경남",MID(K1499,2,2)="09","강원",MID(K1499,2,2)="10","제주",TRUE,"국외")</f>
        <v>충청</v>
      </c>
    </row>
    <row r="1500" spans="1:12" ht="17.25" thickBot="1">
      <c r="A1500" s="3" t="s">
        <v>1599</v>
      </c>
      <c r="B1500" s="3" t="s">
        <v>25</v>
      </c>
      <c r="C1500" s="3"/>
      <c r="D1500" s="4" t="s">
        <v>2</v>
      </c>
      <c r="E1500" s="4" t="s">
        <v>26</v>
      </c>
      <c r="F1500" s="4"/>
      <c r="G1500" s="9"/>
      <c r="H1500" s="4"/>
      <c r="I1500" s="9"/>
      <c r="J1500" s="3">
        <v>11093</v>
      </c>
      <c r="K1500" s="3">
        <v>50403</v>
      </c>
      <c r="L1500" s="17" t="str" cm="1">
        <f t="array" ref="L1500">_xlfn.IFS(MID(K1500,2,2)="01", "서울", MID(K1500,2,2)="02","경기",MID(K1500,2,2)="03","충청",MID(K1500,2,2)="04","충청",MID(K1500,2,2)="05","전라",MID(K1500,2,2)="06","전라",MID(K1500,2,2)="07","경북",MID(K1500,2,2)="08","경남",MID(K1500,2,2)="09","강원",MID(K1500,2,2)="10","제주",TRUE,"국외")</f>
        <v>충청</v>
      </c>
    </row>
    <row r="1501" spans="1:12" ht="17.25" thickBot="1">
      <c r="A1501" s="3" t="s">
        <v>1600</v>
      </c>
      <c r="B1501" s="3" t="s">
        <v>70</v>
      </c>
      <c r="C1501" s="3"/>
      <c r="D1501" s="4" t="s">
        <v>2</v>
      </c>
      <c r="E1501" s="4" t="s">
        <v>3</v>
      </c>
      <c r="F1501" s="4">
        <v>2013</v>
      </c>
      <c r="G1501" s="8">
        <v>-0.8</v>
      </c>
      <c r="H1501" s="4" t="s">
        <v>6</v>
      </c>
      <c r="I1501" s="8">
        <v>2.6</v>
      </c>
      <c r="J1501" s="3">
        <v>11119</v>
      </c>
      <c r="K1501" s="3">
        <v>50103</v>
      </c>
      <c r="L1501" s="17" t="str" cm="1">
        <f t="array" ref="L1501">_xlfn.IFS(MID(K1501,2,2)="01", "서울", MID(K1501,2,2)="02","경기",MID(K1501,2,2)="03","충청",MID(K1501,2,2)="04","충청",MID(K1501,2,2)="05","전라",MID(K1501,2,2)="06","전라",MID(K1501,2,2)="07","경북",MID(K1501,2,2)="08","경남",MID(K1501,2,2)="09","강원",MID(K1501,2,2)="10","제주",TRUE,"국외")</f>
        <v>서울</v>
      </c>
    </row>
    <row r="1502" spans="1:12" ht="17.25" thickBot="1">
      <c r="A1502" s="3" t="s">
        <v>1601</v>
      </c>
      <c r="B1502" s="3" t="s">
        <v>66</v>
      </c>
      <c r="C1502" s="3" t="s">
        <v>1224</v>
      </c>
      <c r="D1502" s="4" t="s">
        <v>2</v>
      </c>
      <c r="E1502" s="4" t="s">
        <v>20</v>
      </c>
      <c r="F1502" s="4">
        <v>2015</v>
      </c>
      <c r="G1502" s="9"/>
      <c r="H1502" s="4" t="s">
        <v>28</v>
      </c>
      <c r="I1502" s="8">
        <v>-0.1</v>
      </c>
      <c r="J1502" s="3">
        <v>11314</v>
      </c>
      <c r="K1502" s="3">
        <v>50110</v>
      </c>
      <c r="L1502" s="17" t="str" cm="1">
        <f t="array" ref="L1502">_xlfn.IFS(MID(K1502,2,2)="01", "서울", MID(K1502,2,2)="02","경기",MID(K1502,2,2)="03","충청",MID(K1502,2,2)="04","충청",MID(K1502,2,2)="05","전라",MID(K1502,2,2)="06","전라",MID(K1502,2,2)="07","경북",MID(K1502,2,2)="08","경남",MID(K1502,2,2)="09","강원",MID(K1502,2,2)="10","제주",TRUE,"국외")</f>
        <v>서울</v>
      </c>
    </row>
    <row r="1503" spans="1:12" ht="17.25" thickBot="1">
      <c r="A1503" s="3" t="s">
        <v>1602</v>
      </c>
      <c r="B1503" s="3" t="s">
        <v>5</v>
      </c>
      <c r="C1503" s="3" t="s">
        <v>218</v>
      </c>
      <c r="D1503" s="4" t="s">
        <v>2</v>
      </c>
      <c r="E1503" s="4" t="s">
        <v>6</v>
      </c>
      <c r="F1503" s="4"/>
      <c r="G1503" s="9"/>
      <c r="H1503" s="4"/>
      <c r="I1503" s="9"/>
      <c r="J1503" s="3">
        <v>11067</v>
      </c>
      <c r="K1503" s="3">
        <v>50114</v>
      </c>
      <c r="L1503" s="17" t="str" cm="1">
        <f t="array" ref="L1503">_xlfn.IFS(MID(K1503,2,2)="01", "서울", MID(K1503,2,2)="02","경기",MID(K1503,2,2)="03","충청",MID(K1503,2,2)="04","충청",MID(K1503,2,2)="05","전라",MID(K1503,2,2)="06","전라",MID(K1503,2,2)="07","경북",MID(K1503,2,2)="08","경남",MID(K1503,2,2)="09","강원",MID(K1503,2,2)="10","제주",TRUE,"국외")</f>
        <v>서울</v>
      </c>
    </row>
    <row r="1504" spans="1:12" ht="17.25" thickBot="1">
      <c r="A1504" s="3" t="s">
        <v>1136</v>
      </c>
      <c r="B1504" s="3" t="s">
        <v>101</v>
      </c>
      <c r="C1504" s="3" t="s">
        <v>752</v>
      </c>
      <c r="D1504" s="4" t="s">
        <v>2</v>
      </c>
      <c r="E1504" s="4" t="s">
        <v>9</v>
      </c>
      <c r="F1504" s="4">
        <v>2013</v>
      </c>
      <c r="G1504" s="8">
        <v>1.9</v>
      </c>
      <c r="H1504" s="4" t="s">
        <v>3</v>
      </c>
      <c r="I1504" s="8">
        <v>2.7</v>
      </c>
      <c r="J1504" s="3">
        <v>11118</v>
      </c>
      <c r="K1504" s="3">
        <v>50207</v>
      </c>
      <c r="L1504" s="17" t="str" cm="1">
        <f t="array" ref="L1504">_xlfn.IFS(MID(K1504,2,2)="01", "서울", MID(K1504,2,2)="02","경기",MID(K1504,2,2)="03","충청",MID(K1504,2,2)="04","충청",MID(K1504,2,2)="05","전라",MID(K1504,2,2)="06","전라",MID(K1504,2,2)="07","경북",MID(K1504,2,2)="08","경남",MID(K1504,2,2)="09","강원",MID(K1504,2,2)="10","제주",TRUE,"국외")</f>
        <v>경기</v>
      </c>
    </row>
    <row r="1505" spans="1:12" ht="17.25" thickBot="1">
      <c r="A1505" s="3" t="s">
        <v>1603</v>
      </c>
      <c r="B1505" s="3" t="s">
        <v>25</v>
      </c>
      <c r="C1505" s="3"/>
      <c r="D1505" s="4" t="s">
        <v>2</v>
      </c>
      <c r="E1505" s="4" t="s">
        <v>20</v>
      </c>
      <c r="F1505" s="4"/>
      <c r="G1505" s="9"/>
      <c r="H1505" s="4"/>
      <c r="I1505" s="9"/>
      <c r="J1505" s="3">
        <v>11089</v>
      </c>
      <c r="K1505" s="3">
        <v>50403</v>
      </c>
      <c r="L1505" s="17" t="str" cm="1">
        <f t="array" ref="L1505">_xlfn.IFS(MID(K1505,2,2)="01", "서울", MID(K1505,2,2)="02","경기",MID(K1505,2,2)="03","충청",MID(K1505,2,2)="04","충청",MID(K1505,2,2)="05","전라",MID(K1505,2,2)="06","전라",MID(K1505,2,2)="07","경북",MID(K1505,2,2)="08","경남",MID(K1505,2,2)="09","강원",MID(K1505,2,2)="10","제주",TRUE,"국외")</f>
        <v>충청</v>
      </c>
    </row>
    <row r="1506" spans="1:12" ht="17.25" thickBot="1">
      <c r="A1506" s="3" t="s">
        <v>1604</v>
      </c>
      <c r="B1506" s="3" t="s">
        <v>121</v>
      </c>
      <c r="C1506" s="3"/>
      <c r="D1506" s="4" t="s">
        <v>2</v>
      </c>
      <c r="E1506" s="4" t="s">
        <v>12</v>
      </c>
      <c r="F1506" s="4">
        <v>2016</v>
      </c>
      <c r="G1506" s="9"/>
      <c r="H1506" s="4" t="s">
        <v>12</v>
      </c>
      <c r="I1506" s="8">
        <v>-0.2</v>
      </c>
      <c r="J1506" s="3">
        <v>11135</v>
      </c>
      <c r="K1506" s="3">
        <v>50604</v>
      </c>
      <c r="L1506" s="17" t="str" cm="1">
        <f t="array" ref="L1506">_xlfn.IFS(MID(K1506,2,2)="01", "서울", MID(K1506,2,2)="02","경기",MID(K1506,2,2)="03","충청",MID(K1506,2,2)="04","충청",MID(K1506,2,2)="05","전라",MID(K1506,2,2)="06","전라",MID(K1506,2,2)="07","경북",MID(K1506,2,2)="08","경남",MID(K1506,2,2)="09","강원",MID(K1506,2,2)="10","제주",TRUE,"국외")</f>
        <v>전라</v>
      </c>
    </row>
    <row r="1507" spans="1:12" ht="17.25" thickBot="1">
      <c r="A1507" s="3" t="s">
        <v>1605</v>
      </c>
      <c r="B1507" s="3" t="s">
        <v>82</v>
      </c>
      <c r="C1507" s="3"/>
      <c r="D1507" s="4" t="s">
        <v>2</v>
      </c>
      <c r="E1507" s="4" t="s">
        <v>607</v>
      </c>
      <c r="F1507" s="4">
        <v>2017</v>
      </c>
      <c r="G1507" s="9"/>
      <c r="H1507" s="4" t="s">
        <v>9</v>
      </c>
      <c r="I1507" s="8">
        <v>-0.5</v>
      </c>
      <c r="J1507" s="3">
        <v>13004</v>
      </c>
      <c r="K1507" s="3">
        <v>50605</v>
      </c>
      <c r="L1507" s="17" t="str" cm="1">
        <f t="array" ref="L1507">_xlfn.IFS(MID(K1507,2,2)="01", "서울", MID(K1507,2,2)="02","경기",MID(K1507,2,2)="03","충청",MID(K1507,2,2)="04","충청",MID(K1507,2,2)="05","전라",MID(K1507,2,2)="06","전라",MID(K1507,2,2)="07","경북",MID(K1507,2,2)="08","경남",MID(K1507,2,2)="09","강원",MID(K1507,2,2)="10","제주",TRUE,"국외")</f>
        <v>전라</v>
      </c>
    </row>
    <row r="1508" spans="1:12" ht="17.25" thickBot="1">
      <c r="A1508" s="3" t="s">
        <v>482</v>
      </c>
      <c r="B1508" s="3" t="s">
        <v>38</v>
      </c>
      <c r="C1508" s="3"/>
      <c r="D1508" s="4" t="s">
        <v>2</v>
      </c>
      <c r="E1508" s="4" t="s">
        <v>906</v>
      </c>
      <c r="F1508" s="4"/>
      <c r="G1508" s="9"/>
      <c r="H1508" s="4"/>
      <c r="I1508" s="9"/>
      <c r="J1508" s="3">
        <v>11128</v>
      </c>
      <c r="K1508" s="3">
        <v>50109</v>
      </c>
      <c r="L1508" s="17" t="str" cm="1">
        <f t="array" ref="L1508">_xlfn.IFS(MID(K1508,2,2)="01", "서울", MID(K1508,2,2)="02","경기",MID(K1508,2,2)="03","충청",MID(K1508,2,2)="04","충청",MID(K1508,2,2)="05","전라",MID(K1508,2,2)="06","전라",MID(K1508,2,2)="07","경북",MID(K1508,2,2)="08","경남",MID(K1508,2,2)="09","강원",MID(K1508,2,2)="10","제주",TRUE,"국외")</f>
        <v>서울</v>
      </c>
    </row>
    <row r="1509" spans="1:12" ht="17.25" thickBot="1">
      <c r="A1509" s="3" t="s">
        <v>1606</v>
      </c>
      <c r="B1509" s="3" t="s">
        <v>153</v>
      </c>
      <c r="C1509" s="3"/>
      <c r="D1509" s="4" t="s">
        <v>2</v>
      </c>
      <c r="E1509" s="4" t="s">
        <v>26</v>
      </c>
      <c r="F1509" s="4">
        <v>2018</v>
      </c>
      <c r="G1509" s="9"/>
      <c r="H1509" s="4" t="s">
        <v>26</v>
      </c>
      <c r="I1509" s="8">
        <v>-0.4</v>
      </c>
      <c r="J1509" s="3">
        <v>11097</v>
      </c>
      <c r="K1509" s="3">
        <v>50210</v>
      </c>
      <c r="L1509" s="17" t="str" cm="1">
        <f t="array" ref="L1509">_xlfn.IFS(MID(K1509,2,2)="01", "서울", MID(K1509,2,2)="02","경기",MID(K1509,2,2)="03","충청",MID(K1509,2,2)="04","충청",MID(K1509,2,2)="05","전라",MID(K1509,2,2)="06","전라",MID(K1509,2,2)="07","경북",MID(K1509,2,2)="08","경남",MID(K1509,2,2)="09","강원",MID(K1509,2,2)="10","제주",TRUE,"국외")</f>
        <v>경기</v>
      </c>
    </row>
    <row r="1510" spans="1:12" ht="17.25" thickBot="1">
      <c r="A1510" s="3" t="s">
        <v>1607</v>
      </c>
      <c r="B1510" s="3" t="s">
        <v>5</v>
      </c>
      <c r="C1510" s="3"/>
      <c r="D1510" s="4" t="s">
        <v>2</v>
      </c>
      <c r="E1510" s="4" t="s">
        <v>3</v>
      </c>
      <c r="F1510" s="4">
        <v>2017</v>
      </c>
      <c r="G1510" s="9"/>
      <c r="H1510" s="4" t="s">
        <v>3</v>
      </c>
      <c r="I1510" s="8">
        <v>-0.7</v>
      </c>
      <c r="J1510" s="3">
        <v>11116</v>
      </c>
      <c r="K1510" s="3">
        <v>50114</v>
      </c>
      <c r="L1510" s="17" t="str" cm="1">
        <f t="array" ref="L1510">_xlfn.IFS(MID(K1510,2,2)="01", "서울", MID(K1510,2,2)="02","경기",MID(K1510,2,2)="03","충청",MID(K1510,2,2)="04","충청",MID(K1510,2,2)="05","전라",MID(K1510,2,2)="06","전라",MID(K1510,2,2)="07","경북",MID(K1510,2,2)="08","경남",MID(K1510,2,2)="09","강원",MID(K1510,2,2)="10","제주",TRUE,"국외")</f>
        <v>서울</v>
      </c>
    </row>
    <row r="1511" spans="1:12" ht="17.25" thickBot="1">
      <c r="A1511" s="3" t="s">
        <v>1608</v>
      </c>
      <c r="B1511" s="3" t="s">
        <v>32</v>
      </c>
      <c r="C1511" s="3" t="s">
        <v>1479</v>
      </c>
      <c r="D1511" s="4" t="s">
        <v>2</v>
      </c>
      <c r="E1511" s="4" t="s">
        <v>23</v>
      </c>
      <c r="F1511" s="4">
        <v>2018</v>
      </c>
      <c r="G1511" s="9"/>
      <c r="H1511" s="4" t="s">
        <v>23</v>
      </c>
      <c r="I1511" s="8">
        <v>-0.5</v>
      </c>
      <c r="J1511" s="3">
        <v>11200</v>
      </c>
      <c r="K1511" s="3">
        <v>50111</v>
      </c>
      <c r="L1511" s="17" t="str" cm="1">
        <f t="array" ref="L1511">_xlfn.IFS(MID(K1511,2,2)="01", "서울", MID(K1511,2,2)="02","경기",MID(K1511,2,2)="03","충청",MID(K1511,2,2)="04","충청",MID(K1511,2,2)="05","전라",MID(K1511,2,2)="06","전라",MID(K1511,2,2)="07","경북",MID(K1511,2,2)="08","경남",MID(K1511,2,2)="09","강원",MID(K1511,2,2)="10","제주",TRUE,"국외")</f>
        <v>서울</v>
      </c>
    </row>
    <row r="1512" spans="1:12" ht="17.25" thickBot="1">
      <c r="A1512" s="3" t="s">
        <v>1609</v>
      </c>
      <c r="B1512" s="3" t="s">
        <v>81</v>
      </c>
      <c r="C1512" s="3" t="s">
        <v>172</v>
      </c>
      <c r="D1512" s="4" t="s">
        <v>2</v>
      </c>
      <c r="E1512" s="4" t="s">
        <v>9</v>
      </c>
      <c r="F1512" s="4">
        <v>2013</v>
      </c>
      <c r="G1512" s="8">
        <v>0.4</v>
      </c>
      <c r="H1512" s="4" t="s">
        <v>9</v>
      </c>
      <c r="I1512" s="8">
        <v>0</v>
      </c>
      <c r="J1512" s="3">
        <v>11086</v>
      </c>
      <c r="K1512" s="3">
        <v>50105</v>
      </c>
      <c r="L1512" s="17" t="str" cm="1">
        <f t="array" ref="L1512">_xlfn.IFS(MID(K1512,2,2)="01", "서울", MID(K1512,2,2)="02","경기",MID(K1512,2,2)="03","충청",MID(K1512,2,2)="04","충청",MID(K1512,2,2)="05","전라",MID(K1512,2,2)="06","전라",MID(K1512,2,2)="07","경북",MID(K1512,2,2)="08","경남",MID(K1512,2,2)="09","강원",MID(K1512,2,2)="10","제주",TRUE,"국외")</f>
        <v>서울</v>
      </c>
    </row>
    <row r="1513" spans="1:12" ht="17.25" thickBot="1">
      <c r="A1513" s="3" t="s">
        <v>1610</v>
      </c>
      <c r="B1513" s="3" t="s">
        <v>332</v>
      </c>
      <c r="C1513" s="3" t="s">
        <v>90</v>
      </c>
      <c r="D1513" s="4" t="s">
        <v>2</v>
      </c>
      <c r="E1513" s="4" t="s">
        <v>6</v>
      </c>
      <c r="F1513" s="4"/>
      <c r="G1513" s="9"/>
      <c r="H1513" s="4"/>
      <c r="I1513" s="9"/>
      <c r="J1513" s="3">
        <v>11072</v>
      </c>
      <c r="K1513" s="3">
        <v>50705</v>
      </c>
      <c r="L1513" s="17" t="str" cm="1">
        <f t="array" ref="L1513">_xlfn.IFS(MID(K1513,2,2)="01", "서울", MID(K1513,2,2)="02","경기",MID(K1513,2,2)="03","충청",MID(K1513,2,2)="04","충청",MID(K1513,2,2)="05","전라",MID(K1513,2,2)="06","전라",MID(K1513,2,2)="07","경북",MID(K1513,2,2)="08","경남",MID(K1513,2,2)="09","강원",MID(K1513,2,2)="10","제주",TRUE,"국외")</f>
        <v>경북</v>
      </c>
    </row>
    <row r="1514" spans="1:12" ht="17.25" thickBot="1">
      <c r="A1514" s="3" t="s">
        <v>1611</v>
      </c>
      <c r="B1514" s="3" t="s">
        <v>68</v>
      </c>
      <c r="C1514" s="3"/>
      <c r="D1514" s="4" t="s">
        <v>2</v>
      </c>
      <c r="E1514" s="4" t="s">
        <v>20</v>
      </c>
      <c r="F1514" s="4"/>
      <c r="G1514" s="9"/>
      <c r="H1514" s="4"/>
      <c r="I1514" s="9"/>
      <c r="J1514" s="3">
        <v>11088</v>
      </c>
      <c r="K1514" s="3">
        <v>50101</v>
      </c>
      <c r="L1514" s="17" t="str" cm="1">
        <f t="array" ref="L1514">_xlfn.IFS(MID(K1514,2,2)="01", "서울", MID(K1514,2,2)="02","경기",MID(K1514,2,2)="03","충청",MID(K1514,2,2)="04","충청",MID(K1514,2,2)="05","전라",MID(K1514,2,2)="06","전라",MID(K1514,2,2)="07","경북",MID(K1514,2,2)="08","경남",MID(K1514,2,2)="09","강원",MID(K1514,2,2)="10","제주",TRUE,"국외")</f>
        <v>서울</v>
      </c>
    </row>
    <row r="1515" spans="1:12" ht="17.25" thickBot="1">
      <c r="A1515" s="3" t="s">
        <v>1612</v>
      </c>
      <c r="B1515" s="3" t="s">
        <v>70</v>
      </c>
      <c r="C1515" s="3"/>
      <c r="D1515" s="4" t="s">
        <v>2</v>
      </c>
      <c r="E1515" s="4" t="s">
        <v>12</v>
      </c>
      <c r="F1515" s="4">
        <v>2017</v>
      </c>
      <c r="G1515" s="9"/>
      <c r="H1515" s="4" t="s">
        <v>12</v>
      </c>
      <c r="I1515" s="8">
        <v>-0.1</v>
      </c>
      <c r="J1515" s="3">
        <v>11134</v>
      </c>
      <c r="K1515" s="3">
        <v>50103</v>
      </c>
      <c r="L1515" s="17" t="str" cm="1">
        <f t="array" ref="L1515">_xlfn.IFS(MID(K1515,2,2)="01", "서울", MID(K1515,2,2)="02","경기",MID(K1515,2,2)="03","충청",MID(K1515,2,2)="04","충청",MID(K1515,2,2)="05","전라",MID(K1515,2,2)="06","전라",MID(K1515,2,2)="07","경북",MID(K1515,2,2)="08","경남",MID(K1515,2,2)="09","강원",MID(K1515,2,2)="10","제주",TRUE,"국외")</f>
        <v>서울</v>
      </c>
    </row>
    <row r="1516" spans="1:12" ht="17.25" thickBot="1">
      <c r="A1516" s="3" t="s">
        <v>1613</v>
      </c>
      <c r="B1516" s="3" t="s">
        <v>332</v>
      </c>
      <c r="C1516" s="3"/>
      <c r="D1516" s="4" t="s">
        <v>2</v>
      </c>
      <c r="E1516" s="4" t="s">
        <v>607</v>
      </c>
      <c r="F1516" s="4"/>
      <c r="G1516" s="9"/>
      <c r="H1516" s="4"/>
      <c r="I1516" s="9"/>
      <c r="J1516" s="3">
        <v>13001</v>
      </c>
      <c r="K1516" s="3">
        <v>50705</v>
      </c>
      <c r="L1516" s="17" t="str" cm="1">
        <f t="array" ref="L1516">_xlfn.IFS(MID(K1516,2,2)="01", "서울", MID(K1516,2,2)="02","경기",MID(K1516,2,2)="03","충청",MID(K1516,2,2)="04","충청",MID(K1516,2,2)="05","전라",MID(K1516,2,2)="06","전라",MID(K1516,2,2)="07","경북",MID(K1516,2,2)="08","경남",MID(K1516,2,2)="09","강원",MID(K1516,2,2)="10","제주",TRUE,"국외")</f>
        <v>경북</v>
      </c>
    </row>
    <row r="1517" spans="1:12" ht="17.25" thickBot="1">
      <c r="A1517" s="3" t="s">
        <v>1614</v>
      </c>
      <c r="B1517" s="3" t="s">
        <v>1084</v>
      </c>
      <c r="C1517" s="3"/>
      <c r="D1517" s="4" t="s">
        <v>2</v>
      </c>
      <c r="E1517" s="4" t="s">
        <v>906</v>
      </c>
      <c r="F1517" s="4"/>
      <c r="G1517" s="9"/>
      <c r="H1517" s="4"/>
      <c r="I1517" s="9"/>
      <c r="J1517" s="3">
        <v>11129</v>
      </c>
      <c r="K1517" s="3">
        <v>50808</v>
      </c>
      <c r="L1517" s="17" t="str" cm="1">
        <f t="array" ref="L1517">_xlfn.IFS(MID(K1517,2,2)="01", "서울", MID(K1517,2,2)="02","경기",MID(K1517,2,2)="03","충청",MID(K1517,2,2)="04","충청",MID(K1517,2,2)="05","전라",MID(K1517,2,2)="06","전라",MID(K1517,2,2)="07","경북",MID(K1517,2,2)="08","경남",MID(K1517,2,2)="09","강원",MID(K1517,2,2)="10","제주",TRUE,"국외")</f>
        <v>경남</v>
      </c>
    </row>
    <row r="1518" spans="1:12" ht="17.25" thickBot="1">
      <c r="A1518" s="3" t="s">
        <v>1615</v>
      </c>
      <c r="B1518" s="3" t="s">
        <v>17</v>
      </c>
      <c r="C1518" s="3"/>
      <c r="D1518" s="4" t="s">
        <v>2</v>
      </c>
      <c r="E1518" s="4" t="s">
        <v>26</v>
      </c>
      <c r="F1518" s="4">
        <v>2013</v>
      </c>
      <c r="G1518" s="8">
        <v>0</v>
      </c>
      <c r="H1518" s="4" t="s">
        <v>26</v>
      </c>
      <c r="I1518" s="8">
        <v>11.7</v>
      </c>
      <c r="J1518" s="3">
        <v>11094</v>
      </c>
      <c r="K1518" s="3">
        <v>50903</v>
      </c>
      <c r="L1518" s="17" t="str" cm="1">
        <f t="array" ref="L1518">_xlfn.IFS(MID(K1518,2,2)="01", "서울", MID(K1518,2,2)="02","경기",MID(K1518,2,2)="03","충청",MID(K1518,2,2)="04","충청",MID(K1518,2,2)="05","전라",MID(K1518,2,2)="06","전라",MID(K1518,2,2)="07","경북",MID(K1518,2,2)="08","경남",MID(K1518,2,2)="09","강원",MID(K1518,2,2)="10","제주",TRUE,"국외")</f>
        <v>강원</v>
      </c>
    </row>
    <row r="1519" spans="1:12" ht="17.25" thickBot="1">
      <c r="A1519" s="3" t="s">
        <v>1616</v>
      </c>
      <c r="B1519" s="3" t="s">
        <v>101</v>
      </c>
      <c r="C1519" s="3" t="s">
        <v>208</v>
      </c>
      <c r="D1519" s="4" t="s">
        <v>2</v>
      </c>
      <c r="E1519" s="4" t="s">
        <v>3</v>
      </c>
      <c r="F1519" s="4">
        <v>2013</v>
      </c>
      <c r="G1519" s="8">
        <v>-0.1</v>
      </c>
      <c r="H1519" s="4" t="s">
        <v>3</v>
      </c>
      <c r="I1519" s="8">
        <v>-1.2</v>
      </c>
      <c r="J1519" s="3">
        <v>11121</v>
      </c>
      <c r="K1519" s="3">
        <v>50207</v>
      </c>
      <c r="L1519" s="17" t="str" cm="1">
        <f t="array" ref="L1519">_xlfn.IFS(MID(K1519,2,2)="01", "서울", MID(K1519,2,2)="02","경기",MID(K1519,2,2)="03","충청",MID(K1519,2,2)="04","충청",MID(K1519,2,2)="05","전라",MID(K1519,2,2)="06","전라",MID(K1519,2,2)="07","경북",MID(K1519,2,2)="08","경남",MID(K1519,2,2)="09","강원",MID(K1519,2,2)="10","제주",TRUE,"국외")</f>
        <v>경기</v>
      </c>
    </row>
    <row r="1520" spans="1:12" ht="17.25" thickBot="1">
      <c r="A1520" s="3" t="s">
        <v>1617</v>
      </c>
      <c r="B1520" s="3" t="s">
        <v>96</v>
      </c>
      <c r="C1520" s="3" t="s">
        <v>99</v>
      </c>
      <c r="D1520" s="4" t="s">
        <v>2</v>
      </c>
      <c r="E1520" s="4" t="s">
        <v>6</v>
      </c>
      <c r="F1520" s="4">
        <v>2013</v>
      </c>
      <c r="G1520" s="8">
        <v>-0.2</v>
      </c>
      <c r="H1520" s="4" t="s">
        <v>6</v>
      </c>
      <c r="I1520" s="8">
        <v>-1.5</v>
      </c>
      <c r="J1520" s="3">
        <v>11073</v>
      </c>
      <c r="K1520" s="3">
        <v>50601</v>
      </c>
      <c r="L1520" s="17" t="str" cm="1">
        <f t="array" ref="L1520">_xlfn.IFS(MID(K1520,2,2)="01", "서울", MID(K1520,2,2)="02","경기",MID(K1520,2,2)="03","충청",MID(K1520,2,2)="04","충청",MID(K1520,2,2)="05","전라",MID(K1520,2,2)="06","전라",MID(K1520,2,2)="07","경북",MID(K1520,2,2)="08","경남",MID(K1520,2,2)="09","강원",MID(K1520,2,2)="10","제주",TRUE,"국외")</f>
        <v>전라</v>
      </c>
    </row>
    <row r="1521" spans="1:12" ht="17.25" thickBot="1">
      <c r="A1521" s="3" t="s">
        <v>1618</v>
      </c>
      <c r="B1521" s="3" t="s">
        <v>40</v>
      </c>
      <c r="C1521" s="3" t="s">
        <v>211</v>
      </c>
      <c r="D1521" s="4" t="s">
        <v>2</v>
      </c>
      <c r="E1521" s="4" t="s">
        <v>9</v>
      </c>
      <c r="F1521" s="4">
        <v>2013</v>
      </c>
      <c r="G1521" s="8">
        <v>0</v>
      </c>
      <c r="H1521" s="4" t="s">
        <v>26</v>
      </c>
      <c r="I1521" s="8">
        <v>0.9</v>
      </c>
      <c r="J1521" s="3">
        <v>11084</v>
      </c>
      <c r="K1521" s="3">
        <v>50108</v>
      </c>
      <c r="L1521" s="17" t="str" cm="1">
        <f t="array" ref="L1521">_xlfn.IFS(MID(K1521,2,2)="01", "서울", MID(K1521,2,2)="02","경기",MID(K1521,2,2)="03","충청",MID(K1521,2,2)="04","충청",MID(K1521,2,2)="05","전라",MID(K1521,2,2)="06","전라",MID(K1521,2,2)="07","경북",MID(K1521,2,2)="08","경남",MID(K1521,2,2)="09","강원",MID(K1521,2,2)="10","제주",TRUE,"국외")</f>
        <v>서울</v>
      </c>
    </row>
    <row r="1522" spans="1:12" ht="17.25" thickBot="1">
      <c r="A1522" s="3" t="s">
        <v>1619</v>
      </c>
      <c r="B1522" s="3" t="s">
        <v>101</v>
      </c>
      <c r="C1522" s="3" t="s">
        <v>174</v>
      </c>
      <c r="D1522" s="4" t="s">
        <v>2</v>
      </c>
      <c r="E1522" s="4" t="s">
        <v>23</v>
      </c>
      <c r="F1522" s="4">
        <v>2014</v>
      </c>
      <c r="G1522" s="9"/>
      <c r="H1522" s="4" t="s">
        <v>23</v>
      </c>
      <c r="I1522" s="8">
        <v>-0.4</v>
      </c>
      <c r="J1522" s="3">
        <v>11108</v>
      </c>
      <c r="K1522" s="3">
        <v>50207</v>
      </c>
      <c r="L1522" s="17" t="str" cm="1">
        <f t="array" ref="L1522">_xlfn.IFS(MID(K1522,2,2)="01", "서울", MID(K1522,2,2)="02","경기",MID(K1522,2,2)="03","충청",MID(K1522,2,2)="04","충청",MID(K1522,2,2)="05","전라",MID(K1522,2,2)="06","전라",MID(K1522,2,2)="07","경북",MID(K1522,2,2)="08","경남",MID(K1522,2,2)="09","강원",MID(K1522,2,2)="10","제주",TRUE,"국외")</f>
        <v>경기</v>
      </c>
    </row>
    <row r="1523" spans="1:12" ht="17.25" thickBot="1">
      <c r="A1523" s="3" t="s">
        <v>1620</v>
      </c>
      <c r="B1523" s="3" t="s">
        <v>464</v>
      </c>
      <c r="C1523" s="3"/>
      <c r="D1523" s="4" t="s">
        <v>2</v>
      </c>
      <c r="E1523" s="4" t="s">
        <v>20</v>
      </c>
      <c r="F1523" s="4"/>
      <c r="G1523" s="9"/>
      <c r="H1523" s="4"/>
      <c r="I1523" s="9"/>
      <c r="J1523" s="3">
        <v>13249</v>
      </c>
      <c r="K1523" s="3">
        <v>50706</v>
      </c>
      <c r="L1523" s="17" t="str" cm="1">
        <f t="array" ref="L1523">_xlfn.IFS(MID(K1523,2,2)="01", "서울", MID(K1523,2,2)="02","경기",MID(K1523,2,2)="03","충청",MID(K1523,2,2)="04","충청",MID(K1523,2,2)="05","전라",MID(K1523,2,2)="06","전라",MID(K1523,2,2)="07","경북",MID(K1523,2,2)="08","경남",MID(K1523,2,2)="09","강원",MID(K1523,2,2)="10","제주",TRUE,"국외")</f>
        <v>경북</v>
      </c>
    </row>
    <row r="1524" spans="1:12" ht="17.25" thickBot="1">
      <c r="A1524" s="3" t="s">
        <v>1621</v>
      </c>
      <c r="B1524" s="3" t="s">
        <v>224</v>
      </c>
      <c r="C1524" s="3"/>
      <c r="D1524" s="4" t="s">
        <v>2</v>
      </c>
      <c r="E1524" s="4" t="s">
        <v>607</v>
      </c>
      <c r="F1524" s="4"/>
      <c r="G1524" s="9"/>
      <c r="H1524" s="4"/>
      <c r="I1524" s="9"/>
      <c r="J1524" s="3">
        <v>11241</v>
      </c>
      <c r="K1524" s="3">
        <v>50216</v>
      </c>
      <c r="L1524" s="17" t="str" cm="1">
        <f t="array" ref="L1524">_xlfn.IFS(MID(K1524,2,2)="01", "서울", MID(K1524,2,2)="02","경기",MID(K1524,2,2)="03","충청",MID(K1524,2,2)="04","충청",MID(K1524,2,2)="05","전라",MID(K1524,2,2)="06","전라",MID(K1524,2,2)="07","경북",MID(K1524,2,2)="08","경남",MID(K1524,2,2)="09","강원",MID(K1524,2,2)="10","제주",TRUE,"국외")</f>
        <v>경기</v>
      </c>
    </row>
    <row r="1525" spans="1:12" ht="17.25" thickBot="1">
      <c r="A1525" s="3" t="s">
        <v>1622</v>
      </c>
      <c r="B1525" s="3" t="s">
        <v>22</v>
      </c>
      <c r="C1525" s="3"/>
      <c r="D1525" s="4" t="s">
        <v>2</v>
      </c>
      <c r="E1525" s="4" t="s">
        <v>26</v>
      </c>
      <c r="F1525" s="4"/>
      <c r="G1525" s="9"/>
      <c r="H1525" s="4"/>
      <c r="I1525" s="9"/>
      <c r="J1525" s="3">
        <v>11096</v>
      </c>
      <c r="K1525" s="3">
        <v>50209</v>
      </c>
      <c r="L1525" s="17" t="str" cm="1">
        <f t="array" ref="L1525">_xlfn.IFS(MID(K1525,2,2)="01", "서울", MID(K1525,2,2)="02","경기",MID(K1525,2,2)="03","충청",MID(K1525,2,2)="04","충청",MID(K1525,2,2)="05","전라",MID(K1525,2,2)="06","전라",MID(K1525,2,2)="07","경북",MID(K1525,2,2)="08","경남",MID(K1525,2,2)="09","강원",MID(K1525,2,2)="10","제주",TRUE,"국외")</f>
        <v>경기</v>
      </c>
    </row>
    <row r="1526" spans="1:12" ht="17.25" thickBot="1">
      <c r="A1526" s="3" t="s">
        <v>1623</v>
      </c>
      <c r="B1526" s="3" t="s">
        <v>145</v>
      </c>
      <c r="C1526" s="3"/>
      <c r="D1526" s="4" t="s">
        <v>2</v>
      </c>
      <c r="E1526" s="4" t="s">
        <v>3</v>
      </c>
      <c r="F1526" s="4">
        <v>2013</v>
      </c>
      <c r="G1526" s="8">
        <v>0.1</v>
      </c>
      <c r="H1526" s="4" t="s">
        <v>3</v>
      </c>
      <c r="I1526" s="8">
        <v>1.5</v>
      </c>
      <c r="J1526" s="3">
        <v>11122</v>
      </c>
      <c r="K1526" s="3">
        <v>50106</v>
      </c>
      <c r="L1526" s="17" t="str" cm="1">
        <f t="array" ref="L1526">_xlfn.IFS(MID(K1526,2,2)="01", "서울", MID(K1526,2,2)="02","경기",MID(K1526,2,2)="03","충청",MID(K1526,2,2)="04","충청",MID(K1526,2,2)="05","전라",MID(K1526,2,2)="06","전라",MID(K1526,2,2)="07","경북",MID(K1526,2,2)="08","경남",MID(K1526,2,2)="09","강원",MID(K1526,2,2)="10","제주",TRUE,"국외")</f>
        <v>서울</v>
      </c>
    </row>
    <row r="1527" spans="1:12" ht="17.25" thickBot="1">
      <c r="A1527" s="3" t="s">
        <v>1624</v>
      </c>
      <c r="B1527" s="3" t="s">
        <v>8</v>
      </c>
      <c r="C1527" s="3" t="s">
        <v>1625</v>
      </c>
      <c r="D1527" s="4" t="s">
        <v>2</v>
      </c>
      <c r="E1527" s="4" t="s">
        <v>23</v>
      </c>
      <c r="F1527" s="4">
        <v>2020</v>
      </c>
      <c r="G1527" s="9"/>
      <c r="H1527" s="4" t="s">
        <v>23</v>
      </c>
      <c r="I1527" s="8">
        <v>-0.2</v>
      </c>
      <c r="J1527" s="3">
        <v>11109</v>
      </c>
      <c r="K1527" s="3">
        <v>50116</v>
      </c>
      <c r="L1527" s="17" t="str" cm="1">
        <f t="array" ref="L1527">_xlfn.IFS(MID(K1527,2,2)="01", "서울", MID(K1527,2,2)="02","경기",MID(K1527,2,2)="03","충청",MID(K1527,2,2)="04","충청",MID(K1527,2,2)="05","전라",MID(K1527,2,2)="06","전라",MID(K1527,2,2)="07","경북",MID(K1527,2,2)="08","경남",MID(K1527,2,2)="09","강원",MID(K1527,2,2)="10","제주",TRUE,"국외")</f>
        <v>서울</v>
      </c>
    </row>
    <row r="1528" spans="1:12" ht="17.25" thickBot="1">
      <c r="A1528" s="3" t="s">
        <v>1626</v>
      </c>
      <c r="B1528" s="3" t="s">
        <v>112</v>
      </c>
      <c r="C1528" s="3" t="s">
        <v>174</v>
      </c>
      <c r="D1528" s="4" t="s">
        <v>2</v>
      </c>
      <c r="E1528" s="4" t="s">
        <v>9</v>
      </c>
      <c r="F1528" s="4">
        <v>2014</v>
      </c>
      <c r="G1528" s="9"/>
      <c r="H1528" s="4" t="s">
        <v>9</v>
      </c>
      <c r="I1528" s="8">
        <v>5.8</v>
      </c>
      <c r="J1528" s="3">
        <v>11291</v>
      </c>
      <c r="K1528" s="3">
        <v>50113</v>
      </c>
      <c r="L1528" s="17" t="str" cm="1">
        <f t="array" ref="L1528">_xlfn.IFS(MID(K1528,2,2)="01", "서울", MID(K1528,2,2)="02","경기",MID(K1528,2,2)="03","충청",MID(K1528,2,2)="04","충청",MID(K1528,2,2)="05","전라",MID(K1528,2,2)="06","전라",MID(K1528,2,2)="07","경북",MID(K1528,2,2)="08","경남",MID(K1528,2,2)="09","강원",MID(K1528,2,2)="10","제주",TRUE,"국외")</f>
        <v>서울</v>
      </c>
    </row>
    <row r="1529" spans="1:12" ht="17.25" thickBot="1">
      <c r="A1529" s="3" t="s">
        <v>1627</v>
      </c>
      <c r="B1529" s="3" t="s">
        <v>121</v>
      </c>
      <c r="C1529" s="3" t="s">
        <v>83</v>
      </c>
      <c r="D1529" s="4" t="s">
        <v>2</v>
      </c>
      <c r="E1529" s="4" t="s">
        <v>6</v>
      </c>
      <c r="F1529" s="4">
        <v>2018</v>
      </c>
      <c r="G1529" s="9"/>
      <c r="H1529" s="4" t="s">
        <v>6</v>
      </c>
      <c r="I1529" s="8">
        <v>0.1</v>
      </c>
      <c r="J1529" s="3">
        <v>11068</v>
      </c>
      <c r="K1529" s="3">
        <v>50604</v>
      </c>
      <c r="L1529" s="17" t="str" cm="1">
        <f t="array" ref="L1529">_xlfn.IFS(MID(K1529,2,2)="01", "서울", MID(K1529,2,2)="02","경기",MID(K1529,2,2)="03","충청",MID(K1529,2,2)="04","충청",MID(K1529,2,2)="05","전라",MID(K1529,2,2)="06","전라",MID(K1529,2,2)="07","경북",MID(K1529,2,2)="08","경남",MID(K1529,2,2)="09","강원",MID(K1529,2,2)="10","제주",TRUE,"국외")</f>
        <v>전라</v>
      </c>
    </row>
    <row r="1530" spans="1:12" ht="17.25" thickBot="1">
      <c r="A1530" s="3" t="s">
        <v>1628</v>
      </c>
      <c r="B1530" s="3" t="s">
        <v>153</v>
      </c>
      <c r="C1530" s="3"/>
      <c r="D1530" s="4" t="s">
        <v>2</v>
      </c>
      <c r="E1530" s="4" t="s">
        <v>20</v>
      </c>
      <c r="F1530" s="4"/>
      <c r="G1530" s="9"/>
      <c r="H1530" s="4"/>
      <c r="I1530" s="9"/>
      <c r="J1530" s="3">
        <v>12942</v>
      </c>
      <c r="K1530" s="3">
        <v>50210</v>
      </c>
      <c r="L1530" s="17" t="str" cm="1">
        <f t="array" ref="L1530">_xlfn.IFS(MID(K1530,2,2)="01", "서울", MID(K1530,2,2)="02","경기",MID(K1530,2,2)="03","충청",MID(K1530,2,2)="04","충청",MID(K1530,2,2)="05","전라",MID(K1530,2,2)="06","전라",MID(K1530,2,2)="07","경북",MID(K1530,2,2)="08","경남",MID(K1530,2,2)="09","강원",MID(K1530,2,2)="10","제주",TRUE,"국외")</f>
        <v>경기</v>
      </c>
    </row>
    <row r="1531" spans="1:12" ht="17.25" thickBot="1">
      <c r="A1531" s="3" t="s">
        <v>1629</v>
      </c>
      <c r="B1531" s="3" t="s">
        <v>34</v>
      </c>
      <c r="C1531" s="3" t="s">
        <v>90</v>
      </c>
      <c r="D1531" s="4" t="s">
        <v>2</v>
      </c>
      <c r="E1531" s="4" t="s">
        <v>12</v>
      </c>
      <c r="F1531" s="4">
        <v>2013</v>
      </c>
      <c r="G1531" s="8">
        <v>-0.1</v>
      </c>
      <c r="H1531" s="4" t="s">
        <v>23</v>
      </c>
      <c r="I1531" s="8">
        <v>-0.2</v>
      </c>
      <c r="J1531" s="3">
        <v>11169</v>
      </c>
      <c r="K1531" s="3">
        <v>50701</v>
      </c>
      <c r="L1531" s="17" t="str" cm="1">
        <f t="array" ref="L1531">_xlfn.IFS(MID(K1531,2,2)="01", "서울", MID(K1531,2,2)="02","경기",MID(K1531,2,2)="03","충청",MID(K1531,2,2)="04","충청",MID(K1531,2,2)="05","전라",MID(K1531,2,2)="06","전라",MID(K1531,2,2)="07","경북",MID(K1531,2,2)="08","경남",MID(K1531,2,2)="09","강원",MID(K1531,2,2)="10","제주",TRUE,"국외")</f>
        <v>경북</v>
      </c>
    </row>
    <row r="1532" spans="1:12" ht="17.25" thickBot="1">
      <c r="A1532" s="3" t="s">
        <v>1630</v>
      </c>
      <c r="B1532" s="3" t="s">
        <v>66</v>
      </c>
      <c r="C1532" s="3" t="s">
        <v>739</v>
      </c>
      <c r="D1532" s="4" t="s">
        <v>2</v>
      </c>
      <c r="E1532" s="4" t="s">
        <v>906</v>
      </c>
      <c r="F1532" s="4">
        <v>2018</v>
      </c>
      <c r="G1532" s="9"/>
      <c r="H1532" s="4" t="s">
        <v>18</v>
      </c>
      <c r="I1532" s="8">
        <v>-0.1</v>
      </c>
      <c r="J1532" s="3">
        <v>11130</v>
      </c>
      <c r="K1532" s="3">
        <v>50110</v>
      </c>
      <c r="L1532" s="17" t="str" cm="1">
        <f t="array" ref="L1532">_xlfn.IFS(MID(K1532,2,2)="01", "서울", MID(K1532,2,2)="02","경기",MID(K1532,2,2)="03","충청",MID(K1532,2,2)="04","충청",MID(K1532,2,2)="05","전라",MID(K1532,2,2)="06","전라",MID(K1532,2,2)="07","경북",MID(K1532,2,2)="08","경남",MID(K1532,2,2)="09","강원",MID(K1532,2,2)="10","제주",TRUE,"국외")</f>
        <v>서울</v>
      </c>
    </row>
    <row r="1533" spans="1:12" ht="17.25" thickBot="1">
      <c r="A1533" s="3" t="s">
        <v>1631</v>
      </c>
      <c r="B1533" s="3" t="s">
        <v>25</v>
      </c>
      <c r="C1533" s="3"/>
      <c r="D1533" s="4" t="s">
        <v>2</v>
      </c>
      <c r="E1533" s="4" t="s">
        <v>26</v>
      </c>
      <c r="F1533" s="4"/>
      <c r="G1533" s="9"/>
      <c r="H1533" s="4"/>
      <c r="I1533" s="9"/>
      <c r="J1533" s="3">
        <v>11095</v>
      </c>
      <c r="K1533" s="3">
        <v>50403</v>
      </c>
      <c r="L1533" s="17" t="str" cm="1">
        <f t="array" ref="L1533">_xlfn.IFS(MID(K1533,2,2)="01", "서울", MID(K1533,2,2)="02","경기",MID(K1533,2,2)="03","충청",MID(K1533,2,2)="04","충청",MID(K1533,2,2)="05","전라",MID(K1533,2,2)="06","전라",MID(K1533,2,2)="07","경북",MID(K1533,2,2)="08","경남",MID(K1533,2,2)="09","강원",MID(K1533,2,2)="10","제주",TRUE,"국외")</f>
        <v>충청</v>
      </c>
    </row>
    <row r="1534" spans="1:12" ht="17.25" thickBot="1">
      <c r="A1534" s="3" t="s">
        <v>1632</v>
      </c>
      <c r="B1534" s="3" t="s">
        <v>1497</v>
      </c>
      <c r="C1534" s="3" t="s">
        <v>136</v>
      </c>
      <c r="D1534" s="4" t="s">
        <v>2</v>
      </c>
      <c r="E1534" s="4" t="s">
        <v>6</v>
      </c>
      <c r="F1534" s="4">
        <v>2013</v>
      </c>
      <c r="G1534" s="8">
        <v>0.2</v>
      </c>
      <c r="H1534" s="4" t="s">
        <v>6</v>
      </c>
      <c r="I1534" s="8">
        <v>5.2</v>
      </c>
      <c r="J1534" s="3">
        <v>11070</v>
      </c>
      <c r="K1534" s="3">
        <v>50112</v>
      </c>
      <c r="L1534" s="17" t="str" cm="1">
        <f t="array" ref="L1534">_xlfn.IFS(MID(K1534,2,2)="01", "서울", MID(K1534,2,2)="02","경기",MID(K1534,2,2)="03","충청",MID(K1534,2,2)="04","충청",MID(K1534,2,2)="05","전라",MID(K1534,2,2)="06","전라",MID(K1534,2,2)="07","경북",MID(K1534,2,2)="08","경남",MID(K1534,2,2)="09","강원",MID(K1534,2,2)="10","제주",TRUE,"국외")</f>
        <v>서울</v>
      </c>
    </row>
    <row r="1535" spans="1:12" ht="17.25" thickBot="1">
      <c r="A1535" s="3" t="s">
        <v>1633</v>
      </c>
      <c r="B1535" s="3" t="s">
        <v>14</v>
      </c>
      <c r="C1535" s="3" t="s">
        <v>90</v>
      </c>
      <c r="D1535" s="4" t="s">
        <v>2</v>
      </c>
      <c r="E1535" s="4" t="s">
        <v>9</v>
      </c>
      <c r="F1535" s="4">
        <v>2013</v>
      </c>
      <c r="G1535" s="8">
        <v>0</v>
      </c>
      <c r="H1535" s="4" t="s">
        <v>9</v>
      </c>
      <c r="I1535" s="8">
        <v>0</v>
      </c>
      <c r="J1535" s="3">
        <v>11085</v>
      </c>
      <c r="K1535" s="3">
        <v>50703</v>
      </c>
      <c r="L1535" s="17" t="str" cm="1">
        <f t="array" ref="L1535">_xlfn.IFS(MID(K1535,2,2)="01", "서울", MID(K1535,2,2)="02","경기",MID(K1535,2,2)="03","충청",MID(K1535,2,2)="04","충청",MID(K1535,2,2)="05","전라",MID(K1535,2,2)="06","전라",MID(K1535,2,2)="07","경북",MID(K1535,2,2)="08","경남",MID(K1535,2,2)="09","강원",MID(K1535,2,2)="10","제주",TRUE,"국외")</f>
        <v>경북</v>
      </c>
    </row>
    <row r="1536" spans="1:12" ht="17.25" thickBot="1">
      <c r="A1536" s="3" t="s">
        <v>1634</v>
      </c>
      <c r="B1536" s="3" t="s">
        <v>22</v>
      </c>
      <c r="C1536" s="3"/>
      <c r="D1536" s="4" t="s">
        <v>2</v>
      </c>
      <c r="E1536" s="4" t="s">
        <v>23</v>
      </c>
      <c r="F1536" s="4">
        <v>2020</v>
      </c>
      <c r="G1536" s="9"/>
      <c r="H1536" s="4" t="s">
        <v>3</v>
      </c>
      <c r="I1536" s="8">
        <v>3.3</v>
      </c>
      <c r="J1536" s="3">
        <v>11110</v>
      </c>
      <c r="K1536" s="3">
        <v>50209</v>
      </c>
      <c r="L1536" s="17" t="str" cm="1">
        <f t="array" ref="L1536">_xlfn.IFS(MID(K1536,2,2)="01", "서울", MID(K1536,2,2)="02","경기",MID(K1536,2,2)="03","충청",MID(K1536,2,2)="04","충청",MID(K1536,2,2)="05","전라",MID(K1536,2,2)="06","전라",MID(K1536,2,2)="07","경북",MID(K1536,2,2)="08","경남",MID(K1536,2,2)="09","강원",MID(K1536,2,2)="10","제주",TRUE,"국외")</f>
        <v>경기</v>
      </c>
    </row>
    <row r="1537" spans="1:12" ht="17.25" thickBot="1">
      <c r="A1537" s="3" t="s">
        <v>1635</v>
      </c>
      <c r="B1537" s="3" t="s">
        <v>11</v>
      </c>
      <c r="C1537" s="3" t="s">
        <v>119</v>
      </c>
      <c r="D1537" s="4" t="s">
        <v>2</v>
      </c>
      <c r="E1537" s="4" t="s">
        <v>20</v>
      </c>
      <c r="F1537" s="4">
        <v>2013</v>
      </c>
      <c r="G1537" s="8">
        <v>-0.3</v>
      </c>
      <c r="H1537" s="4" t="s">
        <v>20</v>
      </c>
      <c r="I1537" s="8">
        <v>-0.6</v>
      </c>
      <c r="J1537" s="3">
        <v>11091</v>
      </c>
      <c r="K1537" s="3">
        <v>50802</v>
      </c>
      <c r="L1537" s="17" t="str" cm="1">
        <f t="array" ref="L1537">_xlfn.IFS(MID(K1537,2,2)="01", "서울", MID(K1537,2,2)="02","경기",MID(K1537,2,2)="03","충청",MID(K1537,2,2)="04","충청",MID(K1537,2,2)="05","전라",MID(K1537,2,2)="06","전라",MID(K1537,2,2)="07","경북",MID(K1537,2,2)="08","경남",MID(K1537,2,2)="09","강원",MID(K1537,2,2)="10","제주",TRUE,"국외")</f>
        <v>경남</v>
      </c>
    </row>
    <row r="1538" spans="1:12" ht="17.25" thickBot="1">
      <c r="A1538" s="3" t="s">
        <v>1636</v>
      </c>
      <c r="B1538" s="3" t="s">
        <v>52</v>
      </c>
      <c r="C1538" s="3" t="s">
        <v>83</v>
      </c>
      <c r="D1538" s="4" t="s">
        <v>2</v>
      </c>
      <c r="E1538" s="4" t="s">
        <v>12</v>
      </c>
      <c r="F1538" s="4">
        <v>2013</v>
      </c>
      <c r="G1538" s="8">
        <v>-0.3</v>
      </c>
      <c r="H1538" s="4" t="s">
        <v>12</v>
      </c>
      <c r="I1538" s="8">
        <v>1</v>
      </c>
      <c r="J1538" s="3">
        <v>11141</v>
      </c>
      <c r="K1538" s="3">
        <v>50803</v>
      </c>
      <c r="L1538" s="17" t="str" cm="1">
        <f t="array" ref="L1538">_xlfn.IFS(MID(K1538,2,2)="01", "서울", MID(K1538,2,2)="02","경기",MID(K1538,2,2)="03","충청",MID(K1538,2,2)="04","충청",MID(K1538,2,2)="05","전라",MID(K1538,2,2)="06","전라",MID(K1538,2,2)="07","경북",MID(K1538,2,2)="08","경남",MID(K1538,2,2)="09","강원",MID(K1538,2,2)="10","제주",TRUE,"국외")</f>
        <v>경남</v>
      </c>
    </row>
    <row r="1539" spans="1:12" ht="17.25" thickBot="1">
      <c r="A1539" s="3" t="s">
        <v>1637</v>
      </c>
      <c r="B1539" s="3" t="s">
        <v>22</v>
      </c>
      <c r="C1539" s="3"/>
      <c r="D1539" s="4" t="s">
        <v>2</v>
      </c>
      <c r="E1539" s="4" t="s">
        <v>906</v>
      </c>
      <c r="F1539" s="4">
        <v>2015</v>
      </c>
      <c r="G1539" s="9"/>
      <c r="H1539" s="4" t="s">
        <v>18</v>
      </c>
      <c r="I1539" s="8">
        <v>-0.2</v>
      </c>
      <c r="J1539" s="3">
        <v>11227</v>
      </c>
      <c r="K1539" s="3">
        <v>50209</v>
      </c>
      <c r="L1539" s="17" t="str" cm="1">
        <f t="array" ref="L1539">_xlfn.IFS(MID(K1539,2,2)="01", "서울", MID(K1539,2,2)="02","경기",MID(K1539,2,2)="03","충청",MID(K1539,2,2)="04","충청",MID(K1539,2,2)="05","전라",MID(K1539,2,2)="06","전라",MID(K1539,2,2)="07","경북",MID(K1539,2,2)="08","경남",MID(K1539,2,2)="09","강원",MID(K1539,2,2)="10","제주",TRUE,"국외")</f>
        <v>경기</v>
      </c>
    </row>
    <row r="1540" spans="1:12" ht="17.25" thickBot="1">
      <c r="A1540" s="3" t="s">
        <v>1638</v>
      </c>
      <c r="B1540" s="3" t="s">
        <v>1084</v>
      </c>
      <c r="C1540" s="3"/>
      <c r="D1540" s="4" t="s">
        <v>2</v>
      </c>
      <c r="E1540" s="4" t="s">
        <v>3</v>
      </c>
      <c r="F1540" s="4">
        <v>2018</v>
      </c>
      <c r="G1540" s="9"/>
      <c r="H1540" s="4" t="s">
        <v>3</v>
      </c>
      <c r="I1540" s="8">
        <v>-0.7</v>
      </c>
      <c r="J1540" s="3">
        <v>11117</v>
      </c>
      <c r="K1540" s="3">
        <v>50808</v>
      </c>
      <c r="L1540" s="17" t="str" cm="1">
        <f t="array" ref="L1540">_xlfn.IFS(MID(K1540,2,2)="01", "서울", MID(K1540,2,2)="02","경기",MID(K1540,2,2)="03","충청",MID(K1540,2,2)="04","충청",MID(K1540,2,2)="05","전라",MID(K1540,2,2)="06","전라",MID(K1540,2,2)="07","경북",MID(K1540,2,2)="08","경남",MID(K1540,2,2)="09","강원",MID(K1540,2,2)="10","제주",TRUE,"국외")</f>
        <v>경남</v>
      </c>
    </row>
    <row r="1541" spans="1:12" ht="17.25" thickBot="1">
      <c r="A1541" s="3" t="s">
        <v>1639</v>
      </c>
      <c r="B1541" s="3" t="s">
        <v>147</v>
      </c>
      <c r="C1541" s="3"/>
      <c r="D1541" s="4" t="s">
        <v>2</v>
      </c>
      <c r="E1541" s="4" t="s">
        <v>23</v>
      </c>
      <c r="F1541" s="4">
        <v>2020</v>
      </c>
      <c r="G1541" s="9"/>
      <c r="H1541" s="4" t="s">
        <v>23</v>
      </c>
      <c r="I1541" s="8">
        <v>0.3</v>
      </c>
      <c r="J1541" s="3">
        <v>13244</v>
      </c>
      <c r="K1541" s="3">
        <v>50208</v>
      </c>
      <c r="L1541" s="17" t="str" cm="1">
        <f t="array" ref="L1541">_xlfn.IFS(MID(K1541,2,2)="01", "서울", MID(K1541,2,2)="02","경기",MID(K1541,2,2)="03","충청",MID(K1541,2,2)="04","충청",MID(K1541,2,2)="05","전라",MID(K1541,2,2)="06","전라",MID(K1541,2,2)="07","경북",MID(K1541,2,2)="08","경남",MID(K1541,2,2)="09","강원",MID(K1541,2,2)="10","제주",TRUE,"국외")</f>
        <v>경기</v>
      </c>
    </row>
    <row r="1542" spans="1:12" ht="17.25" thickBot="1">
      <c r="A1542" s="3" t="s">
        <v>1640</v>
      </c>
      <c r="B1542" s="3" t="s">
        <v>40</v>
      </c>
      <c r="C1542" s="3" t="s">
        <v>122</v>
      </c>
      <c r="D1542" s="4" t="s">
        <v>2</v>
      </c>
      <c r="E1542" s="4" t="s">
        <v>6</v>
      </c>
      <c r="F1542" s="4"/>
      <c r="G1542" s="9"/>
      <c r="H1542" s="4"/>
      <c r="I1542" s="9"/>
      <c r="J1542" s="3">
        <v>11074</v>
      </c>
      <c r="K1542" s="3">
        <v>50108</v>
      </c>
      <c r="L1542" s="17" t="str" cm="1">
        <f t="array" ref="L1542">_xlfn.IFS(MID(K1542,2,2)="01", "서울", MID(K1542,2,2)="02","경기",MID(K1542,2,2)="03","충청",MID(K1542,2,2)="04","충청",MID(K1542,2,2)="05","전라",MID(K1542,2,2)="06","전라",MID(K1542,2,2)="07","경북",MID(K1542,2,2)="08","경남",MID(K1542,2,2)="09","강원",MID(K1542,2,2)="10","제주",TRUE,"국외")</f>
        <v>서울</v>
      </c>
    </row>
    <row r="1543" spans="1:12" ht="17.25" thickBot="1">
      <c r="A1543" s="3" t="s">
        <v>1641</v>
      </c>
      <c r="B1543" s="3" t="s">
        <v>228</v>
      </c>
      <c r="C1543" s="3" t="s">
        <v>549</v>
      </c>
      <c r="D1543" s="4" t="s">
        <v>2</v>
      </c>
      <c r="E1543" s="4" t="s">
        <v>12</v>
      </c>
      <c r="F1543" s="4">
        <v>2013</v>
      </c>
      <c r="G1543" s="8">
        <v>1</v>
      </c>
      <c r="H1543" s="4" t="s">
        <v>12</v>
      </c>
      <c r="I1543" s="8">
        <v>16.8</v>
      </c>
      <c r="J1543" s="3">
        <v>11172</v>
      </c>
      <c r="K1543" s="3">
        <v>50702</v>
      </c>
      <c r="L1543" s="17" t="str" cm="1">
        <f t="array" ref="L1543">_xlfn.IFS(MID(K1543,2,2)="01", "서울", MID(K1543,2,2)="02","경기",MID(K1543,2,2)="03","충청",MID(K1543,2,2)="04","충청",MID(K1543,2,2)="05","전라",MID(K1543,2,2)="06","전라",MID(K1543,2,2)="07","경북",MID(K1543,2,2)="08","경남",MID(K1543,2,2)="09","강원",MID(K1543,2,2)="10","제주",TRUE,"국외")</f>
        <v>경북</v>
      </c>
    </row>
    <row r="1544" spans="1:12" ht="17.25" thickBot="1">
      <c r="A1544" s="3" t="s">
        <v>1642</v>
      </c>
      <c r="B1544" s="3" t="s">
        <v>68</v>
      </c>
      <c r="C1544" s="3"/>
      <c r="D1544" s="4" t="s">
        <v>2</v>
      </c>
      <c r="E1544" s="4" t="s">
        <v>6</v>
      </c>
      <c r="F1544" s="4"/>
      <c r="G1544" s="9"/>
      <c r="H1544" s="4"/>
      <c r="I1544" s="9"/>
      <c r="J1544" s="3">
        <v>11075</v>
      </c>
      <c r="K1544" s="3">
        <v>50101</v>
      </c>
      <c r="L1544" s="17" t="str" cm="1">
        <f t="array" ref="L1544">_xlfn.IFS(MID(K1544,2,2)="01", "서울", MID(K1544,2,2)="02","경기",MID(K1544,2,2)="03","충청",MID(K1544,2,2)="04","충청",MID(K1544,2,2)="05","전라",MID(K1544,2,2)="06","전라",MID(K1544,2,2)="07","경북",MID(K1544,2,2)="08","경남",MID(K1544,2,2)="09","강원",MID(K1544,2,2)="10","제주",TRUE,"국외")</f>
        <v>서울</v>
      </c>
    </row>
    <row r="1545" spans="1:12" ht="17.25" thickBot="1">
      <c r="A1545" s="3" t="s">
        <v>1643</v>
      </c>
      <c r="B1545" s="3" t="s">
        <v>81</v>
      </c>
      <c r="C1545" s="3" t="s">
        <v>133</v>
      </c>
      <c r="D1545" s="4" t="s">
        <v>2</v>
      </c>
      <c r="E1545" s="4" t="s">
        <v>9</v>
      </c>
      <c r="F1545" s="4">
        <v>2013</v>
      </c>
      <c r="G1545" s="8">
        <v>-0.1</v>
      </c>
      <c r="H1545" s="4" t="s">
        <v>9</v>
      </c>
      <c r="I1545" s="8">
        <v>0</v>
      </c>
      <c r="J1545" s="3">
        <v>11083</v>
      </c>
      <c r="K1545" s="3">
        <v>50105</v>
      </c>
      <c r="L1545" s="17" t="str" cm="1">
        <f t="array" ref="L1545">_xlfn.IFS(MID(K1545,2,2)="01", "서울", MID(K1545,2,2)="02","경기",MID(K1545,2,2)="03","충청",MID(K1545,2,2)="04","충청",MID(K1545,2,2)="05","전라",MID(K1545,2,2)="06","전라",MID(K1545,2,2)="07","경북",MID(K1545,2,2)="08","경남",MID(K1545,2,2)="09","강원",MID(K1545,2,2)="10","제주",TRUE,"국외")</f>
        <v>서울</v>
      </c>
    </row>
    <row r="1546" spans="1:12" ht="17.25" thickBot="1">
      <c r="A1546" s="3" t="s">
        <v>1644</v>
      </c>
      <c r="B1546" s="3" t="s">
        <v>96</v>
      </c>
      <c r="C1546" s="3"/>
      <c r="D1546" s="4" t="s">
        <v>2</v>
      </c>
      <c r="E1546" s="4" t="s">
        <v>23</v>
      </c>
      <c r="F1546" s="4"/>
      <c r="G1546" s="9"/>
      <c r="H1546" s="4"/>
      <c r="I1546" s="9"/>
      <c r="J1546" s="3">
        <v>13238</v>
      </c>
      <c r="K1546" s="3">
        <v>50601</v>
      </c>
      <c r="L1546" s="17" t="str" cm="1">
        <f t="array" ref="L1546">_xlfn.IFS(MID(K1546,2,2)="01", "서울", MID(K1546,2,2)="02","경기",MID(K1546,2,2)="03","충청",MID(K1546,2,2)="04","충청",MID(K1546,2,2)="05","전라",MID(K1546,2,2)="06","전라",MID(K1546,2,2)="07","경북",MID(K1546,2,2)="08","경남",MID(K1546,2,2)="09","강원",MID(K1546,2,2)="10","제주",TRUE,"국외")</f>
        <v>전라</v>
      </c>
    </row>
    <row r="1547" spans="1:12" ht="17.25" thickBot="1">
      <c r="A1547" s="3" t="s">
        <v>1645</v>
      </c>
      <c r="B1547" s="3" t="s">
        <v>5</v>
      </c>
      <c r="C1547" s="3" t="s">
        <v>133</v>
      </c>
      <c r="D1547" s="4" t="s">
        <v>2</v>
      </c>
      <c r="E1547" s="4" t="s">
        <v>20</v>
      </c>
      <c r="F1547" s="4"/>
      <c r="G1547" s="9"/>
      <c r="H1547" s="4"/>
      <c r="I1547" s="9"/>
      <c r="J1547" s="3">
        <v>11179</v>
      </c>
      <c r="K1547" s="3">
        <v>50114</v>
      </c>
      <c r="L1547" s="17" t="str" cm="1">
        <f t="array" ref="L1547">_xlfn.IFS(MID(K1547,2,2)="01", "서울", MID(K1547,2,2)="02","경기",MID(K1547,2,2)="03","충청",MID(K1547,2,2)="04","충청",MID(K1547,2,2)="05","전라",MID(K1547,2,2)="06","전라",MID(K1547,2,2)="07","경북",MID(K1547,2,2)="08","경남",MID(K1547,2,2)="09","강원",MID(K1547,2,2)="10","제주",TRUE,"국외")</f>
        <v>서울</v>
      </c>
    </row>
    <row r="1548" spans="1:12" ht="17.25" thickBot="1">
      <c r="A1548" s="3" t="s">
        <v>1646</v>
      </c>
      <c r="B1548" s="3" t="s">
        <v>68</v>
      </c>
      <c r="C1548" s="3" t="s">
        <v>739</v>
      </c>
      <c r="D1548" s="4" t="s">
        <v>2</v>
      </c>
      <c r="E1548" s="4" t="s">
        <v>12</v>
      </c>
      <c r="F1548" s="4"/>
      <c r="G1548" s="9"/>
      <c r="H1548" s="4"/>
      <c r="I1548" s="9"/>
      <c r="J1548" s="3">
        <v>11176</v>
      </c>
      <c r="K1548" s="3">
        <v>50101</v>
      </c>
      <c r="L1548" s="17" t="str" cm="1">
        <f t="array" ref="L1548">_xlfn.IFS(MID(K1548,2,2)="01", "서울", MID(K1548,2,2)="02","경기",MID(K1548,2,2)="03","충청",MID(K1548,2,2)="04","충청",MID(K1548,2,2)="05","전라",MID(K1548,2,2)="06","전라",MID(K1548,2,2)="07","경북",MID(K1548,2,2)="08","경남",MID(K1548,2,2)="09","강원",MID(K1548,2,2)="10","제주",TRUE,"국외")</f>
        <v>서울</v>
      </c>
    </row>
    <row r="1549" spans="1:12" ht="17.25" thickBot="1">
      <c r="A1549" s="3" t="s">
        <v>1647</v>
      </c>
      <c r="B1549" s="3" t="s">
        <v>74</v>
      </c>
      <c r="C1549" s="3" t="s">
        <v>122</v>
      </c>
      <c r="D1549" s="4" t="s">
        <v>2</v>
      </c>
      <c r="E1549" s="4" t="s">
        <v>607</v>
      </c>
      <c r="F1549" s="4">
        <v>2013</v>
      </c>
      <c r="G1549" s="8">
        <v>-0.1</v>
      </c>
      <c r="H1549" s="4" t="s">
        <v>607</v>
      </c>
      <c r="I1549" s="8">
        <v>-0.1</v>
      </c>
      <c r="J1549" s="3">
        <v>13184</v>
      </c>
      <c r="K1549" s="3">
        <v>50102</v>
      </c>
      <c r="L1549" s="17" t="str" cm="1">
        <f t="array" ref="L1549">_xlfn.IFS(MID(K1549,2,2)="01", "서울", MID(K1549,2,2)="02","경기",MID(K1549,2,2)="03","충청",MID(K1549,2,2)="04","충청",MID(K1549,2,2)="05","전라",MID(K1549,2,2)="06","전라",MID(K1549,2,2)="07","경북",MID(K1549,2,2)="08","경남",MID(K1549,2,2)="09","강원",MID(K1549,2,2)="10","제주",TRUE,"국외")</f>
        <v>서울</v>
      </c>
    </row>
    <row r="1550" spans="1:12" ht="17.25" thickBot="1">
      <c r="A1550" s="3" t="s">
        <v>1648</v>
      </c>
      <c r="B1550" s="3" t="s">
        <v>93</v>
      </c>
      <c r="C1550" s="3"/>
      <c r="D1550" s="4" t="s">
        <v>2</v>
      </c>
      <c r="E1550" s="4" t="s">
        <v>9</v>
      </c>
      <c r="F1550" s="4">
        <v>2019</v>
      </c>
      <c r="G1550" s="9"/>
      <c r="H1550" s="4" t="s">
        <v>9</v>
      </c>
      <c r="I1550" s="8">
        <v>0</v>
      </c>
      <c r="J1550" s="3">
        <v>13281</v>
      </c>
      <c r="K1550" s="3">
        <v>50805</v>
      </c>
      <c r="L1550" s="17" t="str" cm="1">
        <f t="array" ref="L1550">_xlfn.IFS(MID(K1550,2,2)="01", "서울", MID(K1550,2,2)="02","경기",MID(K1550,2,2)="03","충청",MID(K1550,2,2)="04","충청",MID(K1550,2,2)="05","전라",MID(K1550,2,2)="06","전라",MID(K1550,2,2)="07","경북",MID(K1550,2,2)="08","경남",MID(K1550,2,2)="09","강원",MID(K1550,2,2)="10","제주",TRUE,"국외")</f>
        <v>경남</v>
      </c>
    </row>
    <row r="1551" spans="1:12" ht="17.25" thickBot="1">
      <c r="A1551" s="3" t="s">
        <v>1649</v>
      </c>
      <c r="B1551" s="3" t="s">
        <v>107</v>
      </c>
      <c r="C1551" s="3" t="s">
        <v>45</v>
      </c>
      <c r="D1551" s="4" t="s">
        <v>2</v>
      </c>
      <c r="E1551" s="4" t="s">
        <v>6</v>
      </c>
      <c r="F1551" s="4"/>
      <c r="G1551" s="9"/>
      <c r="H1551" s="4"/>
      <c r="I1551" s="9"/>
      <c r="J1551" s="3">
        <v>11076</v>
      </c>
      <c r="K1551" s="3">
        <v>50602</v>
      </c>
      <c r="L1551" s="17" t="str" cm="1">
        <f t="array" ref="L1551">_xlfn.IFS(MID(K1551,2,2)="01", "서울", MID(K1551,2,2)="02","경기",MID(K1551,2,2)="03","충청",MID(K1551,2,2)="04","충청",MID(K1551,2,2)="05","전라",MID(K1551,2,2)="06","전라",MID(K1551,2,2)="07","경북",MID(K1551,2,2)="08","경남",MID(K1551,2,2)="09","강원",MID(K1551,2,2)="10","제주",TRUE,"국외")</f>
        <v>전라</v>
      </c>
    </row>
    <row r="1552" spans="1:12" ht="17.25" thickBot="1">
      <c r="A1552" s="3" t="s">
        <v>334</v>
      </c>
      <c r="B1552" s="3" t="s">
        <v>34</v>
      </c>
      <c r="C1552" s="3" t="s">
        <v>538</v>
      </c>
      <c r="D1552" s="4" t="s">
        <v>1407</v>
      </c>
      <c r="E1552" s="4" t="s">
        <v>12</v>
      </c>
      <c r="F1552" s="4">
        <v>2013</v>
      </c>
      <c r="G1552" s="8">
        <v>0.2</v>
      </c>
      <c r="H1552" s="4" t="s">
        <v>9</v>
      </c>
      <c r="I1552" s="8">
        <v>0.1</v>
      </c>
      <c r="J1552" s="3">
        <v>11154</v>
      </c>
      <c r="K1552" s="3">
        <v>50701</v>
      </c>
      <c r="L1552" s="17" t="str" cm="1">
        <f t="array" ref="L1552">_xlfn.IFS(MID(K1552,2,2)="01", "서울", MID(K1552,2,2)="02","경기",MID(K1552,2,2)="03","충청",MID(K1552,2,2)="04","충청",MID(K1552,2,2)="05","전라",MID(K1552,2,2)="06","전라",MID(K1552,2,2)="07","경북",MID(K1552,2,2)="08","경남",MID(K1552,2,2)="09","강원",MID(K1552,2,2)="10","제주",TRUE,"국외")</f>
        <v>경북</v>
      </c>
    </row>
    <row r="1553" spans="1:12" ht="17.25" thickBot="1">
      <c r="A1553" s="3" t="s">
        <v>1650</v>
      </c>
      <c r="B1553" s="3" t="s">
        <v>25</v>
      </c>
      <c r="C1553" s="3"/>
      <c r="D1553" s="4" t="s">
        <v>1407</v>
      </c>
      <c r="E1553" s="4" t="s">
        <v>12</v>
      </c>
      <c r="F1553" s="4">
        <v>2014</v>
      </c>
      <c r="G1553" s="9"/>
      <c r="H1553" s="4" t="s">
        <v>3</v>
      </c>
      <c r="I1553" s="8">
        <v>-0.4</v>
      </c>
      <c r="J1553" s="3">
        <v>11170</v>
      </c>
      <c r="K1553" s="3">
        <v>50403</v>
      </c>
      <c r="L1553" s="17" t="str" cm="1">
        <f t="array" ref="L1553">_xlfn.IFS(MID(K1553,2,2)="01", "서울", MID(K1553,2,2)="02","경기",MID(K1553,2,2)="03","충청",MID(K1553,2,2)="04","충청",MID(K1553,2,2)="05","전라",MID(K1553,2,2)="06","전라",MID(K1553,2,2)="07","경북",MID(K1553,2,2)="08","경남",MID(K1553,2,2)="09","강원",MID(K1553,2,2)="10","제주",TRUE,"국외")</f>
        <v>충청</v>
      </c>
    </row>
    <row r="1554" spans="1:12" ht="17.25" thickBot="1">
      <c r="A1554" s="3" t="s">
        <v>1651</v>
      </c>
      <c r="B1554" s="3" t="s">
        <v>25</v>
      </c>
      <c r="C1554" s="3" t="s">
        <v>221</v>
      </c>
      <c r="D1554" s="4" t="s">
        <v>1407</v>
      </c>
      <c r="E1554" s="4" t="s">
        <v>12</v>
      </c>
      <c r="F1554" s="4">
        <v>2013</v>
      </c>
      <c r="G1554" s="8">
        <v>0</v>
      </c>
      <c r="H1554" s="4" t="s">
        <v>12</v>
      </c>
      <c r="I1554" s="8">
        <v>-0.3</v>
      </c>
      <c r="J1554" s="3">
        <v>11155</v>
      </c>
      <c r="K1554" s="3">
        <v>50403</v>
      </c>
      <c r="L1554" s="17" t="str" cm="1">
        <f t="array" ref="L1554">_xlfn.IFS(MID(K1554,2,2)="01", "서울", MID(K1554,2,2)="02","경기",MID(K1554,2,2)="03","충청",MID(K1554,2,2)="04","충청",MID(K1554,2,2)="05","전라",MID(K1554,2,2)="06","전라",MID(K1554,2,2)="07","경북",MID(K1554,2,2)="08","경남",MID(K1554,2,2)="09","강원",MID(K1554,2,2)="10","제주",TRUE,"국외")</f>
        <v>충청</v>
      </c>
    </row>
    <row r="1555" spans="1:12" ht="17.25" thickBot="1">
      <c r="A1555" s="3" t="s">
        <v>1652</v>
      </c>
      <c r="B1555" s="3" t="s">
        <v>50</v>
      </c>
      <c r="C1555" s="3" t="s">
        <v>549</v>
      </c>
      <c r="D1555" s="4" t="s">
        <v>1407</v>
      </c>
      <c r="E1555" s="4" t="s">
        <v>12</v>
      </c>
      <c r="F1555" s="4">
        <v>2013</v>
      </c>
      <c r="G1555" s="8">
        <v>0</v>
      </c>
      <c r="H1555" s="4" t="s">
        <v>12</v>
      </c>
      <c r="I1555" s="8">
        <v>0</v>
      </c>
      <c r="J1555" s="3">
        <v>11175</v>
      </c>
      <c r="K1555" s="3">
        <v>50301</v>
      </c>
      <c r="L1555" s="17" t="str" cm="1">
        <f t="array" ref="L1555">_xlfn.IFS(MID(K1555,2,2)="01", "서울", MID(K1555,2,2)="02","경기",MID(K1555,2,2)="03","충청",MID(K1555,2,2)="04","충청",MID(K1555,2,2)="05","전라",MID(K1555,2,2)="06","전라",MID(K1555,2,2)="07","경북",MID(K1555,2,2)="08","경남",MID(K1555,2,2)="09","강원",MID(K1555,2,2)="10","제주",TRUE,"국외")</f>
        <v>충청</v>
      </c>
    </row>
    <row r="1556" spans="1:12" ht="17.25" thickBot="1">
      <c r="A1556" s="3" t="s">
        <v>1653</v>
      </c>
      <c r="B1556" s="3"/>
      <c r="C1556" s="3"/>
      <c r="D1556" s="4" t="s">
        <v>181</v>
      </c>
      <c r="E1556" s="4" t="s">
        <v>6</v>
      </c>
      <c r="F1556" s="4">
        <v>2013</v>
      </c>
      <c r="G1556" s="8">
        <v>1.1000000000000001</v>
      </c>
      <c r="H1556" s="4" t="s">
        <v>6</v>
      </c>
      <c r="I1556" s="8">
        <v>1.1000000000000001</v>
      </c>
      <c r="J1556" s="3">
        <v>11184</v>
      </c>
      <c r="K1556" s="3"/>
      <c r="L1556" s="17" t="str" cm="1">
        <f t="array" ref="L1556">_xlfn.IFS(MID(K1556,2,2)="01", "서울", MID(K1556,2,2)="02","경기",MID(K1556,2,2)="03","충청",MID(K1556,2,2)="04","충청",MID(K1556,2,2)="05","전라",MID(K1556,2,2)="06","전라",MID(K1556,2,2)="07","경북",MID(K1556,2,2)="08","경남",MID(K1556,2,2)="09","강원",MID(K1556,2,2)="10","제주",TRUE,"국외")</f>
        <v>국외</v>
      </c>
    </row>
    <row r="1557" spans="1:12" ht="17.25" thickBot="1">
      <c r="A1557" s="3" t="s">
        <v>1654</v>
      </c>
      <c r="B1557" s="3"/>
      <c r="C1557" s="3"/>
      <c r="D1557" s="4" t="s">
        <v>181</v>
      </c>
      <c r="E1557" s="4" t="s">
        <v>12</v>
      </c>
      <c r="F1557" s="4">
        <v>2013</v>
      </c>
      <c r="G1557" s="8">
        <v>3.5</v>
      </c>
      <c r="H1557" s="4" t="s">
        <v>12</v>
      </c>
      <c r="I1557" s="8">
        <v>25.6</v>
      </c>
      <c r="J1557" s="3">
        <v>11156</v>
      </c>
      <c r="K1557" s="3"/>
      <c r="L1557" s="17" t="str" cm="1">
        <f t="array" ref="L1557">_xlfn.IFS(MID(K1557,2,2)="01", "서울", MID(K1557,2,2)="02","경기",MID(K1557,2,2)="03","충청",MID(K1557,2,2)="04","충청",MID(K1557,2,2)="05","전라",MID(K1557,2,2)="06","전라",MID(K1557,2,2)="07","경북",MID(K1557,2,2)="08","경남",MID(K1557,2,2)="09","강원",MID(K1557,2,2)="10","제주",TRUE,"국외")</f>
        <v>국외</v>
      </c>
    </row>
    <row r="1558" spans="1:12" ht="17.25" thickBot="1">
      <c r="A1558" s="3" t="s">
        <v>1655</v>
      </c>
      <c r="B1558" s="3"/>
      <c r="C1558" s="3"/>
      <c r="D1558" s="4" t="s">
        <v>181</v>
      </c>
      <c r="E1558" s="4" t="s">
        <v>12</v>
      </c>
      <c r="F1558" s="4">
        <v>2013</v>
      </c>
      <c r="G1558" s="8">
        <v>1.1000000000000001</v>
      </c>
      <c r="H1558" s="4" t="s">
        <v>12</v>
      </c>
      <c r="I1558" s="8">
        <v>1.1000000000000001</v>
      </c>
      <c r="J1558" s="3">
        <v>11158</v>
      </c>
      <c r="K1558" s="3"/>
      <c r="L1558" s="17" t="str" cm="1">
        <f t="array" ref="L1558">_xlfn.IFS(MID(K1558,2,2)="01", "서울", MID(K1558,2,2)="02","경기",MID(K1558,2,2)="03","충청",MID(K1558,2,2)="04","충청",MID(K1558,2,2)="05","전라",MID(K1558,2,2)="06","전라",MID(K1558,2,2)="07","경북",MID(K1558,2,2)="08","경남",MID(K1558,2,2)="09","강원",MID(K1558,2,2)="10","제주",TRUE,"국외")</f>
        <v>국외</v>
      </c>
    </row>
    <row r="1559" spans="1:12" ht="17.25" thickBot="1">
      <c r="A1559" s="3" t="s">
        <v>1656</v>
      </c>
      <c r="B1559" s="3"/>
      <c r="C1559" s="3"/>
      <c r="D1559" s="4" t="s">
        <v>181</v>
      </c>
      <c r="E1559" s="4" t="s">
        <v>12</v>
      </c>
      <c r="F1559" s="4">
        <v>2013</v>
      </c>
      <c r="G1559" s="8">
        <v>6.8</v>
      </c>
      <c r="H1559" s="4" t="s">
        <v>12</v>
      </c>
      <c r="I1559" s="8">
        <v>10.199999999999999</v>
      </c>
      <c r="J1559" s="3">
        <v>11157</v>
      </c>
      <c r="K1559" s="3"/>
      <c r="L1559" s="17" t="str" cm="1">
        <f t="array" ref="L1559">_xlfn.IFS(MID(K1559,2,2)="01", "서울", MID(K1559,2,2)="02","경기",MID(K1559,2,2)="03","충청",MID(K1559,2,2)="04","충청",MID(K1559,2,2)="05","전라",MID(K1559,2,2)="06","전라",MID(K1559,2,2)="07","경북",MID(K1559,2,2)="08","경남",MID(K1559,2,2)="09","강원",MID(K1559,2,2)="10","제주",TRUE,"국외")</f>
        <v>국외</v>
      </c>
    </row>
    <row r="1560" spans="1:12" ht="17.25" thickBot="1">
      <c r="A1560" s="3" t="s">
        <v>1657</v>
      </c>
      <c r="B1560" s="3"/>
      <c r="C1560" s="3"/>
      <c r="D1560" s="4" t="s">
        <v>181</v>
      </c>
      <c r="E1560" s="4" t="s">
        <v>607</v>
      </c>
      <c r="F1560" s="4">
        <v>2013</v>
      </c>
      <c r="G1560" s="8">
        <v>6.4</v>
      </c>
      <c r="H1560" s="4" t="s">
        <v>607</v>
      </c>
      <c r="I1560" s="8">
        <v>8.1</v>
      </c>
      <c r="J1560" s="3">
        <v>11080</v>
      </c>
      <c r="K1560" s="3"/>
      <c r="L1560" s="17" t="str" cm="1">
        <f t="array" ref="L1560">_xlfn.IFS(MID(K1560,2,2)="01", "서울", MID(K1560,2,2)="02","경기",MID(K1560,2,2)="03","충청",MID(K1560,2,2)="04","충청",MID(K1560,2,2)="05","전라",MID(K1560,2,2)="06","전라",MID(K1560,2,2)="07","경북",MID(K1560,2,2)="08","경남",MID(K1560,2,2)="09","강원",MID(K1560,2,2)="10","제주",TRUE,"국외")</f>
        <v>국외</v>
      </c>
    </row>
    <row r="1561" spans="1:12" ht="17.25" thickBot="1">
      <c r="A1561" s="3" t="s">
        <v>1658</v>
      </c>
      <c r="B1561" s="3"/>
      <c r="C1561" s="3"/>
      <c r="D1561" s="4" t="s">
        <v>181</v>
      </c>
      <c r="E1561" s="4" t="s">
        <v>607</v>
      </c>
      <c r="F1561" s="4">
        <v>2013</v>
      </c>
      <c r="G1561" s="8">
        <v>2.2999999999999998</v>
      </c>
      <c r="H1561" s="4" t="s">
        <v>607</v>
      </c>
      <c r="I1561" s="8">
        <v>2.7</v>
      </c>
      <c r="J1561" s="3">
        <v>11081</v>
      </c>
      <c r="K1561" s="3"/>
      <c r="L1561" s="17" t="str" cm="1">
        <f t="array" ref="L1561">_xlfn.IFS(MID(K1561,2,2)="01", "서울", MID(K1561,2,2)="02","경기",MID(K1561,2,2)="03","충청",MID(K1561,2,2)="04","충청",MID(K1561,2,2)="05","전라",MID(K1561,2,2)="06","전라",MID(K1561,2,2)="07","경북",MID(K1561,2,2)="08","경남",MID(K1561,2,2)="09","강원",MID(K1561,2,2)="10","제주",TRUE,"국외")</f>
        <v>국외</v>
      </c>
    </row>
    <row r="1562" spans="1:12" ht="17.25" thickBot="1">
      <c r="A1562" s="3" t="s">
        <v>1659</v>
      </c>
      <c r="B1562" s="3"/>
      <c r="C1562" s="3"/>
      <c r="D1562" s="4" t="s">
        <v>181</v>
      </c>
      <c r="E1562" s="4" t="s">
        <v>26</v>
      </c>
      <c r="F1562" s="4">
        <v>2013</v>
      </c>
      <c r="G1562" s="8">
        <v>0.1</v>
      </c>
      <c r="H1562" s="4" t="s">
        <v>26</v>
      </c>
      <c r="I1562" s="8">
        <v>0.1</v>
      </c>
      <c r="J1562" s="3">
        <v>11181</v>
      </c>
      <c r="K1562" s="3"/>
      <c r="L1562" s="17" t="str" cm="1">
        <f t="array" ref="L1562">_xlfn.IFS(MID(K1562,2,2)="01", "서울", MID(K1562,2,2)="02","경기",MID(K1562,2,2)="03","충청",MID(K1562,2,2)="04","충청",MID(K1562,2,2)="05","전라",MID(K1562,2,2)="06","전라",MID(K1562,2,2)="07","경북",MID(K1562,2,2)="08","경남",MID(K1562,2,2)="09","강원",MID(K1562,2,2)="10","제주",TRUE,"국외")</f>
        <v>국외</v>
      </c>
    </row>
    <row r="1563" spans="1:12" ht="17.25" thickBot="1">
      <c r="A1563" s="3" t="s">
        <v>1660</v>
      </c>
      <c r="B1563" s="3"/>
      <c r="C1563" s="3"/>
      <c r="D1563" s="4" t="s">
        <v>181</v>
      </c>
      <c r="E1563" s="4" t="s">
        <v>26</v>
      </c>
      <c r="F1563" s="4">
        <v>2013</v>
      </c>
      <c r="G1563" s="8">
        <v>-0.3</v>
      </c>
      <c r="H1563" s="4" t="s">
        <v>26</v>
      </c>
      <c r="I1563" s="8">
        <v>-0.3</v>
      </c>
      <c r="J1563" s="3">
        <v>11177</v>
      </c>
      <c r="K1563" s="3"/>
      <c r="L1563" s="17" t="str" cm="1">
        <f t="array" ref="L1563">_xlfn.IFS(MID(K1563,2,2)="01", "서울", MID(K1563,2,2)="02","경기",MID(K1563,2,2)="03","충청",MID(K1563,2,2)="04","충청",MID(K1563,2,2)="05","전라",MID(K1563,2,2)="06","전라",MID(K1563,2,2)="07","경북",MID(K1563,2,2)="08","경남",MID(K1563,2,2)="09","강원",MID(K1563,2,2)="10","제주",TRUE,"국외")</f>
        <v>국외</v>
      </c>
    </row>
    <row r="1564" spans="1:12" ht="17.25" thickBot="1">
      <c r="A1564" s="3" t="s">
        <v>1661</v>
      </c>
      <c r="B1564" s="3"/>
      <c r="C1564" s="3"/>
      <c r="D1564" s="4" t="s">
        <v>181</v>
      </c>
      <c r="E1564" s="4" t="s">
        <v>23</v>
      </c>
      <c r="F1564" s="4">
        <v>2013</v>
      </c>
      <c r="G1564" s="8">
        <v>1</v>
      </c>
      <c r="H1564" s="4" t="s">
        <v>23</v>
      </c>
      <c r="I1564" s="8">
        <v>1</v>
      </c>
      <c r="J1564" s="3">
        <v>11104</v>
      </c>
      <c r="K1564" s="3"/>
      <c r="L1564" s="17" t="str" cm="1">
        <f t="array" ref="L1564">_xlfn.IFS(MID(K1564,2,2)="01", "서울", MID(K1564,2,2)="02","경기",MID(K1564,2,2)="03","충청",MID(K1564,2,2)="04","충청",MID(K1564,2,2)="05","전라",MID(K1564,2,2)="06","전라",MID(K1564,2,2)="07","경북",MID(K1564,2,2)="08","경남",MID(K1564,2,2)="09","강원",MID(K1564,2,2)="10","제주",TRUE,"국외")</f>
        <v>국외</v>
      </c>
    </row>
    <row r="1565" spans="1:12" ht="17.25" thickBot="1">
      <c r="A1565" s="3" t="s">
        <v>1662</v>
      </c>
      <c r="B1565" s="3"/>
      <c r="C1565" s="3"/>
      <c r="D1565" s="4" t="s">
        <v>181</v>
      </c>
      <c r="E1565" s="4" t="s">
        <v>23</v>
      </c>
      <c r="F1565" s="4">
        <v>2013</v>
      </c>
      <c r="G1565" s="8">
        <v>3</v>
      </c>
      <c r="H1565" s="4" t="s">
        <v>23</v>
      </c>
      <c r="I1565" s="8">
        <v>9.4</v>
      </c>
      <c r="J1565" s="3">
        <v>11103</v>
      </c>
      <c r="K1565" s="3"/>
      <c r="L1565" s="17" t="str" cm="1">
        <f t="array" ref="L1565">_xlfn.IFS(MID(K1565,2,2)="01", "서울", MID(K1565,2,2)="02","경기",MID(K1565,2,2)="03","충청",MID(K1565,2,2)="04","충청",MID(K1565,2,2)="05","전라",MID(K1565,2,2)="06","전라",MID(K1565,2,2)="07","경북",MID(K1565,2,2)="08","경남",MID(K1565,2,2)="09","강원",MID(K1565,2,2)="10","제주",TRUE,"국외")</f>
        <v>국외</v>
      </c>
    </row>
    <row r="1566" spans="1:12" ht="17.25" thickBot="1">
      <c r="A1566" s="3" t="s">
        <v>1663</v>
      </c>
      <c r="B1566" s="3"/>
      <c r="C1566" s="3"/>
      <c r="D1566" s="4" t="s">
        <v>181</v>
      </c>
      <c r="E1566" s="4" t="s">
        <v>23</v>
      </c>
      <c r="F1566" s="4">
        <v>2013</v>
      </c>
      <c r="G1566" s="8">
        <v>-0.1</v>
      </c>
      <c r="H1566" s="4" t="s">
        <v>23</v>
      </c>
      <c r="I1566" s="8">
        <v>-0.1</v>
      </c>
      <c r="J1566" s="3">
        <v>11183</v>
      </c>
      <c r="K1566" s="3"/>
      <c r="L1566" s="17" t="str" cm="1">
        <f t="array" ref="L1566">_xlfn.IFS(MID(K1566,2,2)="01", "서울", MID(K1566,2,2)="02","경기",MID(K1566,2,2)="03","충청",MID(K1566,2,2)="04","충청",MID(K1566,2,2)="05","전라",MID(K1566,2,2)="06","전라",MID(K1566,2,2)="07","경북",MID(K1566,2,2)="08","경남",MID(K1566,2,2)="09","강원",MID(K1566,2,2)="10","제주",TRUE,"국외")</f>
        <v>국외</v>
      </c>
    </row>
    <row r="1567" spans="1:12" ht="17.25" thickBot="1">
      <c r="A1567" s="3" t="s">
        <v>1664</v>
      </c>
      <c r="B1567" s="3"/>
      <c r="C1567" s="3"/>
      <c r="D1567" s="4" t="s">
        <v>181</v>
      </c>
      <c r="E1567" s="4" t="s">
        <v>3</v>
      </c>
      <c r="F1567" s="4">
        <v>2013</v>
      </c>
      <c r="G1567" s="8">
        <v>1.5</v>
      </c>
      <c r="H1567" s="4" t="s">
        <v>3</v>
      </c>
      <c r="I1567" s="8">
        <v>1.5</v>
      </c>
      <c r="J1567" s="3">
        <v>11113</v>
      </c>
      <c r="K1567" s="3"/>
      <c r="L1567" s="17" t="str" cm="1">
        <f t="array" ref="L1567">_xlfn.IFS(MID(K1567,2,2)="01", "서울", MID(K1567,2,2)="02","경기",MID(K1567,2,2)="03","충청",MID(K1567,2,2)="04","충청",MID(K1567,2,2)="05","전라",MID(K1567,2,2)="06","전라",MID(K1567,2,2)="07","경북",MID(K1567,2,2)="08","경남",MID(K1567,2,2)="09","강원",MID(K1567,2,2)="10","제주",TRUE,"국외")</f>
        <v>국외</v>
      </c>
    </row>
    <row r="1568" spans="1:12" ht="17.25" thickBot="1">
      <c r="A1568" s="3" t="s">
        <v>1665</v>
      </c>
      <c r="B1568" s="3" t="s">
        <v>81</v>
      </c>
      <c r="C1568" s="3" t="s">
        <v>752</v>
      </c>
      <c r="D1568" s="4" t="s">
        <v>205</v>
      </c>
      <c r="E1568" s="4" t="s">
        <v>6</v>
      </c>
      <c r="F1568" s="4">
        <v>2015</v>
      </c>
      <c r="G1568" s="9"/>
      <c r="H1568" s="4" t="s">
        <v>6</v>
      </c>
      <c r="I1568" s="8">
        <v>0</v>
      </c>
      <c r="J1568" s="3">
        <v>11307</v>
      </c>
      <c r="K1568" s="3">
        <v>50105</v>
      </c>
      <c r="L1568" s="17" t="str" cm="1">
        <f t="array" ref="L1568">_xlfn.IFS(MID(K1568,2,2)="01", "서울", MID(K1568,2,2)="02","경기",MID(K1568,2,2)="03","충청",MID(K1568,2,2)="04","충청",MID(K1568,2,2)="05","전라",MID(K1568,2,2)="06","전라",MID(K1568,2,2)="07","경북",MID(K1568,2,2)="08","경남",MID(K1568,2,2)="09","강원",MID(K1568,2,2)="10","제주",TRUE,"국외")</f>
        <v>서울</v>
      </c>
    </row>
    <row r="1569" spans="1:12" ht="17.25" thickBot="1">
      <c r="A1569" s="3" t="s">
        <v>1666</v>
      </c>
      <c r="B1569" s="3" t="s">
        <v>42</v>
      </c>
      <c r="C1569" s="3" t="s">
        <v>156</v>
      </c>
      <c r="D1569" s="4" t="s">
        <v>205</v>
      </c>
      <c r="E1569" s="4" t="s">
        <v>6</v>
      </c>
      <c r="F1569" s="4">
        <v>2013</v>
      </c>
      <c r="G1569" s="8">
        <v>0.1</v>
      </c>
      <c r="H1569" s="4" t="s">
        <v>6</v>
      </c>
      <c r="I1569" s="8">
        <v>-0.1</v>
      </c>
      <c r="J1569" s="3">
        <v>11192</v>
      </c>
      <c r="K1569" s="3">
        <v>50502</v>
      </c>
      <c r="L1569" s="17" t="str" cm="1">
        <f t="array" ref="L1569">_xlfn.IFS(MID(K1569,2,2)="01", "서울", MID(K1569,2,2)="02","경기",MID(K1569,2,2)="03","충청",MID(K1569,2,2)="04","충청",MID(K1569,2,2)="05","전라",MID(K1569,2,2)="06","전라",MID(K1569,2,2)="07","경북",MID(K1569,2,2)="08","경남",MID(K1569,2,2)="09","강원",MID(K1569,2,2)="10","제주",TRUE,"국외")</f>
        <v>전라</v>
      </c>
    </row>
    <row r="1570" spans="1:12" ht="17.25" thickBot="1">
      <c r="A1570" s="3" t="s">
        <v>1194</v>
      </c>
      <c r="B1570" s="3" t="s">
        <v>241</v>
      </c>
      <c r="C1570" s="3" t="s">
        <v>133</v>
      </c>
      <c r="D1570" s="4" t="s">
        <v>205</v>
      </c>
      <c r="E1570" s="4" t="s">
        <v>6</v>
      </c>
      <c r="F1570" s="4">
        <v>2013</v>
      </c>
      <c r="G1570" s="8">
        <v>-0.1</v>
      </c>
      <c r="H1570" s="4" t="s">
        <v>6</v>
      </c>
      <c r="I1570" s="8">
        <v>-0.1</v>
      </c>
      <c r="J1570" s="3">
        <v>11191</v>
      </c>
      <c r="K1570" s="3">
        <v>50202</v>
      </c>
      <c r="L1570" s="17" t="str" cm="1">
        <f t="array" ref="L1570">_xlfn.IFS(MID(K1570,2,2)="01", "서울", MID(K1570,2,2)="02","경기",MID(K1570,2,2)="03","충청",MID(K1570,2,2)="04","충청",MID(K1570,2,2)="05","전라",MID(K1570,2,2)="06","전라",MID(K1570,2,2)="07","경북",MID(K1570,2,2)="08","경남",MID(K1570,2,2)="09","강원",MID(K1570,2,2)="10","제주",TRUE,"국외")</f>
        <v>경기</v>
      </c>
    </row>
    <row r="1571" spans="1:12" ht="17.25" thickBot="1">
      <c r="A1571" s="3" t="s">
        <v>1667</v>
      </c>
      <c r="B1571" s="3" t="s">
        <v>464</v>
      </c>
      <c r="C1571" s="3" t="s">
        <v>90</v>
      </c>
      <c r="D1571" s="4" t="s">
        <v>205</v>
      </c>
      <c r="E1571" s="4" t="s">
        <v>6</v>
      </c>
      <c r="F1571" s="4">
        <v>2013</v>
      </c>
      <c r="G1571" s="8">
        <v>0</v>
      </c>
      <c r="H1571" s="4" t="s">
        <v>6</v>
      </c>
      <c r="I1571" s="8">
        <v>0</v>
      </c>
      <c r="J1571" s="3">
        <v>11186</v>
      </c>
      <c r="K1571" s="3">
        <v>50706</v>
      </c>
      <c r="L1571" s="17" t="str" cm="1">
        <f t="array" ref="L1571">_xlfn.IFS(MID(K1571,2,2)="01", "서울", MID(K1571,2,2)="02","경기",MID(K1571,2,2)="03","충청",MID(K1571,2,2)="04","충청",MID(K1571,2,2)="05","전라",MID(K1571,2,2)="06","전라",MID(K1571,2,2)="07","경북",MID(K1571,2,2)="08","경남",MID(K1571,2,2)="09","강원",MID(K1571,2,2)="10","제주",TRUE,"국외")</f>
        <v>경북</v>
      </c>
    </row>
    <row r="1572" spans="1:12" ht="17.25" thickBot="1">
      <c r="A1572" s="3" t="s">
        <v>1668</v>
      </c>
      <c r="B1572" s="3" t="s">
        <v>112</v>
      </c>
      <c r="C1572" s="3" t="s">
        <v>172</v>
      </c>
      <c r="D1572" s="4" t="s">
        <v>205</v>
      </c>
      <c r="E1572" s="4" t="s">
        <v>20</v>
      </c>
      <c r="F1572" s="4">
        <v>2017</v>
      </c>
      <c r="G1572" s="9"/>
      <c r="H1572" s="4" t="s">
        <v>28</v>
      </c>
      <c r="I1572" s="8">
        <v>-0.2</v>
      </c>
      <c r="J1572" s="3">
        <v>12993</v>
      </c>
      <c r="K1572" s="3">
        <v>50113</v>
      </c>
      <c r="L1572" s="17" t="str" cm="1">
        <f t="array" ref="L1572">_xlfn.IFS(MID(K1572,2,2)="01", "서울", MID(K1572,2,2)="02","경기",MID(K1572,2,2)="03","충청",MID(K1572,2,2)="04","충청",MID(K1572,2,2)="05","전라",MID(K1572,2,2)="06","전라",MID(K1572,2,2)="07","경북",MID(K1572,2,2)="08","경남",MID(K1572,2,2)="09","강원",MID(K1572,2,2)="10","제주",TRUE,"국외")</f>
        <v>서울</v>
      </c>
    </row>
    <row r="1573" spans="1:12" ht="17.25" thickBot="1">
      <c r="A1573" s="3" t="s">
        <v>1669</v>
      </c>
      <c r="B1573" s="3" t="s">
        <v>1</v>
      </c>
      <c r="C1573" s="3" t="s">
        <v>221</v>
      </c>
      <c r="D1573" s="4" t="s">
        <v>205</v>
      </c>
      <c r="E1573" s="4" t="s">
        <v>20</v>
      </c>
      <c r="F1573" s="4">
        <v>2019</v>
      </c>
      <c r="G1573" s="9"/>
      <c r="H1573" s="4" t="s">
        <v>20</v>
      </c>
      <c r="I1573" s="8">
        <v>-0.2</v>
      </c>
      <c r="J1573" s="3">
        <v>13251</v>
      </c>
      <c r="K1573" s="3">
        <v>50107</v>
      </c>
      <c r="L1573" s="17" t="str" cm="1">
        <f t="array" ref="L1573">_xlfn.IFS(MID(K1573,2,2)="01", "서울", MID(K1573,2,2)="02","경기",MID(K1573,2,2)="03","충청",MID(K1573,2,2)="04","충청",MID(K1573,2,2)="05","전라",MID(K1573,2,2)="06","전라",MID(K1573,2,2)="07","경북",MID(K1573,2,2)="08","경남",MID(K1573,2,2)="09","강원",MID(K1573,2,2)="10","제주",TRUE,"국외")</f>
        <v>서울</v>
      </c>
    </row>
    <row r="1574" spans="1:12" ht="17.25" thickBot="1">
      <c r="A1574" s="3" t="s">
        <v>1670</v>
      </c>
      <c r="B1574" s="3" t="s">
        <v>1033</v>
      </c>
      <c r="C1574" s="3" t="s">
        <v>1671</v>
      </c>
      <c r="D1574" s="4" t="s">
        <v>205</v>
      </c>
      <c r="E1574" s="4" t="s">
        <v>20</v>
      </c>
      <c r="F1574" s="4">
        <v>2014</v>
      </c>
      <c r="G1574" s="9"/>
      <c r="H1574" s="4" t="s">
        <v>20</v>
      </c>
      <c r="I1574" s="8">
        <v>-0.5</v>
      </c>
      <c r="J1574" s="3">
        <v>11290</v>
      </c>
      <c r="K1574" s="3">
        <v>51101</v>
      </c>
      <c r="L1574" s="17" t="str" cm="1">
        <f t="array" ref="L1574">_xlfn.IFS(MID(K1574,2,2)="01", "서울", MID(K1574,2,2)="02","경기",MID(K1574,2,2)="03","충청",MID(K1574,2,2)="04","충청",MID(K1574,2,2)="05","전라",MID(K1574,2,2)="06","전라",MID(K1574,2,2)="07","경북",MID(K1574,2,2)="08","경남",MID(K1574,2,2)="09","강원",MID(K1574,2,2)="10","제주",TRUE,"국외")</f>
        <v>국외</v>
      </c>
    </row>
    <row r="1575" spans="1:12" ht="17.25" thickBot="1">
      <c r="A1575" s="3" t="s">
        <v>1672</v>
      </c>
      <c r="B1575" s="3" t="s">
        <v>11</v>
      </c>
      <c r="C1575" s="3" t="s">
        <v>549</v>
      </c>
      <c r="D1575" s="4" t="s">
        <v>205</v>
      </c>
      <c r="E1575" s="4" t="s">
        <v>12</v>
      </c>
      <c r="F1575" s="4"/>
      <c r="G1575" s="9"/>
      <c r="H1575" s="4"/>
      <c r="I1575" s="9"/>
      <c r="J1575" s="3">
        <v>11251</v>
      </c>
      <c r="K1575" s="3">
        <v>50802</v>
      </c>
      <c r="L1575" s="17" t="str" cm="1">
        <f t="array" ref="L1575">_xlfn.IFS(MID(K1575,2,2)="01", "서울", MID(K1575,2,2)="02","경기",MID(K1575,2,2)="03","충청",MID(K1575,2,2)="04","충청",MID(K1575,2,2)="05","전라",MID(K1575,2,2)="06","전라",MID(K1575,2,2)="07","경북",MID(K1575,2,2)="08","경남",MID(K1575,2,2)="09","강원",MID(K1575,2,2)="10","제주",TRUE,"국외")</f>
        <v>경남</v>
      </c>
    </row>
    <row r="1576" spans="1:12" ht="17.25" thickBot="1">
      <c r="A1576" s="3" t="s">
        <v>1673</v>
      </c>
      <c r="B1576" s="3" t="s">
        <v>32</v>
      </c>
      <c r="C1576" s="3" t="s">
        <v>45</v>
      </c>
      <c r="D1576" s="4" t="s">
        <v>205</v>
      </c>
      <c r="E1576" s="4" t="s">
        <v>12</v>
      </c>
      <c r="F1576" s="4">
        <v>2013</v>
      </c>
      <c r="G1576" s="8">
        <v>-0.2</v>
      </c>
      <c r="H1576" s="4" t="s">
        <v>12</v>
      </c>
      <c r="I1576" s="8">
        <v>1.9</v>
      </c>
      <c r="J1576" s="3">
        <v>11182</v>
      </c>
      <c r="K1576" s="3">
        <v>50111</v>
      </c>
      <c r="L1576" s="17" t="str" cm="1">
        <f t="array" ref="L1576">_xlfn.IFS(MID(K1576,2,2)="01", "서울", MID(K1576,2,2)="02","경기",MID(K1576,2,2)="03","충청",MID(K1576,2,2)="04","충청",MID(K1576,2,2)="05","전라",MID(K1576,2,2)="06","전라",MID(K1576,2,2)="07","경북",MID(K1576,2,2)="08","경남",MID(K1576,2,2)="09","강원",MID(K1576,2,2)="10","제주",TRUE,"국외")</f>
        <v>서울</v>
      </c>
    </row>
    <row r="1577" spans="1:12" ht="17.25" thickBot="1">
      <c r="A1577" s="3" t="s">
        <v>1674</v>
      </c>
      <c r="B1577" s="3" t="s">
        <v>68</v>
      </c>
      <c r="C1577" s="3" t="s">
        <v>208</v>
      </c>
      <c r="D1577" s="4" t="s">
        <v>205</v>
      </c>
      <c r="E1577" s="4" t="s">
        <v>12</v>
      </c>
      <c r="F1577" s="4"/>
      <c r="G1577" s="9"/>
      <c r="H1577" s="4"/>
      <c r="I1577" s="9"/>
      <c r="J1577" s="3">
        <v>12972</v>
      </c>
      <c r="K1577" s="3">
        <v>50101</v>
      </c>
      <c r="L1577" s="17" t="str" cm="1">
        <f t="array" ref="L1577">_xlfn.IFS(MID(K1577,2,2)="01", "서울", MID(K1577,2,2)="02","경기",MID(K1577,2,2)="03","충청",MID(K1577,2,2)="04","충청",MID(K1577,2,2)="05","전라",MID(K1577,2,2)="06","전라",MID(K1577,2,2)="07","경북",MID(K1577,2,2)="08","경남",MID(K1577,2,2)="09","강원",MID(K1577,2,2)="10","제주",TRUE,"국외")</f>
        <v>서울</v>
      </c>
    </row>
    <row r="1578" spans="1:12" ht="17.25" thickBot="1">
      <c r="A1578" s="3" t="s">
        <v>1675</v>
      </c>
      <c r="B1578" s="3" t="s">
        <v>50</v>
      </c>
      <c r="C1578" s="3"/>
      <c r="D1578" s="4" t="s">
        <v>205</v>
      </c>
      <c r="E1578" s="4" t="s">
        <v>12</v>
      </c>
      <c r="F1578" s="4">
        <v>2015</v>
      </c>
      <c r="G1578" s="9"/>
      <c r="H1578" s="4" t="s">
        <v>12</v>
      </c>
      <c r="I1578" s="8">
        <v>-0.5</v>
      </c>
      <c r="J1578" s="3">
        <v>11359</v>
      </c>
      <c r="K1578" s="3">
        <v>50301</v>
      </c>
      <c r="L1578" s="17" t="str" cm="1">
        <f t="array" ref="L1578">_xlfn.IFS(MID(K1578,2,2)="01", "서울", MID(K1578,2,2)="02","경기",MID(K1578,2,2)="03","충청",MID(K1578,2,2)="04","충청",MID(K1578,2,2)="05","전라",MID(K1578,2,2)="06","전라",MID(K1578,2,2)="07","경북",MID(K1578,2,2)="08","경남",MID(K1578,2,2)="09","강원",MID(K1578,2,2)="10","제주",TRUE,"국외")</f>
        <v>충청</v>
      </c>
    </row>
    <row r="1579" spans="1:12" ht="17.25" thickBot="1">
      <c r="A1579" s="3" t="s">
        <v>1676</v>
      </c>
      <c r="B1579" s="3" t="s">
        <v>1019</v>
      </c>
      <c r="C1579" s="3" t="s">
        <v>83</v>
      </c>
      <c r="D1579" s="4" t="s">
        <v>205</v>
      </c>
      <c r="E1579" s="4" t="s">
        <v>12</v>
      </c>
      <c r="F1579" s="4">
        <v>2013</v>
      </c>
      <c r="G1579" s="8">
        <v>-0.1</v>
      </c>
      <c r="H1579" s="4" t="s">
        <v>12</v>
      </c>
      <c r="I1579" s="8">
        <v>-0.1</v>
      </c>
      <c r="J1579" s="3">
        <v>11152</v>
      </c>
      <c r="K1579" s="3">
        <v>50201</v>
      </c>
      <c r="L1579" s="17" t="str" cm="1">
        <f t="array" ref="L1579">_xlfn.IFS(MID(K1579,2,2)="01", "서울", MID(K1579,2,2)="02","경기",MID(K1579,2,2)="03","충청",MID(K1579,2,2)="04","충청",MID(K1579,2,2)="05","전라",MID(K1579,2,2)="06","전라",MID(K1579,2,2)="07","경북",MID(K1579,2,2)="08","경남",MID(K1579,2,2)="09","강원",MID(K1579,2,2)="10","제주",TRUE,"국외")</f>
        <v>경기</v>
      </c>
    </row>
    <row r="1580" spans="1:12" ht="17.25" thickBot="1">
      <c r="A1580" s="3" t="s">
        <v>175</v>
      </c>
      <c r="B1580" s="3" t="s">
        <v>335</v>
      </c>
      <c r="C1580" s="3" t="s">
        <v>208</v>
      </c>
      <c r="D1580" s="4" t="s">
        <v>205</v>
      </c>
      <c r="E1580" s="4" t="s">
        <v>12</v>
      </c>
      <c r="F1580" s="4">
        <v>2015</v>
      </c>
      <c r="G1580" s="9"/>
      <c r="H1580" s="4" t="s">
        <v>12</v>
      </c>
      <c r="I1580" s="8">
        <v>4.8</v>
      </c>
      <c r="J1580" s="3">
        <v>11358</v>
      </c>
      <c r="K1580" s="3">
        <v>50804</v>
      </c>
      <c r="L1580" s="17" t="str" cm="1">
        <f t="array" ref="L1580">_xlfn.IFS(MID(K1580,2,2)="01", "서울", MID(K1580,2,2)="02","경기",MID(K1580,2,2)="03","충청",MID(K1580,2,2)="04","충청",MID(K1580,2,2)="05","전라",MID(K1580,2,2)="06","전라",MID(K1580,2,2)="07","경북",MID(K1580,2,2)="08","경남",MID(K1580,2,2)="09","강원",MID(K1580,2,2)="10","제주",TRUE,"국외")</f>
        <v>경남</v>
      </c>
    </row>
    <row r="1581" spans="1:12" ht="17.25" thickBot="1">
      <c r="A1581" s="3" t="s">
        <v>1677</v>
      </c>
      <c r="B1581" s="3" t="s">
        <v>335</v>
      </c>
      <c r="C1581" s="3"/>
      <c r="D1581" s="4" t="s">
        <v>205</v>
      </c>
      <c r="E1581" s="4" t="s">
        <v>12</v>
      </c>
      <c r="F1581" s="4"/>
      <c r="G1581" s="9"/>
      <c r="H1581" s="4"/>
      <c r="I1581" s="9"/>
      <c r="J1581" s="3">
        <v>13185</v>
      </c>
      <c r="K1581" s="3">
        <v>50804</v>
      </c>
      <c r="L1581" s="17" t="str" cm="1">
        <f t="array" ref="L1581">_xlfn.IFS(MID(K1581,2,2)="01", "서울", MID(K1581,2,2)="02","경기",MID(K1581,2,2)="03","충청",MID(K1581,2,2)="04","충청",MID(K1581,2,2)="05","전라",MID(K1581,2,2)="06","전라",MID(K1581,2,2)="07","경북",MID(K1581,2,2)="08","경남",MID(K1581,2,2)="09","강원",MID(K1581,2,2)="10","제주",TRUE,"국외")</f>
        <v>경남</v>
      </c>
    </row>
    <row r="1582" spans="1:12" ht="17.25" thickBot="1">
      <c r="A1582" s="3" t="s">
        <v>272</v>
      </c>
      <c r="B1582" s="3" t="s">
        <v>112</v>
      </c>
      <c r="C1582" s="3" t="s">
        <v>346</v>
      </c>
      <c r="D1582" s="4" t="s">
        <v>205</v>
      </c>
      <c r="E1582" s="4" t="s">
        <v>12</v>
      </c>
      <c r="F1582" s="4">
        <v>2017</v>
      </c>
      <c r="G1582" s="9"/>
      <c r="H1582" s="4" t="s">
        <v>12</v>
      </c>
      <c r="I1582" s="8">
        <v>0</v>
      </c>
      <c r="J1582" s="3">
        <v>12999</v>
      </c>
      <c r="K1582" s="3">
        <v>50113</v>
      </c>
      <c r="L1582" s="17" t="str" cm="1">
        <f t="array" ref="L1582">_xlfn.IFS(MID(K1582,2,2)="01", "서울", MID(K1582,2,2)="02","경기",MID(K1582,2,2)="03","충청",MID(K1582,2,2)="04","충청",MID(K1582,2,2)="05","전라",MID(K1582,2,2)="06","전라",MID(K1582,2,2)="07","경북",MID(K1582,2,2)="08","경남",MID(K1582,2,2)="09","강원",MID(K1582,2,2)="10","제주",TRUE,"국외")</f>
        <v>서울</v>
      </c>
    </row>
    <row r="1583" spans="1:12" ht="17.25" thickBot="1">
      <c r="A1583" s="3" t="s">
        <v>741</v>
      </c>
      <c r="B1583" s="3" t="s">
        <v>5</v>
      </c>
      <c r="C1583" s="3" t="s">
        <v>346</v>
      </c>
      <c r="D1583" s="4" t="s">
        <v>205</v>
      </c>
      <c r="E1583" s="4" t="s">
        <v>12</v>
      </c>
      <c r="F1583" s="4"/>
      <c r="G1583" s="9"/>
      <c r="H1583" s="4"/>
      <c r="I1583" s="9"/>
      <c r="J1583" s="3">
        <v>13188</v>
      </c>
      <c r="K1583" s="3">
        <v>50114</v>
      </c>
      <c r="L1583" s="17" t="str" cm="1">
        <f t="array" ref="L1583">_xlfn.IFS(MID(K1583,2,2)="01", "서울", MID(K1583,2,2)="02","경기",MID(K1583,2,2)="03","충청",MID(K1583,2,2)="04","충청",MID(K1583,2,2)="05","전라",MID(K1583,2,2)="06","전라",MID(K1583,2,2)="07","경북",MID(K1583,2,2)="08","경남",MID(K1583,2,2)="09","강원",MID(K1583,2,2)="10","제주",TRUE,"국외")</f>
        <v>서울</v>
      </c>
    </row>
    <row r="1584" spans="1:12" ht="17.25" thickBot="1">
      <c r="A1584" s="3" t="s">
        <v>1678</v>
      </c>
      <c r="B1584" s="3" t="s">
        <v>128</v>
      </c>
      <c r="C1584" s="3" t="s">
        <v>122</v>
      </c>
      <c r="D1584" s="4" t="s">
        <v>205</v>
      </c>
      <c r="E1584" s="4" t="s">
        <v>26</v>
      </c>
      <c r="F1584" s="4"/>
      <c r="G1584" s="9"/>
      <c r="H1584" s="4"/>
      <c r="I1584" s="9"/>
      <c r="J1584" s="3">
        <v>11417</v>
      </c>
      <c r="K1584" s="3">
        <v>50901</v>
      </c>
      <c r="L1584" s="17" t="str" cm="1">
        <f t="array" ref="L1584">_xlfn.IFS(MID(K1584,2,2)="01", "서울", MID(K1584,2,2)="02","경기",MID(K1584,2,2)="03","충청",MID(K1584,2,2)="04","충청",MID(K1584,2,2)="05","전라",MID(K1584,2,2)="06","전라",MID(K1584,2,2)="07","경북",MID(K1584,2,2)="08","경남",MID(K1584,2,2)="09","강원",MID(K1584,2,2)="10","제주",TRUE,"국외")</f>
        <v>강원</v>
      </c>
    </row>
    <row r="1585" spans="1:12" ht="17.25" thickBot="1">
      <c r="A1585" s="3" t="s">
        <v>1679</v>
      </c>
      <c r="B1585" s="3" t="s">
        <v>176</v>
      </c>
      <c r="C1585" s="3"/>
      <c r="D1585" s="4" t="s">
        <v>205</v>
      </c>
      <c r="E1585" s="4" t="s">
        <v>26</v>
      </c>
      <c r="F1585" s="4">
        <v>2015</v>
      </c>
      <c r="G1585" s="9"/>
      <c r="H1585" s="4" t="s">
        <v>26</v>
      </c>
      <c r="I1585" s="8">
        <v>0.4</v>
      </c>
      <c r="J1585" s="3">
        <v>11491</v>
      </c>
      <c r="K1585" s="3">
        <v>50302</v>
      </c>
      <c r="L1585" s="17" t="str" cm="1">
        <f t="array" ref="L1585">_xlfn.IFS(MID(K1585,2,2)="01", "서울", MID(K1585,2,2)="02","경기",MID(K1585,2,2)="03","충청",MID(K1585,2,2)="04","충청",MID(K1585,2,2)="05","전라",MID(K1585,2,2)="06","전라",MID(K1585,2,2)="07","경북",MID(K1585,2,2)="08","경남",MID(K1585,2,2)="09","강원",MID(K1585,2,2)="10","제주",TRUE,"국외")</f>
        <v>충청</v>
      </c>
    </row>
    <row r="1586" spans="1:12" ht="17.25" thickBot="1">
      <c r="A1586" s="3" t="s">
        <v>1680</v>
      </c>
      <c r="B1586" s="3" t="s">
        <v>1681</v>
      </c>
      <c r="C1586" s="3"/>
      <c r="D1586" s="4" t="s">
        <v>205</v>
      </c>
      <c r="E1586" s="4" t="s">
        <v>26</v>
      </c>
      <c r="F1586" s="4">
        <v>2013</v>
      </c>
      <c r="G1586" s="8">
        <v>0.1</v>
      </c>
      <c r="H1586" s="4" t="s">
        <v>26</v>
      </c>
      <c r="I1586" s="8">
        <v>0</v>
      </c>
      <c r="J1586" s="3">
        <v>11185</v>
      </c>
      <c r="K1586" s="3">
        <v>51102</v>
      </c>
      <c r="L1586" s="17" t="str" cm="1">
        <f t="array" ref="L1586">_xlfn.IFS(MID(K1586,2,2)="01", "서울", MID(K1586,2,2)="02","경기",MID(K1586,2,2)="03","충청",MID(K1586,2,2)="04","충청",MID(K1586,2,2)="05","전라",MID(K1586,2,2)="06","전라",MID(K1586,2,2)="07","경북",MID(K1586,2,2)="08","경남",MID(K1586,2,2)="09","강원",MID(K1586,2,2)="10","제주",TRUE,"국외")</f>
        <v>국외</v>
      </c>
    </row>
    <row r="1587" spans="1:12" ht="17.25" thickBot="1">
      <c r="A1587" s="3" t="s">
        <v>33</v>
      </c>
      <c r="B1587" s="3" t="s">
        <v>74</v>
      </c>
      <c r="C1587" s="3"/>
      <c r="D1587" s="4" t="s">
        <v>205</v>
      </c>
      <c r="E1587" s="4" t="s">
        <v>3</v>
      </c>
      <c r="F1587" s="4">
        <v>2019</v>
      </c>
      <c r="G1587" s="9"/>
      <c r="H1587" s="4" t="s">
        <v>3</v>
      </c>
      <c r="I1587" s="8">
        <v>-0.8</v>
      </c>
      <c r="J1587" s="3">
        <v>11420</v>
      </c>
      <c r="K1587" s="3">
        <v>50102</v>
      </c>
      <c r="L1587" s="17" t="str" cm="1">
        <f t="array" ref="L1587">_xlfn.IFS(MID(K1587,2,2)="01", "서울", MID(K1587,2,2)="02","경기",MID(K1587,2,2)="03","충청",MID(K1587,2,2)="04","충청",MID(K1587,2,2)="05","전라",MID(K1587,2,2)="06","전라",MID(K1587,2,2)="07","경북",MID(K1587,2,2)="08","경남",MID(K1587,2,2)="09","강원",MID(K1587,2,2)="10","제주",TRUE,"국외")</f>
        <v>서울</v>
      </c>
    </row>
    <row r="1588" spans="1:12" ht="17.25" thickBot="1">
      <c r="A1588" s="3" t="s">
        <v>1682</v>
      </c>
      <c r="B1588" s="3" t="s">
        <v>176</v>
      </c>
      <c r="C1588" s="3" t="s">
        <v>208</v>
      </c>
      <c r="D1588" s="4" t="s">
        <v>205</v>
      </c>
      <c r="E1588" s="4" t="s">
        <v>3</v>
      </c>
      <c r="F1588" s="4">
        <v>2014</v>
      </c>
      <c r="G1588" s="9"/>
      <c r="H1588" s="4" t="s">
        <v>607</v>
      </c>
      <c r="I1588" s="8">
        <v>10.5</v>
      </c>
      <c r="J1588" s="3">
        <v>11268</v>
      </c>
      <c r="K1588" s="3">
        <v>50302</v>
      </c>
      <c r="L1588" s="17" t="str" cm="1">
        <f t="array" ref="L1588">_xlfn.IFS(MID(K1588,2,2)="01", "서울", MID(K1588,2,2)="02","경기",MID(K1588,2,2)="03","충청",MID(K1588,2,2)="04","충청",MID(K1588,2,2)="05","전라",MID(K1588,2,2)="06","전라",MID(K1588,2,2)="07","경북",MID(K1588,2,2)="08","경남",MID(K1588,2,2)="09","강원",MID(K1588,2,2)="10","제주",TRUE,"국외")</f>
        <v>충청</v>
      </c>
    </row>
    <row r="1589" spans="1:12" ht="17.25" thickBot="1">
      <c r="A1589" s="3" t="s">
        <v>1683</v>
      </c>
      <c r="B1589" s="3" t="s">
        <v>66</v>
      </c>
      <c r="C1589" s="3"/>
      <c r="D1589" s="4" t="s">
        <v>2</v>
      </c>
      <c r="E1589" s="4" t="s">
        <v>3</v>
      </c>
      <c r="F1589" s="4">
        <v>2012</v>
      </c>
      <c r="G1589" s="8">
        <v>-0.4</v>
      </c>
      <c r="H1589" s="4" t="s">
        <v>3</v>
      </c>
      <c r="I1589" s="8">
        <v>8.3000000000000007</v>
      </c>
      <c r="J1589" s="3">
        <v>10913</v>
      </c>
      <c r="K1589" s="3">
        <v>50110</v>
      </c>
      <c r="L1589" s="17" t="str" cm="1">
        <f t="array" ref="L1589">_xlfn.IFS(MID(K1589,2,2)="01", "서울", MID(K1589,2,2)="02","경기",MID(K1589,2,2)="03","충청",MID(K1589,2,2)="04","충청",MID(K1589,2,2)="05","전라",MID(K1589,2,2)="06","전라",MID(K1589,2,2)="07","경북",MID(K1589,2,2)="08","경남",MID(K1589,2,2)="09","강원",MID(K1589,2,2)="10","제주",TRUE,"국외")</f>
        <v>서울</v>
      </c>
    </row>
    <row r="1590" spans="1:12" ht="17.25" thickBot="1">
      <c r="A1590" s="3" t="s">
        <v>1684</v>
      </c>
      <c r="B1590" s="3" t="s">
        <v>11</v>
      </c>
      <c r="C1590" s="3"/>
      <c r="D1590" s="4" t="s">
        <v>2</v>
      </c>
      <c r="E1590" s="4" t="s">
        <v>906</v>
      </c>
      <c r="F1590" s="4">
        <v>2012</v>
      </c>
      <c r="G1590" s="8">
        <v>1.7</v>
      </c>
      <c r="H1590" s="4" t="s">
        <v>18</v>
      </c>
      <c r="I1590" s="8">
        <v>20.399999999999999</v>
      </c>
      <c r="J1590" s="3">
        <v>10863</v>
      </c>
      <c r="K1590" s="3">
        <v>50802</v>
      </c>
      <c r="L1590" s="17" t="str" cm="1">
        <f t="array" ref="L1590">_xlfn.IFS(MID(K1590,2,2)="01", "서울", MID(K1590,2,2)="02","경기",MID(K1590,2,2)="03","충청",MID(K1590,2,2)="04","충청",MID(K1590,2,2)="05","전라",MID(K1590,2,2)="06","전라",MID(K1590,2,2)="07","경북",MID(K1590,2,2)="08","경남",MID(K1590,2,2)="09","강원",MID(K1590,2,2)="10","제주",TRUE,"국외")</f>
        <v>경남</v>
      </c>
    </row>
    <row r="1591" spans="1:12" ht="17.25" thickBot="1">
      <c r="A1591" s="3" t="s">
        <v>1685</v>
      </c>
      <c r="B1591" s="3" t="s">
        <v>25</v>
      </c>
      <c r="C1591" s="3" t="s">
        <v>211</v>
      </c>
      <c r="D1591" s="4" t="s">
        <v>2</v>
      </c>
      <c r="E1591" s="4" t="s">
        <v>20</v>
      </c>
      <c r="F1591" s="4">
        <v>2012</v>
      </c>
      <c r="G1591" s="8">
        <v>-0.3</v>
      </c>
      <c r="H1591" s="4" t="s">
        <v>20</v>
      </c>
      <c r="I1591" s="8">
        <v>-1.3</v>
      </c>
      <c r="J1591" s="3">
        <v>10854</v>
      </c>
      <c r="K1591" s="3">
        <v>50403</v>
      </c>
      <c r="L1591" s="17" t="str" cm="1">
        <f t="array" ref="L1591">_xlfn.IFS(MID(K1591,2,2)="01", "서울", MID(K1591,2,2)="02","경기",MID(K1591,2,2)="03","충청",MID(K1591,2,2)="04","충청",MID(K1591,2,2)="05","전라",MID(K1591,2,2)="06","전라",MID(K1591,2,2)="07","경북",MID(K1591,2,2)="08","경남",MID(K1591,2,2)="09","강원",MID(K1591,2,2)="10","제주",TRUE,"국외")</f>
        <v>충청</v>
      </c>
    </row>
    <row r="1592" spans="1:12" ht="17.25" thickBot="1">
      <c r="A1592" s="3" t="s">
        <v>655</v>
      </c>
      <c r="B1592" s="3" t="s">
        <v>34</v>
      </c>
      <c r="C1592" s="3" t="s">
        <v>122</v>
      </c>
      <c r="D1592" s="4" t="s">
        <v>2</v>
      </c>
      <c r="E1592" s="4" t="s">
        <v>6</v>
      </c>
      <c r="F1592" s="4">
        <v>2012</v>
      </c>
      <c r="G1592" s="8">
        <v>1.6</v>
      </c>
      <c r="H1592" s="4" t="s">
        <v>6</v>
      </c>
      <c r="I1592" s="8">
        <v>0.5</v>
      </c>
      <c r="J1592" s="3">
        <v>10789</v>
      </c>
      <c r="K1592" s="3">
        <v>50701</v>
      </c>
      <c r="L1592" s="17" t="str" cm="1">
        <f t="array" ref="L1592">_xlfn.IFS(MID(K1592,2,2)="01", "서울", MID(K1592,2,2)="02","경기",MID(K1592,2,2)="03","충청",MID(K1592,2,2)="04","충청",MID(K1592,2,2)="05","전라",MID(K1592,2,2)="06","전라",MID(K1592,2,2)="07","경북",MID(K1592,2,2)="08","경남",MID(K1592,2,2)="09","강원",MID(K1592,2,2)="10","제주",TRUE,"국외")</f>
        <v>경북</v>
      </c>
    </row>
    <row r="1593" spans="1:12" ht="17.25" thickBot="1">
      <c r="A1593" s="3" t="s">
        <v>1686</v>
      </c>
      <c r="B1593" s="3" t="s">
        <v>96</v>
      </c>
      <c r="C1593" s="3"/>
      <c r="D1593" s="4" t="s">
        <v>2</v>
      </c>
      <c r="E1593" s="4" t="s">
        <v>9</v>
      </c>
      <c r="F1593" s="4">
        <v>2015</v>
      </c>
      <c r="G1593" s="9"/>
      <c r="H1593" s="4" t="s">
        <v>9</v>
      </c>
      <c r="I1593" s="8">
        <v>8.1999999999999993</v>
      </c>
      <c r="J1593" s="3">
        <v>10825</v>
      </c>
      <c r="K1593" s="3">
        <v>50601</v>
      </c>
      <c r="L1593" s="17" t="str" cm="1">
        <f t="array" ref="L1593">_xlfn.IFS(MID(K1593,2,2)="01", "서울", MID(K1593,2,2)="02","경기",MID(K1593,2,2)="03","충청",MID(K1593,2,2)="04","충청",MID(K1593,2,2)="05","전라",MID(K1593,2,2)="06","전라",MID(K1593,2,2)="07","경북",MID(K1593,2,2)="08","경남",MID(K1593,2,2)="09","강원",MID(K1593,2,2)="10","제주",TRUE,"국외")</f>
        <v>전라</v>
      </c>
    </row>
    <row r="1594" spans="1:12" ht="17.25" thickBot="1">
      <c r="A1594" s="3" t="s">
        <v>1687</v>
      </c>
      <c r="B1594" s="3" t="s">
        <v>96</v>
      </c>
      <c r="C1594" s="3" t="s">
        <v>45</v>
      </c>
      <c r="D1594" s="4" t="s">
        <v>2</v>
      </c>
      <c r="E1594" s="4" t="s">
        <v>26</v>
      </c>
      <c r="F1594" s="4">
        <v>2012</v>
      </c>
      <c r="G1594" s="8">
        <v>-0.3</v>
      </c>
      <c r="H1594" s="4" t="s">
        <v>26</v>
      </c>
      <c r="I1594" s="8">
        <v>1.8</v>
      </c>
      <c r="J1594" s="3">
        <v>10885</v>
      </c>
      <c r="K1594" s="3">
        <v>50601</v>
      </c>
      <c r="L1594" s="17" t="str" cm="1">
        <f t="array" ref="L1594">_xlfn.IFS(MID(K1594,2,2)="01", "서울", MID(K1594,2,2)="02","경기",MID(K1594,2,2)="03","충청",MID(K1594,2,2)="04","충청",MID(K1594,2,2)="05","전라",MID(K1594,2,2)="06","전라",MID(K1594,2,2)="07","경북",MID(K1594,2,2)="08","경남",MID(K1594,2,2)="09","강원",MID(K1594,2,2)="10","제주",TRUE,"국외")</f>
        <v>전라</v>
      </c>
    </row>
    <row r="1595" spans="1:12" ht="17.25" thickBot="1">
      <c r="A1595" s="3" t="s">
        <v>1688</v>
      </c>
      <c r="B1595" s="3" t="s">
        <v>107</v>
      </c>
      <c r="C1595" s="3"/>
      <c r="D1595" s="4" t="s">
        <v>2</v>
      </c>
      <c r="E1595" s="4" t="s">
        <v>23</v>
      </c>
      <c r="F1595" s="4">
        <v>2017</v>
      </c>
      <c r="G1595" s="9"/>
      <c r="H1595" s="4"/>
      <c r="I1595" s="9"/>
      <c r="J1595" s="3">
        <v>10879</v>
      </c>
      <c r="K1595" s="3">
        <v>50602</v>
      </c>
      <c r="L1595" s="17" t="str" cm="1">
        <f t="array" ref="L1595">_xlfn.IFS(MID(K1595,2,2)="01", "서울", MID(K1595,2,2)="02","경기",MID(K1595,2,2)="03","충청",MID(K1595,2,2)="04","충청",MID(K1595,2,2)="05","전라",MID(K1595,2,2)="06","전라",MID(K1595,2,2)="07","경북",MID(K1595,2,2)="08","경남",MID(K1595,2,2)="09","강원",MID(K1595,2,2)="10","제주",TRUE,"국외")</f>
        <v>전라</v>
      </c>
    </row>
    <row r="1596" spans="1:12" ht="17.25" thickBot="1">
      <c r="A1596" s="3" t="s">
        <v>1689</v>
      </c>
      <c r="B1596" s="3" t="s">
        <v>81</v>
      </c>
      <c r="C1596" s="3" t="s">
        <v>45</v>
      </c>
      <c r="D1596" s="4" t="s">
        <v>2</v>
      </c>
      <c r="E1596" s="4" t="s">
        <v>607</v>
      </c>
      <c r="F1596" s="4">
        <v>2012</v>
      </c>
      <c r="G1596" s="8">
        <v>0</v>
      </c>
      <c r="H1596" s="4" t="s">
        <v>607</v>
      </c>
      <c r="I1596" s="8">
        <v>16.899999999999999</v>
      </c>
      <c r="J1596" s="3">
        <v>10783</v>
      </c>
      <c r="K1596" s="3">
        <v>50105</v>
      </c>
      <c r="L1596" s="17" t="str" cm="1">
        <f t="array" ref="L1596">_xlfn.IFS(MID(K1596,2,2)="01", "서울", MID(K1596,2,2)="02","경기",MID(K1596,2,2)="03","충청",MID(K1596,2,2)="04","충청",MID(K1596,2,2)="05","전라",MID(K1596,2,2)="06","전라",MID(K1596,2,2)="07","경북",MID(K1596,2,2)="08","경남",MID(K1596,2,2)="09","강원",MID(K1596,2,2)="10","제주",TRUE,"국외")</f>
        <v>서울</v>
      </c>
    </row>
    <row r="1597" spans="1:12" ht="17.25" thickBot="1">
      <c r="A1597" s="3" t="s">
        <v>1690</v>
      </c>
      <c r="B1597" s="3" t="s">
        <v>8</v>
      </c>
      <c r="C1597" s="3"/>
      <c r="D1597" s="4" t="s">
        <v>2</v>
      </c>
      <c r="E1597" s="4"/>
      <c r="F1597" s="4">
        <v>2013</v>
      </c>
      <c r="G1597" s="9"/>
      <c r="H1597" s="4" t="s">
        <v>12</v>
      </c>
      <c r="I1597" s="8">
        <v>43.9</v>
      </c>
      <c r="J1597" s="3">
        <v>11137</v>
      </c>
      <c r="K1597" s="3">
        <v>50116</v>
      </c>
      <c r="L1597" s="17" t="str" cm="1">
        <f t="array" ref="L1597">_xlfn.IFS(MID(K1597,2,2)="01", "서울", MID(K1597,2,2)="02","경기",MID(K1597,2,2)="03","충청",MID(K1597,2,2)="04","충청",MID(K1597,2,2)="05","전라",MID(K1597,2,2)="06","전라",MID(K1597,2,2)="07","경북",MID(K1597,2,2)="08","경남",MID(K1597,2,2)="09","강원",MID(K1597,2,2)="10","제주",TRUE,"국외")</f>
        <v>서울</v>
      </c>
    </row>
    <row r="1598" spans="1:12" ht="17.25" thickBot="1">
      <c r="A1598" s="3" t="s">
        <v>1691</v>
      </c>
      <c r="B1598" s="3" t="s">
        <v>121</v>
      </c>
      <c r="C1598" s="3" t="s">
        <v>83</v>
      </c>
      <c r="D1598" s="4" t="s">
        <v>2</v>
      </c>
      <c r="E1598" s="4"/>
      <c r="F1598" s="4">
        <v>2013</v>
      </c>
      <c r="G1598" s="9"/>
      <c r="H1598" s="4" t="s">
        <v>12</v>
      </c>
      <c r="I1598" s="8">
        <v>55.4</v>
      </c>
      <c r="J1598" s="3">
        <v>11162</v>
      </c>
      <c r="K1598" s="3">
        <v>50604</v>
      </c>
      <c r="L1598" s="17" t="str" cm="1">
        <f t="array" ref="L1598">_xlfn.IFS(MID(K1598,2,2)="01", "서울", MID(K1598,2,2)="02","경기",MID(K1598,2,2)="03","충청",MID(K1598,2,2)="04","충청",MID(K1598,2,2)="05","전라",MID(K1598,2,2)="06","전라",MID(K1598,2,2)="07","경북",MID(K1598,2,2)="08","경남",MID(K1598,2,2)="09","강원",MID(K1598,2,2)="10","제주",TRUE,"국외")</f>
        <v>전라</v>
      </c>
    </row>
    <row r="1599" spans="1:12" ht="17.25" thickBot="1">
      <c r="A1599" s="3" t="s">
        <v>1692</v>
      </c>
      <c r="B1599" s="3" t="s">
        <v>52</v>
      </c>
      <c r="C1599" s="3" t="s">
        <v>172</v>
      </c>
      <c r="D1599" s="4" t="s">
        <v>2</v>
      </c>
      <c r="E1599" s="4" t="s">
        <v>607</v>
      </c>
      <c r="F1599" s="4">
        <v>2015</v>
      </c>
      <c r="G1599" s="9"/>
      <c r="H1599" s="4" t="s">
        <v>6</v>
      </c>
      <c r="I1599" s="8">
        <v>7.7</v>
      </c>
      <c r="J1599" s="3">
        <v>10707</v>
      </c>
      <c r="K1599" s="3">
        <v>50803</v>
      </c>
      <c r="L1599" s="17" t="str" cm="1">
        <f t="array" ref="L1599">_xlfn.IFS(MID(K1599,2,2)="01", "서울", MID(K1599,2,2)="02","경기",MID(K1599,2,2)="03","충청",MID(K1599,2,2)="04","충청",MID(K1599,2,2)="05","전라",MID(K1599,2,2)="06","전라",MID(K1599,2,2)="07","경북",MID(K1599,2,2)="08","경남",MID(K1599,2,2)="09","강원",MID(K1599,2,2)="10","제주",TRUE,"국외")</f>
        <v>경남</v>
      </c>
    </row>
    <row r="1600" spans="1:12" ht="17.25" thickBot="1">
      <c r="A1600" s="3" t="s">
        <v>1693</v>
      </c>
      <c r="B1600" s="3" t="s">
        <v>14</v>
      </c>
      <c r="C1600" s="3"/>
      <c r="D1600" s="4" t="s">
        <v>2</v>
      </c>
      <c r="E1600" s="4" t="s">
        <v>23</v>
      </c>
      <c r="F1600" s="4">
        <v>2015</v>
      </c>
      <c r="G1600" s="9"/>
      <c r="H1600" s="4" t="s">
        <v>23</v>
      </c>
      <c r="I1600" s="8">
        <v>37.6</v>
      </c>
      <c r="J1600" s="3">
        <v>10892</v>
      </c>
      <c r="K1600" s="3">
        <v>50703</v>
      </c>
      <c r="L1600" s="17" t="str" cm="1">
        <f t="array" ref="L1600">_xlfn.IFS(MID(K1600,2,2)="01", "서울", MID(K1600,2,2)="02","경기",MID(K1600,2,2)="03","충청",MID(K1600,2,2)="04","충청",MID(K1600,2,2)="05","전라",MID(K1600,2,2)="06","전라",MID(K1600,2,2)="07","경북",MID(K1600,2,2)="08","경남",MID(K1600,2,2)="09","강원",MID(K1600,2,2)="10","제주",TRUE,"국외")</f>
        <v>경북</v>
      </c>
    </row>
    <row r="1601" spans="1:12" ht="17.25" thickBot="1">
      <c r="A1601" s="3" t="s">
        <v>1694</v>
      </c>
      <c r="B1601" s="3" t="s">
        <v>5</v>
      </c>
      <c r="C1601" s="3"/>
      <c r="D1601" s="4" t="s">
        <v>2</v>
      </c>
      <c r="E1601" s="4" t="s">
        <v>26</v>
      </c>
      <c r="F1601" s="4">
        <v>2012</v>
      </c>
      <c r="G1601" s="8">
        <v>3.1</v>
      </c>
      <c r="H1601" s="4" t="s">
        <v>26</v>
      </c>
      <c r="I1601" s="8">
        <v>3</v>
      </c>
      <c r="J1601" s="3">
        <v>10882</v>
      </c>
      <c r="K1601" s="3">
        <v>50114</v>
      </c>
      <c r="L1601" s="17" t="str" cm="1">
        <f t="array" ref="L1601">_xlfn.IFS(MID(K1601,2,2)="01", "서울", MID(K1601,2,2)="02","경기",MID(K1601,2,2)="03","충청",MID(K1601,2,2)="04","충청",MID(K1601,2,2)="05","전라",MID(K1601,2,2)="06","전라",MID(K1601,2,2)="07","경북",MID(K1601,2,2)="08","경남",MID(K1601,2,2)="09","강원",MID(K1601,2,2)="10","제주",TRUE,"국외")</f>
        <v>서울</v>
      </c>
    </row>
    <row r="1602" spans="1:12" ht="17.25" thickBot="1">
      <c r="A1602" s="3" t="s">
        <v>1695</v>
      </c>
      <c r="B1602" s="3" t="s">
        <v>11</v>
      </c>
      <c r="C1602" s="3" t="s">
        <v>119</v>
      </c>
      <c r="D1602" s="4" t="s">
        <v>2</v>
      </c>
      <c r="E1602" s="4" t="s">
        <v>9</v>
      </c>
      <c r="F1602" s="4">
        <v>2012</v>
      </c>
      <c r="G1602" s="8">
        <v>-0.7</v>
      </c>
      <c r="H1602" s="4" t="s">
        <v>9</v>
      </c>
      <c r="I1602" s="8">
        <v>5.6</v>
      </c>
      <c r="J1602" s="3">
        <v>10840</v>
      </c>
      <c r="K1602" s="3">
        <v>50802</v>
      </c>
      <c r="L1602" s="17" t="str" cm="1">
        <f t="array" ref="L1602">_xlfn.IFS(MID(K1602,2,2)="01", "서울", MID(K1602,2,2)="02","경기",MID(K1602,2,2)="03","충청",MID(K1602,2,2)="04","충청",MID(K1602,2,2)="05","전라",MID(K1602,2,2)="06","전라",MID(K1602,2,2)="07","경북",MID(K1602,2,2)="08","경남",MID(K1602,2,2)="09","강원",MID(K1602,2,2)="10","제주",TRUE,"국외")</f>
        <v>경남</v>
      </c>
    </row>
    <row r="1603" spans="1:12" ht="17.25" thickBot="1">
      <c r="A1603" s="3" t="s">
        <v>1696</v>
      </c>
      <c r="B1603" s="3" t="s">
        <v>140</v>
      </c>
      <c r="C1603" s="3" t="s">
        <v>329</v>
      </c>
      <c r="D1603" s="4" t="s">
        <v>2</v>
      </c>
      <c r="E1603" s="4" t="s">
        <v>6</v>
      </c>
      <c r="F1603" s="4">
        <v>2013</v>
      </c>
      <c r="G1603" s="9"/>
      <c r="H1603" s="4" t="s">
        <v>6</v>
      </c>
      <c r="I1603" s="8">
        <v>3.9</v>
      </c>
      <c r="J1603" s="3">
        <v>10795</v>
      </c>
      <c r="K1603" s="3">
        <v>50801</v>
      </c>
      <c r="L1603" s="17" t="str" cm="1">
        <f t="array" ref="L1603">_xlfn.IFS(MID(K1603,2,2)="01", "서울", MID(K1603,2,2)="02","경기",MID(K1603,2,2)="03","충청",MID(K1603,2,2)="04","충청",MID(K1603,2,2)="05","전라",MID(K1603,2,2)="06","전라",MID(K1603,2,2)="07","경북",MID(K1603,2,2)="08","경남",MID(K1603,2,2)="09","강원",MID(K1603,2,2)="10","제주",TRUE,"국외")</f>
        <v>경남</v>
      </c>
    </row>
    <row r="1604" spans="1:12" ht="17.25" thickBot="1">
      <c r="A1604" s="3" t="s">
        <v>1697</v>
      </c>
      <c r="B1604" s="3" t="s">
        <v>68</v>
      </c>
      <c r="C1604" s="3" t="s">
        <v>218</v>
      </c>
      <c r="D1604" s="4" t="s">
        <v>2</v>
      </c>
      <c r="E1604" s="4" t="s">
        <v>20</v>
      </c>
      <c r="F1604" s="4">
        <v>2012</v>
      </c>
      <c r="G1604" s="8">
        <v>0.4</v>
      </c>
      <c r="H1604" s="4" t="s">
        <v>20</v>
      </c>
      <c r="I1604" s="8">
        <v>2</v>
      </c>
      <c r="J1604" s="3">
        <v>10851</v>
      </c>
      <c r="K1604" s="3">
        <v>50101</v>
      </c>
      <c r="L1604" s="17" t="str" cm="1">
        <f t="array" ref="L1604">_xlfn.IFS(MID(K1604,2,2)="01", "서울", MID(K1604,2,2)="02","경기",MID(K1604,2,2)="03","충청",MID(K1604,2,2)="04","충청",MID(K1604,2,2)="05","전라",MID(K1604,2,2)="06","전라",MID(K1604,2,2)="07","경북",MID(K1604,2,2)="08","경남",MID(K1604,2,2)="09","강원",MID(K1604,2,2)="10","제주",TRUE,"국외")</f>
        <v>서울</v>
      </c>
    </row>
    <row r="1605" spans="1:12" ht="17.25" thickBot="1">
      <c r="A1605" s="3" t="s">
        <v>1698</v>
      </c>
      <c r="B1605" s="3" t="s">
        <v>14</v>
      </c>
      <c r="C1605" s="3"/>
      <c r="D1605" s="4" t="s">
        <v>2</v>
      </c>
      <c r="E1605" s="4" t="s">
        <v>906</v>
      </c>
      <c r="F1605" s="4">
        <v>2012</v>
      </c>
      <c r="G1605" s="8">
        <v>0.3</v>
      </c>
      <c r="H1605" s="4" t="s">
        <v>18</v>
      </c>
      <c r="I1605" s="8">
        <v>0.3</v>
      </c>
      <c r="J1605" s="3">
        <v>10864</v>
      </c>
      <c r="K1605" s="3">
        <v>50703</v>
      </c>
      <c r="L1605" s="17" t="str" cm="1">
        <f t="array" ref="L1605">_xlfn.IFS(MID(K1605,2,2)="01", "서울", MID(K1605,2,2)="02","경기",MID(K1605,2,2)="03","충청",MID(K1605,2,2)="04","충청",MID(K1605,2,2)="05","전라",MID(K1605,2,2)="06","전라",MID(K1605,2,2)="07","경북",MID(K1605,2,2)="08","경남",MID(K1605,2,2)="09","강원",MID(K1605,2,2)="10","제주",TRUE,"국외")</f>
        <v>경북</v>
      </c>
    </row>
    <row r="1606" spans="1:12" ht="17.25" thickBot="1">
      <c r="A1606" s="3" t="s">
        <v>1699</v>
      </c>
      <c r="B1606" s="3" t="s">
        <v>34</v>
      </c>
      <c r="C1606" s="3"/>
      <c r="D1606" s="4" t="s">
        <v>2</v>
      </c>
      <c r="E1606" s="4" t="s">
        <v>3</v>
      </c>
      <c r="F1606" s="4">
        <v>2012</v>
      </c>
      <c r="G1606" s="8">
        <v>0.1</v>
      </c>
      <c r="H1606" s="4" t="s">
        <v>6</v>
      </c>
      <c r="I1606" s="8">
        <v>15.4</v>
      </c>
      <c r="J1606" s="3">
        <v>10909</v>
      </c>
      <c r="K1606" s="3">
        <v>50701</v>
      </c>
      <c r="L1606" s="17" t="str" cm="1">
        <f t="array" ref="L1606">_xlfn.IFS(MID(K1606,2,2)="01", "서울", MID(K1606,2,2)="02","경기",MID(K1606,2,2)="03","충청",MID(K1606,2,2)="04","충청",MID(K1606,2,2)="05","전라",MID(K1606,2,2)="06","전라",MID(K1606,2,2)="07","경북",MID(K1606,2,2)="08","경남",MID(K1606,2,2)="09","강원",MID(K1606,2,2)="10","제주",TRUE,"국외")</f>
        <v>경북</v>
      </c>
    </row>
    <row r="1607" spans="1:12" ht="17.25" thickBot="1">
      <c r="A1607" s="3" t="s">
        <v>1700</v>
      </c>
      <c r="B1607" s="3" t="s">
        <v>32</v>
      </c>
      <c r="C1607" s="3"/>
      <c r="D1607" s="4" t="s">
        <v>2</v>
      </c>
      <c r="E1607" s="4" t="s">
        <v>3</v>
      </c>
      <c r="F1607" s="4">
        <v>2012</v>
      </c>
      <c r="G1607" s="8">
        <v>0</v>
      </c>
      <c r="H1607" s="4" t="s">
        <v>3</v>
      </c>
      <c r="I1607" s="8">
        <v>0</v>
      </c>
      <c r="J1607" s="3">
        <v>10910</v>
      </c>
      <c r="K1607" s="3">
        <v>50111</v>
      </c>
      <c r="L1607" s="17" t="str" cm="1">
        <f t="array" ref="L1607">_xlfn.IFS(MID(K1607,2,2)="01", "서울", MID(K1607,2,2)="02","경기",MID(K1607,2,2)="03","충청",MID(K1607,2,2)="04","충청",MID(K1607,2,2)="05","전라",MID(K1607,2,2)="06","전라",MID(K1607,2,2)="07","경북",MID(K1607,2,2)="08","경남",MID(K1607,2,2)="09","강원",MID(K1607,2,2)="10","제주",TRUE,"국외")</f>
        <v>서울</v>
      </c>
    </row>
    <row r="1608" spans="1:12" ht="17.25" thickBot="1">
      <c r="A1608" s="3" t="s">
        <v>1701</v>
      </c>
      <c r="B1608" s="3" t="s">
        <v>70</v>
      </c>
      <c r="C1608" s="3"/>
      <c r="D1608" s="4" t="s">
        <v>2</v>
      </c>
      <c r="E1608" s="4" t="s">
        <v>906</v>
      </c>
      <c r="F1608" s="4"/>
      <c r="G1608" s="9"/>
      <c r="H1608" s="4"/>
      <c r="I1608" s="9"/>
      <c r="J1608" s="3">
        <v>10865</v>
      </c>
      <c r="K1608" s="3">
        <v>50103</v>
      </c>
      <c r="L1608" s="17" t="str" cm="1">
        <f t="array" ref="L1608">_xlfn.IFS(MID(K1608,2,2)="01", "서울", MID(K1608,2,2)="02","경기",MID(K1608,2,2)="03","충청",MID(K1608,2,2)="04","충청",MID(K1608,2,2)="05","전라",MID(K1608,2,2)="06","전라",MID(K1608,2,2)="07","경북",MID(K1608,2,2)="08","경남",MID(K1608,2,2)="09","강원",MID(K1608,2,2)="10","제주",TRUE,"국외")</f>
        <v>서울</v>
      </c>
    </row>
    <row r="1609" spans="1:12" ht="17.25" thickBot="1">
      <c r="A1609" s="3" t="s">
        <v>1702</v>
      </c>
      <c r="B1609" s="3" t="s">
        <v>101</v>
      </c>
      <c r="C1609" s="3"/>
      <c r="D1609" s="4" t="s">
        <v>2</v>
      </c>
      <c r="E1609" s="4" t="s">
        <v>20</v>
      </c>
      <c r="F1609" s="4"/>
      <c r="G1609" s="9"/>
      <c r="H1609" s="4"/>
      <c r="I1609" s="9"/>
      <c r="J1609" s="3">
        <v>10847</v>
      </c>
      <c r="K1609" s="3">
        <v>50207</v>
      </c>
      <c r="L1609" s="17" t="str" cm="1">
        <f t="array" ref="L1609">_xlfn.IFS(MID(K1609,2,2)="01", "서울", MID(K1609,2,2)="02","경기",MID(K1609,2,2)="03","충청",MID(K1609,2,2)="04","충청",MID(K1609,2,2)="05","전라",MID(K1609,2,2)="06","전라",MID(K1609,2,2)="07","경북",MID(K1609,2,2)="08","경남",MID(K1609,2,2)="09","강원",MID(K1609,2,2)="10","제주",TRUE,"국외")</f>
        <v>경기</v>
      </c>
    </row>
    <row r="1610" spans="1:12" ht="17.25" thickBot="1">
      <c r="A1610" s="3" t="s">
        <v>1703</v>
      </c>
      <c r="B1610" s="3" t="s">
        <v>101</v>
      </c>
      <c r="C1610" s="3"/>
      <c r="D1610" s="4" t="s">
        <v>2</v>
      </c>
      <c r="E1610" s="4" t="s">
        <v>6</v>
      </c>
      <c r="F1610" s="4"/>
      <c r="G1610" s="9"/>
      <c r="H1610" s="4"/>
      <c r="I1610" s="9"/>
      <c r="J1610" s="3">
        <v>10817</v>
      </c>
      <c r="K1610" s="3">
        <v>50207</v>
      </c>
      <c r="L1610" s="17" t="str" cm="1">
        <f t="array" ref="L1610">_xlfn.IFS(MID(K1610,2,2)="01", "서울", MID(K1610,2,2)="02","경기",MID(K1610,2,2)="03","충청",MID(K1610,2,2)="04","충청",MID(K1610,2,2)="05","전라",MID(K1610,2,2)="06","전라",MID(K1610,2,2)="07","경북",MID(K1610,2,2)="08","경남",MID(K1610,2,2)="09","강원",MID(K1610,2,2)="10","제주",TRUE,"국외")</f>
        <v>경기</v>
      </c>
    </row>
    <row r="1611" spans="1:12" ht="17.25" thickBot="1">
      <c r="A1611" s="3" t="s">
        <v>1704</v>
      </c>
      <c r="B1611" s="3" t="s">
        <v>70</v>
      </c>
      <c r="C1611" s="3" t="s">
        <v>119</v>
      </c>
      <c r="D1611" s="4" t="s">
        <v>2</v>
      </c>
      <c r="E1611" s="4" t="s">
        <v>9</v>
      </c>
      <c r="F1611" s="4">
        <v>2012</v>
      </c>
      <c r="G1611" s="8">
        <v>-0.2</v>
      </c>
      <c r="H1611" s="4" t="s">
        <v>9</v>
      </c>
      <c r="I1611" s="8">
        <v>-0.2</v>
      </c>
      <c r="J1611" s="3">
        <v>10824</v>
      </c>
      <c r="K1611" s="3">
        <v>50103</v>
      </c>
      <c r="L1611" s="17" t="str" cm="1">
        <f t="array" ref="L1611">_xlfn.IFS(MID(K1611,2,2)="01", "서울", MID(K1611,2,2)="02","경기",MID(K1611,2,2)="03","충청",MID(K1611,2,2)="04","충청",MID(K1611,2,2)="05","전라",MID(K1611,2,2)="06","전라",MID(K1611,2,2)="07","경북",MID(K1611,2,2)="08","경남",MID(K1611,2,2)="09","강원",MID(K1611,2,2)="10","제주",TRUE,"국외")</f>
        <v>서울</v>
      </c>
    </row>
    <row r="1612" spans="1:12" ht="17.25" thickBot="1">
      <c r="A1612" s="3" t="s">
        <v>1107</v>
      </c>
      <c r="B1612" s="3" t="s">
        <v>1084</v>
      </c>
      <c r="C1612" s="3"/>
      <c r="D1612" s="4" t="s">
        <v>2</v>
      </c>
      <c r="E1612" s="4" t="s">
        <v>23</v>
      </c>
      <c r="F1612" s="4"/>
      <c r="G1612" s="9"/>
      <c r="H1612" s="4"/>
      <c r="I1612" s="9"/>
      <c r="J1612" s="3">
        <v>10878</v>
      </c>
      <c r="K1612" s="3">
        <v>50808</v>
      </c>
      <c r="L1612" s="17" t="str" cm="1">
        <f t="array" ref="L1612">_xlfn.IFS(MID(K1612,2,2)="01", "서울", MID(K1612,2,2)="02","경기",MID(K1612,2,2)="03","충청",MID(K1612,2,2)="04","충청",MID(K1612,2,2)="05","전라",MID(K1612,2,2)="06","전라",MID(K1612,2,2)="07","경북",MID(K1612,2,2)="08","경남",MID(K1612,2,2)="09","강원",MID(K1612,2,2)="10","제주",TRUE,"국외")</f>
        <v>경남</v>
      </c>
    </row>
    <row r="1613" spans="1:12" ht="17.25" thickBot="1">
      <c r="A1613" s="3" t="s">
        <v>1705</v>
      </c>
      <c r="B1613" s="3" t="s">
        <v>332</v>
      </c>
      <c r="C1613" s="3"/>
      <c r="D1613" s="4" t="s">
        <v>2</v>
      </c>
      <c r="E1613" s="4" t="s">
        <v>607</v>
      </c>
      <c r="F1613" s="4">
        <v>2012</v>
      </c>
      <c r="G1613" s="8">
        <v>0</v>
      </c>
      <c r="H1613" s="4" t="s">
        <v>9</v>
      </c>
      <c r="I1613" s="8">
        <v>2.2999999999999998</v>
      </c>
      <c r="J1613" s="3">
        <v>10804</v>
      </c>
      <c r="K1613" s="3">
        <v>50705</v>
      </c>
      <c r="L1613" s="17" t="str" cm="1">
        <f t="array" ref="L1613">_xlfn.IFS(MID(K1613,2,2)="01", "서울", MID(K1613,2,2)="02","경기",MID(K1613,2,2)="03","충청",MID(K1613,2,2)="04","충청",MID(K1613,2,2)="05","전라",MID(K1613,2,2)="06","전라",MID(K1613,2,2)="07","경북",MID(K1613,2,2)="08","경남",MID(K1613,2,2)="09","강원",MID(K1613,2,2)="10","제주",TRUE,"국외")</f>
        <v>경북</v>
      </c>
    </row>
    <row r="1614" spans="1:12" ht="17.25" thickBot="1">
      <c r="A1614" s="3" t="s">
        <v>1706</v>
      </c>
      <c r="B1614" s="3" t="s">
        <v>121</v>
      </c>
      <c r="C1614" s="3"/>
      <c r="D1614" s="4" t="s">
        <v>2</v>
      </c>
      <c r="E1614" s="4"/>
      <c r="F1614" s="4">
        <v>2013</v>
      </c>
      <c r="G1614" s="9"/>
      <c r="H1614" s="4" t="s">
        <v>12</v>
      </c>
      <c r="I1614" s="8">
        <v>8</v>
      </c>
      <c r="J1614" s="3">
        <v>11153</v>
      </c>
      <c r="K1614" s="3">
        <v>50604</v>
      </c>
      <c r="L1614" s="17" t="str" cm="1">
        <f t="array" ref="L1614">_xlfn.IFS(MID(K1614,2,2)="01", "서울", MID(K1614,2,2)="02","경기",MID(K1614,2,2)="03","충청",MID(K1614,2,2)="04","충청",MID(K1614,2,2)="05","전라",MID(K1614,2,2)="06","전라",MID(K1614,2,2)="07","경북",MID(K1614,2,2)="08","경남",MID(K1614,2,2)="09","강원",MID(K1614,2,2)="10","제주",TRUE,"국외")</f>
        <v>전라</v>
      </c>
    </row>
    <row r="1615" spans="1:12" ht="17.25" thickBot="1">
      <c r="A1615" s="3" t="s">
        <v>1707</v>
      </c>
      <c r="B1615" s="3" t="s">
        <v>68</v>
      </c>
      <c r="C1615" s="3"/>
      <c r="D1615" s="4" t="s">
        <v>2</v>
      </c>
      <c r="E1615" s="4"/>
      <c r="F1615" s="4">
        <v>2013</v>
      </c>
      <c r="G1615" s="9"/>
      <c r="H1615" s="4" t="s">
        <v>12</v>
      </c>
      <c r="I1615" s="8">
        <v>1.5</v>
      </c>
      <c r="J1615" s="3">
        <v>11148</v>
      </c>
      <c r="K1615" s="3">
        <v>50101</v>
      </c>
      <c r="L1615" s="17" t="str" cm="1">
        <f t="array" ref="L1615">_xlfn.IFS(MID(K1615,2,2)="01", "서울", MID(K1615,2,2)="02","경기",MID(K1615,2,2)="03","충청",MID(K1615,2,2)="04","충청",MID(K1615,2,2)="05","전라",MID(K1615,2,2)="06","전라",MID(K1615,2,2)="07","경북",MID(K1615,2,2)="08","경남",MID(K1615,2,2)="09","강원",MID(K1615,2,2)="10","제주",TRUE,"국외")</f>
        <v>서울</v>
      </c>
    </row>
    <row r="1616" spans="1:12" ht="17.25" thickBot="1">
      <c r="A1616" s="3" t="s">
        <v>1708</v>
      </c>
      <c r="B1616" s="3" t="s">
        <v>464</v>
      </c>
      <c r="C1616" s="3"/>
      <c r="D1616" s="4" t="s">
        <v>2</v>
      </c>
      <c r="E1616" s="4" t="s">
        <v>607</v>
      </c>
      <c r="F1616" s="4">
        <v>2014</v>
      </c>
      <c r="G1616" s="9"/>
      <c r="H1616" s="4" t="s">
        <v>607</v>
      </c>
      <c r="I1616" s="8">
        <v>0.1</v>
      </c>
      <c r="J1616" s="3">
        <v>10792</v>
      </c>
      <c r="K1616" s="3">
        <v>50706</v>
      </c>
      <c r="L1616" s="17" t="str" cm="1">
        <f t="array" ref="L1616">_xlfn.IFS(MID(K1616,2,2)="01", "서울", MID(K1616,2,2)="02","경기",MID(K1616,2,2)="03","충청",MID(K1616,2,2)="04","충청",MID(K1616,2,2)="05","전라",MID(K1616,2,2)="06","전라",MID(K1616,2,2)="07","경북",MID(K1616,2,2)="08","경남",MID(K1616,2,2)="09","강원",MID(K1616,2,2)="10","제주",TRUE,"국외")</f>
        <v>경북</v>
      </c>
    </row>
    <row r="1617" spans="1:12" ht="17.25" thickBot="1">
      <c r="A1617" s="3" t="s">
        <v>1194</v>
      </c>
      <c r="B1617" s="3" t="s">
        <v>332</v>
      </c>
      <c r="C1617" s="3"/>
      <c r="D1617" s="4" t="s">
        <v>2</v>
      </c>
      <c r="E1617" s="4" t="s">
        <v>23</v>
      </c>
      <c r="F1617" s="4"/>
      <c r="G1617" s="9"/>
      <c r="H1617" s="4"/>
      <c r="I1617" s="9"/>
      <c r="J1617" s="3">
        <v>10899</v>
      </c>
      <c r="K1617" s="3">
        <v>50705</v>
      </c>
      <c r="L1617" s="17" t="str" cm="1">
        <f t="array" ref="L1617">_xlfn.IFS(MID(K1617,2,2)="01", "서울", MID(K1617,2,2)="02","경기",MID(K1617,2,2)="03","충청",MID(K1617,2,2)="04","충청",MID(K1617,2,2)="05","전라",MID(K1617,2,2)="06","전라",MID(K1617,2,2)="07","경북",MID(K1617,2,2)="08","경남",MID(K1617,2,2)="09","강원",MID(K1617,2,2)="10","제주",TRUE,"국외")</f>
        <v>경북</v>
      </c>
    </row>
    <row r="1618" spans="1:12" ht="17.25" thickBot="1">
      <c r="A1618" s="3" t="s">
        <v>1709</v>
      </c>
      <c r="B1618" s="3" t="s">
        <v>5</v>
      </c>
      <c r="C1618" s="3"/>
      <c r="D1618" s="4" t="s">
        <v>2</v>
      </c>
      <c r="E1618" s="4" t="s">
        <v>26</v>
      </c>
      <c r="F1618" s="4">
        <v>2012</v>
      </c>
      <c r="G1618" s="8">
        <v>0.1</v>
      </c>
      <c r="H1618" s="4" t="s">
        <v>26</v>
      </c>
      <c r="I1618" s="8">
        <v>13.9</v>
      </c>
      <c r="J1618" s="3">
        <v>10894</v>
      </c>
      <c r="K1618" s="3">
        <v>50114</v>
      </c>
      <c r="L1618" s="17" t="str" cm="1">
        <f t="array" ref="L1618">_xlfn.IFS(MID(K1618,2,2)="01", "서울", MID(K1618,2,2)="02","경기",MID(K1618,2,2)="03","충청",MID(K1618,2,2)="04","충청",MID(K1618,2,2)="05","전라",MID(K1618,2,2)="06","전라",MID(K1618,2,2)="07","경북",MID(K1618,2,2)="08","경남",MID(K1618,2,2)="09","강원",MID(K1618,2,2)="10","제주",TRUE,"국외")</f>
        <v>서울</v>
      </c>
    </row>
    <row r="1619" spans="1:12" ht="17.25" thickBot="1">
      <c r="A1619" s="3" t="s">
        <v>1710</v>
      </c>
      <c r="B1619" s="3" t="s">
        <v>89</v>
      </c>
      <c r="C1619" s="3"/>
      <c r="D1619" s="4" t="s">
        <v>2</v>
      </c>
      <c r="E1619" s="4" t="s">
        <v>9</v>
      </c>
      <c r="F1619" s="4"/>
      <c r="G1619" s="9"/>
      <c r="H1619" s="4"/>
      <c r="I1619" s="9"/>
      <c r="J1619" s="3">
        <v>10827</v>
      </c>
      <c r="K1619" s="3">
        <v>50806</v>
      </c>
      <c r="L1619" s="17" t="str" cm="1">
        <f t="array" ref="L1619">_xlfn.IFS(MID(K1619,2,2)="01", "서울", MID(K1619,2,2)="02","경기",MID(K1619,2,2)="03","충청",MID(K1619,2,2)="04","충청",MID(K1619,2,2)="05","전라",MID(K1619,2,2)="06","전라",MID(K1619,2,2)="07","경북",MID(K1619,2,2)="08","경남",MID(K1619,2,2)="09","강원",MID(K1619,2,2)="10","제주",TRUE,"국외")</f>
        <v>경남</v>
      </c>
    </row>
    <row r="1620" spans="1:12" ht="17.25" thickBot="1">
      <c r="A1620" s="3" t="s">
        <v>1711</v>
      </c>
      <c r="B1620" s="3" t="s">
        <v>34</v>
      </c>
      <c r="C1620" s="3"/>
      <c r="D1620" s="4" t="s">
        <v>2</v>
      </c>
      <c r="E1620" s="4" t="s">
        <v>6</v>
      </c>
      <c r="F1620" s="4">
        <v>2013</v>
      </c>
      <c r="G1620" s="9"/>
      <c r="H1620" s="4" t="s">
        <v>6</v>
      </c>
      <c r="I1620" s="8">
        <v>4.2</v>
      </c>
      <c r="J1620" s="3">
        <v>10821</v>
      </c>
      <c r="K1620" s="3">
        <v>50701</v>
      </c>
      <c r="L1620" s="17" t="str" cm="1">
        <f t="array" ref="L1620">_xlfn.IFS(MID(K1620,2,2)="01", "서울", MID(K1620,2,2)="02","경기",MID(K1620,2,2)="03","충청",MID(K1620,2,2)="04","충청",MID(K1620,2,2)="05","전라",MID(K1620,2,2)="06","전라",MID(K1620,2,2)="07","경북",MID(K1620,2,2)="08","경남",MID(K1620,2,2)="09","강원",MID(K1620,2,2)="10","제주",TRUE,"국외")</f>
        <v>경북</v>
      </c>
    </row>
    <row r="1621" spans="1:12" ht="17.25" thickBot="1">
      <c r="A1621" s="3" t="s">
        <v>1712</v>
      </c>
      <c r="B1621" s="3" t="s">
        <v>14</v>
      </c>
      <c r="C1621" s="3"/>
      <c r="D1621" s="4" t="s">
        <v>2</v>
      </c>
      <c r="E1621" s="4" t="s">
        <v>20</v>
      </c>
      <c r="F1621" s="4"/>
      <c r="G1621" s="9"/>
      <c r="H1621" s="4"/>
      <c r="I1621" s="9"/>
      <c r="J1621" s="3">
        <v>10857</v>
      </c>
      <c r="K1621" s="3">
        <v>50703</v>
      </c>
      <c r="L1621" s="17" t="str" cm="1">
        <f t="array" ref="L1621">_xlfn.IFS(MID(K1621,2,2)="01", "서울", MID(K1621,2,2)="02","경기",MID(K1621,2,2)="03","충청",MID(K1621,2,2)="04","충청",MID(K1621,2,2)="05","전라",MID(K1621,2,2)="06","전라",MID(K1621,2,2)="07","경북",MID(K1621,2,2)="08","경남",MID(K1621,2,2)="09","강원",MID(K1621,2,2)="10","제주",TRUE,"국외")</f>
        <v>경북</v>
      </c>
    </row>
    <row r="1622" spans="1:12" ht="17.25" thickBot="1">
      <c r="A1622" s="3" t="s">
        <v>1713</v>
      </c>
      <c r="B1622" s="3" t="s">
        <v>42</v>
      </c>
      <c r="C1622" s="3" t="s">
        <v>99</v>
      </c>
      <c r="D1622" s="4" t="s">
        <v>2</v>
      </c>
      <c r="E1622" s="4" t="s">
        <v>906</v>
      </c>
      <c r="F1622" s="4">
        <v>2016</v>
      </c>
      <c r="G1622" s="9"/>
      <c r="H1622" s="4" t="s">
        <v>18</v>
      </c>
      <c r="I1622" s="8">
        <v>1.7</v>
      </c>
      <c r="J1622" s="3">
        <v>10866</v>
      </c>
      <c r="K1622" s="3">
        <v>50502</v>
      </c>
      <c r="L1622" s="17" t="str" cm="1">
        <f t="array" ref="L1622">_xlfn.IFS(MID(K1622,2,2)="01", "서울", MID(K1622,2,2)="02","경기",MID(K1622,2,2)="03","충청",MID(K1622,2,2)="04","충청",MID(K1622,2,2)="05","전라",MID(K1622,2,2)="06","전라",MID(K1622,2,2)="07","경북",MID(K1622,2,2)="08","경남",MID(K1622,2,2)="09","강원",MID(K1622,2,2)="10","제주",TRUE,"국외")</f>
        <v>전라</v>
      </c>
    </row>
    <row r="1623" spans="1:12" ht="17.25" thickBot="1">
      <c r="A1623" s="3" t="s">
        <v>1714</v>
      </c>
      <c r="B1623" s="3" t="s">
        <v>5</v>
      </c>
      <c r="C1623" s="3" t="s">
        <v>133</v>
      </c>
      <c r="D1623" s="4" t="s">
        <v>2</v>
      </c>
      <c r="E1623" s="4" t="s">
        <v>3</v>
      </c>
      <c r="F1623" s="4">
        <v>2012</v>
      </c>
      <c r="G1623" s="8">
        <v>0.2</v>
      </c>
      <c r="H1623" s="4" t="s">
        <v>3</v>
      </c>
      <c r="I1623" s="8">
        <v>1.8</v>
      </c>
      <c r="J1623" s="3">
        <v>10916</v>
      </c>
      <c r="K1623" s="3">
        <v>50114</v>
      </c>
      <c r="L1623" s="17" t="str" cm="1">
        <f t="array" ref="L1623">_xlfn.IFS(MID(K1623,2,2)="01", "서울", MID(K1623,2,2)="02","경기",MID(K1623,2,2)="03","충청",MID(K1623,2,2)="04","충청",MID(K1623,2,2)="05","전라",MID(K1623,2,2)="06","전라",MID(K1623,2,2)="07","경북",MID(K1623,2,2)="08","경남",MID(K1623,2,2)="09","강원",MID(K1623,2,2)="10","제주",TRUE,"국외")</f>
        <v>서울</v>
      </c>
    </row>
    <row r="1624" spans="1:12" ht="17.25" thickBot="1">
      <c r="A1624" s="3" t="s">
        <v>1715</v>
      </c>
      <c r="B1624" s="3" t="s">
        <v>147</v>
      </c>
      <c r="C1624" s="3" t="s">
        <v>218</v>
      </c>
      <c r="D1624" s="4" t="s">
        <v>2</v>
      </c>
      <c r="E1624" s="4" t="s">
        <v>3</v>
      </c>
      <c r="F1624" s="4"/>
      <c r="G1624" s="9"/>
      <c r="H1624" s="4"/>
      <c r="I1624" s="9"/>
      <c r="J1624" s="3">
        <v>10918</v>
      </c>
      <c r="K1624" s="3">
        <v>50208</v>
      </c>
      <c r="L1624" s="17" t="str" cm="1">
        <f t="array" ref="L1624">_xlfn.IFS(MID(K1624,2,2)="01", "서울", MID(K1624,2,2)="02","경기",MID(K1624,2,2)="03","충청",MID(K1624,2,2)="04","충청",MID(K1624,2,2)="05","전라",MID(K1624,2,2)="06","전라",MID(K1624,2,2)="07","경북",MID(K1624,2,2)="08","경남",MID(K1624,2,2)="09","강원",MID(K1624,2,2)="10","제주",TRUE,"국외")</f>
        <v>경기</v>
      </c>
    </row>
    <row r="1625" spans="1:12" ht="17.25" thickBot="1">
      <c r="A1625" s="3" t="s">
        <v>1716</v>
      </c>
      <c r="B1625" s="3" t="s">
        <v>169</v>
      </c>
      <c r="C1625" s="3" t="s">
        <v>90</v>
      </c>
      <c r="D1625" s="4" t="s">
        <v>2</v>
      </c>
      <c r="E1625" s="4" t="s">
        <v>906</v>
      </c>
      <c r="F1625" s="4">
        <v>2012</v>
      </c>
      <c r="G1625" s="8">
        <v>0</v>
      </c>
      <c r="H1625" s="4" t="s">
        <v>18</v>
      </c>
      <c r="I1625" s="8">
        <v>0</v>
      </c>
      <c r="J1625" s="3">
        <v>10867</v>
      </c>
      <c r="K1625" s="3">
        <v>50606</v>
      </c>
      <c r="L1625" s="17" t="str" cm="1">
        <f t="array" ref="L1625">_xlfn.IFS(MID(K1625,2,2)="01", "서울", MID(K1625,2,2)="02","경기",MID(K1625,2,2)="03","충청",MID(K1625,2,2)="04","충청",MID(K1625,2,2)="05","전라",MID(K1625,2,2)="06","전라",MID(K1625,2,2)="07","경북",MID(K1625,2,2)="08","경남",MID(K1625,2,2)="09","강원",MID(K1625,2,2)="10","제주",TRUE,"국외")</f>
        <v>전라</v>
      </c>
    </row>
    <row r="1626" spans="1:12" ht="17.25" thickBot="1">
      <c r="A1626" s="3" t="s">
        <v>1717</v>
      </c>
      <c r="B1626" s="3" t="s">
        <v>11</v>
      </c>
      <c r="C1626" s="3" t="s">
        <v>119</v>
      </c>
      <c r="D1626" s="4" t="s">
        <v>2</v>
      </c>
      <c r="E1626" s="4" t="s">
        <v>20</v>
      </c>
      <c r="F1626" s="4"/>
      <c r="G1626" s="9"/>
      <c r="H1626" s="4"/>
      <c r="I1626" s="9"/>
      <c r="J1626" s="3">
        <v>10848</v>
      </c>
      <c r="K1626" s="3">
        <v>50802</v>
      </c>
      <c r="L1626" s="17" t="str" cm="1">
        <f t="array" ref="L1626">_xlfn.IFS(MID(K1626,2,2)="01", "서울", MID(K1626,2,2)="02","경기",MID(K1626,2,2)="03","충청",MID(K1626,2,2)="04","충청",MID(K1626,2,2)="05","전라",MID(K1626,2,2)="06","전라",MID(K1626,2,2)="07","경북",MID(K1626,2,2)="08","경남",MID(K1626,2,2)="09","강원",MID(K1626,2,2)="10","제주",TRUE,"국외")</f>
        <v>경남</v>
      </c>
    </row>
    <row r="1627" spans="1:12" ht="17.25" thickBot="1">
      <c r="A1627" s="3" t="s">
        <v>1718</v>
      </c>
      <c r="B1627" s="3" t="s">
        <v>107</v>
      </c>
      <c r="C1627" s="3"/>
      <c r="D1627" s="4" t="s">
        <v>2</v>
      </c>
      <c r="E1627" s="4" t="s">
        <v>6</v>
      </c>
      <c r="F1627" s="4"/>
      <c r="G1627" s="9"/>
      <c r="H1627" s="4"/>
      <c r="I1627" s="9"/>
      <c r="J1627" s="3">
        <v>10818</v>
      </c>
      <c r="K1627" s="3">
        <v>50602</v>
      </c>
      <c r="L1627" s="17" t="str" cm="1">
        <f t="array" ref="L1627">_xlfn.IFS(MID(K1627,2,2)="01", "서울", MID(K1627,2,2)="02","경기",MID(K1627,2,2)="03","충청",MID(K1627,2,2)="04","충청",MID(K1627,2,2)="05","전라",MID(K1627,2,2)="06","전라",MID(K1627,2,2)="07","경북",MID(K1627,2,2)="08","경남",MID(K1627,2,2)="09","강원",MID(K1627,2,2)="10","제주",TRUE,"국외")</f>
        <v>전라</v>
      </c>
    </row>
    <row r="1628" spans="1:12" ht="17.25" thickBot="1">
      <c r="A1628" s="3" t="s">
        <v>1719</v>
      </c>
      <c r="B1628" s="3" t="s">
        <v>38</v>
      </c>
      <c r="C1628" s="3" t="s">
        <v>172</v>
      </c>
      <c r="D1628" s="4" t="s">
        <v>2</v>
      </c>
      <c r="E1628" s="4" t="s">
        <v>9</v>
      </c>
      <c r="F1628" s="4"/>
      <c r="G1628" s="9"/>
      <c r="H1628" s="4"/>
      <c r="I1628" s="9"/>
      <c r="J1628" s="3">
        <v>10830</v>
      </c>
      <c r="K1628" s="3">
        <v>50109</v>
      </c>
      <c r="L1628" s="17" t="str" cm="1">
        <f t="array" ref="L1628">_xlfn.IFS(MID(K1628,2,2)="01", "서울", MID(K1628,2,2)="02","경기",MID(K1628,2,2)="03","충청",MID(K1628,2,2)="04","충청",MID(K1628,2,2)="05","전라",MID(K1628,2,2)="06","전라",MID(K1628,2,2)="07","경북",MID(K1628,2,2)="08","경남",MID(K1628,2,2)="09","강원",MID(K1628,2,2)="10","제주",TRUE,"국외")</f>
        <v>서울</v>
      </c>
    </row>
    <row r="1629" spans="1:12" ht="17.25" thickBot="1">
      <c r="A1629" s="3" t="s">
        <v>1720</v>
      </c>
      <c r="B1629" s="3" t="s">
        <v>66</v>
      </c>
      <c r="C1629" s="3" t="s">
        <v>45</v>
      </c>
      <c r="D1629" s="4" t="s">
        <v>2</v>
      </c>
      <c r="E1629" s="4" t="s">
        <v>26</v>
      </c>
      <c r="F1629" s="4">
        <v>2012</v>
      </c>
      <c r="G1629" s="8">
        <v>0.1</v>
      </c>
      <c r="H1629" s="4" t="s">
        <v>26</v>
      </c>
      <c r="I1629" s="8">
        <v>17.2</v>
      </c>
      <c r="J1629" s="3">
        <v>10891</v>
      </c>
      <c r="K1629" s="3">
        <v>50110</v>
      </c>
      <c r="L1629" s="17" t="str" cm="1">
        <f t="array" ref="L1629">_xlfn.IFS(MID(K1629,2,2)="01", "서울", MID(K1629,2,2)="02","경기",MID(K1629,2,2)="03","충청",MID(K1629,2,2)="04","충청",MID(K1629,2,2)="05","전라",MID(K1629,2,2)="06","전라",MID(K1629,2,2)="07","경북",MID(K1629,2,2)="08","경남",MID(K1629,2,2)="09","강원",MID(K1629,2,2)="10","제주",TRUE,"국외")</f>
        <v>서울</v>
      </c>
    </row>
    <row r="1630" spans="1:12" ht="17.25" thickBot="1">
      <c r="A1630" s="3" t="s">
        <v>1075</v>
      </c>
      <c r="B1630" s="3" t="s">
        <v>25</v>
      </c>
      <c r="C1630" s="3"/>
      <c r="D1630" s="4" t="s">
        <v>2</v>
      </c>
      <c r="E1630" s="4" t="s">
        <v>23</v>
      </c>
      <c r="F1630" s="4"/>
      <c r="G1630" s="9"/>
      <c r="H1630" s="4"/>
      <c r="I1630" s="9"/>
      <c r="J1630" s="3">
        <v>10902</v>
      </c>
      <c r="K1630" s="3">
        <v>50403</v>
      </c>
      <c r="L1630" s="17" t="str" cm="1">
        <f t="array" ref="L1630">_xlfn.IFS(MID(K1630,2,2)="01", "서울", MID(K1630,2,2)="02","경기",MID(K1630,2,2)="03","충청",MID(K1630,2,2)="04","충청",MID(K1630,2,2)="05","전라",MID(K1630,2,2)="06","전라",MID(K1630,2,2)="07","경북",MID(K1630,2,2)="08","경남",MID(K1630,2,2)="09","강원",MID(K1630,2,2)="10","제주",TRUE,"국외")</f>
        <v>충청</v>
      </c>
    </row>
    <row r="1631" spans="1:12" ht="17.25" thickBot="1">
      <c r="A1631" s="3" t="s">
        <v>1721</v>
      </c>
      <c r="B1631" s="3" t="s">
        <v>52</v>
      </c>
      <c r="C1631" s="3" t="s">
        <v>119</v>
      </c>
      <c r="D1631" s="4" t="s">
        <v>2</v>
      </c>
      <c r="E1631" s="4" t="s">
        <v>607</v>
      </c>
      <c r="F1631" s="4">
        <v>2012</v>
      </c>
      <c r="G1631" s="8">
        <v>0</v>
      </c>
      <c r="H1631" s="4" t="s">
        <v>6</v>
      </c>
      <c r="I1631" s="8">
        <v>0.8</v>
      </c>
      <c r="J1631" s="3">
        <v>10808</v>
      </c>
      <c r="K1631" s="3">
        <v>50803</v>
      </c>
      <c r="L1631" s="17" t="str" cm="1">
        <f t="array" ref="L1631">_xlfn.IFS(MID(K1631,2,2)="01", "서울", MID(K1631,2,2)="02","경기",MID(K1631,2,2)="03","충청",MID(K1631,2,2)="04","충청",MID(K1631,2,2)="05","전라",MID(K1631,2,2)="06","전라",MID(K1631,2,2)="07","경북",MID(K1631,2,2)="08","경남",MID(K1631,2,2)="09","강원",MID(K1631,2,2)="10","제주",TRUE,"국외")</f>
        <v>경남</v>
      </c>
    </row>
    <row r="1632" spans="1:12" ht="17.25" thickBot="1">
      <c r="A1632" s="3" t="s">
        <v>1361</v>
      </c>
      <c r="B1632" s="3" t="s">
        <v>176</v>
      </c>
      <c r="C1632" s="3"/>
      <c r="D1632" s="4" t="s">
        <v>2</v>
      </c>
      <c r="E1632" s="4"/>
      <c r="F1632" s="4">
        <v>2016</v>
      </c>
      <c r="G1632" s="9"/>
      <c r="H1632" s="4" t="s">
        <v>12</v>
      </c>
      <c r="I1632" s="8">
        <v>0</v>
      </c>
      <c r="J1632" s="3">
        <v>11357</v>
      </c>
      <c r="K1632" s="3">
        <v>50302</v>
      </c>
      <c r="L1632" s="17" t="str" cm="1">
        <f t="array" ref="L1632">_xlfn.IFS(MID(K1632,2,2)="01", "서울", MID(K1632,2,2)="02","경기",MID(K1632,2,2)="03","충청",MID(K1632,2,2)="04","충청",MID(K1632,2,2)="05","전라",MID(K1632,2,2)="06","전라",MID(K1632,2,2)="07","경북",MID(K1632,2,2)="08","경남",MID(K1632,2,2)="09","강원",MID(K1632,2,2)="10","제주",TRUE,"국외")</f>
        <v>충청</v>
      </c>
    </row>
    <row r="1633" spans="1:12" ht="17.25" thickBot="1">
      <c r="A1633" s="3" t="s">
        <v>1722</v>
      </c>
      <c r="B1633" s="3" t="s">
        <v>158</v>
      </c>
      <c r="C1633" s="3" t="s">
        <v>156</v>
      </c>
      <c r="D1633" s="4" t="s">
        <v>2</v>
      </c>
      <c r="E1633" s="4" t="s">
        <v>607</v>
      </c>
      <c r="F1633" s="4"/>
      <c r="G1633" s="9"/>
      <c r="H1633" s="4"/>
      <c r="I1633" s="9"/>
      <c r="J1633" s="3">
        <v>10813</v>
      </c>
      <c r="K1633" s="3">
        <v>50501</v>
      </c>
      <c r="L1633" s="17" t="str" cm="1">
        <f t="array" ref="L1633">_xlfn.IFS(MID(K1633,2,2)="01", "서울", MID(K1633,2,2)="02","경기",MID(K1633,2,2)="03","충청",MID(K1633,2,2)="04","충청",MID(K1633,2,2)="05","전라",MID(K1633,2,2)="06","전라",MID(K1633,2,2)="07","경북",MID(K1633,2,2)="08","경남",MID(K1633,2,2)="09","강원",MID(K1633,2,2)="10","제주",TRUE,"국외")</f>
        <v>전라</v>
      </c>
    </row>
    <row r="1634" spans="1:12" ht="17.25" thickBot="1">
      <c r="A1634" s="3" t="s">
        <v>1723</v>
      </c>
      <c r="B1634" s="3" t="s">
        <v>1</v>
      </c>
      <c r="C1634" s="3" t="s">
        <v>1479</v>
      </c>
      <c r="D1634" s="4" t="s">
        <v>2</v>
      </c>
      <c r="E1634" s="4" t="s">
        <v>23</v>
      </c>
      <c r="F1634" s="4">
        <v>2015</v>
      </c>
      <c r="G1634" s="9"/>
      <c r="H1634" s="4" t="s">
        <v>20</v>
      </c>
      <c r="I1634" s="8">
        <v>-0.1</v>
      </c>
      <c r="J1634" s="3">
        <v>10903</v>
      </c>
      <c r="K1634" s="3">
        <v>50107</v>
      </c>
      <c r="L1634" s="17" t="str" cm="1">
        <f t="array" ref="L1634">_xlfn.IFS(MID(K1634,2,2)="01", "서울", MID(K1634,2,2)="02","경기",MID(K1634,2,2)="03","충청",MID(K1634,2,2)="04","충청",MID(K1634,2,2)="05","전라",MID(K1634,2,2)="06","전라",MID(K1634,2,2)="07","경북",MID(K1634,2,2)="08","경남",MID(K1634,2,2)="09","강원",MID(K1634,2,2)="10","제주",TRUE,"국외")</f>
        <v>서울</v>
      </c>
    </row>
    <row r="1635" spans="1:12" ht="17.25" thickBot="1">
      <c r="A1635" s="3" t="s">
        <v>1724</v>
      </c>
      <c r="B1635" s="3" t="s">
        <v>42</v>
      </c>
      <c r="C1635" s="3" t="s">
        <v>549</v>
      </c>
      <c r="D1635" s="4" t="s">
        <v>2</v>
      </c>
      <c r="E1635" s="4" t="s">
        <v>26</v>
      </c>
      <c r="F1635" s="4"/>
      <c r="G1635" s="9"/>
      <c r="H1635" s="4"/>
      <c r="I1635" s="9"/>
      <c r="J1635" s="3">
        <v>10884</v>
      </c>
      <c r="K1635" s="3">
        <v>50502</v>
      </c>
      <c r="L1635" s="17" t="str" cm="1">
        <f t="array" ref="L1635">_xlfn.IFS(MID(K1635,2,2)="01", "서울", MID(K1635,2,2)="02","경기",MID(K1635,2,2)="03","충청",MID(K1635,2,2)="04","충청",MID(K1635,2,2)="05","전라",MID(K1635,2,2)="06","전라",MID(K1635,2,2)="07","경북",MID(K1635,2,2)="08","경남",MID(K1635,2,2)="09","강원",MID(K1635,2,2)="10","제주",TRUE,"국외")</f>
        <v>전라</v>
      </c>
    </row>
    <row r="1636" spans="1:12" ht="17.25" thickBot="1">
      <c r="A1636" s="3" t="s">
        <v>1725</v>
      </c>
      <c r="B1636" s="3" t="s">
        <v>128</v>
      </c>
      <c r="C1636" s="3" t="s">
        <v>739</v>
      </c>
      <c r="D1636" s="4" t="s">
        <v>2</v>
      </c>
      <c r="E1636" s="4" t="s">
        <v>6</v>
      </c>
      <c r="F1636" s="4">
        <v>2012</v>
      </c>
      <c r="G1636" s="8">
        <v>1.8</v>
      </c>
      <c r="H1636" s="4" t="s">
        <v>9</v>
      </c>
      <c r="I1636" s="8">
        <v>7.3</v>
      </c>
      <c r="J1636" s="3">
        <v>10814</v>
      </c>
      <c r="K1636" s="3">
        <v>50901</v>
      </c>
      <c r="L1636" s="17" t="str" cm="1">
        <f t="array" ref="L1636">_xlfn.IFS(MID(K1636,2,2)="01", "서울", MID(K1636,2,2)="02","경기",MID(K1636,2,2)="03","충청",MID(K1636,2,2)="04","충청",MID(K1636,2,2)="05","전라",MID(K1636,2,2)="06","전라",MID(K1636,2,2)="07","경북",MID(K1636,2,2)="08","경남",MID(K1636,2,2)="09","강원",MID(K1636,2,2)="10","제주",TRUE,"국외")</f>
        <v>강원</v>
      </c>
    </row>
    <row r="1637" spans="1:12" ht="17.25" thickBot="1">
      <c r="A1637" s="3" t="s">
        <v>1726</v>
      </c>
      <c r="B1637" s="3" t="s">
        <v>1</v>
      </c>
      <c r="C1637" s="3"/>
      <c r="D1637" s="4" t="s">
        <v>2</v>
      </c>
      <c r="E1637" s="4" t="s">
        <v>20</v>
      </c>
      <c r="F1637" s="4">
        <v>2012</v>
      </c>
      <c r="G1637" s="8">
        <v>0.4</v>
      </c>
      <c r="H1637" s="4" t="s">
        <v>20</v>
      </c>
      <c r="I1637" s="8">
        <v>0.4</v>
      </c>
      <c r="J1637" s="3">
        <v>10849</v>
      </c>
      <c r="K1637" s="3">
        <v>50107</v>
      </c>
      <c r="L1637" s="17" t="str" cm="1">
        <f t="array" ref="L1637">_xlfn.IFS(MID(K1637,2,2)="01", "서울", MID(K1637,2,2)="02","경기",MID(K1637,2,2)="03","충청",MID(K1637,2,2)="04","충청",MID(K1637,2,2)="05","전라",MID(K1637,2,2)="06","전라",MID(K1637,2,2)="07","경북",MID(K1637,2,2)="08","경남",MID(K1637,2,2)="09","강원",MID(K1637,2,2)="10","제주",TRUE,"국외")</f>
        <v>서울</v>
      </c>
    </row>
    <row r="1638" spans="1:12" ht="17.25" thickBot="1">
      <c r="A1638" s="3" t="s">
        <v>1727</v>
      </c>
      <c r="B1638" s="3" t="s">
        <v>8</v>
      </c>
      <c r="C1638" s="3"/>
      <c r="D1638" s="4" t="s">
        <v>2</v>
      </c>
      <c r="E1638" s="4" t="s">
        <v>906</v>
      </c>
      <c r="F1638" s="4">
        <v>2017</v>
      </c>
      <c r="G1638" s="9"/>
      <c r="H1638" s="4" t="s">
        <v>18</v>
      </c>
      <c r="I1638" s="8">
        <v>0.4</v>
      </c>
      <c r="J1638" s="3">
        <v>10868</v>
      </c>
      <c r="K1638" s="3">
        <v>50116</v>
      </c>
      <c r="L1638" s="17" t="str" cm="1">
        <f t="array" ref="L1638">_xlfn.IFS(MID(K1638,2,2)="01", "서울", MID(K1638,2,2)="02","경기",MID(K1638,2,2)="03","충청",MID(K1638,2,2)="04","충청",MID(K1638,2,2)="05","전라",MID(K1638,2,2)="06","전라",MID(K1638,2,2)="07","경북",MID(K1638,2,2)="08","경남",MID(K1638,2,2)="09","강원",MID(K1638,2,2)="10","제주",TRUE,"국외")</f>
        <v>서울</v>
      </c>
    </row>
    <row r="1639" spans="1:12" ht="17.25" thickBot="1">
      <c r="A1639" s="3" t="s">
        <v>1728</v>
      </c>
      <c r="B1639" s="3" t="s">
        <v>25</v>
      </c>
      <c r="C1639" s="3"/>
      <c r="D1639" s="4" t="s">
        <v>2</v>
      </c>
      <c r="E1639" s="4" t="s">
        <v>3</v>
      </c>
      <c r="F1639" s="4">
        <v>2013</v>
      </c>
      <c r="G1639" s="9"/>
      <c r="H1639" s="4" t="s">
        <v>3</v>
      </c>
      <c r="I1639" s="8">
        <v>0.2</v>
      </c>
      <c r="J1639" s="3">
        <v>10914</v>
      </c>
      <c r="K1639" s="3">
        <v>50403</v>
      </c>
      <c r="L1639" s="17" t="str" cm="1">
        <f t="array" ref="L1639">_xlfn.IFS(MID(K1639,2,2)="01", "서울", MID(K1639,2,2)="02","경기",MID(K1639,2,2)="03","충청",MID(K1639,2,2)="04","충청",MID(K1639,2,2)="05","전라",MID(K1639,2,2)="06","전라",MID(K1639,2,2)="07","경북",MID(K1639,2,2)="08","경남",MID(K1639,2,2)="09","강원",MID(K1639,2,2)="10","제주",TRUE,"국외")</f>
        <v>충청</v>
      </c>
    </row>
    <row r="1640" spans="1:12" ht="17.25" thickBot="1">
      <c r="A1640" s="3" t="s">
        <v>1729</v>
      </c>
      <c r="B1640" s="3" t="s">
        <v>89</v>
      </c>
      <c r="C1640" s="3"/>
      <c r="D1640" s="4" t="s">
        <v>2</v>
      </c>
      <c r="E1640" s="4" t="s">
        <v>3</v>
      </c>
      <c r="F1640" s="4">
        <v>2016</v>
      </c>
      <c r="G1640" s="9"/>
      <c r="H1640" s="4" t="s">
        <v>3</v>
      </c>
      <c r="I1640" s="8">
        <v>1.2</v>
      </c>
      <c r="J1640" s="3">
        <v>10911</v>
      </c>
      <c r="K1640" s="3">
        <v>50806</v>
      </c>
      <c r="L1640" s="17" t="str" cm="1">
        <f t="array" ref="L1640">_xlfn.IFS(MID(K1640,2,2)="01", "서울", MID(K1640,2,2)="02","경기",MID(K1640,2,2)="03","충청",MID(K1640,2,2)="04","충청",MID(K1640,2,2)="05","전라",MID(K1640,2,2)="06","전라",MID(K1640,2,2)="07","경북",MID(K1640,2,2)="08","경남",MID(K1640,2,2)="09","강원",MID(K1640,2,2)="10","제주",TRUE,"국외")</f>
        <v>경남</v>
      </c>
    </row>
    <row r="1641" spans="1:12" ht="17.25" thickBot="1">
      <c r="A1641" s="3" t="s">
        <v>1730</v>
      </c>
      <c r="B1641" s="3"/>
      <c r="C1641" s="3"/>
      <c r="D1641" s="4" t="s">
        <v>2</v>
      </c>
      <c r="E1641" s="4" t="s">
        <v>906</v>
      </c>
      <c r="F1641" s="4"/>
      <c r="G1641" s="9"/>
      <c r="H1641" s="4"/>
      <c r="I1641" s="9"/>
      <c r="J1641" s="3">
        <v>10869</v>
      </c>
      <c r="K1641" s="3"/>
      <c r="L1641" s="17" t="str" cm="1">
        <f t="array" ref="L1641">_xlfn.IFS(MID(K1641,2,2)="01", "서울", MID(K1641,2,2)="02","경기",MID(K1641,2,2)="03","충청",MID(K1641,2,2)="04","충청",MID(K1641,2,2)="05","전라",MID(K1641,2,2)="06","전라",MID(K1641,2,2)="07","경북",MID(K1641,2,2)="08","경남",MID(K1641,2,2)="09","강원",MID(K1641,2,2)="10","제주",TRUE,"국외")</f>
        <v>국외</v>
      </c>
    </row>
    <row r="1642" spans="1:12" ht="17.25" thickBot="1">
      <c r="A1642" s="3" t="s">
        <v>1731</v>
      </c>
      <c r="B1642" s="3" t="s">
        <v>68</v>
      </c>
      <c r="C1642" s="3" t="s">
        <v>133</v>
      </c>
      <c r="D1642" s="4" t="s">
        <v>2</v>
      </c>
      <c r="E1642" s="4" t="s">
        <v>20</v>
      </c>
      <c r="F1642" s="4"/>
      <c r="G1642" s="9"/>
      <c r="H1642" s="4"/>
      <c r="I1642" s="9"/>
      <c r="J1642" s="3">
        <v>10856</v>
      </c>
      <c r="K1642" s="3">
        <v>50101</v>
      </c>
      <c r="L1642" s="17" t="str" cm="1">
        <f t="array" ref="L1642">_xlfn.IFS(MID(K1642,2,2)="01", "서울", MID(K1642,2,2)="02","경기",MID(K1642,2,2)="03","충청",MID(K1642,2,2)="04","충청",MID(K1642,2,2)="05","전라",MID(K1642,2,2)="06","전라",MID(K1642,2,2)="07","경북",MID(K1642,2,2)="08","경남",MID(K1642,2,2)="09","강원",MID(K1642,2,2)="10","제주",TRUE,"국외")</f>
        <v>서울</v>
      </c>
    </row>
    <row r="1643" spans="1:12" ht="17.25" thickBot="1">
      <c r="A1643" s="3" t="s">
        <v>1732</v>
      </c>
      <c r="B1643" s="3" t="s">
        <v>38</v>
      </c>
      <c r="C1643" s="3"/>
      <c r="D1643" s="4" t="s">
        <v>2</v>
      </c>
      <c r="E1643" s="4" t="s">
        <v>6</v>
      </c>
      <c r="F1643" s="4"/>
      <c r="G1643" s="9"/>
      <c r="H1643" s="4"/>
      <c r="I1643" s="9"/>
      <c r="J1643" s="3">
        <v>10820</v>
      </c>
      <c r="K1643" s="3">
        <v>50109</v>
      </c>
      <c r="L1643" s="17" t="str" cm="1">
        <f t="array" ref="L1643">_xlfn.IFS(MID(K1643,2,2)="01", "서울", MID(K1643,2,2)="02","경기",MID(K1643,2,2)="03","충청",MID(K1643,2,2)="04","충청",MID(K1643,2,2)="05","전라",MID(K1643,2,2)="06","전라",MID(K1643,2,2)="07","경북",MID(K1643,2,2)="08","경남",MID(K1643,2,2)="09","강원",MID(K1643,2,2)="10","제주",TRUE,"국외")</f>
        <v>서울</v>
      </c>
    </row>
    <row r="1644" spans="1:12" ht="17.25" thickBot="1">
      <c r="A1644" s="3" t="s">
        <v>1733</v>
      </c>
      <c r="B1644" s="3" t="s">
        <v>32</v>
      </c>
      <c r="C1644" s="3" t="s">
        <v>45</v>
      </c>
      <c r="D1644" s="4" t="s">
        <v>2</v>
      </c>
      <c r="E1644" s="4" t="s">
        <v>9</v>
      </c>
      <c r="F1644" s="4">
        <v>2012</v>
      </c>
      <c r="G1644" s="8">
        <v>0</v>
      </c>
      <c r="H1644" s="4" t="s">
        <v>9</v>
      </c>
      <c r="I1644" s="8">
        <v>-0.3</v>
      </c>
      <c r="J1644" s="3">
        <v>10837</v>
      </c>
      <c r="K1644" s="3">
        <v>50111</v>
      </c>
      <c r="L1644" s="17" t="str" cm="1">
        <f t="array" ref="L1644">_xlfn.IFS(MID(K1644,2,2)="01", "서울", MID(K1644,2,2)="02","경기",MID(K1644,2,2)="03","충청",MID(K1644,2,2)="04","충청",MID(K1644,2,2)="05","전라",MID(K1644,2,2)="06","전라",MID(K1644,2,2)="07","경북",MID(K1644,2,2)="08","경남",MID(K1644,2,2)="09","강원",MID(K1644,2,2)="10","제주",TRUE,"국외")</f>
        <v>서울</v>
      </c>
    </row>
    <row r="1645" spans="1:12" ht="17.25" thickBot="1">
      <c r="A1645" s="3" t="s">
        <v>1734</v>
      </c>
      <c r="B1645" s="3" t="s">
        <v>1</v>
      </c>
      <c r="C1645" s="3" t="s">
        <v>83</v>
      </c>
      <c r="D1645" s="4" t="s">
        <v>2</v>
      </c>
      <c r="E1645" s="4" t="s">
        <v>26</v>
      </c>
      <c r="F1645" s="4">
        <v>2015</v>
      </c>
      <c r="G1645" s="9"/>
      <c r="H1645" s="4" t="s">
        <v>6</v>
      </c>
      <c r="I1645" s="8">
        <v>0.1</v>
      </c>
      <c r="J1645" s="3">
        <v>10895</v>
      </c>
      <c r="K1645" s="3">
        <v>50107</v>
      </c>
      <c r="L1645" s="17" t="str" cm="1">
        <f t="array" ref="L1645">_xlfn.IFS(MID(K1645,2,2)="01", "서울", MID(K1645,2,2)="02","경기",MID(K1645,2,2)="03","충청",MID(K1645,2,2)="04","충청",MID(K1645,2,2)="05","전라",MID(K1645,2,2)="06","전라",MID(K1645,2,2)="07","경북",MID(K1645,2,2)="08","경남",MID(K1645,2,2)="09","강원",MID(K1645,2,2)="10","제주",TRUE,"국외")</f>
        <v>서울</v>
      </c>
    </row>
    <row r="1646" spans="1:12" ht="17.25" thickBot="1">
      <c r="A1646" s="3" t="s">
        <v>1735</v>
      </c>
      <c r="B1646" s="3" t="s">
        <v>1019</v>
      </c>
      <c r="C1646" s="3"/>
      <c r="D1646" s="4" t="s">
        <v>2</v>
      </c>
      <c r="E1646" s="4" t="s">
        <v>23</v>
      </c>
      <c r="F1646" s="4"/>
      <c r="G1646" s="9"/>
      <c r="H1646" s="4"/>
      <c r="I1646" s="9"/>
      <c r="J1646" s="3">
        <v>10904</v>
      </c>
      <c r="K1646" s="3">
        <v>50201</v>
      </c>
      <c r="L1646" s="17" t="str" cm="1">
        <f t="array" ref="L1646">_xlfn.IFS(MID(K1646,2,2)="01", "서울", MID(K1646,2,2)="02","경기",MID(K1646,2,2)="03","충청",MID(K1646,2,2)="04","충청",MID(K1646,2,2)="05","전라",MID(K1646,2,2)="06","전라",MID(K1646,2,2)="07","경북",MID(K1646,2,2)="08","경남",MID(K1646,2,2)="09","강원",MID(K1646,2,2)="10","제주",TRUE,"국외")</f>
        <v>경기</v>
      </c>
    </row>
    <row r="1647" spans="1:12" ht="17.25" thickBot="1">
      <c r="A1647" s="3" t="s">
        <v>1736</v>
      </c>
      <c r="B1647" s="3" t="s">
        <v>1737</v>
      </c>
      <c r="C1647" s="3" t="s">
        <v>45</v>
      </c>
      <c r="D1647" s="4" t="s">
        <v>2</v>
      </c>
      <c r="E1647" s="4" t="s">
        <v>607</v>
      </c>
      <c r="F1647" s="4">
        <v>2012</v>
      </c>
      <c r="G1647" s="8">
        <v>0.1</v>
      </c>
      <c r="H1647" s="4" t="s">
        <v>607</v>
      </c>
      <c r="I1647" s="8">
        <v>0</v>
      </c>
      <c r="J1647" s="3">
        <v>10788</v>
      </c>
      <c r="K1647" s="3">
        <v>50204</v>
      </c>
      <c r="L1647" s="17" t="str" cm="1">
        <f t="array" ref="L1647">_xlfn.IFS(MID(K1647,2,2)="01", "서울", MID(K1647,2,2)="02","경기",MID(K1647,2,2)="03","충청",MID(K1647,2,2)="04","충청",MID(K1647,2,2)="05","전라",MID(K1647,2,2)="06","전라",MID(K1647,2,2)="07","경북",MID(K1647,2,2)="08","경남",MID(K1647,2,2)="09","강원",MID(K1647,2,2)="10","제주",TRUE,"국외")</f>
        <v>경기</v>
      </c>
    </row>
    <row r="1648" spans="1:12" ht="17.25" thickBot="1">
      <c r="A1648" s="3" t="s">
        <v>1738</v>
      </c>
      <c r="B1648" s="3" t="s">
        <v>63</v>
      </c>
      <c r="C1648" s="3"/>
      <c r="D1648" s="4" t="s">
        <v>2</v>
      </c>
      <c r="E1648" s="4"/>
      <c r="F1648" s="4">
        <v>2013</v>
      </c>
      <c r="G1648" s="9"/>
      <c r="H1648" s="4" t="s">
        <v>12</v>
      </c>
      <c r="I1648" s="8">
        <v>-0.3</v>
      </c>
      <c r="J1648" s="3">
        <v>11163</v>
      </c>
      <c r="K1648" s="3">
        <v>50807</v>
      </c>
      <c r="L1648" s="17" t="str" cm="1">
        <f t="array" ref="L1648">_xlfn.IFS(MID(K1648,2,2)="01", "서울", MID(K1648,2,2)="02","경기",MID(K1648,2,2)="03","충청",MID(K1648,2,2)="04","충청",MID(K1648,2,2)="05","전라",MID(K1648,2,2)="06","전라",MID(K1648,2,2)="07","경북",MID(K1648,2,2)="08","경남",MID(K1648,2,2)="09","강원",MID(K1648,2,2)="10","제주",TRUE,"국외")</f>
        <v>경남</v>
      </c>
    </row>
    <row r="1649" spans="1:12" ht="17.25" thickBot="1">
      <c r="A1649" s="3" t="s">
        <v>1739</v>
      </c>
      <c r="B1649" s="3" t="s">
        <v>36</v>
      </c>
      <c r="C1649" s="3" t="s">
        <v>122</v>
      </c>
      <c r="D1649" s="4" t="s">
        <v>2</v>
      </c>
      <c r="E1649" s="4"/>
      <c r="F1649" s="4">
        <v>2016</v>
      </c>
      <c r="G1649" s="9"/>
      <c r="H1649" s="4" t="s">
        <v>18</v>
      </c>
      <c r="I1649" s="8">
        <v>8.6999999999999993</v>
      </c>
      <c r="J1649" s="3">
        <v>11149</v>
      </c>
      <c r="K1649" s="3">
        <v>50402</v>
      </c>
      <c r="L1649" s="17" t="str" cm="1">
        <f t="array" ref="L1649">_xlfn.IFS(MID(K1649,2,2)="01", "서울", MID(K1649,2,2)="02","경기",MID(K1649,2,2)="03","충청",MID(K1649,2,2)="04","충청",MID(K1649,2,2)="05","전라",MID(K1649,2,2)="06","전라",MID(K1649,2,2)="07","경북",MID(K1649,2,2)="08","경남",MID(K1649,2,2)="09","강원",MID(K1649,2,2)="10","제주",TRUE,"국외")</f>
        <v>충청</v>
      </c>
    </row>
    <row r="1650" spans="1:12" ht="17.25" thickBot="1">
      <c r="A1650" s="3" t="s">
        <v>1740</v>
      </c>
      <c r="B1650" s="3" t="s">
        <v>147</v>
      </c>
      <c r="C1650" s="3"/>
      <c r="D1650" s="4" t="s">
        <v>2</v>
      </c>
      <c r="E1650" s="4" t="s">
        <v>607</v>
      </c>
      <c r="F1650" s="4">
        <v>2017</v>
      </c>
      <c r="G1650" s="9"/>
      <c r="H1650" s="4" t="s">
        <v>607</v>
      </c>
      <c r="I1650" s="8">
        <v>3.7</v>
      </c>
      <c r="J1650" s="3">
        <v>10810</v>
      </c>
      <c r="K1650" s="3">
        <v>50208</v>
      </c>
      <c r="L1650" s="17" t="str" cm="1">
        <f t="array" ref="L1650">_xlfn.IFS(MID(K1650,2,2)="01", "서울", MID(K1650,2,2)="02","경기",MID(K1650,2,2)="03","충청",MID(K1650,2,2)="04","충청",MID(K1650,2,2)="05","전라",MID(K1650,2,2)="06","전라",MID(K1650,2,2)="07","경북",MID(K1650,2,2)="08","경남",MID(K1650,2,2)="09","강원",MID(K1650,2,2)="10","제주",TRUE,"국외")</f>
        <v>경기</v>
      </c>
    </row>
    <row r="1651" spans="1:12" ht="17.25" thickBot="1">
      <c r="A1651" s="3" t="s">
        <v>1741</v>
      </c>
      <c r="B1651" s="3" t="s">
        <v>36</v>
      </c>
      <c r="C1651" s="3"/>
      <c r="D1651" s="4" t="s">
        <v>2</v>
      </c>
      <c r="E1651" s="4" t="s">
        <v>23</v>
      </c>
      <c r="F1651" s="4"/>
      <c r="G1651" s="9"/>
      <c r="H1651" s="4"/>
      <c r="I1651" s="9"/>
      <c r="J1651" s="3">
        <v>10905</v>
      </c>
      <c r="K1651" s="3">
        <v>50402</v>
      </c>
      <c r="L1651" s="17" t="str" cm="1">
        <f t="array" ref="L1651">_xlfn.IFS(MID(K1651,2,2)="01", "서울", MID(K1651,2,2)="02","경기",MID(K1651,2,2)="03","충청",MID(K1651,2,2)="04","충청",MID(K1651,2,2)="05","전라",MID(K1651,2,2)="06","전라",MID(K1651,2,2)="07","경북",MID(K1651,2,2)="08","경남",MID(K1651,2,2)="09","강원",MID(K1651,2,2)="10","제주",TRUE,"국외")</f>
        <v>충청</v>
      </c>
    </row>
    <row r="1652" spans="1:12" ht="17.25" thickBot="1">
      <c r="A1652" s="3" t="s">
        <v>1742</v>
      </c>
      <c r="B1652" s="3" t="s">
        <v>228</v>
      </c>
      <c r="C1652" s="3" t="s">
        <v>1743</v>
      </c>
      <c r="D1652" s="4" t="s">
        <v>2</v>
      </c>
      <c r="E1652" s="4" t="s">
        <v>26</v>
      </c>
      <c r="F1652" s="4"/>
      <c r="G1652" s="9"/>
      <c r="H1652" s="4"/>
      <c r="I1652" s="9"/>
      <c r="J1652" s="3">
        <v>10896</v>
      </c>
      <c r="K1652" s="3">
        <v>50702</v>
      </c>
      <c r="L1652" s="17" t="str" cm="1">
        <f t="array" ref="L1652">_xlfn.IFS(MID(K1652,2,2)="01", "서울", MID(K1652,2,2)="02","경기",MID(K1652,2,2)="03","충청",MID(K1652,2,2)="04","충청",MID(K1652,2,2)="05","전라",MID(K1652,2,2)="06","전라",MID(K1652,2,2)="07","경북",MID(K1652,2,2)="08","경남",MID(K1652,2,2)="09","강원",MID(K1652,2,2)="10","제주",TRUE,"국외")</f>
        <v>경북</v>
      </c>
    </row>
    <row r="1653" spans="1:12" ht="17.25" thickBot="1">
      <c r="A1653" s="3" t="s">
        <v>1744</v>
      </c>
      <c r="B1653" s="3" t="s">
        <v>81</v>
      </c>
      <c r="C1653" s="3" t="s">
        <v>45</v>
      </c>
      <c r="D1653" s="4" t="s">
        <v>2</v>
      </c>
      <c r="E1653" s="4" t="s">
        <v>6</v>
      </c>
      <c r="F1653" s="4">
        <v>2012</v>
      </c>
      <c r="G1653" s="8">
        <v>0</v>
      </c>
      <c r="H1653" s="4" t="s">
        <v>6</v>
      </c>
      <c r="I1653" s="8">
        <v>0.3</v>
      </c>
      <c r="J1653" s="3">
        <v>10819</v>
      </c>
      <c r="K1653" s="3">
        <v>50105</v>
      </c>
      <c r="L1653" s="17" t="str" cm="1">
        <f t="array" ref="L1653">_xlfn.IFS(MID(K1653,2,2)="01", "서울", MID(K1653,2,2)="02","경기",MID(K1653,2,2)="03","충청",MID(K1653,2,2)="04","충청",MID(K1653,2,2)="05","전라",MID(K1653,2,2)="06","전라",MID(K1653,2,2)="07","경북",MID(K1653,2,2)="08","경남",MID(K1653,2,2)="09","강원",MID(K1653,2,2)="10","제주",TRUE,"국외")</f>
        <v>서울</v>
      </c>
    </row>
    <row r="1654" spans="1:12" ht="17.25" thickBot="1">
      <c r="A1654" s="3" t="s">
        <v>155</v>
      </c>
      <c r="B1654" s="3" t="s">
        <v>36</v>
      </c>
      <c r="C1654" s="3"/>
      <c r="D1654" s="4" t="s">
        <v>2</v>
      </c>
      <c r="E1654" s="4" t="s">
        <v>906</v>
      </c>
      <c r="F1654" s="4">
        <v>2015</v>
      </c>
      <c r="G1654" s="9"/>
      <c r="H1654" s="4" t="s">
        <v>18</v>
      </c>
      <c r="I1654" s="8">
        <v>-2.2999999999999998</v>
      </c>
      <c r="J1654" s="3">
        <v>10870</v>
      </c>
      <c r="K1654" s="3">
        <v>50402</v>
      </c>
      <c r="L1654" s="17" t="str" cm="1">
        <f t="array" ref="L1654">_xlfn.IFS(MID(K1654,2,2)="01", "서울", MID(K1654,2,2)="02","경기",MID(K1654,2,2)="03","충청",MID(K1654,2,2)="04","충청",MID(K1654,2,2)="05","전라",MID(K1654,2,2)="06","전라",MID(K1654,2,2)="07","경북",MID(K1654,2,2)="08","경남",MID(K1654,2,2)="09","강원",MID(K1654,2,2)="10","제주",TRUE,"국외")</f>
        <v>충청</v>
      </c>
    </row>
    <row r="1655" spans="1:12" ht="17.25" thickBot="1">
      <c r="A1655" s="3" t="s">
        <v>1745</v>
      </c>
      <c r="B1655" s="3" t="s">
        <v>50</v>
      </c>
      <c r="C1655" s="3"/>
      <c r="D1655" s="4" t="s">
        <v>2</v>
      </c>
      <c r="E1655" s="4" t="s">
        <v>3</v>
      </c>
      <c r="F1655" s="4"/>
      <c r="G1655" s="9"/>
      <c r="H1655" s="4"/>
      <c r="I1655" s="9"/>
      <c r="J1655" s="3">
        <v>10912</v>
      </c>
      <c r="K1655" s="3">
        <v>50301</v>
      </c>
      <c r="L1655" s="17" t="str" cm="1">
        <f t="array" ref="L1655">_xlfn.IFS(MID(K1655,2,2)="01", "서울", MID(K1655,2,2)="02","경기",MID(K1655,2,2)="03","충청",MID(K1655,2,2)="04","충청",MID(K1655,2,2)="05","전라",MID(K1655,2,2)="06","전라",MID(K1655,2,2)="07","경북",MID(K1655,2,2)="08","경남",MID(K1655,2,2)="09","강원",MID(K1655,2,2)="10","제주",TRUE,"국외")</f>
        <v>충청</v>
      </c>
    </row>
    <row r="1656" spans="1:12" ht="17.25" thickBot="1">
      <c r="A1656" s="3" t="s">
        <v>1746</v>
      </c>
      <c r="B1656" s="3" t="s">
        <v>11</v>
      </c>
      <c r="C1656" s="3" t="s">
        <v>119</v>
      </c>
      <c r="D1656" s="4" t="s">
        <v>2</v>
      </c>
      <c r="E1656" s="4" t="s">
        <v>3</v>
      </c>
      <c r="F1656" s="4"/>
      <c r="G1656" s="9"/>
      <c r="H1656" s="4"/>
      <c r="I1656" s="9"/>
      <c r="J1656" s="3">
        <v>10917</v>
      </c>
      <c r="K1656" s="3">
        <v>50802</v>
      </c>
      <c r="L1656" s="17" t="str" cm="1">
        <f t="array" ref="L1656">_xlfn.IFS(MID(K1656,2,2)="01", "서울", MID(K1656,2,2)="02","경기",MID(K1656,2,2)="03","충청",MID(K1656,2,2)="04","충청",MID(K1656,2,2)="05","전라",MID(K1656,2,2)="06","전라",MID(K1656,2,2)="07","경북",MID(K1656,2,2)="08","경남",MID(K1656,2,2)="09","강원",MID(K1656,2,2)="10","제주",TRUE,"국외")</f>
        <v>경남</v>
      </c>
    </row>
    <row r="1657" spans="1:12" ht="17.25" thickBot="1">
      <c r="A1657" s="3" t="s">
        <v>259</v>
      </c>
      <c r="B1657" s="3" t="s">
        <v>335</v>
      </c>
      <c r="C1657" s="3"/>
      <c r="D1657" s="4" t="s">
        <v>2</v>
      </c>
      <c r="E1657" s="4" t="s">
        <v>906</v>
      </c>
      <c r="F1657" s="4">
        <v>2014</v>
      </c>
      <c r="G1657" s="9"/>
      <c r="H1657" s="4" t="s">
        <v>18</v>
      </c>
      <c r="I1657" s="8">
        <v>1.7</v>
      </c>
      <c r="J1657" s="3">
        <v>10871</v>
      </c>
      <c r="K1657" s="3">
        <v>50804</v>
      </c>
      <c r="L1657" s="17" t="str" cm="1">
        <f t="array" ref="L1657">_xlfn.IFS(MID(K1657,2,2)="01", "서울", MID(K1657,2,2)="02","경기",MID(K1657,2,2)="03","충청",MID(K1657,2,2)="04","충청",MID(K1657,2,2)="05","전라",MID(K1657,2,2)="06","전라",MID(K1657,2,2)="07","경북",MID(K1657,2,2)="08","경남",MID(K1657,2,2)="09","강원",MID(K1657,2,2)="10","제주",TRUE,"국외")</f>
        <v>경남</v>
      </c>
    </row>
    <row r="1658" spans="1:12" ht="17.25" thickBot="1">
      <c r="A1658" s="3" t="s">
        <v>1747</v>
      </c>
      <c r="B1658" s="3" t="s">
        <v>275</v>
      </c>
      <c r="C1658" s="3" t="s">
        <v>538</v>
      </c>
      <c r="D1658" s="4" t="s">
        <v>2</v>
      </c>
      <c r="E1658" s="4" t="s">
        <v>23</v>
      </c>
      <c r="F1658" s="4"/>
      <c r="G1658" s="9"/>
      <c r="H1658" s="4"/>
      <c r="I1658" s="9"/>
      <c r="J1658" s="3">
        <v>10906</v>
      </c>
      <c r="K1658" s="3">
        <v>51001</v>
      </c>
      <c r="L1658" s="17" t="str" cm="1">
        <f t="array" ref="L1658">_xlfn.IFS(MID(K1658,2,2)="01", "서울", MID(K1658,2,2)="02","경기",MID(K1658,2,2)="03","충청",MID(K1658,2,2)="04","충청",MID(K1658,2,2)="05","전라",MID(K1658,2,2)="06","전라",MID(K1658,2,2)="07","경북",MID(K1658,2,2)="08","경남",MID(K1658,2,2)="09","강원",MID(K1658,2,2)="10","제주",TRUE,"국외")</f>
        <v>제주</v>
      </c>
    </row>
    <row r="1659" spans="1:12" ht="17.25" thickBot="1">
      <c r="A1659" s="3" t="s">
        <v>1748</v>
      </c>
      <c r="B1659" s="3" t="s">
        <v>147</v>
      </c>
      <c r="C1659" s="3" t="s">
        <v>208</v>
      </c>
      <c r="D1659" s="4" t="s">
        <v>2</v>
      </c>
      <c r="E1659" s="4" t="s">
        <v>20</v>
      </c>
      <c r="F1659" s="4">
        <v>2012</v>
      </c>
      <c r="G1659" s="8">
        <v>-0.4</v>
      </c>
      <c r="H1659" s="4" t="s">
        <v>20</v>
      </c>
      <c r="I1659" s="8">
        <v>2.4</v>
      </c>
      <c r="J1659" s="3">
        <v>10859</v>
      </c>
      <c r="K1659" s="3">
        <v>50208</v>
      </c>
      <c r="L1659" s="17" t="str" cm="1">
        <f t="array" ref="L1659">_xlfn.IFS(MID(K1659,2,2)="01", "서울", MID(K1659,2,2)="02","경기",MID(K1659,2,2)="03","충청",MID(K1659,2,2)="04","충청",MID(K1659,2,2)="05","전라",MID(K1659,2,2)="06","전라",MID(K1659,2,2)="07","경북",MID(K1659,2,2)="08","경남",MID(K1659,2,2)="09","강원",MID(K1659,2,2)="10","제주",TRUE,"국외")</f>
        <v>경기</v>
      </c>
    </row>
    <row r="1660" spans="1:12" ht="17.25" thickBot="1">
      <c r="A1660" s="3" t="s">
        <v>1749</v>
      </c>
      <c r="B1660" s="3" t="s">
        <v>107</v>
      </c>
      <c r="C1660" s="3" t="s">
        <v>99</v>
      </c>
      <c r="D1660" s="4" t="s">
        <v>2</v>
      </c>
      <c r="E1660" s="4" t="s">
        <v>9</v>
      </c>
      <c r="F1660" s="4">
        <v>2012</v>
      </c>
      <c r="G1660" s="8">
        <v>0</v>
      </c>
      <c r="H1660" s="4" t="s">
        <v>12</v>
      </c>
      <c r="I1660" s="8">
        <v>-0.5</v>
      </c>
      <c r="J1660" s="3">
        <v>10836</v>
      </c>
      <c r="K1660" s="3">
        <v>50602</v>
      </c>
      <c r="L1660" s="17" t="str" cm="1">
        <f t="array" ref="L1660">_xlfn.IFS(MID(K1660,2,2)="01", "서울", MID(K1660,2,2)="02","경기",MID(K1660,2,2)="03","충청",MID(K1660,2,2)="04","충청",MID(K1660,2,2)="05","전라",MID(K1660,2,2)="06","전라",MID(K1660,2,2)="07","경북",MID(K1660,2,2)="08","경남",MID(K1660,2,2)="09","강원",MID(K1660,2,2)="10","제주",TRUE,"국외")</f>
        <v>전라</v>
      </c>
    </row>
    <row r="1661" spans="1:12" ht="17.25" thickBot="1">
      <c r="A1661" s="3" t="s">
        <v>1750</v>
      </c>
      <c r="B1661" s="3"/>
      <c r="C1661" s="3"/>
      <c r="D1661" s="4" t="s">
        <v>2</v>
      </c>
      <c r="E1661" s="4" t="s">
        <v>6</v>
      </c>
      <c r="F1661" s="4"/>
      <c r="G1661" s="9"/>
      <c r="H1661" s="4"/>
      <c r="I1661" s="9"/>
      <c r="J1661" s="3">
        <v>10799</v>
      </c>
      <c r="K1661" s="3"/>
      <c r="L1661" s="17" t="str" cm="1">
        <f t="array" ref="L1661">_xlfn.IFS(MID(K1661,2,2)="01", "서울", MID(K1661,2,2)="02","경기",MID(K1661,2,2)="03","충청",MID(K1661,2,2)="04","충청",MID(K1661,2,2)="05","전라",MID(K1661,2,2)="06","전라",MID(K1661,2,2)="07","경북",MID(K1661,2,2)="08","경남",MID(K1661,2,2)="09","강원",MID(K1661,2,2)="10","제주",TRUE,"국외")</f>
        <v>국외</v>
      </c>
    </row>
    <row r="1662" spans="1:12" ht="17.25" thickBot="1">
      <c r="A1662" s="3" t="s">
        <v>1751</v>
      </c>
      <c r="B1662" s="3" t="s">
        <v>42</v>
      </c>
      <c r="C1662" s="3" t="s">
        <v>208</v>
      </c>
      <c r="D1662" s="4" t="s">
        <v>2</v>
      </c>
      <c r="E1662" s="4" t="s">
        <v>26</v>
      </c>
      <c r="F1662" s="4"/>
      <c r="G1662" s="9"/>
      <c r="H1662" s="4"/>
      <c r="I1662" s="9"/>
      <c r="J1662" s="3">
        <v>10889</v>
      </c>
      <c r="K1662" s="3">
        <v>50502</v>
      </c>
      <c r="L1662" s="17" t="str" cm="1">
        <f t="array" ref="L1662">_xlfn.IFS(MID(K1662,2,2)="01", "서울", MID(K1662,2,2)="02","경기",MID(K1662,2,2)="03","충청",MID(K1662,2,2)="04","충청",MID(K1662,2,2)="05","전라",MID(K1662,2,2)="06","전라",MID(K1662,2,2)="07","경북",MID(K1662,2,2)="08","경남",MID(K1662,2,2)="09","강원",MID(K1662,2,2)="10","제주",TRUE,"국외")</f>
        <v>전라</v>
      </c>
    </row>
    <row r="1663" spans="1:12" ht="17.25" thickBot="1">
      <c r="A1663" s="3" t="s">
        <v>1752</v>
      </c>
      <c r="B1663" s="3" t="s">
        <v>11</v>
      </c>
      <c r="C1663" s="3" t="s">
        <v>329</v>
      </c>
      <c r="D1663" s="4" t="s">
        <v>2</v>
      </c>
      <c r="E1663" s="4" t="s">
        <v>607</v>
      </c>
      <c r="F1663" s="4">
        <v>2012</v>
      </c>
      <c r="G1663" s="8">
        <v>0</v>
      </c>
      <c r="H1663" s="4" t="s">
        <v>607</v>
      </c>
      <c r="I1663" s="8">
        <v>19.8</v>
      </c>
      <c r="J1663" s="3">
        <v>10815</v>
      </c>
      <c r="K1663" s="3">
        <v>50802</v>
      </c>
      <c r="L1663" s="17" t="str" cm="1">
        <f t="array" ref="L1663">_xlfn.IFS(MID(K1663,2,2)="01", "서울", MID(K1663,2,2)="02","경기",MID(K1663,2,2)="03","충청",MID(K1663,2,2)="04","충청",MID(K1663,2,2)="05","전라",MID(K1663,2,2)="06","전라",MID(K1663,2,2)="07","경북",MID(K1663,2,2)="08","경남",MID(K1663,2,2)="09","강원",MID(K1663,2,2)="10","제주",TRUE,"국외")</f>
        <v>경남</v>
      </c>
    </row>
    <row r="1664" spans="1:12" ht="17.25" thickBot="1">
      <c r="A1664" s="3" t="s">
        <v>1753</v>
      </c>
      <c r="B1664" s="3" t="s">
        <v>5</v>
      </c>
      <c r="C1664" s="3" t="s">
        <v>218</v>
      </c>
      <c r="D1664" s="4" t="s">
        <v>2</v>
      </c>
      <c r="E1664" s="4"/>
      <c r="F1664" s="4">
        <v>2013</v>
      </c>
      <c r="G1664" s="9"/>
      <c r="H1664" s="4" t="s">
        <v>12</v>
      </c>
      <c r="I1664" s="8">
        <v>-0.1</v>
      </c>
      <c r="J1664" s="3">
        <v>11138</v>
      </c>
      <c r="K1664" s="3">
        <v>50114</v>
      </c>
      <c r="L1664" s="17" t="str" cm="1">
        <f t="array" ref="L1664">_xlfn.IFS(MID(K1664,2,2)="01", "서울", MID(K1664,2,2)="02","경기",MID(K1664,2,2)="03","충청",MID(K1664,2,2)="04","충청",MID(K1664,2,2)="05","전라",MID(K1664,2,2)="06","전라",MID(K1664,2,2)="07","경북",MID(K1664,2,2)="08","경남",MID(K1664,2,2)="09","강원",MID(K1664,2,2)="10","제주",TRUE,"국외")</f>
        <v>서울</v>
      </c>
    </row>
    <row r="1665" spans="1:12" ht="17.25" thickBot="1">
      <c r="A1665" s="3" t="s">
        <v>1754</v>
      </c>
      <c r="B1665" s="3" t="s">
        <v>34</v>
      </c>
      <c r="C1665" s="3" t="s">
        <v>83</v>
      </c>
      <c r="D1665" s="4" t="s">
        <v>2</v>
      </c>
      <c r="E1665" s="4" t="s">
        <v>23</v>
      </c>
      <c r="F1665" s="4">
        <v>2012</v>
      </c>
      <c r="G1665" s="8">
        <v>-0.1</v>
      </c>
      <c r="H1665" s="4" t="s">
        <v>23</v>
      </c>
      <c r="I1665" s="8">
        <v>-0.1</v>
      </c>
      <c r="J1665" s="3">
        <v>10901</v>
      </c>
      <c r="K1665" s="3">
        <v>50701</v>
      </c>
      <c r="L1665" s="17" t="str" cm="1">
        <f t="array" ref="L1665">_xlfn.IFS(MID(K1665,2,2)="01", "서울", MID(K1665,2,2)="02","경기",MID(K1665,2,2)="03","충청",MID(K1665,2,2)="04","충청",MID(K1665,2,2)="05","전라",MID(K1665,2,2)="06","전라",MID(K1665,2,2)="07","경북",MID(K1665,2,2)="08","경남",MID(K1665,2,2)="09","강원",MID(K1665,2,2)="10","제주",TRUE,"국외")</f>
        <v>경북</v>
      </c>
    </row>
    <row r="1666" spans="1:12" ht="17.25" thickBot="1">
      <c r="A1666" s="3" t="s">
        <v>1755</v>
      </c>
      <c r="B1666" s="3" t="s">
        <v>32</v>
      </c>
      <c r="C1666" s="3"/>
      <c r="D1666" s="4" t="s">
        <v>2</v>
      </c>
      <c r="E1666" s="4"/>
      <c r="F1666" s="4">
        <v>2015</v>
      </c>
      <c r="G1666" s="9"/>
      <c r="H1666" s="4" t="s">
        <v>6</v>
      </c>
      <c r="I1666" s="8">
        <v>0.3</v>
      </c>
      <c r="J1666" s="3">
        <v>11363</v>
      </c>
      <c r="K1666" s="3">
        <v>50111</v>
      </c>
      <c r="L1666" s="17" t="str" cm="1">
        <f t="array" ref="L1666">_xlfn.IFS(MID(K1666,2,2)="01", "서울", MID(K1666,2,2)="02","경기",MID(K1666,2,2)="03","충청",MID(K1666,2,2)="04","충청",MID(K1666,2,2)="05","전라",MID(K1666,2,2)="06","전라",MID(K1666,2,2)="07","경북",MID(K1666,2,2)="08","경남",MID(K1666,2,2)="09","강원",MID(K1666,2,2)="10","제주",TRUE,"국외")</f>
        <v>서울</v>
      </c>
    </row>
    <row r="1667" spans="1:12" ht="17.25" thickBot="1">
      <c r="A1667" s="3" t="s">
        <v>1756</v>
      </c>
      <c r="B1667" s="3" t="s">
        <v>140</v>
      </c>
      <c r="C1667" s="3" t="s">
        <v>329</v>
      </c>
      <c r="D1667" s="4" t="s">
        <v>2</v>
      </c>
      <c r="E1667" s="4" t="s">
        <v>6</v>
      </c>
      <c r="F1667" s="4">
        <v>2012</v>
      </c>
      <c r="G1667" s="8">
        <v>0.3</v>
      </c>
      <c r="H1667" s="4" t="s">
        <v>6</v>
      </c>
      <c r="I1667" s="8">
        <v>-0.5</v>
      </c>
      <c r="J1667" s="3">
        <v>10816</v>
      </c>
      <c r="K1667" s="3">
        <v>50801</v>
      </c>
      <c r="L1667" s="17" t="str" cm="1">
        <f t="array" ref="L1667">_xlfn.IFS(MID(K1667,2,2)="01", "서울", MID(K1667,2,2)="02","경기",MID(K1667,2,2)="03","충청",MID(K1667,2,2)="04","충청",MID(K1667,2,2)="05","전라",MID(K1667,2,2)="06","전라",MID(K1667,2,2)="07","경북",MID(K1667,2,2)="08","경남",MID(K1667,2,2)="09","강원",MID(K1667,2,2)="10","제주",TRUE,"국외")</f>
        <v>경남</v>
      </c>
    </row>
    <row r="1668" spans="1:12" ht="17.25" thickBot="1">
      <c r="A1668" s="3" t="s">
        <v>1757</v>
      </c>
      <c r="B1668" s="3" t="s">
        <v>101</v>
      </c>
      <c r="C1668" s="3"/>
      <c r="D1668" s="4" t="s">
        <v>2</v>
      </c>
      <c r="E1668" s="4" t="s">
        <v>906</v>
      </c>
      <c r="F1668" s="4"/>
      <c r="G1668" s="9"/>
      <c r="H1668" s="4"/>
      <c r="I1668" s="9"/>
      <c r="J1668" s="3">
        <v>10872</v>
      </c>
      <c r="K1668" s="3">
        <v>50207</v>
      </c>
      <c r="L1668" s="17" t="str" cm="1">
        <f t="array" ref="L1668">_xlfn.IFS(MID(K1668,2,2)="01", "서울", MID(K1668,2,2)="02","경기",MID(K1668,2,2)="03","충청",MID(K1668,2,2)="04","충청",MID(K1668,2,2)="05","전라",MID(K1668,2,2)="06","전라",MID(K1668,2,2)="07","경북",MID(K1668,2,2)="08","경남",MID(K1668,2,2)="09","강원",MID(K1668,2,2)="10","제주",TRUE,"국외")</f>
        <v>경기</v>
      </c>
    </row>
    <row r="1669" spans="1:12" ht="17.25" thickBot="1">
      <c r="A1669" s="3" t="s">
        <v>1758</v>
      </c>
      <c r="B1669" s="3" t="s">
        <v>25</v>
      </c>
      <c r="C1669" s="3"/>
      <c r="D1669" s="4" t="s">
        <v>2</v>
      </c>
      <c r="E1669" s="4" t="s">
        <v>3</v>
      </c>
      <c r="F1669" s="4"/>
      <c r="G1669" s="9"/>
      <c r="H1669" s="4"/>
      <c r="I1669" s="9"/>
      <c r="J1669" s="3">
        <v>10915</v>
      </c>
      <c r="K1669" s="3">
        <v>50403</v>
      </c>
      <c r="L1669" s="17" t="str" cm="1">
        <f t="array" ref="L1669">_xlfn.IFS(MID(K1669,2,2)="01", "서울", MID(K1669,2,2)="02","경기",MID(K1669,2,2)="03","충청",MID(K1669,2,2)="04","충청",MID(K1669,2,2)="05","전라",MID(K1669,2,2)="06","전라",MID(K1669,2,2)="07","경북",MID(K1669,2,2)="08","경남",MID(K1669,2,2)="09","강원",MID(K1669,2,2)="10","제주",TRUE,"국외")</f>
        <v>충청</v>
      </c>
    </row>
    <row r="1670" spans="1:12" ht="17.25" thickBot="1">
      <c r="A1670" s="3" t="s">
        <v>1759</v>
      </c>
      <c r="B1670" s="3" t="s">
        <v>96</v>
      </c>
      <c r="C1670" s="3" t="s">
        <v>99</v>
      </c>
      <c r="D1670" s="4" t="s">
        <v>1407</v>
      </c>
      <c r="E1670" s="4"/>
      <c r="F1670" s="4">
        <v>2013</v>
      </c>
      <c r="G1670" s="9"/>
      <c r="H1670" s="4" t="s">
        <v>12</v>
      </c>
      <c r="I1670" s="8">
        <v>17.3</v>
      </c>
      <c r="J1670" s="3">
        <v>11165</v>
      </c>
      <c r="K1670" s="3">
        <v>50601</v>
      </c>
      <c r="L1670" s="17" t="str" cm="1">
        <f t="array" ref="L1670">_xlfn.IFS(MID(K1670,2,2)="01", "서울", MID(K1670,2,2)="02","경기",MID(K1670,2,2)="03","충청",MID(K1670,2,2)="04","충청",MID(K1670,2,2)="05","전라",MID(K1670,2,2)="06","전라",MID(K1670,2,2)="07","경북",MID(K1670,2,2)="08","경남",MID(K1670,2,2)="09","강원",MID(K1670,2,2)="10","제주",TRUE,"국외")</f>
        <v>전라</v>
      </c>
    </row>
    <row r="1671" spans="1:12" ht="17.25" thickBot="1">
      <c r="A1671" s="3" t="s">
        <v>1760</v>
      </c>
      <c r="B1671" s="3" t="s">
        <v>82</v>
      </c>
      <c r="C1671" s="3"/>
      <c r="D1671" s="4" t="s">
        <v>1407</v>
      </c>
      <c r="E1671" s="4"/>
      <c r="F1671" s="4">
        <v>2013</v>
      </c>
      <c r="G1671" s="9"/>
      <c r="H1671" s="4" t="s">
        <v>26</v>
      </c>
      <c r="I1671" s="8">
        <v>-0.1</v>
      </c>
      <c r="J1671" s="3">
        <v>11159</v>
      </c>
      <c r="K1671" s="3">
        <v>50605</v>
      </c>
      <c r="L1671" s="17" t="str" cm="1">
        <f t="array" ref="L1671">_xlfn.IFS(MID(K1671,2,2)="01", "서울", MID(K1671,2,2)="02","경기",MID(K1671,2,2)="03","충청",MID(K1671,2,2)="04","충청",MID(K1671,2,2)="05","전라",MID(K1671,2,2)="06","전라",MID(K1671,2,2)="07","경북",MID(K1671,2,2)="08","경남",MID(K1671,2,2)="09","강원",MID(K1671,2,2)="10","제주",TRUE,"국외")</f>
        <v>전라</v>
      </c>
    </row>
    <row r="1672" spans="1:12" ht="17.25" thickBot="1">
      <c r="A1672" s="3" t="s">
        <v>699</v>
      </c>
      <c r="B1672" s="3" t="s">
        <v>78</v>
      </c>
      <c r="C1672" s="3" t="s">
        <v>739</v>
      </c>
      <c r="D1672" s="4" t="s">
        <v>1407</v>
      </c>
      <c r="E1672" s="4" t="s">
        <v>3</v>
      </c>
      <c r="F1672" s="4">
        <v>2012</v>
      </c>
      <c r="G1672" s="8">
        <v>0</v>
      </c>
      <c r="H1672" s="4" t="s">
        <v>3</v>
      </c>
      <c r="I1672" s="8">
        <v>0</v>
      </c>
      <c r="J1672" s="3">
        <v>10907</v>
      </c>
      <c r="K1672" s="3">
        <v>50401</v>
      </c>
      <c r="L1672" s="17" t="str" cm="1">
        <f t="array" ref="L1672">_xlfn.IFS(MID(K1672,2,2)="01", "서울", MID(K1672,2,2)="02","경기",MID(K1672,2,2)="03","충청",MID(K1672,2,2)="04","충청",MID(K1672,2,2)="05","전라",MID(K1672,2,2)="06","전라",MID(K1672,2,2)="07","경북",MID(K1672,2,2)="08","경남",MID(K1672,2,2)="09","강원",MID(K1672,2,2)="10","제주",TRUE,"국외")</f>
        <v>충청</v>
      </c>
    </row>
    <row r="1673" spans="1:12" ht="17.25" thickBot="1">
      <c r="A1673" s="3" t="s">
        <v>743</v>
      </c>
      <c r="B1673" s="3" t="s">
        <v>40</v>
      </c>
      <c r="C1673" s="3" t="s">
        <v>122</v>
      </c>
      <c r="D1673" s="4" t="s">
        <v>1407</v>
      </c>
      <c r="E1673" s="4"/>
      <c r="F1673" s="4">
        <v>2013</v>
      </c>
      <c r="G1673" s="9"/>
      <c r="H1673" s="4" t="s">
        <v>12</v>
      </c>
      <c r="I1673" s="8">
        <v>-0.6</v>
      </c>
      <c r="J1673" s="3">
        <v>11145</v>
      </c>
      <c r="K1673" s="3">
        <v>50108</v>
      </c>
      <c r="L1673" s="17" t="str" cm="1">
        <f t="array" ref="L1673">_xlfn.IFS(MID(K1673,2,2)="01", "서울", MID(K1673,2,2)="02","경기",MID(K1673,2,2)="03","충청",MID(K1673,2,2)="04","충청",MID(K1673,2,2)="05","전라",MID(K1673,2,2)="06","전라",MID(K1673,2,2)="07","경북",MID(K1673,2,2)="08","경남",MID(K1673,2,2)="09","강원",MID(K1673,2,2)="10","제주",TRUE,"국외")</f>
        <v>서울</v>
      </c>
    </row>
    <row r="1674" spans="1:12" ht="17.25" thickBot="1">
      <c r="A1674" s="3" t="s">
        <v>1127</v>
      </c>
      <c r="B1674" s="3" t="s">
        <v>241</v>
      </c>
      <c r="C1674" s="3"/>
      <c r="D1674" s="4" t="s">
        <v>1407</v>
      </c>
      <c r="E1674" s="4"/>
      <c r="F1674" s="4">
        <v>2018</v>
      </c>
      <c r="G1674" s="9"/>
      <c r="H1674" s="4" t="s">
        <v>20</v>
      </c>
      <c r="I1674" s="8">
        <v>0</v>
      </c>
      <c r="J1674" s="3">
        <v>11125</v>
      </c>
      <c r="K1674" s="3">
        <v>50202</v>
      </c>
      <c r="L1674" s="17" t="str" cm="1">
        <f t="array" ref="L1674">_xlfn.IFS(MID(K1674,2,2)="01", "서울", MID(K1674,2,2)="02","경기",MID(K1674,2,2)="03","충청",MID(K1674,2,2)="04","충청",MID(K1674,2,2)="05","전라",MID(K1674,2,2)="06","전라",MID(K1674,2,2)="07","경북",MID(K1674,2,2)="08","경남",MID(K1674,2,2)="09","강원",MID(K1674,2,2)="10","제주",TRUE,"국외")</f>
        <v>경기</v>
      </c>
    </row>
    <row r="1675" spans="1:12" ht="17.25" thickBot="1">
      <c r="A1675" s="3" t="s">
        <v>604</v>
      </c>
      <c r="B1675" s="3" t="s">
        <v>93</v>
      </c>
      <c r="C1675" s="3"/>
      <c r="D1675" s="4" t="s">
        <v>1407</v>
      </c>
      <c r="E1675" s="4"/>
      <c r="F1675" s="4">
        <v>2013</v>
      </c>
      <c r="G1675" s="9"/>
      <c r="H1675" s="4" t="s">
        <v>12</v>
      </c>
      <c r="I1675" s="8">
        <v>2.7</v>
      </c>
      <c r="J1675" s="3">
        <v>11151</v>
      </c>
      <c r="K1675" s="3">
        <v>50805</v>
      </c>
      <c r="L1675" s="17" t="str" cm="1">
        <f t="array" ref="L1675">_xlfn.IFS(MID(K1675,2,2)="01", "서울", MID(K1675,2,2)="02","경기",MID(K1675,2,2)="03","충청",MID(K1675,2,2)="04","충청",MID(K1675,2,2)="05","전라",MID(K1675,2,2)="06","전라",MID(K1675,2,2)="07","경북",MID(K1675,2,2)="08","경남",MID(K1675,2,2)="09","강원",MID(K1675,2,2)="10","제주",TRUE,"국외")</f>
        <v>경남</v>
      </c>
    </row>
    <row r="1676" spans="1:12" ht="17.25" thickBot="1">
      <c r="A1676" s="3" t="s">
        <v>1761</v>
      </c>
      <c r="B1676" s="3" t="s">
        <v>101</v>
      </c>
      <c r="C1676" s="3"/>
      <c r="D1676" s="4" t="s">
        <v>1407</v>
      </c>
      <c r="E1676" s="4"/>
      <c r="F1676" s="4">
        <v>2013</v>
      </c>
      <c r="G1676" s="9"/>
      <c r="H1676" s="4" t="s">
        <v>12</v>
      </c>
      <c r="I1676" s="8">
        <v>0</v>
      </c>
      <c r="J1676" s="3">
        <v>11146</v>
      </c>
      <c r="K1676" s="3">
        <v>50207</v>
      </c>
      <c r="L1676" s="17" t="str" cm="1">
        <f t="array" ref="L1676">_xlfn.IFS(MID(K1676,2,2)="01", "서울", MID(K1676,2,2)="02","경기",MID(K1676,2,2)="03","충청",MID(K1676,2,2)="04","충청",MID(K1676,2,2)="05","전라",MID(K1676,2,2)="06","전라",MID(K1676,2,2)="07","경북",MID(K1676,2,2)="08","경남",MID(K1676,2,2)="09","강원",MID(K1676,2,2)="10","제주",TRUE,"국외")</f>
        <v>경기</v>
      </c>
    </row>
    <row r="1677" spans="1:12" ht="17.25" thickBot="1">
      <c r="A1677" s="3" t="s">
        <v>1762</v>
      </c>
      <c r="B1677" s="3" t="s">
        <v>82</v>
      </c>
      <c r="C1677" s="3" t="s">
        <v>133</v>
      </c>
      <c r="D1677" s="4" t="s">
        <v>1407</v>
      </c>
      <c r="E1677" s="4"/>
      <c r="F1677" s="4">
        <v>2013</v>
      </c>
      <c r="G1677" s="9"/>
      <c r="H1677" s="4" t="s">
        <v>12</v>
      </c>
      <c r="I1677" s="8">
        <v>0.7</v>
      </c>
      <c r="J1677" s="3">
        <v>11144</v>
      </c>
      <c r="K1677" s="3">
        <v>50605</v>
      </c>
      <c r="L1677" s="17" t="str" cm="1">
        <f t="array" ref="L1677">_xlfn.IFS(MID(K1677,2,2)="01", "서울", MID(K1677,2,2)="02","경기",MID(K1677,2,2)="03","충청",MID(K1677,2,2)="04","충청",MID(K1677,2,2)="05","전라",MID(K1677,2,2)="06","전라",MID(K1677,2,2)="07","경북",MID(K1677,2,2)="08","경남",MID(K1677,2,2)="09","강원",MID(K1677,2,2)="10","제주",TRUE,"국외")</f>
        <v>전라</v>
      </c>
    </row>
    <row r="1678" spans="1:12" ht="17.25" thickBot="1">
      <c r="A1678" s="3" t="s">
        <v>1763</v>
      </c>
      <c r="B1678" s="3"/>
      <c r="C1678" s="3"/>
      <c r="D1678" s="4" t="s">
        <v>181</v>
      </c>
      <c r="E1678" s="4" t="s">
        <v>6</v>
      </c>
      <c r="F1678" s="4">
        <v>2012</v>
      </c>
      <c r="G1678" s="8">
        <v>1.8</v>
      </c>
      <c r="H1678" s="4" t="s">
        <v>6</v>
      </c>
      <c r="I1678" s="8">
        <v>2.2000000000000002</v>
      </c>
      <c r="J1678" s="3">
        <v>10794</v>
      </c>
      <c r="K1678" s="3"/>
      <c r="L1678" s="17" t="str" cm="1">
        <f t="array" ref="L1678">_xlfn.IFS(MID(K1678,2,2)="01", "서울", MID(K1678,2,2)="02","경기",MID(K1678,2,2)="03","충청",MID(K1678,2,2)="04","충청",MID(K1678,2,2)="05","전라",MID(K1678,2,2)="06","전라",MID(K1678,2,2)="07","경북",MID(K1678,2,2)="08","경남",MID(K1678,2,2)="09","강원",MID(K1678,2,2)="10","제주",TRUE,"국외")</f>
        <v>국외</v>
      </c>
    </row>
    <row r="1679" spans="1:12" ht="17.25" thickBot="1">
      <c r="A1679" s="3" t="s">
        <v>1764</v>
      </c>
      <c r="B1679" s="3"/>
      <c r="C1679" s="3"/>
      <c r="D1679" s="4" t="s">
        <v>181</v>
      </c>
      <c r="E1679" s="4" t="s">
        <v>6</v>
      </c>
      <c r="F1679" s="4">
        <v>2012</v>
      </c>
      <c r="G1679" s="8">
        <v>2.6</v>
      </c>
      <c r="H1679" s="4" t="s">
        <v>20</v>
      </c>
      <c r="I1679" s="8">
        <v>29.5</v>
      </c>
      <c r="J1679" s="3">
        <v>10933</v>
      </c>
      <c r="K1679" s="3"/>
      <c r="L1679" s="17" t="str" cm="1">
        <f t="array" ref="L1679">_xlfn.IFS(MID(K1679,2,2)="01", "서울", MID(K1679,2,2)="02","경기",MID(K1679,2,2)="03","충청",MID(K1679,2,2)="04","충청",MID(K1679,2,2)="05","전라",MID(K1679,2,2)="06","전라",MID(K1679,2,2)="07","경북",MID(K1679,2,2)="08","경남",MID(K1679,2,2)="09","강원",MID(K1679,2,2)="10","제주",TRUE,"국외")</f>
        <v>국외</v>
      </c>
    </row>
    <row r="1680" spans="1:12" ht="17.25" thickBot="1">
      <c r="A1680" s="3" t="s">
        <v>419</v>
      </c>
      <c r="B1680" s="3"/>
      <c r="C1680" s="3"/>
      <c r="D1680" s="4" t="s">
        <v>181</v>
      </c>
      <c r="E1680" s="4" t="s">
        <v>6</v>
      </c>
      <c r="F1680" s="4">
        <v>2012</v>
      </c>
      <c r="G1680" s="8">
        <v>0.2</v>
      </c>
      <c r="H1680" s="4" t="s">
        <v>6</v>
      </c>
      <c r="I1680" s="8">
        <v>0.2</v>
      </c>
      <c r="J1680" s="3">
        <v>10926</v>
      </c>
      <c r="K1680" s="3"/>
      <c r="L1680" s="17" t="str" cm="1">
        <f t="array" ref="L1680">_xlfn.IFS(MID(K1680,2,2)="01", "서울", MID(K1680,2,2)="02","경기",MID(K1680,2,2)="03","충청",MID(K1680,2,2)="04","충청",MID(K1680,2,2)="05","전라",MID(K1680,2,2)="06","전라",MID(K1680,2,2)="07","경북",MID(K1680,2,2)="08","경남",MID(K1680,2,2)="09","강원",MID(K1680,2,2)="10","제주",TRUE,"국외")</f>
        <v>국외</v>
      </c>
    </row>
    <row r="1681" spans="1:12" ht="17.25" thickBot="1">
      <c r="A1681" s="3" t="s">
        <v>1765</v>
      </c>
      <c r="B1681" s="3" t="s">
        <v>70</v>
      </c>
      <c r="C1681" s="3" t="s">
        <v>122</v>
      </c>
      <c r="D1681" s="4" t="s">
        <v>181</v>
      </c>
      <c r="E1681" s="4"/>
      <c r="F1681" s="4"/>
      <c r="G1681" s="9"/>
      <c r="H1681" s="4"/>
      <c r="I1681" s="9"/>
      <c r="J1681" s="3">
        <v>11140</v>
      </c>
      <c r="K1681" s="3">
        <v>50103</v>
      </c>
      <c r="L1681" s="17" t="str" cm="1">
        <f t="array" ref="L1681">_xlfn.IFS(MID(K1681,2,2)="01", "서울", MID(K1681,2,2)="02","경기",MID(K1681,2,2)="03","충청",MID(K1681,2,2)="04","충청",MID(K1681,2,2)="05","전라",MID(K1681,2,2)="06","전라",MID(K1681,2,2)="07","경북",MID(K1681,2,2)="08","경남",MID(K1681,2,2)="09","강원",MID(K1681,2,2)="10","제주",TRUE,"국외")</f>
        <v>서울</v>
      </c>
    </row>
    <row r="1682" spans="1:12" ht="17.25" thickBot="1">
      <c r="A1682" s="3" t="s">
        <v>1766</v>
      </c>
      <c r="B1682" s="3" t="s">
        <v>38</v>
      </c>
      <c r="C1682" s="3" t="s">
        <v>133</v>
      </c>
      <c r="D1682" s="4" t="s">
        <v>181</v>
      </c>
      <c r="E1682" s="4"/>
      <c r="F1682" s="4"/>
      <c r="G1682" s="9"/>
      <c r="H1682" s="4"/>
      <c r="I1682" s="9"/>
      <c r="J1682" s="3">
        <v>11315</v>
      </c>
      <c r="K1682" s="3">
        <v>50109</v>
      </c>
      <c r="L1682" s="17" t="str" cm="1">
        <f t="array" ref="L1682">_xlfn.IFS(MID(K1682,2,2)="01", "서울", MID(K1682,2,2)="02","경기",MID(K1682,2,2)="03","충청",MID(K1682,2,2)="04","충청",MID(K1682,2,2)="05","전라",MID(K1682,2,2)="06","전라",MID(K1682,2,2)="07","경북",MID(K1682,2,2)="08","경남",MID(K1682,2,2)="09","강원",MID(K1682,2,2)="10","제주",TRUE,"국외")</f>
        <v>서울</v>
      </c>
    </row>
    <row r="1683" spans="1:12" ht="17.25" thickBot="1">
      <c r="A1683" s="3" t="s">
        <v>1767</v>
      </c>
      <c r="B1683" s="3" t="s">
        <v>169</v>
      </c>
      <c r="C1683" s="3" t="s">
        <v>90</v>
      </c>
      <c r="D1683" s="4" t="s">
        <v>181</v>
      </c>
      <c r="E1683" s="4"/>
      <c r="F1683" s="4">
        <v>2013</v>
      </c>
      <c r="G1683" s="9"/>
      <c r="H1683" s="4" t="s">
        <v>12</v>
      </c>
      <c r="I1683" s="8">
        <v>0</v>
      </c>
      <c r="J1683" s="3">
        <v>11133</v>
      </c>
      <c r="K1683" s="3">
        <v>50606</v>
      </c>
      <c r="L1683" s="17" t="str" cm="1">
        <f t="array" ref="L1683">_xlfn.IFS(MID(K1683,2,2)="01", "서울", MID(K1683,2,2)="02","경기",MID(K1683,2,2)="03","충청",MID(K1683,2,2)="04","충청",MID(K1683,2,2)="05","전라",MID(K1683,2,2)="06","전라",MID(K1683,2,2)="07","경북",MID(K1683,2,2)="08","경남",MID(K1683,2,2)="09","강원",MID(K1683,2,2)="10","제주",TRUE,"국외")</f>
        <v>전라</v>
      </c>
    </row>
    <row r="1684" spans="1:12" ht="17.25" thickBot="1">
      <c r="A1684" s="3" t="s">
        <v>1768</v>
      </c>
      <c r="B1684" s="3" t="s">
        <v>722</v>
      </c>
      <c r="C1684" s="3" t="s">
        <v>722</v>
      </c>
      <c r="D1684" s="4" t="s">
        <v>181</v>
      </c>
      <c r="E1684" s="4" t="s">
        <v>607</v>
      </c>
      <c r="F1684" s="4">
        <v>2012</v>
      </c>
      <c r="G1684" s="8">
        <v>1.7</v>
      </c>
      <c r="H1684" s="4" t="s">
        <v>607</v>
      </c>
      <c r="I1684" s="8">
        <v>1.7</v>
      </c>
      <c r="J1684" s="3">
        <v>10782</v>
      </c>
      <c r="K1684" s="3">
        <v>51100</v>
      </c>
      <c r="L1684" s="17" t="str" cm="1">
        <f t="array" ref="L1684">_xlfn.IFS(MID(K1684,2,2)="01", "서울", MID(K1684,2,2)="02","경기",MID(K1684,2,2)="03","충청",MID(K1684,2,2)="04","충청",MID(K1684,2,2)="05","전라",MID(K1684,2,2)="06","전라",MID(K1684,2,2)="07","경북",MID(K1684,2,2)="08","경남",MID(K1684,2,2)="09","강원",MID(K1684,2,2)="10","제주",TRUE,"국외")</f>
        <v>국외</v>
      </c>
    </row>
    <row r="1685" spans="1:12" ht="17.25" thickBot="1">
      <c r="A1685" s="3" t="s">
        <v>1769</v>
      </c>
      <c r="B1685" s="3"/>
      <c r="C1685" s="3"/>
      <c r="D1685" s="4" t="s">
        <v>181</v>
      </c>
      <c r="E1685" s="4" t="s">
        <v>607</v>
      </c>
      <c r="F1685" s="4">
        <v>2012</v>
      </c>
      <c r="G1685" s="8">
        <v>0.2</v>
      </c>
      <c r="H1685" s="4" t="s">
        <v>607</v>
      </c>
      <c r="I1685" s="8">
        <v>0.2</v>
      </c>
      <c r="J1685" s="3">
        <v>10937</v>
      </c>
      <c r="K1685" s="3"/>
      <c r="L1685" s="17" t="str" cm="1">
        <f t="array" ref="L1685">_xlfn.IFS(MID(K1685,2,2)="01", "서울", MID(K1685,2,2)="02","경기",MID(K1685,2,2)="03","충청",MID(K1685,2,2)="04","충청",MID(K1685,2,2)="05","전라",MID(K1685,2,2)="06","전라",MID(K1685,2,2)="07","경북",MID(K1685,2,2)="08","경남",MID(K1685,2,2)="09","강원",MID(K1685,2,2)="10","제주",TRUE,"국외")</f>
        <v>국외</v>
      </c>
    </row>
    <row r="1686" spans="1:12" ht="17.25" thickBot="1">
      <c r="A1686" s="3" t="s">
        <v>1770</v>
      </c>
      <c r="B1686" s="3"/>
      <c r="C1686" s="3"/>
      <c r="D1686" s="4" t="s">
        <v>181</v>
      </c>
      <c r="E1686" s="4" t="s">
        <v>906</v>
      </c>
      <c r="F1686" s="4">
        <v>2012</v>
      </c>
      <c r="G1686" s="8">
        <v>3</v>
      </c>
      <c r="H1686" s="4" t="s">
        <v>18</v>
      </c>
      <c r="I1686" s="8">
        <v>25.6</v>
      </c>
      <c r="J1686" s="3">
        <v>10844</v>
      </c>
      <c r="K1686" s="3"/>
      <c r="L1686" s="17" t="str" cm="1">
        <f t="array" ref="L1686">_xlfn.IFS(MID(K1686,2,2)="01", "서울", MID(K1686,2,2)="02","경기",MID(K1686,2,2)="03","충청",MID(K1686,2,2)="04","충청",MID(K1686,2,2)="05","전라",MID(K1686,2,2)="06","전라",MID(K1686,2,2)="07","경북",MID(K1686,2,2)="08","경남",MID(K1686,2,2)="09","강원",MID(K1686,2,2)="10","제주",TRUE,"국외")</f>
        <v>국외</v>
      </c>
    </row>
    <row r="1687" spans="1:12" ht="17.25" thickBot="1">
      <c r="A1687" s="3" t="s">
        <v>1771</v>
      </c>
      <c r="B1687" s="3"/>
      <c r="C1687" s="3"/>
      <c r="D1687" s="4" t="s">
        <v>181</v>
      </c>
      <c r="E1687" s="4" t="s">
        <v>26</v>
      </c>
      <c r="F1687" s="4">
        <v>2012</v>
      </c>
      <c r="G1687" s="8">
        <v>3.7</v>
      </c>
      <c r="H1687" s="4" t="s">
        <v>26</v>
      </c>
      <c r="I1687" s="8">
        <v>3.7</v>
      </c>
      <c r="J1687" s="3">
        <v>10919</v>
      </c>
      <c r="K1687" s="3"/>
      <c r="L1687" s="17" t="str" cm="1">
        <f t="array" ref="L1687">_xlfn.IFS(MID(K1687,2,2)="01", "서울", MID(K1687,2,2)="02","경기",MID(K1687,2,2)="03","충청",MID(K1687,2,2)="04","충청",MID(K1687,2,2)="05","전라",MID(K1687,2,2)="06","전라",MID(K1687,2,2)="07","경북",MID(K1687,2,2)="08","경남",MID(K1687,2,2)="09","강원",MID(K1687,2,2)="10","제주",TRUE,"국외")</f>
        <v>국외</v>
      </c>
    </row>
    <row r="1688" spans="1:12" ht="17.25" thickBot="1">
      <c r="A1688" s="3" t="s">
        <v>1772</v>
      </c>
      <c r="B1688" s="3"/>
      <c r="C1688" s="3"/>
      <c r="D1688" s="4" t="s">
        <v>181</v>
      </c>
      <c r="E1688" s="4" t="s">
        <v>9</v>
      </c>
      <c r="F1688" s="4">
        <v>2012</v>
      </c>
      <c r="G1688" s="8">
        <v>6.2</v>
      </c>
      <c r="H1688" s="4" t="s">
        <v>9</v>
      </c>
      <c r="I1688" s="8">
        <v>15.6</v>
      </c>
      <c r="J1688" s="3">
        <v>10828</v>
      </c>
      <c r="K1688" s="3"/>
      <c r="L1688" s="17" t="str" cm="1">
        <f t="array" ref="L1688">_xlfn.IFS(MID(K1688,2,2)="01", "서울", MID(K1688,2,2)="02","경기",MID(K1688,2,2)="03","충청",MID(K1688,2,2)="04","충청",MID(K1688,2,2)="05","전라",MID(K1688,2,2)="06","전라",MID(K1688,2,2)="07","경북",MID(K1688,2,2)="08","경남",MID(K1688,2,2)="09","강원",MID(K1688,2,2)="10","제주",TRUE,"국외")</f>
        <v>국외</v>
      </c>
    </row>
    <row r="1689" spans="1:12" ht="17.25" thickBot="1">
      <c r="A1689" s="3" t="s">
        <v>1773</v>
      </c>
      <c r="B1689" s="3"/>
      <c r="C1689" s="3"/>
      <c r="D1689" s="4" t="s">
        <v>181</v>
      </c>
      <c r="E1689" s="4" t="s">
        <v>23</v>
      </c>
      <c r="F1689" s="4">
        <v>2012</v>
      </c>
      <c r="G1689" s="8">
        <v>2.5</v>
      </c>
      <c r="H1689" s="4" t="s">
        <v>3</v>
      </c>
      <c r="I1689" s="8">
        <v>5.2</v>
      </c>
      <c r="J1689" s="3">
        <v>10880</v>
      </c>
      <c r="K1689" s="3"/>
      <c r="L1689" s="17" t="str" cm="1">
        <f t="array" ref="L1689">_xlfn.IFS(MID(K1689,2,2)="01", "서울", MID(K1689,2,2)="02","경기",MID(K1689,2,2)="03","충청",MID(K1689,2,2)="04","충청",MID(K1689,2,2)="05","전라",MID(K1689,2,2)="06","전라",MID(K1689,2,2)="07","경북",MID(K1689,2,2)="08","경남",MID(K1689,2,2)="09","강원",MID(K1689,2,2)="10","제주",TRUE,"국외")</f>
        <v>국외</v>
      </c>
    </row>
    <row r="1690" spans="1:12" ht="17.25" thickBot="1">
      <c r="A1690" s="3" t="s">
        <v>1774</v>
      </c>
      <c r="B1690" s="3"/>
      <c r="C1690" s="3"/>
      <c r="D1690" s="4" t="s">
        <v>181</v>
      </c>
      <c r="E1690" s="4" t="s">
        <v>3</v>
      </c>
      <c r="F1690" s="4">
        <v>2012</v>
      </c>
      <c r="G1690" s="8">
        <v>-0.9</v>
      </c>
      <c r="H1690" s="4" t="s">
        <v>3</v>
      </c>
      <c r="I1690" s="8">
        <v>-0.9</v>
      </c>
      <c r="J1690" s="3">
        <v>10936</v>
      </c>
      <c r="K1690" s="3"/>
      <c r="L1690" s="17" t="str" cm="1">
        <f t="array" ref="L1690">_xlfn.IFS(MID(K1690,2,2)="01", "서울", MID(K1690,2,2)="02","경기",MID(K1690,2,2)="03","충청",MID(K1690,2,2)="04","충청",MID(K1690,2,2)="05","전라",MID(K1690,2,2)="06","전라",MID(K1690,2,2)="07","경북",MID(K1690,2,2)="08","경남",MID(K1690,2,2)="09","강원",MID(K1690,2,2)="10","제주",TRUE,"국외")</f>
        <v>국외</v>
      </c>
    </row>
    <row r="1691" spans="1:12" ht="17.25" thickBot="1">
      <c r="A1691" s="3" t="s">
        <v>1775</v>
      </c>
      <c r="B1691" s="3"/>
      <c r="C1691" s="3"/>
      <c r="D1691" s="4" t="s">
        <v>181</v>
      </c>
      <c r="E1691" s="4" t="s">
        <v>3</v>
      </c>
      <c r="F1691" s="4">
        <v>2012</v>
      </c>
      <c r="G1691" s="8">
        <v>-0.1</v>
      </c>
      <c r="H1691" s="4" t="s">
        <v>3</v>
      </c>
      <c r="I1691" s="8">
        <v>-0.1</v>
      </c>
      <c r="J1691" s="3">
        <v>10908</v>
      </c>
      <c r="K1691" s="3"/>
      <c r="L1691" s="17" t="str" cm="1">
        <f t="array" ref="L1691">_xlfn.IFS(MID(K1691,2,2)="01", "서울", MID(K1691,2,2)="02","경기",MID(K1691,2,2)="03","충청",MID(K1691,2,2)="04","충청",MID(K1691,2,2)="05","전라",MID(K1691,2,2)="06","전라",MID(K1691,2,2)="07","경북",MID(K1691,2,2)="08","경남",MID(K1691,2,2)="09","강원",MID(K1691,2,2)="10","제주",TRUE,"국외")</f>
        <v>국외</v>
      </c>
    </row>
    <row r="1692" spans="1:12" ht="17.25" thickBot="1">
      <c r="A1692" s="3" t="s">
        <v>1776</v>
      </c>
      <c r="B1692" s="3" t="s">
        <v>158</v>
      </c>
      <c r="C1692" s="3"/>
      <c r="D1692" s="4" t="s">
        <v>1777</v>
      </c>
      <c r="E1692" s="4" t="s">
        <v>6</v>
      </c>
      <c r="F1692" s="4"/>
      <c r="G1692" s="9"/>
      <c r="H1692" s="4"/>
      <c r="I1692" s="9"/>
      <c r="J1692" s="3">
        <v>10822</v>
      </c>
      <c r="K1692" s="3">
        <v>50501</v>
      </c>
      <c r="L1692" s="17" t="str" cm="1">
        <f t="array" ref="L1692">_xlfn.IFS(MID(K1692,2,2)="01", "서울", MID(K1692,2,2)="02","경기",MID(K1692,2,2)="03","충청",MID(K1692,2,2)="04","충청",MID(K1692,2,2)="05","전라",MID(K1692,2,2)="06","전라",MID(K1692,2,2)="07","경북",MID(K1692,2,2)="08","경남",MID(K1692,2,2)="09","강원",MID(K1692,2,2)="10","제주",TRUE,"국외")</f>
        <v>전라</v>
      </c>
    </row>
    <row r="1693" spans="1:12" ht="17.25" thickBot="1">
      <c r="A1693" s="3" t="s">
        <v>1778</v>
      </c>
      <c r="B1693" s="3" t="s">
        <v>1737</v>
      </c>
      <c r="C1693" s="3" t="s">
        <v>45</v>
      </c>
      <c r="D1693" s="4" t="s">
        <v>1777</v>
      </c>
      <c r="E1693" s="4" t="s">
        <v>23</v>
      </c>
      <c r="F1693" s="4">
        <v>2012</v>
      </c>
      <c r="G1693" s="8">
        <v>0</v>
      </c>
      <c r="H1693" s="4" t="s">
        <v>23</v>
      </c>
      <c r="I1693" s="8">
        <v>0</v>
      </c>
      <c r="J1693" s="3">
        <v>10942</v>
      </c>
      <c r="K1693" s="3">
        <v>50204</v>
      </c>
      <c r="L1693" s="17" t="str" cm="1">
        <f t="array" ref="L1693">_xlfn.IFS(MID(K1693,2,2)="01", "서울", MID(K1693,2,2)="02","경기",MID(K1693,2,2)="03","충청",MID(K1693,2,2)="04","충청",MID(K1693,2,2)="05","전라",MID(K1693,2,2)="06","전라",MID(K1693,2,2)="07","경북",MID(K1693,2,2)="08","경남",MID(K1693,2,2)="09","강원",MID(K1693,2,2)="10","제주",TRUE,"국외")</f>
        <v>경기</v>
      </c>
    </row>
    <row r="1694" spans="1:12" ht="17.25" thickBot="1">
      <c r="A1694" s="3" t="s">
        <v>1779</v>
      </c>
      <c r="B1694" s="3" t="s">
        <v>107</v>
      </c>
      <c r="C1694" s="3" t="s">
        <v>119</v>
      </c>
      <c r="D1694" s="4" t="s">
        <v>205</v>
      </c>
      <c r="E1694" s="4" t="s">
        <v>6</v>
      </c>
      <c r="F1694" s="4"/>
      <c r="G1694" s="9"/>
      <c r="H1694" s="4"/>
      <c r="I1694" s="9"/>
      <c r="J1694" s="3">
        <v>10823</v>
      </c>
      <c r="K1694" s="3">
        <v>50602</v>
      </c>
      <c r="L1694" s="17" t="str" cm="1">
        <f t="array" ref="L1694">_xlfn.IFS(MID(K1694,2,2)="01", "서울", MID(K1694,2,2)="02","경기",MID(K1694,2,2)="03","충청",MID(K1694,2,2)="04","충청",MID(K1694,2,2)="05","전라",MID(K1694,2,2)="06","전라",MID(K1694,2,2)="07","경북",MID(K1694,2,2)="08","경남",MID(K1694,2,2)="09","강원",MID(K1694,2,2)="10","제주",TRUE,"국외")</f>
        <v>전라</v>
      </c>
    </row>
    <row r="1695" spans="1:12" ht="17.25" thickBot="1">
      <c r="A1695" s="3" t="s">
        <v>1780</v>
      </c>
      <c r="B1695" s="3" t="s">
        <v>32</v>
      </c>
      <c r="C1695" s="3" t="s">
        <v>221</v>
      </c>
      <c r="D1695" s="4" t="s">
        <v>205</v>
      </c>
      <c r="E1695" s="4" t="s">
        <v>6</v>
      </c>
      <c r="F1695" s="4">
        <v>2012</v>
      </c>
      <c r="G1695" s="8">
        <v>-0.3</v>
      </c>
      <c r="H1695" s="4" t="s">
        <v>6</v>
      </c>
      <c r="I1695" s="8">
        <v>-0.3</v>
      </c>
      <c r="J1695" s="3">
        <v>10787</v>
      </c>
      <c r="K1695" s="3">
        <v>50111</v>
      </c>
      <c r="L1695" s="17" t="str" cm="1">
        <f t="array" ref="L1695">_xlfn.IFS(MID(K1695,2,2)="01", "서울", MID(K1695,2,2)="02","경기",MID(K1695,2,2)="03","충청",MID(K1695,2,2)="04","충청",MID(K1695,2,2)="05","전라",MID(K1695,2,2)="06","전라",MID(K1695,2,2)="07","경북",MID(K1695,2,2)="08","경남",MID(K1695,2,2)="09","강원",MID(K1695,2,2)="10","제주",TRUE,"국외")</f>
        <v>서울</v>
      </c>
    </row>
    <row r="1696" spans="1:12" ht="17.25" thickBot="1">
      <c r="A1696" s="3" t="s">
        <v>1781</v>
      </c>
      <c r="B1696" s="3" t="s">
        <v>38</v>
      </c>
      <c r="C1696" s="3" t="s">
        <v>739</v>
      </c>
      <c r="D1696" s="4" t="s">
        <v>205</v>
      </c>
      <c r="E1696" s="4" t="s">
        <v>20</v>
      </c>
      <c r="F1696" s="4">
        <v>2012</v>
      </c>
      <c r="G1696" s="8">
        <v>-0.2</v>
      </c>
      <c r="H1696" s="4" t="s">
        <v>20</v>
      </c>
      <c r="I1696" s="8">
        <v>-0.9</v>
      </c>
      <c r="J1696" s="3">
        <v>10940</v>
      </c>
      <c r="K1696" s="3">
        <v>50109</v>
      </c>
      <c r="L1696" s="17" t="str" cm="1">
        <f t="array" ref="L1696">_xlfn.IFS(MID(K1696,2,2)="01", "서울", MID(K1696,2,2)="02","경기",MID(K1696,2,2)="03","충청",MID(K1696,2,2)="04","충청",MID(K1696,2,2)="05","전라",MID(K1696,2,2)="06","전라",MID(K1696,2,2)="07","경북",MID(K1696,2,2)="08","경남",MID(K1696,2,2)="09","강원",MID(K1696,2,2)="10","제주",TRUE,"국외")</f>
        <v>서울</v>
      </c>
    </row>
    <row r="1697" spans="1:12" ht="17.25" thickBot="1">
      <c r="A1697" s="3" t="s">
        <v>1782</v>
      </c>
      <c r="B1697" s="3" t="s">
        <v>22</v>
      </c>
      <c r="C1697" s="3" t="s">
        <v>221</v>
      </c>
      <c r="D1697" s="4" t="s">
        <v>205</v>
      </c>
      <c r="E1697" s="4"/>
      <c r="F1697" s="4">
        <v>2013</v>
      </c>
      <c r="G1697" s="9"/>
      <c r="H1697" s="4" t="s">
        <v>12</v>
      </c>
      <c r="I1697" s="8">
        <v>2.2999999999999998</v>
      </c>
      <c r="J1697" s="3">
        <v>11174</v>
      </c>
      <c r="K1697" s="3">
        <v>50209</v>
      </c>
      <c r="L1697" s="17" t="str" cm="1">
        <f t="array" ref="L1697">_xlfn.IFS(MID(K1697,2,2)="01", "서울", MID(K1697,2,2)="02","경기",MID(K1697,2,2)="03","충청",MID(K1697,2,2)="04","충청",MID(K1697,2,2)="05","전라",MID(K1697,2,2)="06","전라",MID(K1697,2,2)="07","경북",MID(K1697,2,2)="08","경남",MID(K1697,2,2)="09","강원",MID(K1697,2,2)="10","제주",TRUE,"국외")</f>
        <v>경기</v>
      </c>
    </row>
    <row r="1698" spans="1:12" ht="17.25" thickBot="1">
      <c r="A1698" s="3" t="s">
        <v>1783</v>
      </c>
      <c r="B1698" s="3" t="s">
        <v>1784</v>
      </c>
      <c r="C1698" s="3" t="s">
        <v>133</v>
      </c>
      <c r="D1698" s="4" t="s">
        <v>205</v>
      </c>
      <c r="E1698" s="4"/>
      <c r="F1698" s="4"/>
      <c r="G1698" s="9"/>
      <c r="H1698" s="4"/>
      <c r="I1698" s="9"/>
      <c r="J1698" s="3">
        <v>11210</v>
      </c>
      <c r="K1698" s="3">
        <v>50812</v>
      </c>
      <c r="L1698" s="17" t="str" cm="1">
        <f t="array" ref="L1698">_xlfn.IFS(MID(K1698,2,2)="01", "서울", MID(K1698,2,2)="02","경기",MID(K1698,2,2)="03","충청",MID(K1698,2,2)="04","충청",MID(K1698,2,2)="05","전라",MID(K1698,2,2)="06","전라",MID(K1698,2,2)="07","경북",MID(K1698,2,2)="08","경남",MID(K1698,2,2)="09","강원",MID(K1698,2,2)="10","제주",TRUE,"국외")</f>
        <v>경남</v>
      </c>
    </row>
    <row r="1699" spans="1:12" ht="17.25" thickBot="1">
      <c r="A1699" s="3" t="s">
        <v>1785</v>
      </c>
      <c r="B1699" s="3" t="s">
        <v>66</v>
      </c>
      <c r="C1699" s="3" t="s">
        <v>172</v>
      </c>
      <c r="D1699" s="4" t="s">
        <v>205</v>
      </c>
      <c r="E1699" s="4"/>
      <c r="F1699" s="4">
        <v>2014</v>
      </c>
      <c r="G1699" s="9"/>
      <c r="H1699" s="4" t="s">
        <v>3</v>
      </c>
      <c r="I1699" s="8">
        <v>0.4</v>
      </c>
      <c r="J1699" s="3">
        <v>11267</v>
      </c>
      <c r="K1699" s="3">
        <v>50110</v>
      </c>
      <c r="L1699" s="17" t="str" cm="1">
        <f t="array" ref="L1699">_xlfn.IFS(MID(K1699,2,2)="01", "서울", MID(K1699,2,2)="02","경기",MID(K1699,2,2)="03","충청",MID(K1699,2,2)="04","충청",MID(K1699,2,2)="05","전라",MID(K1699,2,2)="06","전라",MID(K1699,2,2)="07","경북",MID(K1699,2,2)="08","경남",MID(K1699,2,2)="09","강원",MID(K1699,2,2)="10","제주",TRUE,"국외")</f>
        <v>서울</v>
      </c>
    </row>
    <row r="1700" spans="1:12" ht="17.25" thickBot="1">
      <c r="A1700" s="3" t="s">
        <v>1786</v>
      </c>
      <c r="B1700" s="3" t="s">
        <v>11</v>
      </c>
      <c r="C1700" s="3" t="s">
        <v>119</v>
      </c>
      <c r="D1700" s="4" t="s">
        <v>205</v>
      </c>
      <c r="E1700" s="4" t="s">
        <v>607</v>
      </c>
      <c r="F1700" s="4">
        <v>2013</v>
      </c>
      <c r="G1700" s="9"/>
      <c r="H1700" s="4" t="s">
        <v>607</v>
      </c>
      <c r="I1700" s="8">
        <v>-0.2</v>
      </c>
      <c r="J1700" s="3">
        <v>10807</v>
      </c>
      <c r="K1700" s="3">
        <v>50802</v>
      </c>
      <c r="L1700" s="17" t="str" cm="1">
        <f t="array" ref="L1700">_xlfn.IFS(MID(K1700,2,2)="01", "서울", MID(K1700,2,2)="02","경기",MID(K1700,2,2)="03","충청",MID(K1700,2,2)="04","충청",MID(K1700,2,2)="05","전라",MID(K1700,2,2)="06","전라",MID(K1700,2,2)="07","경북",MID(K1700,2,2)="08","경남",MID(K1700,2,2)="09","강원",MID(K1700,2,2)="10","제주",TRUE,"국외")</f>
        <v>경남</v>
      </c>
    </row>
    <row r="1701" spans="1:12" ht="17.25" thickBot="1">
      <c r="A1701" s="3" t="s">
        <v>1787</v>
      </c>
      <c r="B1701" s="3" t="s">
        <v>78</v>
      </c>
      <c r="C1701" s="3"/>
      <c r="D1701" s="4" t="s">
        <v>205</v>
      </c>
      <c r="E1701" s="4" t="s">
        <v>607</v>
      </c>
      <c r="F1701" s="4"/>
      <c r="G1701" s="9"/>
      <c r="H1701" s="4"/>
      <c r="I1701" s="9"/>
      <c r="J1701" s="3">
        <v>10811</v>
      </c>
      <c r="K1701" s="3">
        <v>50401</v>
      </c>
      <c r="L1701" s="17" t="str" cm="1">
        <f t="array" ref="L1701">_xlfn.IFS(MID(K1701,2,2)="01", "서울", MID(K1701,2,2)="02","경기",MID(K1701,2,2)="03","충청",MID(K1701,2,2)="04","충청",MID(K1701,2,2)="05","전라",MID(K1701,2,2)="06","전라",MID(K1701,2,2)="07","경북",MID(K1701,2,2)="08","경남",MID(K1701,2,2)="09","강원",MID(K1701,2,2)="10","제주",TRUE,"국외")</f>
        <v>충청</v>
      </c>
    </row>
    <row r="1702" spans="1:12" ht="17.25" thickBot="1">
      <c r="A1702" s="3" t="s">
        <v>1788</v>
      </c>
      <c r="B1702" s="3" t="s">
        <v>8</v>
      </c>
      <c r="C1702" s="3" t="s">
        <v>1593</v>
      </c>
      <c r="D1702" s="4" t="s">
        <v>205</v>
      </c>
      <c r="E1702" s="4" t="s">
        <v>607</v>
      </c>
      <c r="F1702" s="4">
        <v>2013</v>
      </c>
      <c r="G1702" s="9"/>
      <c r="H1702" s="4" t="s">
        <v>607</v>
      </c>
      <c r="I1702" s="8">
        <v>0</v>
      </c>
      <c r="J1702" s="3">
        <v>10806</v>
      </c>
      <c r="K1702" s="3">
        <v>50116</v>
      </c>
      <c r="L1702" s="17" t="str" cm="1">
        <f t="array" ref="L1702">_xlfn.IFS(MID(K1702,2,2)="01", "서울", MID(K1702,2,2)="02","경기",MID(K1702,2,2)="03","충청",MID(K1702,2,2)="04","충청",MID(K1702,2,2)="05","전라",MID(K1702,2,2)="06","전라",MID(K1702,2,2)="07","경북",MID(K1702,2,2)="08","경남",MID(K1702,2,2)="09","강원",MID(K1702,2,2)="10","제주",TRUE,"국외")</f>
        <v>서울</v>
      </c>
    </row>
    <row r="1703" spans="1:12" ht="17.25" thickBot="1">
      <c r="A1703" s="3" t="s">
        <v>1789</v>
      </c>
      <c r="B1703" s="3" t="s">
        <v>82</v>
      </c>
      <c r="C1703" s="3"/>
      <c r="D1703" s="4" t="s">
        <v>205</v>
      </c>
      <c r="E1703" s="4" t="s">
        <v>906</v>
      </c>
      <c r="F1703" s="4"/>
      <c r="G1703" s="9"/>
      <c r="H1703" s="4"/>
      <c r="I1703" s="9"/>
      <c r="J1703" s="3">
        <v>10858</v>
      </c>
      <c r="K1703" s="3">
        <v>50605</v>
      </c>
      <c r="L1703" s="17" t="str" cm="1">
        <f t="array" ref="L1703">_xlfn.IFS(MID(K1703,2,2)="01", "서울", MID(K1703,2,2)="02","경기",MID(K1703,2,2)="03","충청",MID(K1703,2,2)="04","충청",MID(K1703,2,2)="05","전라",MID(K1703,2,2)="06","전라",MID(K1703,2,2)="07","경북",MID(K1703,2,2)="08","경남",MID(K1703,2,2)="09","강원",MID(K1703,2,2)="10","제주",TRUE,"국외")</f>
        <v>전라</v>
      </c>
    </row>
    <row r="1704" spans="1:12" ht="17.25" thickBot="1">
      <c r="A1704" s="3" t="s">
        <v>901</v>
      </c>
      <c r="B1704" s="3" t="s">
        <v>1497</v>
      </c>
      <c r="C1704" s="3" t="s">
        <v>45</v>
      </c>
      <c r="D1704" s="4" t="s">
        <v>205</v>
      </c>
      <c r="E1704" s="4" t="s">
        <v>906</v>
      </c>
      <c r="F1704" s="4"/>
      <c r="G1704" s="9"/>
      <c r="H1704" s="4"/>
      <c r="I1704" s="9"/>
      <c r="J1704" s="3">
        <v>10846</v>
      </c>
      <c r="K1704" s="3">
        <v>50112</v>
      </c>
      <c r="L1704" s="17" t="str" cm="1">
        <f t="array" ref="L1704">_xlfn.IFS(MID(K1704,2,2)="01", "서울", MID(K1704,2,2)="02","경기",MID(K1704,2,2)="03","충청",MID(K1704,2,2)="04","충청",MID(K1704,2,2)="05","전라",MID(K1704,2,2)="06","전라",MID(K1704,2,2)="07","경북",MID(K1704,2,2)="08","경남",MID(K1704,2,2)="09","강원",MID(K1704,2,2)="10","제주",TRUE,"국외")</f>
        <v>서울</v>
      </c>
    </row>
    <row r="1705" spans="1:12" ht="17.25" thickBot="1">
      <c r="A1705" s="3" t="s">
        <v>1790</v>
      </c>
      <c r="B1705" s="3" t="s">
        <v>1791</v>
      </c>
      <c r="C1705" s="3" t="s">
        <v>1743</v>
      </c>
      <c r="D1705" s="4" t="s">
        <v>205</v>
      </c>
      <c r="E1705" s="4" t="s">
        <v>906</v>
      </c>
      <c r="F1705" s="4"/>
      <c r="G1705" s="9"/>
      <c r="H1705" s="4"/>
      <c r="I1705" s="9"/>
      <c r="J1705" s="3">
        <v>10842</v>
      </c>
      <c r="K1705" s="3">
        <v>50303</v>
      </c>
      <c r="L1705" s="17" t="str" cm="1">
        <f t="array" ref="L1705">_xlfn.IFS(MID(K1705,2,2)="01", "서울", MID(K1705,2,2)="02","경기",MID(K1705,2,2)="03","충청",MID(K1705,2,2)="04","충청",MID(K1705,2,2)="05","전라",MID(K1705,2,2)="06","전라",MID(K1705,2,2)="07","경북",MID(K1705,2,2)="08","경남",MID(K1705,2,2)="09","강원",MID(K1705,2,2)="10","제주",TRUE,"국외")</f>
        <v>충청</v>
      </c>
    </row>
    <row r="1706" spans="1:12" ht="17.25" thickBot="1">
      <c r="A1706" s="3" t="s">
        <v>1792</v>
      </c>
      <c r="B1706" s="3" t="s">
        <v>101</v>
      </c>
      <c r="C1706" s="3"/>
      <c r="D1706" s="4" t="s">
        <v>205</v>
      </c>
      <c r="E1706" s="4" t="s">
        <v>906</v>
      </c>
      <c r="F1706" s="4"/>
      <c r="G1706" s="9"/>
      <c r="H1706" s="4"/>
      <c r="I1706" s="9"/>
      <c r="J1706" s="3">
        <v>10861</v>
      </c>
      <c r="K1706" s="3">
        <v>50207</v>
      </c>
      <c r="L1706" s="17" t="str" cm="1">
        <f t="array" ref="L1706">_xlfn.IFS(MID(K1706,2,2)="01", "서울", MID(K1706,2,2)="02","경기",MID(K1706,2,2)="03","충청",MID(K1706,2,2)="04","충청",MID(K1706,2,2)="05","전라",MID(K1706,2,2)="06","전라",MID(K1706,2,2)="07","경북",MID(K1706,2,2)="08","경남",MID(K1706,2,2)="09","강원",MID(K1706,2,2)="10","제주",TRUE,"국외")</f>
        <v>경기</v>
      </c>
    </row>
    <row r="1707" spans="1:12" ht="17.25" thickBot="1">
      <c r="A1707" s="3" t="s">
        <v>1793</v>
      </c>
      <c r="B1707" s="3" t="s">
        <v>147</v>
      </c>
      <c r="C1707" s="3" t="s">
        <v>99</v>
      </c>
      <c r="D1707" s="4" t="s">
        <v>205</v>
      </c>
      <c r="E1707" s="4" t="s">
        <v>906</v>
      </c>
      <c r="F1707" s="4"/>
      <c r="G1707" s="9"/>
      <c r="H1707" s="4"/>
      <c r="I1707" s="9"/>
      <c r="J1707" s="3">
        <v>10862</v>
      </c>
      <c r="K1707" s="3">
        <v>50208</v>
      </c>
      <c r="L1707" s="17" t="str" cm="1">
        <f t="array" ref="L1707">_xlfn.IFS(MID(K1707,2,2)="01", "서울", MID(K1707,2,2)="02","경기",MID(K1707,2,2)="03","충청",MID(K1707,2,2)="04","충청",MID(K1707,2,2)="05","전라",MID(K1707,2,2)="06","전라",MID(K1707,2,2)="07","경북",MID(K1707,2,2)="08","경남",MID(K1707,2,2)="09","강원",MID(K1707,2,2)="10","제주",TRUE,"국외")</f>
        <v>경기</v>
      </c>
    </row>
    <row r="1708" spans="1:12" ht="17.25" thickBot="1">
      <c r="A1708" s="3" t="s">
        <v>1794</v>
      </c>
      <c r="B1708" s="3" t="s">
        <v>147</v>
      </c>
      <c r="C1708" s="3"/>
      <c r="D1708" s="4" t="s">
        <v>205</v>
      </c>
      <c r="E1708" s="4" t="s">
        <v>26</v>
      </c>
      <c r="F1708" s="4">
        <v>2020</v>
      </c>
      <c r="G1708" s="9"/>
      <c r="H1708" s="4" t="s">
        <v>26</v>
      </c>
      <c r="I1708" s="8">
        <v>0</v>
      </c>
      <c r="J1708" s="3">
        <v>10887</v>
      </c>
      <c r="K1708" s="3">
        <v>50208</v>
      </c>
      <c r="L1708" s="17" t="str" cm="1">
        <f t="array" ref="L1708">_xlfn.IFS(MID(K1708,2,2)="01", "서울", MID(K1708,2,2)="02","경기",MID(K1708,2,2)="03","충청",MID(K1708,2,2)="04","충청",MID(K1708,2,2)="05","전라",MID(K1708,2,2)="06","전라",MID(K1708,2,2)="07","경북",MID(K1708,2,2)="08","경남",MID(K1708,2,2)="09","강원",MID(K1708,2,2)="10","제주",TRUE,"국외")</f>
        <v>경기</v>
      </c>
    </row>
    <row r="1709" spans="1:12" ht="17.25" thickBot="1">
      <c r="A1709" s="3" t="s">
        <v>814</v>
      </c>
      <c r="B1709" s="3" t="s">
        <v>275</v>
      </c>
      <c r="C1709" s="3"/>
      <c r="D1709" s="4" t="s">
        <v>205</v>
      </c>
      <c r="E1709" s="4" t="s">
        <v>26</v>
      </c>
      <c r="F1709" s="4"/>
      <c r="G1709" s="9"/>
      <c r="H1709" s="4"/>
      <c r="I1709" s="9"/>
      <c r="J1709" s="3">
        <v>10897</v>
      </c>
      <c r="K1709" s="3">
        <v>51001</v>
      </c>
      <c r="L1709" s="17" t="str" cm="1">
        <f t="array" ref="L1709">_xlfn.IFS(MID(K1709,2,2)="01", "서울", MID(K1709,2,2)="02","경기",MID(K1709,2,2)="03","충청",MID(K1709,2,2)="04","충청",MID(K1709,2,2)="05","전라",MID(K1709,2,2)="06","전라",MID(K1709,2,2)="07","경북",MID(K1709,2,2)="08","경남",MID(K1709,2,2)="09","강원",MID(K1709,2,2)="10","제주",TRUE,"국외")</f>
        <v>제주</v>
      </c>
    </row>
    <row r="1710" spans="1:12" ht="17.25" thickBot="1">
      <c r="A1710" s="3" t="s">
        <v>1795</v>
      </c>
      <c r="B1710" s="3" t="s">
        <v>11</v>
      </c>
      <c r="C1710" s="3" t="s">
        <v>1796</v>
      </c>
      <c r="D1710" s="4" t="s">
        <v>205</v>
      </c>
      <c r="E1710" s="4" t="s">
        <v>9</v>
      </c>
      <c r="F1710" s="4">
        <v>2013</v>
      </c>
      <c r="G1710" s="9"/>
      <c r="H1710" s="4" t="s">
        <v>9</v>
      </c>
      <c r="I1710" s="8">
        <v>4.7</v>
      </c>
      <c r="J1710" s="3">
        <v>10835</v>
      </c>
      <c r="K1710" s="3">
        <v>50802</v>
      </c>
      <c r="L1710" s="17" t="str" cm="1">
        <f t="array" ref="L1710">_xlfn.IFS(MID(K1710,2,2)="01", "서울", MID(K1710,2,2)="02","경기",MID(K1710,2,2)="03","충청",MID(K1710,2,2)="04","충청",MID(K1710,2,2)="05","전라",MID(K1710,2,2)="06","전라",MID(K1710,2,2)="07","경북",MID(K1710,2,2)="08","경남",MID(K1710,2,2)="09","강원",MID(K1710,2,2)="10","제주",TRUE,"국외")</f>
        <v>경남</v>
      </c>
    </row>
    <row r="1711" spans="1:12" ht="17.25" thickBot="1">
      <c r="A1711" s="3" t="s">
        <v>1797</v>
      </c>
      <c r="B1711" s="3" t="s">
        <v>147</v>
      </c>
      <c r="C1711" s="3" t="s">
        <v>99</v>
      </c>
      <c r="D1711" s="4" t="s">
        <v>205</v>
      </c>
      <c r="E1711" s="4" t="s">
        <v>9</v>
      </c>
      <c r="F1711" s="4">
        <v>2013</v>
      </c>
      <c r="G1711" s="9"/>
      <c r="H1711" s="4" t="s">
        <v>9</v>
      </c>
      <c r="I1711" s="8">
        <v>-0.2</v>
      </c>
      <c r="J1711" s="3">
        <v>10833</v>
      </c>
      <c r="K1711" s="3">
        <v>50208</v>
      </c>
      <c r="L1711" s="17" t="str" cm="1">
        <f t="array" ref="L1711">_xlfn.IFS(MID(K1711,2,2)="01", "서울", MID(K1711,2,2)="02","경기",MID(K1711,2,2)="03","충청",MID(K1711,2,2)="04","충청",MID(K1711,2,2)="05","전라",MID(K1711,2,2)="06","전라",MID(K1711,2,2)="07","경북",MID(K1711,2,2)="08","경남",MID(K1711,2,2)="09","강원",MID(K1711,2,2)="10","제주",TRUE,"국외")</f>
        <v>경기</v>
      </c>
    </row>
    <row r="1712" spans="1:12" ht="17.25" thickBot="1">
      <c r="A1712" s="3" t="s">
        <v>1798</v>
      </c>
      <c r="B1712" s="3" t="s">
        <v>126</v>
      </c>
      <c r="C1712" s="3" t="s">
        <v>211</v>
      </c>
      <c r="D1712" s="4" t="s">
        <v>205</v>
      </c>
      <c r="E1712" s="4" t="s">
        <v>23</v>
      </c>
      <c r="F1712" s="4">
        <v>2013</v>
      </c>
      <c r="G1712" s="9"/>
      <c r="H1712" s="4" t="s">
        <v>23</v>
      </c>
      <c r="I1712" s="8">
        <v>-0.2</v>
      </c>
      <c r="J1712" s="3">
        <v>10930</v>
      </c>
      <c r="K1712" s="3">
        <v>50206</v>
      </c>
      <c r="L1712" s="17" t="str" cm="1">
        <f t="array" ref="L1712">_xlfn.IFS(MID(K1712,2,2)="01", "서울", MID(K1712,2,2)="02","경기",MID(K1712,2,2)="03","충청",MID(K1712,2,2)="04","충청",MID(K1712,2,2)="05","전라",MID(K1712,2,2)="06","전라",MID(K1712,2,2)="07","경북",MID(K1712,2,2)="08","경남",MID(K1712,2,2)="09","강원",MID(K1712,2,2)="10","제주",TRUE,"국외")</f>
        <v>경기</v>
      </c>
    </row>
    <row r="1713" spans="1:12" ht="17.25" thickBot="1">
      <c r="A1713" s="3" t="s">
        <v>1799</v>
      </c>
      <c r="B1713" s="3" t="s">
        <v>66</v>
      </c>
      <c r="C1713" s="3" t="s">
        <v>739</v>
      </c>
      <c r="D1713" s="4" t="s">
        <v>205</v>
      </c>
      <c r="E1713" s="4" t="s">
        <v>23</v>
      </c>
      <c r="F1713" s="4">
        <v>2013</v>
      </c>
      <c r="G1713" s="9"/>
      <c r="H1713" s="4" t="s">
        <v>23</v>
      </c>
      <c r="I1713" s="8">
        <v>41.5</v>
      </c>
      <c r="J1713" s="3">
        <v>11190</v>
      </c>
      <c r="K1713" s="3">
        <v>50110</v>
      </c>
      <c r="L1713" s="17" t="str" cm="1">
        <f t="array" ref="L1713">_xlfn.IFS(MID(K1713,2,2)="01", "서울", MID(K1713,2,2)="02","경기",MID(K1713,2,2)="03","충청",MID(K1713,2,2)="04","충청",MID(K1713,2,2)="05","전라",MID(K1713,2,2)="06","전라",MID(K1713,2,2)="07","경북",MID(K1713,2,2)="08","경남",MID(K1713,2,2)="09","강원",MID(K1713,2,2)="10","제주",TRUE,"국외")</f>
        <v>서울</v>
      </c>
    </row>
    <row r="1714" spans="1:12" ht="17.25" thickBot="1">
      <c r="A1714" s="3" t="s">
        <v>1800</v>
      </c>
      <c r="B1714" s="3" t="s">
        <v>66</v>
      </c>
      <c r="C1714" s="3" t="s">
        <v>1347</v>
      </c>
      <c r="D1714" s="4" t="s">
        <v>205</v>
      </c>
      <c r="E1714" s="4" t="s">
        <v>23</v>
      </c>
      <c r="F1714" s="4">
        <v>2016</v>
      </c>
      <c r="G1714" s="9"/>
      <c r="H1714" s="4"/>
      <c r="I1714" s="9"/>
      <c r="J1714" s="3">
        <v>12674</v>
      </c>
      <c r="K1714" s="3">
        <v>50110</v>
      </c>
      <c r="L1714" s="17" t="str" cm="1">
        <f t="array" ref="L1714">_xlfn.IFS(MID(K1714,2,2)="01", "서울", MID(K1714,2,2)="02","경기",MID(K1714,2,2)="03","충청",MID(K1714,2,2)="04","충청",MID(K1714,2,2)="05","전라",MID(K1714,2,2)="06","전라",MID(K1714,2,2)="07","경북",MID(K1714,2,2)="08","경남",MID(K1714,2,2)="09","강원",MID(K1714,2,2)="10","제주",TRUE,"국외")</f>
        <v>서울</v>
      </c>
    </row>
    <row r="1715" spans="1:12" ht="17.25" thickBot="1">
      <c r="A1715" s="3" t="s">
        <v>1801</v>
      </c>
      <c r="B1715" s="3" t="s">
        <v>8</v>
      </c>
      <c r="C1715" s="3" t="s">
        <v>99</v>
      </c>
      <c r="D1715" s="4" t="s">
        <v>205</v>
      </c>
      <c r="E1715" s="4" t="s">
        <v>23</v>
      </c>
      <c r="F1715" s="4"/>
      <c r="G1715" s="9"/>
      <c r="H1715" s="4"/>
      <c r="I1715" s="9"/>
      <c r="J1715" s="3">
        <v>11107</v>
      </c>
      <c r="K1715" s="3">
        <v>50116</v>
      </c>
      <c r="L1715" s="17" t="str" cm="1">
        <f t="array" ref="L1715">_xlfn.IFS(MID(K1715,2,2)="01", "서울", MID(K1715,2,2)="02","경기",MID(K1715,2,2)="03","충청",MID(K1715,2,2)="04","충청",MID(K1715,2,2)="05","전라",MID(K1715,2,2)="06","전라",MID(K1715,2,2)="07","경북",MID(K1715,2,2)="08","경남",MID(K1715,2,2)="09","강원",MID(K1715,2,2)="10","제주",TRUE,"국외")</f>
        <v>서울</v>
      </c>
    </row>
    <row r="1716" spans="1:12" ht="17.25" thickBot="1">
      <c r="A1716" s="3" t="s">
        <v>1802</v>
      </c>
      <c r="B1716" s="3" t="s">
        <v>68</v>
      </c>
      <c r="C1716" s="3" t="s">
        <v>739</v>
      </c>
      <c r="D1716" s="4" t="s">
        <v>205</v>
      </c>
      <c r="E1716" s="4" t="s">
        <v>23</v>
      </c>
      <c r="F1716" s="4">
        <v>2012</v>
      </c>
      <c r="G1716" s="8">
        <v>0</v>
      </c>
      <c r="H1716" s="4" t="s">
        <v>23</v>
      </c>
      <c r="I1716" s="8">
        <v>-0.4</v>
      </c>
      <c r="J1716" s="3">
        <v>10943</v>
      </c>
      <c r="K1716" s="3">
        <v>50101</v>
      </c>
      <c r="L1716" s="17" t="str" cm="1">
        <f t="array" ref="L1716">_xlfn.IFS(MID(K1716,2,2)="01", "서울", MID(K1716,2,2)="02","경기",MID(K1716,2,2)="03","충청",MID(K1716,2,2)="04","충청",MID(K1716,2,2)="05","전라",MID(K1716,2,2)="06","전라",MID(K1716,2,2)="07","경북",MID(K1716,2,2)="08","경남",MID(K1716,2,2)="09","강원",MID(K1716,2,2)="10","제주",TRUE,"국외")</f>
        <v>서울</v>
      </c>
    </row>
    <row r="1717" spans="1:12" ht="17.25" thickBot="1">
      <c r="A1717" s="3" t="s">
        <v>1803</v>
      </c>
      <c r="B1717" s="3" t="s">
        <v>25</v>
      </c>
      <c r="C1717" s="3"/>
      <c r="D1717" s="4" t="s">
        <v>205</v>
      </c>
      <c r="E1717" s="4" t="s">
        <v>3</v>
      </c>
      <c r="F1717" s="4"/>
      <c r="G1717" s="9"/>
      <c r="H1717" s="4"/>
      <c r="I1717" s="9"/>
      <c r="J1717" s="3">
        <v>11124</v>
      </c>
      <c r="K1717" s="3">
        <v>50403</v>
      </c>
      <c r="L1717" s="17" t="str" cm="1">
        <f t="array" ref="L1717">_xlfn.IFS(MID(K1717,2,2)="01", "서울", MID(K1717,2,2)="02","경기",MID(K1717,2,2)="03","충청",MID(K1717,2,2)="04","충청",MID(K1717,2,2)="05","전라",MID(K1717,2,2)="06","전라",MID(K1717,2,2)="07","경북",MID(K1717,2,2)="08","경남",MID(K1717,2,2)="09","강원",MID(K1717,2,2)="10","제주",TRUE,"국외")</f>
        <v>충청</v>
      </c>
    </row>
    <row r="1718" spans="1:12" ht="17.25" thickBot="1">
      <c r="A1718" s="3" t="s">
        <v>255</v>
      </c>
      <c r="B1718" s="3" t="s">
        <v>70</v>
      </c>
      <c r="C1718" s="3" t="s">
        <v>174</v>
      </c>
      <c r="D1718" s="4" t="s">
        <v>205</v>
      </c>
      <c r="E1718" s="4" t="s">
        <v>3</v>
      </c>
      <c r="F1718" s="4"/>
      <c r="G1718" s="9"/>
      <c r="H1718" s="4"/>
      <c r="I1718" s="10"/>
      <c r="J1718" s="3">
        <v>11114</v>
      </c>
      <c r="K1718" s="3">
        <v>50103</v>
      </c>
      <c r="L1718" s="17" t="str" cm="1">
        <f t="array" ref="L1718">_xlfn.IFS(MID(K1718,2,2)="01", "서울", MID(K1718,2,2)="02","경기",MID(K1718,2,2)="03","충청",MID(K1718,2,2)="04","충청",MID(K1718,2,2)="05","전라",MID(K1718,2,2)="06","전라",MID(K1718,2,2)="07","경북",MID(K1718,2,2)="08","경남",MID(K1718,2,2)="09","강원",MID(K1718,2,2)="10","제주",TRUE,"국외")</f>
        <v>서울</v>
      </c>
    </row>
    <row r="1719" spans="1:12" ht="17.25" thickBot="1">
      <c r="A1719" s="3" t="s">
        <v>1804</v>
      </c>
      <c r="B1719" s="3" t="s">
        <v>107</v>
      </c>
      <c r="C1719" s="3"/>
      <c r="D1719" s="4" t="s">
        <v>2</v>
      </c>
      <c r="E1719" s="4" t="s">
        <v>3</v>
      </c>
      <c r="F1719" s="4">
        <v>2011</v>
      </c>
      <c r="G1719" s="8">
        <v>-1.4</v>
      </c>
      <c r="H1719" s="4" t="s">
        <v>3</v>
      </c>
      <c r="I1719" s="8">
        <v>1.3</v>
      </c>
      <c r="J1719" s="3">
        <v>10678</v>
      </c>
      <c r="K1719" s="3">
        <v>50602</v>
      </c>
      <c r="L1719" s="17" t="str" cm="1">
        <f t="array" ref="L1719">_xlfn.IFS(MID(K1719,2,2)="01", "서울", MID(K1719,2,2)="02","경기",MID(K1719,2,2)="03","충청",MID(K1719,2,2)="04","충청",MID(K1719,2,2)="05","전라",MID(K1719,2,2)="06","전라",MID(K1719,2,2)="07","경북",MID(K1719,2,2)="08","경남",MID(K1719,2,2)="09","강원",MID(K1719,2,2)="10","제주",TRUE,"국외")</f>
        <v>전라</v>
      </c>
    </row>
    <row r="1720" spans="1:12" ht="17.25" thickBot="1">
      <c r="A1720" s="3" t="s">
        <v>1805</v>
      </c>
      <c r="B1720" s="3" t="s">
        <v>8</v>
      </c>
      <c r="C1720" s="3"/>
      <c r="D1720" s="4" t="s">
        <v>2</v>
      </c>
      <c r="E1720" s="4" t="s">
        <v>20</v>
      </c>
      <c r="F1720" s="4">
        <v>2011</v>
      </c>
      <c r="G1720" s="8">
        <v>0.3</v>
      </c>
      <c r="H1720" s="4" t="s">
        <v>20</v>
      </c>
      <c r="I1720" s="8">
        <v>14</v>
      </c>
      <c r="J1720" s="3">
        <v>10652</v>
      </c>
      <c r="K1720" s="3">
        <v>50116</v>
      </c>
      <c r="L1720" s="17" t="str" cm="1">
        <f t="array" ref="L1720">_xlfn.IFS(MID(K1720,2,2)="01", "서울", MID(K1720,2,2)="02","경기",MID(K1720,2,2)="03","충청",MID(K1720,2,2)="04","충청",MID(K1720,2,2)="05","전라",MID(K1720,2,2)="06","전라",MID(K1720,2,2)="07","경북",MID(K1720,2,2)="08","경남",MID(K1720,2,2)="09","강원",MID(K1720,2,2)="10","제주",TRUE,"국외")</f>
        <v>서울</v>
      </c>
    </row>
    <row r="1721" spans="1:12" ht="17.25" thickBot="1">
      <c r="A1721" s="3" t="s">
        <v>1806</v>
      </c>
      <c r="B1721" s="3" t="s">
        <v>89</v>
      </c>
      <c r="C1721" s="3" t="s">
        <v>90</v>
      </c>
      <c r="D1721" s="4" t="s">
        <v>2</v>
      </c>
      <c r="E1721" s="4" t="s">
        <v>906</v>
      </c>
      <c r="F1721" s="4">
        <v>2011</v>
      </c>
      <c r="G1721" s="8">
        <v>0.2</v>
      </c>
      <c r="H1721" s="4" t="s">
        <v>20</v>
      </c>
      <c r="I1721" s="8">
        <v>3</v>
      </c>
      <c r="J1721" s="3">
        <v>10657</v>
      </c>
      <c r="K1721" s="3">
        <v>50806</v>
      </c>
      <c r="L1721" s="17" t="str" cm="1">
        <f t="array" ref="L1721">_xlfn.IFS(MID(K1721,2,2)="01", "서울", MID(K1721,2,2)="02","경기",MID(K1721,2,2)="03","충청",MID(K1721,2,2)="04","충청",MID(K1721,2,2)="05","전라",MID(K1721,2,2)="06","전라",MID(K1721,2,2)="07","경북",MID(K1721,2,2)="08","경남",MID(K1721,2,2)="09","강원",MID(K1721,2,2)="10","제주",TRUE,"국외")</f>
        <v>경남</v>
      </c>
    </row>
    <row r="1722" spans="1:12" ht="17.25" thickBot="1">
      <c r="A1722" s="3" t="s">
        <v>1807</v>
      </c>
      <c r="B1722" s="3" t="s">
        <v>11</v>
      </c>
      <c r="C1722" s="3" t="s">
        <v>1479</v>
      </c>
      <c r="D1722" s="4" t="s">
        <v>2</v>
      </c>
      <c r="E1722" s="4" t="s">
        <v>23</v>
      </c>
      <c r="F1722" s="4">
        <v>2012</v>
      </c>
      <c r="G1722" s="9"/>
      <c r="H1722" s="4" t="s">
        <v>23</v>
      </c>
      <c r="I1722" s="8">
        <v>12.1</v>
      </c>
      <c r="J1722" s="3">
        <v>10720</v>
      </c>
      <c r="K1722" s="3">
        <v>50802</v>
      </c>
      <c r="L1722" s="17" t="str" cm="1">
        <f t="array" ref="L1722">_xlfn.IFS(MID(K1722,2,2)="01", "서울", MID(K1722,2,2)="02","경기",MID(K1722,2,2)="03","충청",MID(K1722,2,2)="04","충청",MID(K1722,2,2)="05","전라",MID(K1722,2,2)="06","전라",MID(K1722,2,2)="07","경북",MID(K1722,2,2)="08","경남",MID(K1722,2,2)="09","강원",MID(K1722,2,2)="10","제주",TRUE,"국외")</f>
        <v>경남</v>
      </c>
    </row>
    <row r="1723" spans="1:12" ht="17.25" thickBot="1">
      <c r="A1723" s="3" t="s">
        <v>1808</v>
      </c>
      <c r="B1723" s="3" t="s">
        <v>32</v>
      </c>
      <c r="C1723" s="3" t="s">
        <v>211</v>
      </c>
      <c r="D1723" s="4" t="s">
        <v>2</v>
      </c>
      <c r="E1723" s="4" t="s">
        <v>9</v>
      </c>
      <c r="F1723" s="4">
        <v>2011</v>
      </c>
      <c r="G1723" s="8">
        <v>-0.2</v>
      </c>
      <c r="H1723" s="4" t="s">
        <v>26</v>
      </c>
      <c r="I1723" s="8">
        <v>-0.1</v>
      </c>
      <c r="J1723" s="3">
        <v>10680</v>
      </c>
      <c r="K1723" s="3">
        <v>50111</v>
      </c>
      <c r="L1723" s="17" t="str" cm="1">
        <f t="array" ref="L1723">_xlfn.IFS(MID(K1723,2,2)="01", "서울", MID(K1723,2,2)="02","경기",MID(K1723,2,2)="03","충청",MID(K1723,2,2)="04","충청",MID(K1723,2,2)="05","전라",MID(K1723,2,2)="06","전라",MID(K1723,2,2)="07","경북",MID(K1723,2,2)="08","경남",MID(K1723,2,2)="09","강원",MID(K1723,2,2)="10","제주",TRUE,"국외")</f>
        <v>서울</v>
      </c>
    </row>
    <row r="1724" spans="1:12" ht="17.25" thickBot="1">
      <c r="A1724" s="3" t="s">
        <v>1809</v>
      </c>
      <c r="B1724" s="3" t="s">
        <v>5</v>
      </c>
      <c r="C1724" s="3"/>
      <c r="D1724" s="4" t="s">
        <v>2</v>
      </c>
      <c r="E1724" s="4" t="s">
        <v>26</v>
      </c>
      <c r="F1724" s="4">
        <v>2011</v>
      </c>
      <c r="G1724" s="8">
        <v>-0.1</v>
      </c>
      <c r="H1724" s="4" t="s">
        <v>26</v>
      </c>
      <c r="I1724" s="8">
        <v>-0.1</v>
      </c>
      <c r="J1724" s="3">
        <v>10733</v>
      </c>
      <c r="K1724" s="3">
        <v>50114</v>
      </c>
      <c r="L1724" s="17" t="str" cm="1">
        <f t="array" ref="L1724">_xlfn.IFS(MID(K1724,2,2)="01", "서울", MID(K1724,2,2)="02","경기",MID(K1724,2,2)="03","충청",MID(K1724,2,2)="04","충청",MID(K1724,2,2)="05","전라",MID(K1724,2,2)="06","전라",MID(K1724,2,2)="07","경북",MID(K1724,2,2)="08","경남",MID(K1724,2,2)="09","강원",MID(K1724,2,2)="10","제주",TRUE,"국외")</f>
        <v>서울</v>
      </c>
    </row>
    <row r="1725" spans="1:12" ht="17.25" thickBot="1">
      <c r="A1725" s="3" t="s">
        <v>1810</v>
      </c>
      <c r="B1725" s="3" t="s">
        <v>11</v>
      </c>
      <c r="C1725" s="3"/>
      <c r="D1725" s="4" t="s">
        <v>2</v>
      </c>
      <c r="E1725" s="4" t="s">
        <v>607</v>
      </c>
      <c r="F1725" s="4">
        <v>2015</v>
      </c>
      <c r="G1725" s="9"/>
      <c r="H1725" s="4" t="s">
        <v>607</v>
      </c>
      <c r="I1725" s="8">
        <v>9.1</v>
      </c>
      <c r="J1725" s="3">
        <v>10784</v>
      </c>
      <c r="K1725" s="3">
        <v>50802</v>
      </c>
      <c r="L1725" s="17" t="str" cm="1">
        <f t="array" ref="L1725">_xlfn.IFS(MID(K1725,2,2)="01", "서울", MID(K1725,2,2)="02","경기",MID(K1725,2,2)="03","충청",MID(K1725,2,2)="04","충청",MID(K1725,2,2)="05","전라",MID(K1725,2,2)="06","전라",MID(K1725,2,2)="07","경북",MID(K1725,2,2)="08","경남",MID(K1725,2,2)="09","강원",MID(K1725,2,2)="10","제주",TRUE,"국외")</f>
        <v>경남</v>
      </c>
    </row>
    <row r="1726" spans="1:12" ht="17.25" thickBot="1">
      <c r="A1726" s="3" t="s">
        <v>1182</v>
      </c>
      <c r="B1726" s="3" t="s">
        <v>70</v>
      </c>
      <c r="C1726" s="3"/>
      <c r="D1726" s="4" t="s">
        <v>2</v>
      </c>
      <c r="E1726" s="4" t="s">
        <v>6</v>
      </c>
      <c r="F1726" s="4">
        <v>2012</v>
      </c>
      <c r="G1726" s="9"/>
      <c r="H1726" s="4" t="s">
        <v>6</v>
      </c>
      <c r="I1726" s="8">
        <v>1.1000000000000001</v>
      </c>
      <c r="J1726" s="3">
        <v>10812</v>
      </c>
      <c r="K1726" s="3">
        <v>50103</v>
      </c>
      <c r="L1726" s="17" t="str" cm="1">
        <f t="array" ref="L1726">_xlfn.IFS(MID(K1726,2,2)="01", "서울", MID(K1726,2,2)="02","경기",MID(K1726,2,2)="03","충청",MID(K1726,2,2)="04","충청",MID(K1726,2,2)="05","전라",MID(K1726,2,2)="06","전라",MID(K1726,2,2)="07","경북",MID(K1726,2,2)="08","경남",MID(K1726,2,2)="09","강원",MID(K1726,2,2)="10","제주",TRUE,"국외")</f>
        <v>서울</v>
      </c>
    </row>
    <row r="1727" spans="1:12" ht="17.25" thickBot="1">
      <c r="A1727" s="3" t="s">
        <v>1811</v>
      </c>
      <c r="B1727" s="3" t="s">
        <v>82</v>
      </c>
      <c r="C1727" s="3"/>
      <c r="D1727" s="4" t="s">
        <v>2</v>
      </c>
      <c r="E1727" s="4" t="s">
        <v>6</v>
      </c>
      <c r="F1727" s="4">
        <v>2011</v>
      </c>
      <c r="G1727" s="8">
        <v>-0.3</v>
      </c>
      <c r="H1727" s="4" t="s">
        <v>26</v>
      </c>
      <c r="I1727" s="8">
        <v>5.7</v>
      </c>
      <c r="J1727" s="3">
        <v>10696</v>
      </c>
      <c r="K1727" s="3">
        <v>50605</v>
      </c>
      <c r="L1727" s="17" t="str" cm="1">
        <f t="array" ref="L1727">_xlfn.IFS(MID(K1727,2,2)="01", "서울", MID(K1727,2,2)="02","경기",MID(K1727,2,2)="03","충청",MID(K1727,2,2)="04","충청",MID(K1727,2,2)="05","전라",MID(K1727,2,2)="06","전라",MID(K1727,2,2)="07","경북",MID(K1727,2,2)="08","경남",MID(K1727,2,2)="09","강원",MID(K1727,2,2)="10","제주",TRUE,"국외")</f>
        <v>전라</v>
      </c>
    </row>
    <row r="1728" spans="1:12" ht="17.25" thickBot="1">
      <c r="A1728" s="3" t="s">
        <v>1692</v>
      </c>
      <c r="B1728" s="3" t="s">
        <v>140</v>
      </c>
      <c r="C1728" s="3" t="s">
        <v>1796</v>
      </c>
      <c r="D1728" s="4" t="s">
        <v>2</v>
      </c>
      <c r="E1728" s="4" t="s">
        <v>607</v>
      </c>
      <c r="F1728" s="4"/>
      <c r="G1728" s="9"/>
      <c r="H1728" s="4"/>
      <c r="I1728" s="9"/>
      <c r="J1728" s="3">
        <v>11309</v>
      </c>
      <c r="K1728" s="3">
        <v>50801</v>
      </c>
      <c r="L1728" s="17" t="str" cm="1">
        <f t="array" ref="L1728">_xlfn.IFS(MID(K1728,2,2)="01", "서울", MID(K1728,2,2)="02","경기",MID(K1728,2,2)="03","충청",MID(K1728,2,2)="04","충청",MID(K1728,2,2)="05","전라",MID(K1728,2,2)="06","전라",MID(K1728,2,2)="07","경북",MID(K1728,2,2)="08","경남",MID(K1728,2,2)="09","강원",MID(K1728,2,2)="10","제주",TRUE,"국외")</f>
        <v>경남</v>
      </c>
    </row>
    <row r="1729" spans="1:12" ht="17.25" thickBot="1">
      <c r="A1729" s="3" t="s">
        <v>1812</v>
      </c>
      <c r="B1729" s="3" t="s">
        <v>153</v>
      </c>
      <c r="C1729" s="3"/>
      <c r="D1729" s="4" t="s">
        <v>2</v>
      </c>
      <c r="E1729" s="4" t="s">
        <v>26</v>
      </c>
      <c r="F1729" s="4">
        <v>2011</v>
      </c>
      <c r="G1729" s="8">
        <v>0</v>
      </c>
      <c r="H1729" s="4" t="s">
        <v>26</v>
      </c>
      <c r="I1729" s="8">
        <v>1.5</v>
      </c>
      <c r="J1729" s="3">
        <v>10677</v>
      </c>
      <c r="K1729" s="3">
        <v>50210</v>
      </c>
      <c r="L1729" s="17" t="str" cm="1">
        <f t="array" ref="L1729">_xlfn.IFS(MID(K1729,2,2)="01", "서울", MID(K1729,2,2)="02","경기",MID(K1729,2,2)="03","충청",MID(K1729,2,2)="04","충청",MID(K1729,2,2)="05","전라",MID(K1729,2,2)="06","전라",MID(K1729,2,2)="07","경북",MID(K1729,2,2)="08","경남",MID(K1729,2,2)="09","강원",MID(K1729,2,2)="10","제주",TRUE,"국외")</f>
        <v>경기</v>
      </c>
    </row>
    <row r="1730" spans="1:12" ht="17.25" thickBot="1">
      <c r="A1730" s="3" t="s">
        <v>1813</v>
      </c>
      <c r="B1730" s="3" t="s">
        <v>107</v>
      </c>
      <c r="C1730" s="3" t="s">
        <v>1796</v>
      </c>
      <c r="D1730" s="4" t="s">
        <v>2</v>
      </c>
      <c r="E1730" s="4" t="s">
        <v>9</v>
      </c>
      <c r="F1730" s="4">
        <v>2011</v>
      </c>
      <c r="G1730" s="8">
        <v>-0.1</v>
      </c>
      <c r="H1730" s="4" t="s">
        <v>9</v>
      </c>
      <c r="I1730" s="8">
        <v>-0.8</v>
      </c>
      <c r="J1730" s="3">
        <v>10692</v>
      </c>
      <c r="K1730" s="3">
        <v>50602</v>
      </c>
      <c r="L1730" s="17" t="str" cm="1">
        <f t="array" ref="L1730">_xlfn.IFS(MID(K1730,2,2)="01", "서울", MID(K1730,2,2)="02","경기",MID(K1730,2,2)="03","충청",MID(K1730,2,2)="04","충청",MID(K1730,2,2)="05","전라",MID(K1730,2,2)="06","전라",MID(K1730,2,2)="07","경북",MID(K1730,2,2)="08","경남",MID(K1730,2,2)="09","강원",MID(K1730,2,2)="10","제주",TRUE,"국외")</f>
        <v>전라</v>
      </c>
    </row>
    <row r="1731" spans="1:12" ht="17.25" thickBot="1">
      <c r="A1731" s="3" t="s">
        <v>1814</v>
      </c>
      <c r="B1731" s="3" t="s">
        <v>32</v>
      </c>
      <c r="C1731" s="3"/>
      <c r="D1731" s="4" t="s">
        <v>2</v>
      </c>
      <c r="E1731" s="4" t="s">
        <v>23</v>
      </c>
      <c r="F1731" s="4">
        <v>2014</v>
      </c>
      <c r="G1731" s="9"/>
      <c r="H1731" s="4" t="s">
        <v>18</v>
      </c>
      <c r="I1731" s="8">
        <v>1.3</v>
      </c>
      <c r="J1731" s="3">
        <v>10722</v>
      </c>
      <c r="K1731" s="3">
        <v>50111</v>
      </c>
      <c r="L1731" s="17" t="str" cm="1">
        <f t="array" ref="L1731">_xlfn.IFS(MID(K1731,2,2)="01", "서울", MID(K1731,2,2)="02","경기",MID(K1731,2,2)="03","충청",MID(K1731,2,2)="04","충청",MID(K1731,2,2)="05","전라",MID(K1731,2,2)="06","전라",MID(K1731,2,2)="07","경북",MID(K1731,2,2)="08","경남",MID(K1731,2,2)="09","강원",MID(K1731,2,2)="10","제주",TRUE,"국외")</f>
        <v>서울</v>
      </c>
    </row>
    <row r="1732" spans="1:12" ht="17.25" thickBot="1">
      <c r="A1732" s="3" t="s">
        <v>1815</v>
      </c>
      <c r="B1732" s="3" t="s">
        <v>176</v>
      </c>
      <c r="C1732" s="3"/>
      <c r="D1732" s="4" t="s">
        <v>2</v>
      </c>
      <c r="E1732" s="4" t="s">
        <v>906</v>
      </c>
      <c r="F1732" s="4">
        <v>2011</v>
      </c>
      <c r="G1732" s="8">
        <v>0</v>
      </c>
      <c r="H1732" s="4" t="s">
        <v>12</v>
      </c>
      <c r="I1732" s="8">
        <v>5.4</v>
      </c>
      <c r="J1732" s="3">
        <v>10681</v>
      </c>
      <c r="K1732" s="3">
        <v>50302</v>
      </c>
      <c r="L1732" s="17" t="str" cm="1">
        <f t="array" ref="L1732">_xlfn.IFS(MID(K1732,2,2)="01", "서울", MID(K1732,2,2)="02","경기",MID(K1732,2,2)="03","충청",MID(K1732,2,2)="04","충청",MID(K1732,2,2)="05","전라",MID(K1732,2,2)="06","전라",MID(K1732,2,2)="07","경북",MID(K1732,2,2)="08","경남",MID(K1732,2,2)="09","강원",MID(K1732,2,2)="10","제주",TRUE,"국외")</f>
        <v>충청</v>
      </c>
    </row>
    <row r="1733" spans="1:12" ht="17.25" thickBot="1">
      <c r="A1733" s="3" t="s">
        <v>494</v>
      </c>
      <c r="B1733" s="3" t="s">
        <v>25</v>
      </c>
      <c r="C1733" s="3"/>
      <c r="D1733" s="4" t="s">
        <v>2</v>
      </c>
      <c r="E1733" s="4" t="s">
        <v>20</v>
      </c>
      <c r="F1733" s="4">
        <v>2016</v>
      </c>
      <c r="G1733" s="9"/>
      <c r="H1733" s="4" t="s">
        <v>20</v>
      </c>
      <c r="I1733" s="8">
        <v>2.2000000000000002</v>
      </c>
      <c r="J1733" s="3">
        <v>10749</v>
      </c>
      <c r="K1733" s="3">
        <v>50403</v>
      </c>
      <c r="L1733" s="17" t="str" cm="1">
        <f t="array" ref="L1733">_xlfn.IFS(MID(K1733,2,2)="01", "서울", MID(K1733,2,2)="02","경기",MID(K1733,2,2)="03","충청",MID(K1733,2,2)="04","충청",MID(K1733,2,2)="05","전라",MID(K1733,2,2)="06","전라",MID(K1733,2,2)="07","경북",MID(K1733,2,2)="08","경남",MID(K1733,2,2)="09","강원",MID(K1733,2,2)="10","제주",TRUE,"국외")</f>
        <v>충청</v>
      </c>
    </row>
    <row r="1734" spans="1:12" ht="17.25" thickBot="1">
      <c r="A1734" s="3" t="s">
        <v>1816</v>
      </c>
      <c r="B1734" s="3" t="s">
        <v>96</v>
      </c>
      <c r="C1734" s="3"/>
      <c r="D1734" s="4" t="s">
        <v>2</v>
      </c>
      <c r="E1734" s="4" t="s">
        <v>3</v>
      </c>
      <c r="F1734" s="4">
        <v>2011</v>
      </c>
      <c r="G1734" s="8">
        <v>0</v>
      </c>
      <c r="H1734" s="4" t="s">
        <v>3</v>
      </c>
      <c r="I1734" s="8">
        <v>3</v>
      </c>
      <c r="J1734" s="3">
        <v>10676</v>
      </c>
      <c r="K1734" s="3">
        <v>50601</v>
      </c>
      <c r="L1734" s="17" t="str" cm="1">
        <f t="array" ref="L1734">_xlfn.IFS(MID(K1734,2,2)="01", "서울", MID(K1734,2,2)="02","경기",MID(K1734,2,2)="03","충청",MID(K1734,2,2)="04","충청",MID(K1734,2,2)="05","전라",MID(K1734,2,2)="06","전라",MID(K1734,2,2)="07","경북",MID(K1734,2,2)="08","경남",MID(K1734,2,2)="09","강원",MID(K1734,2,2)="10","제주",TRUE,"국외")</f>
        <v>전라</v>
      </c>
    </row>
    <row r="1735" spans="1:12" ht="17.25" thickBot="1">
      <c r="A1735" s="3" t="s">
        <v>1817</v>
      </c>
      <c r="B1735" s="3" t="s">
        <v>121</v>
      </c>
      <c r="C1735" s="3" t="s">
        <v>83</v>
      </c>
      <c r="D1735" s="4" t="s">
        <v>2</v>
      </c>
      <c r="E1735" s="4" t="s">
        <v>3</v>
      </c>
      <c r="F1735" s="4">
        <v>2011</v>
      </c>
      <c r="G1735" s="8">
        <v>0.2</v>
      </c>
      <c r="H1735" s="4" t="s">
        <v>20</v>
      </c>
      <c r="I1735" s="8">
        <v>-0.1</v>
      </c>
      <c r="J1735" s="3">
        <v>10662</v>
      </c>
      <c r="K1735" s="3">
        <v>50604</v>
      </c>
      <c r="L1735" s="17" t="str" cm="1">
        <f t="array" ref="L1735">_xlfn.IFS(MID(K1735,2,2)="01", "서울", MID(K1735,2,2)="02","경기",MID(K1735,2,2)="03","충청",MID(K1735,2,2)="04","충청",MID(K1735,2,2)="05","전라",MID(K1735,2,2)="06","전라",MID(K1735,2,2)="07","경북",MID(K1735,2,2)="08","경남",MID(K1735,2,2)="09","강원",MID(K1735,2,2)="10","제주",TRUE,"국외")</f>
        <v>전라</v>
      </c>
    </row>
    <row r="1736" spans="1:12" ht="17.25" thickBot="1">
      <c r="A1736" s="3" t="s">
        <v>1818</v>
      </c>
      <c r="B1736" s="3" t="s">
        <v>32</v>
      </c>
      <c r="C1736" s="3"/>
      <c r="D1736" s="4" t="s">
        <v>2</v>
      </c>
      <c r="E1736" s="4" t="s">
        <v>20</v>
      </c>
      <c r="F1736" s="4"/>
      <c r="G1736" s="9"/>
      <c r="H1736" s="4"/>
      <c r="I1736" s="9"/>
      <c r="J1736" s="3">
        <v>10751</v>
      </c>
      <c r="K1736" s="3">
        <v>50111</v>
      </c>
      <c r="L1736" s="17" t="str" cm="1">
        <f t="array" ref="L1736">_xlfn.IFS(MID(K1736,2,2)="01", "서울", MID(K1736,2,2)="02","경기",MID(K1736,2,2)="03","충청",MID(K1736,2,2)="04","충청",MID(K1736,2,2)="05","전라",MID(K1736,2,2)="06","전라",MID(K1736,2,2)="07","경북",MID(K1736,2,2)="08","경남",MID(K1736,2,2)="09","강원",MID(K1736,2,2)="10","제주",TRUE,"국외")</f>
        <v>서울</v>
      </c>
    </row>
    <row r="1737" spans="1:12" ht="17.25" thickBot="1">
      <c r="A1737" s="3" t="s">
        <v>1819</v>
      </c>
      <c r="B1737" s="3" t="s">
        <v>68</v>
      </c>
      <c r="C1737" s="3" t="s">
        <v>739</v>
      </c>
      <c r="D1737" s="4" t="s">
        <v>2</v>
      </c>
      <c r="E1737" s="4" t="s">
        <v>906</v>
      </c>
      <c r="F1737" s="4">
        <v>2011</v>
      </c>
      <c r="G1737" s="8">
        <v>0.3</v>
      </c>
      <c r="H1737" s="4" t="s">
        <v>18</v>
      </c>
      <c r="I1737" s="8">
        <v>10.4</v>
      </c>
      <c r="J1737" s="3">
        <v>10659</v>
      </c>
      <c r="K1737" s="3">
        <v>50101</v>
      </c>
      <c r="L1737" s="17" t="str" cm="1">
        <f t="array" ref="L1737">_xlfn.IFS(MID(K1737,2,2)="01", "서울", MID(K1737,2,2)="02","경기",MID(K1737,2,2)="03","충청",MID(K1737,2,2)="04","충청",MID(K1737,2,2)="05","전라",MID(K1737,2,2)="06","전라",MID(K1737,2,2)="07","경북",MID(K1737,2,2)="08","경남",MID(K1737,2,2)="09","강원",MID(K1737,2,2)="10","제주",TRUE,"국외")</f>
        <v>서울</v>
      </c>
    </row>
    <row r="1738" spans="1:12" ht="17.25" thickBot="1">
      <c r="A1738" s="3" t="s">
        <v>1820</v>
      </c>
      <c r="B1738" s="3" t="s">
        <v>44</v>
      </c>
      <c r="C1738" s="3"/>
      <c r="D1738" s="4" t="s">
        <v>2</v>
      </c>
      <c r="E1738" s="4" t="s">
        <v>23</v>
      </c>
      <c r="F1738" s="4"/>
      <c r="G1738" s="9"/>
      <c r="H1738" s="4"/>
      <c r="I1738" s="9"/>
      <c r="J1738" s="3">
        <v>10721</v>
      </c>
      <c r="K1738" s="3">
        <v>50809</v>
      </c>
      <c r="L1738" s="17" t="str" cm="1">
        <f t="array" ref="L1738">_xlfn.IFS(MID(K1738,2,2)="01", "서울", MID(K1738,2,2)="02","경기",MID(K1738,2,2)="03","충청",MID(K1738,2,2)="04","충청",MID(K1738,2,2)="05","전라",MID(K1738,2,2)="06","전라",MID(K1738,2,2)="07","경북",MID(K1738,2,2)="08","경남",MID(K1738,2,2)="09","강원",MID(K1738,2,2)="10","제주",TRUE,"국외")</f>
        <v>경남</v>
      </c>
    </row>
    <row r="1739" spans="1:12" ht="17.25" thickBot="1">
      <c r="A1739" s="3" t="s">
        <v>1821</v>
      </c>
      <c r="B1739" s="3" t="s">
        <v>74</v>
      </c>
      <c r="C1739" s="3" t="s">
        <v>99</v>
      </c>
      <c r="D1739" s="4" t="s">
        <v>2</v>
      </c>
      <c r="E1739" s="4" t="s">
        <v>9</v>
      </c>
      <c r="F1739" s="4">
        <v>2012</v>
      </c>
      <c r="G1739" s="9"/>
      <c r="H1739" s="4" t="s">
        <v>9</v>
      </c>
      <c r="I1739" s="8">
        <v>-0.6</v>
      </c>
      <c r="J1739" s="3">
        <v>10739</v>
      </c>
      <c r="K1739" s="3">
        <v>50102</v>
      </c>
      <c r="L1739" s="17" t="str" cm="1">
        <f t="array" ref="L1739">_xlfn.IFS(MID(K1739,2,2)="01", "서울", MID(K1739,2,2)="02","경기",MID(K1739,2,2)="03","충청",MID(K1739,2,2)="04","충청",MID(K1739,2,2)="05","전라",MID(K1739,2,2)="06","전라",MID(K1739,2,2)="07","경북",MID(K1739,2,2)="08","경남",MID(K1739,2,2)="09","강원",MID(K1739,2,2)="10","제주",TRUE,"국외")</f>
        <v>서울</v>
      </c>
    </row>
    <row r="1740" spans="1:12" ht="17.25" thickBot="1">
      <c r="A1740" s="3" t="s">
        <v>1822</v>
      </c>
      <c r="B1740" s="3" t="s">
        <v>275</v>
      </c>
      <c r="C1740" s="3"/>
      <c r="D1740" s="4" t="s">
        <v>2</v>
      </c>
      <c r="E1740" s="4" t="s">
        <v>26</v>
      </c>
      <c r="F1740" s="4"/>
      <c r="G1740" s="9"/>
      <c r="H1740" s="4"/>
      <c r="I1740" s="9"/>
      <c r="J1740" s="3">
        <v>10735</v>
      </c>
      <c r="K1740" s="3">
        <v>51001</v>
      </c>
      <c r="L1740" s="17" t="str" cm="1">
        <f t="array" ref="L1740">_xlfn.IFS(MID(K1740,2,2)="01", "서울", MID(K1740,2,2)="02","경기",MID(K1740,2,2)="03","충청",MID(K1740,2,2)="04","충청",MID(K1740,2,2)="05","전라",MID(K1740,2,2)="06","전라",MID(K1740,2,2)="07","경북",MID(K1740,2,2)="08","경남",MID(K1740,2,2)="09","강원",MID(K1740,2,2)="10","제주",TRUE,"국외")</f>
        <v>제주</v>
      </c>
    </row>
    <row r="1741" spans="1:12" ht="17.25" thickBot="1">
      <c r="A1741" s="3" t="s">
        <v>1823</v>
      </c>
      <c r="B1741" s="3" t="s">
        <v>82</v>
      </c>
      <c r="C1741" s="3"/>
      <c r="D1741" s="4" t="s">
        <v>2</v>
      </c>
      <c r="E1741" s="4" t="s">
        <v>607</v>
      </c>
      <c r="F1741" s="4">
        <v>2011</v>
      </c>
      <c r="G1741" s="8">
        <v>0</v>
      </c>
      <c r="H1741" s="4" t="s">
        <v>607</v>
      </c>
      <c r="I1741" s="8">
        <v>-1.2</v>
      </c>
      <c r="J1741" s="3">
        <v>10717</v>
      </c>
      <c r="K1741" s="3">
        <v>50605</v>
      </c>
      <c r="L1741" s="17" t="str" cm="1">
        <f t="array" ref="L1741">_xlfn.IFS(MID(K1741,2,2)="01", "서울", MID(K1741,2,2)="02","경기",MID(K1741,2,2)="03","충청",MID(K1741,2,2)="04","충청",MID(K1741,2,2)="05","전라",MID(K1741,2,2)="06","전라",MID(K1741,2,2)="07","경북",MID(K1741,2,2)="08","경남",MID(K1741,2,2)="09","강원",MID(K1741,2,2)="10","제주",TRUE,"국외")</f>
        <v>전라</v>
      </c>
    </row>
    <row r="1742" spans="1:12" ht="17.25" thickBot="1">
      <c r="A1742" s="3" t="s">
        <v>1824</v>
      </c>
      <c r="B1742" s="3" t="s">
        <v>107</v>
      </c>
      <c r="C1742" s="3" t="s">
        <v>172</v>
      </c>
      <c r="D1742" s="4" t="s">
        <v>2</v>
      </c>
      <c r="E1742" s="4" t="s">
        <v>6</v>
      </c>
      <c r="F1742" s="4">
        <v>2011</v>
      </c>
      <c r="G1742" s="8">
        <v>-0.2</v>
      </c>
      <c r="H1742" s="4" t="s">
        <v>6</v>
      </c>
      <c r="I1742" s="8">
        <v>-0.3</v>
      </c>
      <c r="J1742" s="3">
        <v>10651</v>
      </c>
      <c r="K1742" s="3">
        <v>50602</v>
      </c>
      <c r="L1742" s="17" t="str" cm="1">
        <f t="array" ref="L1742">_xlfn.IFS(MID(K1742,2,2)="01", "서울", MID(K1742,2,2)="02","경기",MID(K1742,2,2)="03","충청",MID(K1742,2,2)="04","충청",MID(K1742,2,2)="05","전라",MID(K1742,2,2)="06","전라",MID(K1742,2,2)="07","경북",MID(K1742,2,2)="08","경남",MID(K1742,2,2)="09","강원",MID(K1742,2,2)="10","제주",TRUE,"국외")</f>
        <v>전라</v>
      </c>
    </row>
    <row r="1743" spans="1:12" ht="17.25" thickBot="1">
      <c r="A1743" s="3" t="s">
        <v>1825</v>
      </c>
      <c r="B1743" s="3" t="s">
        <v>50</v>
      </c>
      <c r="C1743" s="3" t="s">
        <v>752</v>
      </c>
      <c r="D1743" s="4" t="s">
        <v>2</v>
      </c>
      <c r="E1743" s="4" t="s">
        <v>6</v>
      </c>
      <c r="F1743" s="4"/>
      <c r="G1743" s="9"/>
      <c r="H1743" s="4"/>
      <c r="I1743" s="9"/>
      <c r="J1743" s="3">
        <v>10700</v>
      </c>
      <c r="K1743" s="3">
        <v>50301</v>
      </c>
      <c r="L1743" s="17" t="str" cm="1">
        <f t="array" ref="L1743">_xlfn.IFS(MID(K1743,2,2)="01", "서울", MID(K1743,2,2)="02","경기",MID(K1743,2,2)="03","충청",MID(K1743,2,2)="04","충청",MID(K1743,2,2)="05","전라",MID(K1743,2,2)="06","전라",MID(K1743,2,2)="07","경북",MID(K1743,2,2)="08","경남",MID(K1743,2,2)="09","강원",MID(K1743,2,2)="10","제주",TRUE,"국외")</f>
        <v>충청</v>
      </c>
    </row>
    <row r="1744" spans="1:12" ht="17.25" thickBot="1">
      <c r="A1744" s="3" t="s">
        <v>1826</v>
      </c>
      <c r="B1744" s="3" t="s">
        <v>1</v>
      </c>
      <c r="C1744" s="3"/>
      <c r="D1744" s="4" t="s">
        <v>2</v>
      </c>
      <c r="E1744" s="4" t="s">
        <v>607</v>
      </c>
      <c r="F1744" s="4">
        <v>2011</v>
      </c>
      <c r="G1744" s="8">
        <v>1.1000000000000001</v>
      </c>
      <c r="H1744" s="4" t="s">
        <v>20</v>
      </c>
      <c r="I1744" s="8">
        <v>5.7</v>
      </c>
      <c r="J1744" s="3">
        <v>10713</v>
      </c>
      <c r="K1744" s="3">
        <v>50107</v>
      </c>
      <c r="L1744" s="17" t="str" cm="1">
        <f t="array" ref="L1744">_xlfn.IFS(MID(K1744,2,2)="01", "서울", MID(K1744,2,2)="02","경기",MID(K1744,2,2)="03","충청",MID(K1744,2,2)="04","충청",MID(K1744,2,2)="05","전라",MID(K1744,2,2)="06","전라",MID(K1744,2,2)="07","경북",MID(K1744,2,2)="08","경남",MID(K1744,2,2)="09","강원",MID(K1744,2,2)="10","제주",TRUE,"국외")</f>
        <v>서울</v>
      </c>
    </row>
    <row r="1745" spans="1:12" ht="17.25" thickBot="1">
      <c r="A1745" s="3" t="s">
        <v>1827</v>
      </c>
      <c r="B1745" s="3" t="s">
        <v>8</v>
      </c>
      <c r="C1745" s="3" t="s">
        <v>218</v>
      </c>
      <c r="D1745" s="4" t="s">
        <v>2</v>
      </c>
      <c r="E1745" s="4" t="s">
        <v>26</v>
      </c>
      <c r="F1745" s="4">
        <v>2011</v>
      </c>
      <c r="G1745" s="8">
        <v>-0.6</v>
      </c>
      <c r="H1745" s="4" t="s">
        <v>26</v>
      </c>
      <c r="I1745" s="8">
        <v>-0.7</v>
      </c>
      <c r="J1745" s="3">
        <v>10729</v>
      </c>
      <c r="K1745" s="3">
        <v>50116</v>
      </c>
      <c r="L1745" s="17" t="str" cm="1">
        <f t="array" ref="L1745">_xlfn.IFS(MID(K1745,2,2)="01", "서울", MID(K1745,2,2)="02","경기",MID(K1745,2,2)="03","충청",MID(K1745,2,2)="04","충청",MID(K1745,2,2)="05","전라",MID(K1745,2,2)="06","전라",MID(K1745,2,2)="07","경북",MID(K1745,2,2)="08","경남",MID(K1745,2,2)="09","강원",MID(K1745,2,2)="10","제주",TRUE,"국외")</f>
        <v>서울</v>
      </c>
    </row>
    <row r="1746" spans="1:12" ht="17.25" thickBot="1">
      <c r="A1746" s="3" t="s">
        <v>1828</v>
      </c>
      <c r="B1746" s="3" t="s">
        <v>107</v>
      </c>
      <c r="C1746" s="3"/>
      <c r="D1746" s="4" t="s">
        <v>2</v>
      </c>
      <c r="E1746" s="4" t="s">
        <v>9</v>
      </c>
      <c r="F1746" s="4"/>
      <c r="G1746" s="9"/>
      <c r="H1746" s="4"/>
      <c r="I1746" s="9"/>
      <c r="J1746" s="3">
        <v>10746</v>
      </c>
      <c r="K1746" s="3">
        <v>50602</v>
      </c>
      <c r="L1746" s="17" t="str" cm="1">
        <f t="array" ref="L1746">_xlfn.IFS(MID(K1746,2,2)="01", "서울", MID(K1746,2,2)="02","경기",MID(K1746,2,2)="03","충청",MID(K1746,2,2)="04","충청",MID(K1746,2,2)="05","전라",MID(K1746,2,2)="06","전라",MID(K1746,2,2)="07","경북",MID(K1746,2,2)="08","경남",MID(K1746,2,2)="09","강원",MID(K1746,2,2)="10","제주",TRUE,"국외")</f>
        <v>전라</v>
      </c>
    </row>
    <row r="1747" spans="1:12" ht="17.25" thickBot="1">
      <c r="A1747" s="3" t="s">
        <v>1829</v>
      </c>
      <c r="B1747" s="3" t="s">
        <v>14</v>
      </c>
      <c r="C1747" s="3" t="s">
        <v>329</v>
      </c>
      <c r="D1747" s="4" t="s">
        <v>2</v>
      </c>
      <c r="E1747" s="4" t="s">
        <v>23</v>
      </c>
      <c r="F1747" s="4">
        <v>2011</v>
      </c>
      <c r="G1747" s="8">
        <v>0.5</v>
      </c>
      <c r="H1747" s="4" t="s">
        <v>23</v>
      </c>
      <c r="I1747" s="8">
        <v>2.6</v>
      </c>
      <c r="J1747" s="3">
        <v>10637</v>
      </c>
      <c r="K1747" s="3">
        <v>50703</v>
      </c>
      <c r="L1747" s="17" t="str" cm="1">
        <f t="array" ref="L1747">_xlfn.IFS(MID(K1747,2,2)="01", "서울", MID(K1747,2,2)="02","경기",MID(K1747,2,2)="03","충청",MID(K1747,2,2)="04","충청",MID(K1747,2,2)="05","전라",MID(K1747,2,2)="06","전라",MID(K1747,2,2)="07","경북",MID(K1747,2,2)="08","경남",MID(K1747,2,2)="09","강원",MID(K1747,2,2)="10","제주",TRUE,"국외")</f>
        <v>경북</v>
      </c>
    </row>
    <row r="1748" spans="1:12" ht="17.25" thickBot="1">
      <c r="A1748" s="3" t="s">
        <v>1830</v>
      </c>
      <c r="B1748" s="3" t="s">
        <v>14</v>
      </c>
      <c r="C1748" s="3" t="s">
        <v>99</v>
      </c>
      <c r="D1748" s="4" t="s">
        <v>2</v>
      </c>
      <c r="E1748" s="4" t="s">
        <v>906</v>
      </c>
      <c r="F1748" s="4">
        <v>2012</v>
      </c>
      <c r="G1748" s="9"/>
      <c r="H1748" s="4" t="s">
        <v>20</v>
      </c>
      <c r="I1748" s="8">
        <v>-0.2</v>
      </c>
      <c r="J1748" s="3">
        <v>10761</v>
      </c>
      <c r="K1748" s="3">
        <v>50703</v>
      </c>
      <c r="L1748" s="17" t="str" cm="1">
        <f t="array" ref="L1748">_xlfn.IFS(MID(K1748,2,2)="01", "서울", MID(K1748,2,2)="02","경기",MID(K1748,2,2)="03","충청",MID(K1748,2,2)="04","충청",MID(K1748,2,2)="05","전라",MID(K1748,2,2)="06","전라",MID(K1748,2,2)="07","경북",MID(K1748,2,2)="08","경남",MID(K1748,2,2)="09","강원",MID(K1748,2,2)="10","제주",TRUE,"국외")</f>
        <v>경북</v>
      </c>
    </row>
    <row r="1749" spans="1:12" ht="17.25" thickBot="1">
      <c r="A1749" s="3" t="s">
        <v>1831</v>
      </c>
      <c r="B1749" s="3" t="s">
        <v>25</v>
      </c>
      <c r="C1749" s="3"/>
      <c r="D1749" s="4" t="s">
        <v>2</v>
      </c>
      <c r="E1749" s="4" t="s">
        <v>20</v>
      </c>
      <c r="F1749" s="4">
        <v>2013</v>
      </c>
      <c r="G1749" s="9"/>
      <c r="H1749" s="4" t="s">
        <v>3</v>
      </c>
      <c r="I1749" s="8">
        <v>0.6</v>
      </c>
      <c r="J1749" s="3">
        <v>10748</v>
      </c>
      <c r="K1749" s="3">
        <v>50403</v>
      </c>
      <c r="L1749" s="17" t="str" cm="1">
        <f t="array" ref="L1749">_xlfn.IFS(MID(K1749,2,2)="01", "서울", MID(K1749,2,2)="02","경기",MID(K1749,2,2)="03","충청",MID(K1749,2,2)="04","충청",MID(K1749,2,2)="05","전라",MID(K1749,2,2)="06","전라",MID(K1749,2,2)="07","경북",MID(K1749,2,2)="08","경남",MID(K1749,2,2)="09","강원",MID(K1749,2,2)="10","제주",TRUE,"국외")</f>
        <v>충청</v>
      </c>
    </row>
    <row r="1750" spans="1:12" ht="17.25" thickBot="1">
      <c r="A1750" s="3" t="s">
        <v>1832</v>
      </c>
      <c r="B1750" s="3" t="s">
        <v>96</v>
      </c>
      <c r="C1750" s="3"/>
      <c r="D1750" s="4" t="s">
        <v>2</v>
      </c>
      <c r="E1750" s="4" t="s">
        <v>3</v>
      </c>
      <c r="F1750" s="4"/>
      <c r="G1750" s="9"/>
      <c r="H1750" s="4"/>
      <c r="I1750" s="9"/>
      <c r="J1750" s="3">
        <v>10771</v>
      </c>
      <c r="K1750" s="3">
        <v>50601</v>
      </c>
      <c r="L1750" s="17" t="str" cm="1">
        <f t="array" ref="L1750">_xlfn.IFS(MID(K1750,2,2)="01", "서울", MID(K1750,2,2)="02","경기",MID(K1750,2,2)="03","충청",MID(K1750,2,2)="04","충청",MID(K1750,2,2)="05","전라",MID(K1750,2,2)="06","전라",MID(K1750,2,2)="07","경북",MID(K1750,2,2)="08","경남",MID(K1750,2,2)="09","강원",MID(K1750,2,2)="10","제주",TRUE,"국외")</f>
        <v>전라</v>
      </c>
    </row>
    <row r="1751" spans="1:12" ht="17.25" thickBot="1">
      <c r="A1751" s="3" t="s">
        <v>1833</v>
      </c>
      <c r="B1751" s="3" t="s">
        <v>1834</v>
      </c>
      <c r="C1751" s="3" t="s">
        <v>99</v>
      </c>
      <c r="D1751" s="4" t="s">
        <v>2</v>
      </c>
      <c r="E1751" s="4" t="s">
        <v>3</v>
      </c>
      <c r="F1751" s="4">
        <v>2011</v>
      </c>
      <c r="G1751" s="8">
        <v>-0.2</v>
      </c>
      <c r="H1751" s="4" t="s">
        <v>3</v>
      </c>
      <c r="I1751" s="8">
        <v>-0.2</v>
      </c>
      <c r="J1751" s="3">
        <v>10673</v>
      </c>
      <c r="K1751" s="3">
        <v>50904</v>
      </c>
      <c r="L1751" s="17" t="str" cm="1">
        <f t="array" ref="L1751">_xlfn.IFS(MID(K1751,2,2)="01", "서울", MID(K1751,2,2)="02","경기",MID(K1751,2,2)="03","충청",MID(K1751,2,2)="04","충청",MID(K1751,2,2)="05","전라",MID(K1751,2,2)="06","전라",MID(K1751,2,2)="07","경북",MID(K1751,2,2)="08","경남",MID(K1751,2,2)="09","강원",MID(K1751,2,2)="10","제주",TRUE,"국외")</f>
        <v>강원</v>
      </c>
    </row>
    <row r="1752" spans="1:12" ht="17.25" thickBot="1">
      <c r="A1752" s="3" t="s">
        <v>1835</v>
      </c>
      <c r="B1752" s="3" t="s">
        <v>107</v>
      </c>
      <c r="C1752" s="3" t="s">
        <v>45</v>
      </c>
      <c r="D1752" s="4" t="s">
        <v>2</v>
      </c>
      <c r="E1752" s="4" t="s">
        <v>20</v>
      </c>
      <c r="F1752" s="4">
        <v>2011</v>
      </c>
      <c r="G1752" s="8">
        <v>-0.1</v>
      </c>
      <c r="H1752" s="4" t="s">
        <v>20</v>
      </c>
      <c r="I1752" s="8">
        <v>-0.8</v>
      </c>
      <c r="J1752" s="3">
        <v>10929</v>
      </c>
      <c r="K1752" s="3">
        <v>50602</v>
      </c>
      <c r="L1752" s="17" t="str" cm="1">
        <f t="array" ref="L1752">_xlfn.IFS(MID(K1752,2,2)="01", "서울", MID(K1752,2,2)="02","경기",MID(K1752,2,2)="03","충청",MID(K1752,2,2)="04","충청",MID(K1752,2,2)="05","전라",MID(K1752,2,2)="06","전라",MID(K1752,2,2)="07","경북",MID(K1752,2,2)="08","경남",MID(K1752,2,2)="09","강원",MID(K1752,2,2)="10","제주",TRUE,"국외")</f>
        <v>전라</v>
      </c>
    </row>
    <row r="1753" spans="1:12" ht="17.25" thickBot="1">
      <c r="A1753" s="3" t="s">
        <v>1836</v>
      </c>
      <c r="B1753" s="3" t="s">
        <v>169</v>
      </c>
      <c r="C1753" s="3"/>
      <c r="D1753" s="4" t="s">
        <v>2</v>
      </c>
      <c r="E1753" s="4" t="s">
        <v>906</v>
      </c>
      <c r="F1753" s="4">
        <v>2016</v>
      </c>
      <c r="G1753" s="9"/>
      <c r="H1753" s="4" t="s">
        <v>18</v>
      </c>
      <c r="I1753" s="8">
        <v>-0.3</v>
      </c>
      <c r="J1753" s="3">
        <v>11220</v>
      </c>
      <c r="K1753" s="3">
        <v>50606</v>
      </c>
      <c r="L1753" s="17" t="str" cm="1">
        <f t="array" ref="L1753">_xlfn.IFS(MID(K1753,2,2)="01", "서울", MID(K1753,2,2)="02","경기",MID(K1753,2,2)="03","충청",MID(K1753,2,2)="04","충청",MID(K1753,2,2)="05","전라",MID(K1753,2,2)="06","전라",MID(K1753,2,2)="07","경북",MID(K1753,2,2)="08","경남",MID(K1753,2,2)="09","강원",MID(K1753,2,2)="10","제주",TRUE,"국외")</f>
        <v>전라</v>
      </c>
    </row>
    <row r="1754" spans="1:12" ht="17.25" thickBot="1">
      <c r="A1754" s="3" t="s">
        <v>1837</v>
      </c>
      <c r="B1754" s="3" t="s">
        <v>275</v>
      </c>
      <c r="C1754" s="3" t="s">
        <v>538</v>
      </c>
      <c r="D1754" s="4" t="s">
        <v>2</v>
      </c>
      <c r="E1754" s="4" t="s">
        <v>23</v>
      </c>
      <c r="F1754" s="4">
        <v>2011</v>
      </c>
      <c r="G1754" s="8">
        <v>-0.2</v>
      </c>
      <c r="H1754" s="4" t="s">
        <v>23</v>
      </c>
      <c r="I1754" s="8">
        <v>2.6</v>
      </c>
      <c r="J1754" s="3">
        <v>10640</v>
      </c>
      <c r="K1754" s="3">
        <v>51001</v>
      </c>
      <c r="L1754" s="17" t="str" cm="1">
        <f t="array" ref="L1754">_xlfn.IFS(MID(K1754,2,2)="01", "서울", MID(K1754,2,2)="02","경기",MID(K1754,2,2)="03","충청",MID(K1754,2,2)="04","충청",MID(K1754,2,2)="05","전라",MID(K1754,2,2)="06","전라",MID(K1754,2,2)="07","경북",MID(K1754,2,2)="08","경남",MID(K1754,2,2)="09","강원",MID(K1754,2,2)="10","제주",TRUE,"국외")</f>
        <v>제주</v>
      </c>
    </row>
    <row r="1755" spans="1:12" ht="17.25" thickBot="1">
      <c r="A1755" s="3" t="s">
        <v>1838</v>
      </c>
      <c r="B1755" s="3" t="s">
        <v>158</v>
      </c>
      <c r="C1755" s="3"/>
      <c r="D1755" s="4" t="s">
        <v>2</v>
      </c>
      <c r="E1755" s="4" t="s">
        <v>9</v>
      </c>
      <c r="F1755" s="4"/>
      <c r="G1755" s="9"/>
      <c r="H1755" s="4"/>
      <c r="I1755" s="9"/>
      <c r="J1755" s="3">
        <v>10742</v>
      </c>
      <c r="K1755" s="3">
        <v>50501</v>
      </c>
      <c r="L1755" s="17" t="str" cm="1">
        <f t="array" ref="L1755">_xlfn.IFS(MID(K1755,2,2)="01", "서울", MID(K1755,2,2)="02","경기",MID(K1755,2,2)="03","충청",MID(K1755,2,2)="04","충청",MID(K1755,2,2)="05","전라",MID(K1755,2,2)="06","전라",MID(K1755,2,2)="07","경북",MID(K1755,2,2)="08","경남",MID(K1755,2,2)="09","강원",MID(K1755,2,2)="10","제주",TRUE,"국외")</f>
        <v>전라</v>
      </c>
    </row>
    <row r="1756" spans="1:12" ht="17.25" thickBot="1">
      <c r="A1756" s="3" t="s">
        <v>151</v>
      </c>
      <c r="B1756" s="3" t="s">
        <v>147</v>
      </c>
      <c r="C1756" s="3" t="s">
        <v>211</v>
      </c>
      <c r="D1756" s="4" t="s">
        <v>2</v>
      </c>
      <c r="E1756" s="4" t="s">
        <v>26</v>
      </c>
      <c r="F1756" s="4">
        <v>2011</v>
      </c>
      <c r="G1756" s="8">
        <v>-0.4</v>
      </c>
      <c r="H1756" s="4" t="s">
        <v>26</v>
      </c>
      <c r="I1756" s="8">
        <v>2.4</v>
      </c>
      <c r="J1756" s="3">
        <v>10645</v>
      </c>
      <c r="K1756" s="3">
        <v>50208</v>
      </c>
      <c r="L1756" s="17" t="str" cm="1">
        <f t="array" ref="L1756">_xlfn.IFS(MID(K1756,2,2)="01", "서울", MID(K1756,2,2)="02","경기",MID(K1756,2,2)="03","충청",MID(K1756,2,2)="04","충청",MID(K1756,2,2)="05","전라",MID(K1756,2,2)="06","전라",MID(K1756,2,2)="07","경북",MID(K1756,2,2)="08","경남",MID(K1756,2,2)="09","강원",MID(K1756,2,2)="10","제주",TRUE,"국외")</f>
        <v>경기</v>
      </c>
    </row>
    <row r="1757" spans="1:12" ht="17.25" thickBot="1">
      <c r="A1757" s="3" t="s">
        <v>1839</v>
      </c>
      <c r="B1757" s="3" t="s">
        <v>14</v>
      </c>
      <c r="C1757" s="3"/>
      <c r="D1757" s="4" t="s">
        <v>2</v>
      </c>
      <c r="E1757" s="4" t="s">
        <v>6</v>
      </c>
      <c r="F1757" s="4">
        <v>2011</v>
      </c>
      <c r="G1757" s="8">
        <v>0</v>
      </c>
      <c r="H1757" s="4" t="s">
        <v>6</v>
      </c>
      <c r="I1757" s="8">
        <v>0</v>
      </c>
      <c r="J1757" s="3">
        <v>10705</v>
      </c>
      <c r="K1757" s="3">
        <v>50703</v>
      </c>
      <c r="L1757" s="17" t="str" cm="1">
        <f t="array" ref="L1757">_xlfn.IFS(MID(K1757,2,2)="01", "서울", MID(K1757,2,2)="02","경기",MID(K1757,2,2)="03","충청",MID(K1757,2,2)="04","충청",MID(K1757,2,2)="05","전라",MID(K1757,2,2)="06","전라",MID(K1757,2,2)="07","경북",MID(K1757,2,2)="08","경남",MID(K1757,2,2)="09","강원",MID(K1757,2,2)="10","제주",TRUE,"국외")</f>
        <v>경북</v>
      </c>
    </row>
    <row r="1758" spans="1:12" ht="17.25" thickBot="1">
      <c r="A1758" s="3" t="s">
        <v>1840</v>
      </c>
      <c r="B1758" s="3" t="s">
        <v>153</v>
      </c>
      <c r="C1758" s="3"/>
      <c r="D1758" s="4" t="s">
        <v>2</v>
      </c>
      <c r="E1758" s="4" t="s">
        <v>6</v>
      </c>
      <c r="F1758" s="4">
        <v>2013</v>
      </c>
      <c r="G1758" s="9"/>
      <c r="H1758" s="4" t="s">
        <v>6</v>
      </c>
      <c r="I1758" s="8">
        <v>-0.2</v>
      </c>
      <c r="J1758" s="3">
        <v>10702</v>
      </c>
      <c r="K1758" s="3">
        <v>50210</v>
      </c>
      <c r="L1758" s="17" t="str" cm="1">
        <f t="array" ref="L1758">_xlfn.IFS(MID(K1758,2,2)="01", "서울", MID(K1758,2,2)="02","경기",MID(K1758,2,2)="03","충청",MID(K1758,2,2)="04","충청",MID(K1758,2,2)="05","전라",MID(K1758,2,2)="06","전라",MID(K1758,2,2)="07","경북",MID(K1758,2,2)="08","경남",MID(K1758,2,2)="09","강원",MID(K1758,2,2)="10","제주",TRUE,"국외")</f>
        <v>경기</v>
      </c>
    </row>
    <row r="1759" spans="1:12" ht="17.25" thickBot="1">
      <c r="A1759" s="3" t="s">
        <v>1841</v>
      </c>
      <c r="B1759" s="3" t="s">
        <v>158</v>
      </c>
      <c r="C1759" s="3"/>
      <c r="D1759" s="4" t="s">
        <v>2</v>
      </c>
      <c r="E1759" s="4" t="s">
        <v>607</v>
      </c>
      <c r="F1759" s="4">
        <v>2014</v>
      </c>
      <c r="G1759" s="9"/>
      <c r="H1759" s="4" t="s">
        <v>607</v>
      </c>
      <c r="I1759" s="8">
        <v>0.3</v>
      </c>
      <c r="J1759" s="3">
        <v>10803</v>
      </c>
      <c r="K1759" s="3">
        <v>50501</v>
      </c>
      <c r="L1759" s="17" t="str" cm="1">
        <f t="array" ref="L1759">_xlfn.IFS(MID(K1759,2,2)="01", "서울", MID(K1759,2,2)="02","경기",MID(K1759,2,2)="03","충청",MID(K1759,2,2)="04","충청",MID(K1759,2,2)="05","전라",MID(K1759,2,2)="06","전라",MID(K1759,2,2)="07","경북",MID(K1759,2,2)="08","경남",MID(K1759,2,2)="09","강원",MID(K1759,2,2)="10","제주",TRUE,"국외")</f>
        <v>전라</v>
      </c>
    </row>
    <row r="1760" spans="1:12" ht="17.25" thickBot="1">
      <c r="A1760" s="3" t="s">
        <v>1842</v>
      </c>
      <c r="B1760" s="3" t="s">
        <v>68</v>
      </c>
      <c r="C1760" s="3"/>
      <c r="D1760" s="4" t="s">
        <v>2</v>
      </c>
      <c r="E1760" s="4" t="s">
        <v>26</v>
      </c>
      <c r="F1760" s="4"/>
      <c r="G1760" s="9"/>
      <c r="H1760" s="4"/>
      <c r="I1760" s="9"/>
      <c r="J1760" s="3">
        <v>10736</v>
      </c>
      <c r="K1760" s="3">
        <v>50101</v>
      </c>
      <c r="L1760" s="17" t="str" cm="1">
        <f t="array" ref="L1760">_xlfn.IFS(MID(K1760,2,2)="01", "서울", MID(K1760,2,2)="02","경기",MID(K1760,2,2)="03","충청",MID(K1760,2,2)="04","충청",MID(K1760,2,2)="05","전라",MID(K1760,2,2)="06","전라",MID(K1760,2,2)="07","경북",MID(K1760,2,2)="08","경남",MID(K1760,2,2)="09","강원",MID(K1760,2,2)="10","제주",TRUE,"국외")</f>
        <v>서울</v>
      </c>
    </row>
    <row r="1761" spans="1:12" ht="17.25" thickBot="1">
      <c r="A1761" s="3" t="s">
        <v>1843</v>
      </c>
      <c r="B1761" s="3" t="s">
        <v>128</v>
      </c>
      <c r="C1761" s="3"/>
      <c r="D1761" s="4" t="s">
        <v>2</v>
      </c>
      <c r="E1761" s="4" t="s">
        <v>9</v>
      </c>
      <c r="F1761" s="4"/>
      <c r="G1761" s="9"/>
      <c r="H1761" s="4"/>
      <c r="I1761" s="9"/>
      <c r="J1761" s="3">
        <v>10738</v>
      </c>
      <c r="K1761" s="3">
        <v>50901</v>
      </c>
      <c r="L1761" s="17" t="str" cm="1">
        <f t="array" ref="L1761">_xlfn.IFS(MID(K1761,2,2)="01", "서울", MID(K1761,2,2)="02","경기",MID(K1761,2,2)="03","충청",MID(K1761,2,2)="04","충청",MID(K1761,2,2)="05","전라",MID(K1761,2,2)="06","전라",MID(K1761,2,2)="07","경북",MID(K1761,2,2)="08","경남",MID(K1761,2,2)="09","강원",MID(K1761,2,2)="10","제주",TRUE,"국외")</f>
        <v>강원</v>
      </c>
    </row>
    <row r="1762" spans="1:12" ht="17.25" thickBot="1">
      <c r="A1762" s="3" t="s">
        <v>1844</v>
      </c>
      <c r="B1762" s="3" t="s">
        <v>1</v>
      </c>
      <c r="C1762" s="3" t="s">
        <v>218</v>
      </c>
      <c r="D1762" s="4" t="s">
        <v>2</v>
      </c>
      <c r="E1762" s="4" t="s">
        <v>23</v>
      </c>
      <c r="F1762" s="4"/>
      <c r="G1762" s="9"/>
      <c r="H1762" s="4"/>
      <c r="I1762" s="9"/>
      <c r="J1762" s="3">
        <v>10727</v>
      </c>
      <c r="K1762" s="3">
        <v>50107</v>
      </c>
      <c r="L1762" s="17" t="str" cm="1">
        <f t="array" ref="L1762">_xlfn.IFS(MID(K1762,2,2)="01", "서울", MID(K1762,2,2)="02","경기",MID(K1762,2,2)="03","충청",MID(K1762,2,2)="04","충청",MID(K1762,2,2)="05","전라",MID(K1762,2,2)="06","전라",MID(K1762,2,2)="07","경북",MID(K1762,2,2)="08","경남",MID(K1762,2,2)="09","강원",MID(K1762,2,2)="10","제주",TRUE,"국외")</f>
        <v>서울</v>
      </c>
    </row>
    <row r="1763" spans="1:12" ht="17.25" thickBot="1">
      <c r="A1763" s="3" t="s">
        <v>1845</v>
      </c>
      <c r="B1763" s="3" t="s">
        <v>25</v>
      </c>
      <c r="C1763" s="3"/>
      <c r="D1763" s="4" t="s">
        <v>2</v>
      </c>
      <c r="E1763" s="4" t="s">
        <v>906</v>
      </c>
      <c r="F1763" s="4">
        <v>2014</v>
      </c>
      <c r="G1763" s="9"/>
      <c r="H1763" s="4" t="s">
        <v>18</v>
      </c>
      <c r="I1763" s="8">
        <v>-0.1</v>
      </c>
      <c r="J1763" s="3">
        <v>11294</v>
      </c>
      <c r="K1763" s="3">
        <v>50403</v>
      </c>
      <c r="L1763" s="17" t="str" cm="1">
        <f t="array" ref="L1763">_xlfn.IFS(MID(K1763,2,2)="01", "서울", MID(K1763,2,2)="02","경기",MID(K1763,2,2)="03","충청",MID(K1763,2,2)="04","충청",MID(K1763,2,2)="05","전라",MID(K1763,2,2)="06","전라",MID(K1763,2,2)="07","경북",MID(K1763,2,2)="08","경남",MID(K1763,2,2)="09","강원",MID(K1763,2,2)="10","제주",TRUE,"국외")</f>
        <v>충청</v>
      </c>
    </row>
    <row r="1764" spans="1:12" ht="17.25" thickBot="1">
      <c r="A1764" s="3" t="s">
        <v>1846</v>
      </c>
      <c r="B1764" s="3" t="s">
        <v>5</v>
      </c>
      <c r="C1764" s="3"/>
      <c r="D1764" s="4" t="s">
        <v>2</v>
      </c>
      <c r="E1764" s="4" t="s">
        <v>20</v>
      </c>
      <c r="F1764" s="4">
        <v>2015</v>
      </c>
      <c r="G1764" s="9"/>
      <c r="H1764" s="4" t="s">
        <v>20</v>
      </c>
      <c r="I1764" s="8">
        <v>0</v>
      </c>
      <c r="J1764" s="3">
        <v>10754</v>
      </c>
      <c r="K1764" s="3">
        <v>50114</v>
      </c>
      <c r="L1764" s="17" t="str" cm="1">
        <f t="array" ref="L1764">_xlfn.IFS(MID(K1764,2,2)="01", "서울", MID(K1764,2,2)="02","경기",MID(K1764,2,2)="03","충청",MID(K1764,2,2)="04","충청",MID(K1764,2,2)="05","전라",MID(K1764,2,2)="06","전라",MID(K1764,2,2)="07","경북",MID(K1764,2,2)="08","경남",MID(K1764,2,2)="09","강원",MID(K1764,2,2)="10","제주",TRUE,"국외")</f>
        <v>서울</v>
      </c>
    </row>
    <row r="1765" spans="1:12" ht="17.25" thickBot="1">
      <c r="A1765" s="3" t="s">
        <v>1847</v>
      </c>
      <c r="B1765" s="3" t="s">
        <v>241</v>
      </c>
      <c r="C1765" s="3"/>
      <c r="D1765" s="4" t="s">
        <v>2</v>
      </c>
      <c r="E1765" s="4" t="s">
        <v>3</v>
      </c>
      <c r="F1765" s="4"/>
      <c r="G1765" s="9"/>
      <c r="H1765" s="4"/>
      <c r="I1765" s="9"/>
      <c r="J1765" s="3">
        <v>10769</v>
      </c>
      <c r="K1765" s="3">
        <v>50202</v>
      </c>
      <c r="L1765" s="17" t="str" cm="1">
        <f t="array" ref="L1765">_xlfn.IFS(MID(K1765,2,2)="01", "서울", MID(K1765,2,2)="02","경기",MID(K1765,2,2)="03","충청",MID(K1765,2,2)="04","충청",MID(K1765,2,2)="05","전라",MID(K1765,2,2)="06","전라",MID(K1765,2,2)="07","경북",MID(K1765,2,2)="08","경남",MID(K1765,2,2)="09","강원",MID(K1765,2,2)="10","제주",TRUE,"국외")</f>
        <v>경기</v>
      </c>
    </row>
    <row r="1766" spans="1:12" ht="17.25" thickBot="1">
      <c r="A1766" s="3" t="s">
        <v>1848</v>
      </c>
      <c r="B1766" s="3" t="s">
        <v>70</v>
      </c>
      <c r="C1766" s="3"/>
      <c r="D1766" s="4" t="s">
        <v>2</v>
      </c>
      <c r="E1766" s="4" t="s">
        <v>3</v>
      </c>
      <c r="F1766" s="4"/>
      <c r="G1766" s="9"/>
      <c r="H1766" s="4"/>
      <c r="I1766" s="9"/>
      <c r="J1766" s="3">
        <v>10773</v>
      </c>
      <c r="K1766" s="3">
        <v>50103</v>
      </c>
      <c r="L1766" s="17" t="str" cm="1">
        <f t="array" ref="L1766">_xlfn.IFS(MID(K1766,2,2)="01", "서울", MID(K1766,2,2)="02","경기",MID(K1766,2,2)="03","충청",MID(K1766,2,2)="04","충청",MID(K1766,2,2)="05","전라",MID(K1766,2,2)="06","전라",MID(K1766,2,2)="07","경북",MID(K1766,2,2)="08","경남",MID(K1766,2,2)="09","강원",MID(K1766,2,2)="10","제주",TRUE,"국외")</f>
        <v>서울</v>
      </c>
    </row>
    <row r="1767" spans="1:12" ht="17.25" thickBot="1">
      <c r="A1767" s="3" t="s">
        <v>1849</v>
      </c>
      <c r="B1767" s="3" t="s">
        <v>1</v>
      </c>
      <c r="C1767" s="3"/>
      <c r="D1767" s="4" t="s">
        <v>2</v>
      </c>
      <c r="E1767" s="4" t="s">
        <v>20</v>
      </c>
      <c r="F1767" s="4">
        <v>2011</v>
      </c>
      <c r="G1767" s="8">
        <v>-0.1</v>
      </c>
      <c r="H1767" s="4" t="s">
        <v>20</v>
      </c>
      <c r="I1767" s="8">
        <v>21.8</v>
      </c>
      <c r="J1767" s="3">
        <v>10753</v>
      </c>
      <c r="K1767" s="3">
        <v>50107</v>
      </c>
      <c r="L1767" s="17" t="str" cm="1">
        <f t="array" ref="L1767">_xlfn.IFS(MID(K1767,2,2)="01", "서울", MID(K1767,2,2)="02","경기",MID(K1767,2,2)="03","충청",MID(K1767,2,2)="04","충청",MID(K1767,2,2)="05","전라",MID(K1767,2,2)="06","전라",MID(K1767,2,2)="07","경북",MID(K1767,2,2)="08","경남",MID(K1767,2,2)="09","강원",MID(K1767,2,2)="10","제주",TRUE,"국외")</f>
        <v>서울</v>
      </c>
    </row>
    <row r="1768" spans="1:12" ht="17.25" thickBot="1">
      <c r="A1768" s="3" t="s">
        <v>270</v>
      </c>
      <c r="B1768" s="3" t="s">
        <v>121</v>
      </c>
      <c r="C1768" s="3"/>
      <c r="D1768" s="4" t="s">
        <v>2</v>
      </c>
      <c r="E1768" s="4" t="s">
        <v>906</v>
      </c>
      <c r="F1768" s="4">
        <v>2011</v>
      </c>
      <c r="G1768" s="8">
        <v>0.2</v>
      </c>
      <c r="H1768" s="4" t="s">
        <v>607</v>
      </c>
      <c r="I1768" s="8">
        <v>-0.3</v>
      </c>
      <c r="J1768" s="3">
        <v>10764</v>
      </c>
      <c r="K1768" s="3">
        <v>50604</v>
      </c>
      <c r="L1768" s="17" t="str" cm="1">
        <f t="array" ref="L1768">_xlfn.IFS(MID(K1768,2,2)="01", "서울", MID(K1768,2,2)="02","경기",MID(K1768,2,2)="03","충청",MID(K1768,2,2)="04","충청",MID(K1768,2,2)="05","전라",MID(K1768,2,2)="06","전라",MID(K1768,2,2)="07","경북",MID(K1768,2,2)="08","경남",MID(K1768,2,2)="09","강원",MID(K1768,2,2)="10","제주",TRUE,"국외")</f>
        <v>전라</v>
      </c>
    </row>
    <row r="1769" spans="1:12" ht="17.25" thickBot="1">
      <c r="A1769" s="3" t="s">
        <v>1850</v>
      </c>
      <c r="B1769" s="3" t="s">
        <v>32</v>
      </c>
      <c r="C1769" s="3"/>
      <c r="D1769" s="4" t="s">
        <v>2</v>
      </c>
      <c r="E1769" s="4" t="s">
        <v>9</v>
      </c>
      <c r="F1769" s="4"/>
      <c r="G1769" s="9"/>
      <c r="H1769" s="4"/>
      <c r="I1769" s="9"/>
      <c r="J1769" s="3">
        <v>10745</v>
      </c>
      <c r="K1769" s="3">
        <v>50111</v>
      </c>
      <c r="L1769" s="17" t="str" cm="1">
        <f t="array" ref="L1769">_xlfn.IFS(MID(K1769,2,2)="01", "서울", MID(K1769,2,2)="02","경기",MID(K1769,2,2)="03","충청",MID(K1769,2,2)="04","충청",MID(K1769,2,2)="05","전라",MID(K1769,2,2)="06","전라",MID(K1769,2,2)="07","경북",MID(K1769,2,2)="08","경남",MID(K1769,2,2)="09","강원",MID(K1769,2,2)="10","제주",TRUE,"국외")</f>
        <v>서울</v>
      </c>
    </row>
    <row r="1770" spans="1:12" ht="17.25" thickBot="1">
      <c r="A1770" s="3" t="s">
        <v>1851</v>
      </c>
      <c r="B1770" s="3" t="s">
        <v>107</v>
      </c>
      <c r="C1770" s="3"/>
      <c r="D1770" s="4" t="s">
        <v>2</v>
      </c>
      <c r="E1770" s="4" t="s">
        <v>26</v>
      </c>
      <c r="F1770" s="4">
        <v>2013</v>
      </c>
      <c r="G1770" s="9"/>
      <c r="H1770" s="4" t="s">
        <v>26</v>
      </c>
      <c r="I1770" s="8">
        <v>-0.3</v>
      </c>
      <c r="J1770" s="3">
        <v>10731</v>
      </c>
      <c r="K1770" s="3">
        <v>50602</v>
      </c>
      <c r="L1770" s="17" t="str" cm="1">
        <f t="array" ref="L1770">_xlfn.IFS(MID(K1770,2,2)="01", "서울", MID(K1770,2,2)="02","경기",MID(K1770,2,2)="03","충청",MID(K1770,2,2)="04","충청",MID(K1770,2,2)="05","전라",MID(K1770,2,2)="06","전라",MID(K1770,2,2)="07","경북",MID(K1770,2,2)="08","경남",MID(K1770,2,2)="09","강원",MID(K1770,2,2)="10","제주",TRUE,"국외")</f>
        <v>전라</v>
      </c>
    </row>
    <row r="1771" spans="1:12" ht="17.25" thickBot="1">
      <c r="A1771" s="3" t="s">
        <v>1852</v>
      </c>
      <c r="B1771" s="3" t="s">
        <v>228</v>
      </c>
      <c r="C1771" s="3" t="s">
        <v>549</v>
      </c>
      <c r="D1771" s="4" t="s">
        <v>2</v>
      </c>
      <c r="E1771" s="4" t="s">
        <v>607</v>
      </c>
      <c r="F1771" s="4">
        <v>2018</v>
      </c>
      <c r="G1771" s="9"/>
      <c r="H1771" s="4" t="s">
        <v>607</v>
      </c>
      <c r="I1771" s="8">
        <v>0</v>
      </c>
      <c r="J1771" s="3">
        <v>10798</v>
      </c>
      <c r="K1771" s="3">
        <v>50702</v>
      </c>
      <c r="L1771" s="17" t="str" cm="1">
        <f t="array" ref="L1771">_xlfn.IFS(MID(K1771,2,2)="01", "서울", MID(K1771,2,2)="02","경기",MID(K1771,2,2)="03","충청",MID(K1771,2,2)="04","충청",MID(K1771,2,2)="05","전라",MID(K1771,2,2)="06","전라",MID(K1771,2,2)="07","경북",MID(K1771,2,2)="08","경남",MID(K1771,2,2)="09","강원",MID(K1771,2,2)="10","제주",TRUE,"국외")</f>
        <v>경북</v>
      </c>
    </row>
    <row r="1772" spans="1:12" ht="17.25" thickBot="1">
      <c r="A1772" s="3" t="s">
        <v>1853</v>
      </c>
      <c r="B1772" s="3" t="s">
        <v>107</v>
      </c>
      <c r="C1772" s="3"/>
      <c r="D1772" s="4" t="s">
        <v>2</v>
      </c>
      <c r="E1772" s="4" t="s">
        <v>6</v>
      </c>
      <c r="F1772" s="4"/>
      <c r="G1772" s="9"/>
      <c r="H1772" s="4"/>
      <c r="I1772" s="9"/>
      <c r="J1772" s="3">
        <v>10699</v>
      </c>
      <c r="K1772" s="3">
        <v>50602</v>
      </c>
      <c r="L1772" s="17" t="str" cm="1">
        <f t="array" ref="L1772">_xlfn.IFS(MID(K1772,2,2)="01", "서울", MID(K1772,2,2)="02","경기",MID(K1772,2,2)="03","충청",MID(K1772,2,2)="04","충청",MID(K1772,2,2)="05","전라",MID(K1772,2,2)="06","전라",MID(K1772,2,2)="07","경북",MID(K1772,2,2)="08","경남",MID(K1772,2,2)="09","강원",MID(K1772,2,2)="10","제주",TRUE,"국외")</f>
        <v>전라</v>
      </c>
    </row>
    <row r="1773" spans="1:12" ht="17.25" thickBot="1">
      <c r="A1773" s="3" t="s">
        <v>1854</v>
      </c>
      <c r="B1773" s="3"/>
      <c r="C1773" s="3"/>
      <c r="D1773" s="4" t="s">
        <v>2</v>
      </c>
      <c r="E1773" s="4" t="s">
        <v>6</v>
      </c>
      <c r="F1773" s="4"/>
      <c r="G1773" s="9"/>
      <c r="H1773" s="4"/>
      <c r="I1773" s="9"/>
      <c r="J1773" s="3">
        <v>10704</v>
      </c>
      <c r="K1773" s="3"/>
      <c r="L1773" s="17" t="str" cm="1">
        <f t="array" ref="L1773">_xlfn.IFS(MID(K1773,2,2)="01", "서울", MID(K1773,2,2)="02","경기",MID(K1773,2,2)="03","충청",MID(K1773,2,2)="04","충청",MID(K1773,2,2)="05","전라",MID(K1773,2,2)="06","전라",MID(K1773,2,2)="07","경북",MID(K1773,2,2)="08","경남",MID(K1773,2,2)="09","강원",MID(K1773,2,2)="10","제주",TRUE,"국외")</f>
        <v>국외</v>
      </c>
    </row>
    <row r="1774" spans="1:12" ht="17.25" thickBot="1">
      <c r="A1774" s="3" t="s">
        <v>1855</v>
      </c>
      <c r="B1774" s="3" t="s">
        <v>228</v>
      </c>
      <c r="C1774" s="3" t="s">
        <v>1856</v>
      </c>
      <c r="D1774" s="4" t="s">
        <v>2</v>
      </c>
      <c r="E1774" s="4" t="s">
        <v>607</v>
      </c>
      <c r="F1774" s="4">
        <v>2012</v>
      </c>
      <c r="G1774" s="9"/>
      <c r="H1774" s="4" t="s">
        <v>607</v>
      </c>
      <c r="I1774" s="8">
        <v>-0.1</v>
      </c>
      <c r="J1774" s="3">
        <v>10708</v>
      </c>
      <c r="K1774" s="3">
        <v>50702</v>
      </c>
      <c r="L1774" s="17" t="str" cm="1">
        <f t="array" ref="L1774">_xlfn.IFS(MID(K1774,2,2)="01", "서울", MID(K1774,2,2)="02","경기",MID(K1774,2,2)="03","충청",MID(K1774,2,2)="04","충청",MID(K1774,2,2)="05","전라",MID(K1774,2,2)="06","전라",MID(K1774,2,2)="07","경북",MID(K1774,2,2)="08","경남",MID(K1774,2,2)="09","강원",MID(K1774,2,2)="10","제주",TRUE,"국외")</f>
        <v>경북</v>
      </c>
    </row>
    <row r="1775" spans="1:12" ht="17.25" thickBot="1">
      <c r="A1775" s="3" t="s">
        <v>1857</v>
      </c>
      <c r="B1775" s="3" t="s">
        <v>32</v>
      </c>
      <c r="C1775" s="3" t="s">
        <v>133</v>
      </c>
      <c r="D1775" s="4" t="s">
        <v>2</v>
      </c>
      <c r="E1775" s="4" t="s">
        <v>26</v>
      </c>
      <c r="F1775" s="4">
        <v>2012</v>
      </c>
      <c r="G1775" s="9"/>
      <c r="H1775" s="4" t="s">
        <v>9</v>
      </c>
      <c r="I1775" s="8">
        <v>-0.3</v>
      </c>
      <c r="J1775" s="3">
        <v>10734</v>
      </c>
      <c r="K1775" s="3">
        <v>50111</v>
      </c>
      <c r="L1775" s="17" t="str" cm="1">
        <f t="array" ref="L1775">_xlfn.IFS(MID(K1775,2,2)="01", "서울", MID(K1775,2,2)="02","경기",MID(K1775,2,2)="03","충청",MID(K1775,2,2)="04","충청",MID(K1775,2,2)="05","전라",MID(K1775,2,2)="06","전라",MID(K1775,2,2)="07","경북",MID(K1775,2,2)="08","경남",MID(K1775,2,2)="09","강원",MID(K1775,2,2)="10","제주",TRUE,"국외")</f>
        <v>서울</v>
      </c>
    </row>
    <row r="1776" spans="1:12" ht="17.25" thickBot="1">
      <c r="A1776" s="3" t="s">
        <v>1858</v>
      </c>
      <c r="B1776" s="3" t="s">
        <v>96</v>
      </c>
      <c r="C1776" s="3" t="s">
        <v>329</v>
      </c>
      <c r="D1776" s="4" t="s">
        <v>2</v>
      </c>
      <c r="E1776" s="4" t="s">
        <v>9</v>
      </c>
      <c r="F1776" s="4"/>
      <c r="G1776" s="9"/>
      <c r="H1776" s="4"/>
      <c r="I1776" s="9"/>
      <c r="J1776" s="3">
        <v>10826</v>
      </c>
      <c r="K1776" s="3">
        <v>50601</v>
      </c>
      <c r="L1776" s="17" t="str" cm="1">
        <f t="array" ref="L1776">_xlfn.IFS(MID(K1776,2,2)="01", "서울", MID(K1776,2,2)="02","경기",MID(K1776,2,2)="03","충청",MID(K1776,2,2)="04","충청",MID(K1776,2,2)="05","전라",MID(K1776,2,2)="06","전라",MID(K1776,2,2)="07","경북",MID(K1776,2,2)="08","경남",MID(K1776,2,2)="09","강원",MID(K1776,2,2)="10","제주",TRUE,"국외")</f>
        <v>전라</v>
      </c>
    </row>
    <row r="1777" spans="1:12" ht="17.25" thickBot="1">
      <c r="A1777" s="3" t="s">
        <v>1859</v>
      </c>
      <c r="B1777" s="3" t="s">
        <v>25</v>
      </c>
      <c r="C1777" s="3"/>
      <c r="D1777" s="4" t="s">
        <v>2</v>
      </c>
      <c r="E1777" s="4" t="s">
        <v>3</v>
      </c>
      <c r="F1777" s="4">
        <v>2011</v>
      </c>
      <c r="G1777" s="8">
        <v>-0.1</v>
      </c>
      <c r="H1777" s="4" t="s">
        <v>6</v>
      </c>
      <c r="I1777" s="8">
        <v>-0.5</v>
      </c>
      <c r="J1777" s="3">
        <v>10672</v>
      </c>
      <c r="K1777" s="3">
        <v>50403</v>
      </c>
      <c r="L1777" s="17" t="str" cm="1">
        <f t="array" ref="L1777">_xlfn.IFS(MID(K1777,2,2)="01", "서울", MID(K1777,2,2)="02","경기",MID(K1777,2,2)="03","충청",MID(K1777,2,2)="04","충청",MID(K1777,2,2)="05","전라",MID(K1777,2,2)="06","전라",MID(K1777,2,2)="07","경북",MID(K1777,2,2)="08","경남",MID(K1777,2,2)="09","강원",MID(K1777,2,2)="10","제주",TRUE,"국외")</f>
        <v>충청</v>
      </c>
    </row>
    <row r="1778" spans="1:12" ht="17.25" thickBot="1">
      <c r="A1778" s="3" t="s">
        <v>1860</v>
      </c>
      <c r="B1778" s="3" t="s">
        <v>1</v>
      </c>
      <c r="C1778" s="3"/>
      <c r="D1778" s="4" t="s">
        <v>2</v>
      </c>
      <c r="E1778" s="4" t="s">
        <v>3</v>
      </c>
      <c r="F1778" s="4">
        <v>2015</v>
      </c>
      <c r="G1778" s="9"/>
      <c r="H1778" s="4" t="s">
        <v>3</v>
      </c>
      <c r="I1778" s="8">
        <v>0</v>
      </c>
      <c r="J1778" s="3">
        <v>10767</v>
      </c>
      <c r="K1778" s="3">
        <v>50107</v>
      </c>
      <c r="L1778" s="17" t="str" cm="1">
        <f t="array" ref="L1778">_xlfn.IFS(MID(K1778,2,2)="01", "서울", MID(K1778,2,2)="02","경기",MID(K1778,2,2)="03","충청",MID(K1778,2,2)="04","충청",MID(K1778,2,2)="05","전라",MID(K1778,2,2)="06","전라",MID(K1778,2,2)="07","경북",MID(K1778,2,2)="08","경남",MID(K1778,2,2)="09","강원",MID(K1778,2,2)="10","제주",TRUE,"국외")</f>
        <v>서울</v>
      </c>
    </row>
    <row r="1779" spans="1:12" ht="17.25" thickBot="1">
      <c r="A1779" s="3" t="s">
        <v>1861</v>
      </c>
      <c r="B1779" s="3" t="s">
        <v>34</v>
      </c>
      <c r="C1779" s="3" t="s">
        <v>122</v>
      </c>
      <c r="D1779" s="4" t="s">
        <v>2</v>
      </c>
      <c r="E1779" s="4" t="s">
        <v>20</v>
      </c>
      <c r="F1779" s="4">
        <v>2011</v>
      </c>
      <c r="G1779" s="8">
        <v>-0.1</v>
      </c>
      <c r="H1779" s="4" t="s">
        <v>23</v>
      </c>
      <c r="I1779" s="8">
        <v>0.2</v>
      </c>
      <c r="J1779" s="3">
        <v>10756</v>
      </c>
      <c r="K1779" s="3">
        <v>50701</v>
      </c>
      <c r="L1779" s="17" t="str" cm="1">
        <f t="array" ref="L1779">_xlfn.IFS(MID(K1779,2,2)="01", "서울", MID(K1779,2,2)="02","경기",MID(K1779,2,2)="03","충청",MID(K1779,2,2)="04","충청",MID(K1779,2,2)="05","전라",MID(K1779,2,2)="06","전라",MID(K1779,2,2)="07","경북",MID(K1779,2,2)="08","경남",MID(K1779,2,2)="09","강원",MID(K1779,2,2)="10","제주",TRUE,"국외")</f>
        <v>경북</v>
      </c>
    </row>
    <row r="1780" spans="1:12" ht="17.25" thickBot="1">
      <c r="A1780" s="3" t="s">
        <v>1862</v>
      </c>
      <c r="B1780" s="3" t="s">
        <v>1</v>
      </c>
      <c r="C1780" s="3" t="s">
        <v>174</v>
      </c>
      <c r="D1780" s="4" t="s">
        <v>2</v>
      </c>
      <c r="E1780" s="4" t="s">
        <v>906</v>
      </c>
      <c r="F1780" s="4">
        <v>2011</v>
      </c>
      <c r="G1780" s="8">
        <v>-1.2</v>
      </c>
      <c r="H1780" s="4" t="s">
        <v>23</v>
      </c>
      <c r="I1780" s="8">
        <v>0.9</v>
      </c>
      <c r="J1780" s="3">
        <v>10685</v>
      </c>
      <c r="K1780" s="3">
        <v>50107</v>
      </c>
      <c r="L1780" s="17" t="str" cm="1">
        <f t="array" ref="L1780">_xlfn.IFS(MID(K1780,2,2)="01", "서울", MID(K1780,2,2)="02","경기",MID(K1780,2,2)="03","충청",MID(K1780,2,2)="04","충청",MID(K1780,2,2)="05","전라",MID(K1780,2,2)="06","전라",MID(K1780,2,2)="07","경북",MID(K1780,2,2)="08","경남",MID(K1780,2,2)="09","강원",MID(K1780,2,2)="10","제주",TRUE,"국외")</f>
        <v>서울</v>
      </c>
    </row>
    <row r="1781" spans="1:12" ht="17.25" thickBot="1">
      <c r="A1781" s="3" t="s">
        <v>1863</v>
      </c>
      <c r="B1781" s="3" t="s">
        <v>241</v>
      </c>
      <c r="C1781" s="3" t="s">
        <v>1347</v>
      </c>
      <c r="D1781" s="4" t="s">
        <v>2</v>
      </c>
      <c r="E1781" s="4" t="s">
        <v>23</v>
      </c>
      <c r="F1781" s="4"/>
      <c r="G1781" s="9"/>
      <c r="H1781" s="4"/>
      <c r="I1781" s="9"/>
      <c r="J1781" s="3">
        <v>10728</v>
      </c>
      <c r="K1781" s="3">
        <v>50202</v>
      </c>
      <c r="L1781" s="17" t="str" cm="1">
        <f t="array" ref="L1781">_xlfn.IFS(MID(K1781,2,2)="01", "서울", MID(K1781,2,2)="02","경기",MID(K1781,2,2)="03","충청",MID(K1781,2,2)="04","충청",MID(K1781,2,2)="05","전라",MID(K1781,2,2)="06","전라",MID(K1781,2,2)="07","경북",MID(K1781,2,2)="08","경남",MID(K1781,2,2)="09","강원",MID(K1781,2,2)="10","제주",TRUE,"국외")</f>
        <v>경기</v>
      </c>
    </row>
    <row r="1782" spans="1:12" ht="17.25" thickBot="1">
      <c r="A1782" s="3" t="s">
        <v>1864</v>
      </c>
      <c r="B1782" s="3" t="s">
        <v>1019</v>
      </c>
      <c r="C1782" s="3"/>
      <c r="D1782" s="4" t="s">
        <v>2</v>
      </c>
      <c r="E1782" s="4" t="s">
        <v>9</v>
      </c>
      <c r="F1782" s="4">
        <v>2016</v>
      </c>
      <c r="G1782" s="9"/>
      <c r="H1782" s="4" t="s">
        <v>607</v>
      </c>
      <c r="I1782" s="8">
        <v>0.1</v>
      </c>
      <c r="J1782" s="3">
        <v>10741</v>
      </c>
      <c r="K1782" s="3">
        <v>50201</v>
      </c>
      <c r="L1782" s="17" t="str" cm="1">
        <f t="array" ref="L1782">_xlfn.IFS(MID(K1782,2,2)="01", "서울", MID(K1782,2,2)="02","경기",MID(K1782,2,2)="03","충청",MID(K1782,2,2)="04","충청",MID(K1782,2,2)="05","전라",MID(K1782,2,2)="06","전라",MID(K1782,2,2)="07","경북",MID(K1782,2,2)="08","경남",MID(K1782,2,2)="09","강원",MID(K1782,2,2)="10","제주",TRUE,"국외")</f>
        <v>경기</v>
      </c>
    </row>
    <row r="1783" spans="1:12" ht="17.25" thickBot="1">
      <c r="A1783" s="3" t="s">
        <v>1865</v>
      </c>
      <c r="B1783" s="3" t="s">
        <v>36</v>
      </c>
      <c r="C1783" s="3"/>
      <c r="D1783" s="4" t="s">
        <v>2</v>
      </c>
      <c r="E1783" s="4" t="s">
        <v>26</v>
      </c>
      <c r="F1783" s="4">
        <v>2014</v>
      </c>
      <c r="G1783" s="9"/>
      <c r="H1783" s="4" t="s">
        <v>6</v>
      </c>
      <c r="I1783" s="8">
        <v>-0.1</v>
      </c>
      <c r="J1783" s="3">
        <v>10732</v>
      </c>
      <c r="K1783" s="3">
        <v>50402</v>
      </c>
      <c r="L1783" s="17" t="str" cm="1">
        <f t="array" ref="L1783">_xlfn.IFS(MID(K1783,2,2)="01", "서울", MID(K1783,2,2)="02","경기",MID(K1783,2,2)="03","충청",MID(K1783,2,2)="04","충청",MID(K1783,2,2)="05","전라",MID(K1783,2,2)="06","전라",MID(K1783,2,2)="07","경북",MID(K1783,2,2)="08","경남",MID(K1783,2,2)="09","강원",MID(K1783,2,2)="10","제주",TRUE,"국외")</f>
        <v>충청</v>
      </c>
    </row>
    <row r="1784" spans="1:12" ht="17.25" thickBot="1">
      <c r="A1784" s="3" t="s">
        <v>1866</v>
      </c>
      <c r="B1784" s="3" t="s">
        <v>1497</v>
      </c>
      <c r="C1784" s="3"/>
      <c r="D1784" s="4" t="s">
        <v>2</v>
      </c>
      <c r="E1784" s="4" t="s">
        <v>607</v>
      </c>
      <c r="F1784" s="4"/>
      <c r="G1784" s="9"/>
      <c r="H1784" s="4"/>
      <c r="I1784" s="9"/>
      <c r="J1784" s="3">
        <v>10790</v>
      </c>
      <c r="K1784" s="3">
        <v>50112</v>
      </c>
      <c r="L1784" s="17" t="str" cm="1">
        <f t="array" ref="L1784">_xlfn.IFS(MID(K1784,2,2)="01", "서울", MID(K1784,2,2)="02","경기",MID(K1784,2,2)="03","충청",MID(K1784,2,2)="04","충청",MID(K1784,2,2)="05","전라",MID(K1784,2,2)="06","전라",MID(K1784,2,2)="07","경북",MID(K1784,2,2)="08","경남",MID(K1784,2,2)="09","강원",MID(K1784,2,2)="10","제주",TRUE,"국외")</f>
        <v>서울</v>
      </c>
    </row>
    <row r="1785" spans="1:12" ht="17.25" thickBot="1">
      <c r="A1785" s="3" t="s">
        <v>165</v>
      </c>
      <c r="B1785" s="3" t="s">
        <v>11</v>
      </c>
      <c r="C1785" s="3"/>
      <c r="D1785" s="4" t="s">
        <v>2</v>
      </c>
      <c r="E1785" s="4" t="s">
        <v>20</v>
      </c>
      <c r="F1785" s="4"/>
      <c r="G1785" s="9"/>
      <c r="H1785" s="4"/>
      <c r="I1785" s="9"/>
      <c r="J1785" s="3">
        <v>10932</v>
      </c>
      <c r="K1785" s="3">
        <v>50802</v>
      </c>
      <c r="L1785" s="17" t="str" cm="1">
        <f t="array" ref="L1785">_xlfn.IFS(MID(K1785,2,2)="01", "서울", MID(K1785,2,2)="02","경기",MID(K1785,2,2)="03","충청",MID(K1785,2,2)="04","충청",MID(K1785,2,2)="05","전라",MID(K1785,2,2)="06","전라",MID(K1785,2,2)="07","경북",MID(K1785,2,2)="08","경남",MID(K1785,2,2)="09","강원",MID(K1785,2,2)="10","제주",TRUE,"국외")</f>
        <v>경남</v>
      </c>
    </row>
    <row r="1786" spans="1:12" ht="17.25" thickBot="1">
      <c r="A1786" s="3" t="s">
        <v>1867</v>
      </c>
      <c r="B1786" s="3" t="s">
        <v>36</v>
      </c>
      <c r="C1786" s="3"/>
      <c r="D1786" s="4" t="s">
        <v>2</v>
      </c>
      <c r="E1786" s="4" t="s">
        <v>26</v>
      </c>
      <c r="F1786" s="4">
        <v>2011</v>
      </c>
      <c r="G1786" s="8">
        <v>0</v>
      </c>
      <c r="H1786" s="4" t="s">
        <v>18</v>
      </c>
      <c r="I1786" s="8">
        <v>1.7</v>
      </c>
      <c r="J1786" s="3">
        <v>10730</v>
      </c>
      <c r="K1786" s="3">
        <v>50402</v>
      </c>
      <c r="L1786" s="17" t="str" cm="1">
        <f t="array" ref="L1786">_xlfn.IFS(MID(K1786,2,2)="01", "서울", MID(K1786,2,2)="02","경기",MID(K1786,2,2)="03","충청",MID(K1786,2,2)="04","충청",MID(K1786,2,2)="05","전라",MID(K1786,2,2)="06","전라",MID(K1786,2,2)="07","경북",MID(K1786,2,2)="08","경남",MID(K1786,2,2)="09","강원",MID(K1786,2,2)="10","제주",TRUE,"국외")</f>
        <v>충청</v>
      </c>
    </row>
    <row r="1787" spans="1:12" ht="17.25" thickBot="1">
      <c r="A1787" s="3" t="s">
        <v>1868</v>
      </c>
      <c r="B1787" s="3" t="s">
        <v>107</v>
      </c>
      <c r="C1787" s="3"/>
      <c r="D1787" s="4" t="s">
        <v>2</v>
      </c>
      <c r="E1787" s="4" t="s">
        <v>9</v>
      </c>
      <c r="F1787" s="4"/>
      <c r="G1787" s="9"/>
      <c r="H1787" s="4"/>
      <c r="I1787" s="9"/>
      <c r="J1787" s="3">
        <v>10839</v>
      </c>
      <c r="K1787" s="3">
        <v>50602</v>
      </c>
      <c r="L1787" s="17" t="str" cm="1">
        <f t="array" ref="L1787">_xlfn.IFS(MID(K1787,2,2)="01", "서울", MID(K1787,2,2)="02","경기",MID(K1787,2,2)="03","충청",MID(K1787,2,2)="04","충청",MID(K1787,2,2)="05","전라",MID(K1787,2,2)="06","전라",MID(K1787,2,2)="07","경북",MID(K1787,2,2)="08","경남",MID(K1787,2,2)="09","강원",MID(K1787,2,2)="10","제주",TRUE,"국외")</f>
        <v>전라</v>
      </c>
    </row>
    <row r="1788" spans="1:12" ht="17.25" thickBot="1">
      <c r="A1788" s="3" t="s">
        <v>1869</v>
      </c>
      <c r="B1788" s="3" t="s">
        <v>5</v>
      </c>
      <c r="C1788" s="3" t="s">
        <v>218</v>
      </c>
      <c r="D1788" s="4" t="s">
        <v>2</v>
      </c>
      <c r="E1788" s="4" t="s">
        <v>23</v>
      </c>
      <c r="F1788" s="4"/>
      <c r="G1788" s="9"/>
      <c r="H1788" s="4"/>
      <c r="I1788" s="9"/>
      <c r="J1788" s="3">
        <v>10724</v>
      </c>
      <c r="K1788" s="3">
        <v>50114</v>
      </c>
      <c r="L1788" s="17" t="str" cm="1">
        <f t="array" ref="L1788">_xlfn.IFS(MID(K1788,2,2)="01", "서울", MID(K1788,2,2)="02","경기",MID(K1788,2,2)="03","충청",MID(K1788,2,2)="04","충청",MID(K1788,2,2)="05","전라",MID(K1788,2,2)="06","전라",MID(K1788,2,2)="07","경북",MID(K1788,2,2)="08","경남",MID(K1788,2,2)="09","강원",MID(K1788,2,2)="10","제주",TRUE,"국외")</f>
        <v>서울</v>
      </c>
    </row>
    <row r="1789" spans="1:12" ht="17.25" thickBot="1">
      <c r="A1789" s="3" t="s">
        <v>452</v>
      </c>
      <c r="B1789" s="3" t="s">
        <v>50</v>
      </c>
      <c r="C1789" s="3" t="s">
        <v>1796</v>
      </c>
      <c r="D1789" s="4" t="s">
        <v>2</v>
      </c>
      <c r="E1789" s="4" t="s">
        <v>3</v>
      </c>
      <c r="F1789" s="4"/>
      <c r="G1789" s="9"/>
      <c r="H1789" s="4"/>
      <c r="I1789" s="9"/>
      <c r="J1789" s="3">
        <v>13187</v>
      </c>
      <c r="K1789" s="3">
        <v>50301</v>
      </c>
      <c r="L1789" s="17" t="str" cm="1">
        <f t="array" ref="L1789">_xlfn.IFS(MID(K1789,2,2)="01", "서울", MID(K1789,2,2)="02","경기",MID(K1789,2,2)="03","충청",MID(K1789,2,2)="04","충청",MID(K1789,2,2)="05","전라",MID(K1789,2,2)="06","전라",MID(K1789,2,2)="07","경북",MID(K1789,2,2)="08","경남",MID(K1789,2,2)="09","강원",MID(K1789,2,2)="10","제주",TRUE,"국외")</f>
        <v>충청</v>
      </c>
    </row>
    <row r="1790" spans="1:12" ht="17.25" thickBot="1">
      <c r="A1790" s="3" t="s">
        <v>1870</v>
      </c>
      <c r="B1790" s="3"/>
      <c r="C1790" s="3"/>
      <c r="D1790" s="4" t="s">
        <v>181</v>
      </c>
      <c r="E1790" s="4" t="s">
        <v>607</v>
      </c>
      <c r="F1790" s="4"/>
      <c r="G1790" s="9"/>
      <c r="H1790" s="4"/>
      <c r="I1790" s="9"/>
      <c r="J1790" s="3">
        <v>10426</v>
      </c>
      <c r="K1790" s="3"/>
      <c r="L1790" s="17" t="str" cm="1">
        <f t="array" ref="L1790">_xlfn.IFS(MID(K1790,2,2)="01", "서울", MID(K1790,2,2)="02","경기",MID(K1790,2,2)="03","충청",MID(K1790,2,2)="04","충청",MID(K1790,2,2)="05","전라",MID(K1790,2,2)="06","전라",MID(K1790,2,2)="07","경북",MID(K1790,2,2)="08","경남",MID(K1790,2,2)="09","강원",MID(K1790,2,2)="10","제주",TRUE,"국외")</f>
        <v>국외</v>
      </c>
    </row>
    <row r="1791" spans="1:12" ht="17.25" thickBot="1">
      <c r="A1791" s="3" t="s">
        <v>1871</v>
      </c>
      <c r="B1791" s="3"/>
      <c r="C1791" s="3"/>
      <c r="D1791" s="4" t="s">
        <v>181</v>
      </c>
      <c r="E1791" s="4" t="s">
        <v>6</v>
      </c>
      <c r="F1791" s="4">
        <v>2011</v>
      </c>
      <c r="G1791" s="8">
        <v>2</v>
      </c>
      <c r="H1791" s="4" t="s">
        <v>6</v>
      </c>
      <c r="I1791" s="8">
        <v>2</v>
      </c>
      <c r="J1791" s="3">
        <v>10649</v>
      </c>
      <c r="K1791" s="3"/>
      <c r="L1791" s="17" t="str" cm="1">
        <f t="array" ref="L1791">_xlfn.IFS(MID(K1791,2,2)="01", "서울", MID(K1791,2,2)="02","경기",MID(K1791,2,2)="03","충청",MID(K1791,2,2)="04","충청",MID(K1791,2,2)="05","전라",MID(K1791,2,2)="06","전라",MID(K1791,2,2)="07","경북",MID(K1791,2,2)="08","경남",MID(K1791,2,2)="09","강원",MID(K1791,2,2)="10","제주",TRUE,"국외")</f>
        <v>국외</v>
      </c>
    </row>
    <row r="1792" spans="1:12" ht="17.25" thickBot="1">
      <c r="A1792" s="3" t="s">
        <v>1872</v>
      </c>
      <c r="B1792" s="3"/>
      <c r="C1792" s="3"/>
      <c r="D1792" s="4" t="s">
        <v>181</v>
      </c>
      <c r="E1792" s="4" t="s">
        <v>20</v>
      </c>
      <c r="F1792" s="4">
        <v>2011</v>
      </c>
      <c r="G1792" s="8">
        <v>3.4</v>
      </c>
      <c r="H1792" s="4" t="s">
        <v>20</v>
      </c>
      <c r="I1792" s="8">
        <v>7</v>
      </c>
      <c r="J1792" s="3">
        <v>10670</v>
      </c>
      <c r="K1792" s="3"/>
      <c r="L1792" s="17" t="str" cm="1">
        <f t="array" ref="L1792">_xlfn.IFS(MID(K1792,2,2)="01", "서울", MID(K1792,2,2)="02","경기",MID(K1792,2,2)="03","충청",MID(K1792,2,2)="04","충청",MID(K1792,2,2)="05","전라",MID(K1792,2,2)="06","전라",MID(K1792,2,2)="07","경북",MID(K1792,2,2)="08","경남",MID(K1792,2,2)="09","강원",MID(K1792,2,2)="10","제주",TRUE,"국외")</f>
        <v>국외</v>
      </c>
    </row>
    <row r="1793" spans="1:12" ht="17.25" thickBot="1">
      <c r="A1793" s="3" t="s">
        <v>1873</v>
      </c>
      <c r="B1793" s="3" t="s">
        <v>722</v>
      </c>
      <c r="C1793" s="3"/>
      <c r="D1793" s="4" t="s">
        <v>181</v>
      </c>
      <c r="E1793" s="4" t="s">
        <v>20</v>
      </c>
      <c r="F1793" s="4">
        <v>2011</v>
      </c>
      <c r="G1793" s="8">
        <v>2.6</v>
      </c>
      <c r="H1793" s="4" t="s">
        <v>20</v>
      </c>
      <c r="I1793" s="8">
        <v>11.3</v>
      </c>
      <c r="J1793" s="3">
        <v>10653</v>
      </c>
      <c r="K1793" s="3">
        <v>51100</v>
      </c>
      <c r="L1793" s="17" t="str" cm="1">
        <f t="array" ref="L1793">_xlfn.IFS(MID(K1793,2,2)="01", "서울", MID(K1793,2,2)="02","경기",MID(K1793,2,2)="03","충청",MID(K1793,2,2)="04","충청",MID(K1793,2,2)="05","전라",MID(K1793,2,2)="06","전라",MID(K1793,2,2)="07","경북",MID(K1793,2,2)="08","경남",MID(K1793,2,2)="09","강원",MID(K1793,2,2)="10","제주",TRUE,"국외")</f>
        <v>국외</v>
      </c>
    </row>
    <row r="1794" spans="1:12" ht="17.25" thickBot="1">
      <c r="A1794" s="3" t="s">
        <v>1874</v>
      </c>
      <c r="B1794" s="3"/>
      <c r="C1794" s="3"/>
      <c r="D1794" s="4" t="s">
        <v>181</v>
      </c>
      <c r="E1794" s="4" t="s">
        <v>607</v>
      </c>
      <c r="F1794" s="4">
        <v>2011</v>
      </c>
      <c r="G1794" s="8">
        <v>0.2</v>
      </c>
      <c r="H1794" s="4" t="s">
        <v>607</v>
      </c>
      <c r="I1794" s="8">
        <v>0.2</v>
      </c>
      <c r="J1794" s="3">
        <v>10669</v>
      </c>
      <c r="K1794" s="3"/>
      <c r="L1794" s="17" t="str" cm="1">
        <f t="array" ref="L1794">_xlfn.IFS(MID(K1794,2,2)="01", "서울", MID(K1794,2,2)="02","경기",MID(K1794,2,2)="03","충청",MID(K1794,2,2)="04","충청",MID(K1794,2,2)="05","전라",MID(K1794,2,2)="06","전라",MID(K1794,2,2)="07","경북",MID(K1794,2,2)="08","경남",MID(K1794,2,2)="09","강원",MID(K1794,2,2)="10","제주",TRUE,"국외")</f>
        <v>국외</v>
      </c>
    </row>
    <row r="1795" spans="1:12" ht="17.25" thickBot="1">
      <c r="A1795" s="3" t="s">
        <v>1875</v>
      </c>
      <c r="B1795" s="3"/>
      <c r="C1795" s="3"/>
      <c r="D1795" s="4" t="s">
        <v>181</v>
      </c>
      <c r="E1795" s="4" t="s">
        <v>607</v>
      </c>
      <c r="F1795" s="4">
        <v>2011</v>
      </c>
      <c r="G1795" s="8">
        <v>1.3</v>
      </c>
      <c r="H1795" s="4" t="s">
        <v>23</v>
      </c>
      <c r="I1795" s="8">
        <v>3.3</v>
      </c>
      <c r="J1795" s="3">
        <v>10715</v>
      </c>
      <c r="K1795" s="3"/>
      <c r="L1795" s="17" t="str" cm="1">
        <f t="array" ref="L1795">_xlfn.IFS(MID(K1795,2,2)="01", "서울", MID(K1795,2,2)="02","경기",MID(K1795,2,2)="03","충청",MID(K1795,2,2)="04","충청",MID(K1795,2,2)="05","전라",MID(K1795,2,2)="06","전라",MID(K1795,2,2)="07","경북",MID(K1795,2,2)="08","경남",MID(K1795,2,2)="09","강원",MID(K1795,2,2)="10","제주",TRUE,"국외")</f>
        <v>국외</v>
      </c>
    </row>
    <row r="1796" spans="1:12" ht="17.25" thickBot="1">
      <c r="A1796" s="3" t="s">
        <v>1876</v>
      </c>
      <c r="B1796" s="3"/>
      <c r="C1796" s="3"/>
      <c r="D1796" s="4" t="s">
        <v>181</v>
      </c>
      <c r="E1796" s="4" t="s">
        <v>906</v>
      </c>
      <c r="F1796" s="4">
        <v>2011</v>
      </c>
      <c r="G1796" s="8">
        <v>2.6</v>
      </c>
      <c r="H1796" s="4" t="s">
        <v>18</v>
      </c>
      <c r="I1796" s="8">
        <v>2.6</v>
      </c>
      <c r="J1796" s="3">
        <v>10658</v>
      </c>
      <c r="K1796" s="3"/>
      <c r="L1796" s="17" t="str" cm="1">
        <f t="array" ref="L1796">_xlfn.IFS(MID(K1796,2,2)="01", "서울", MID(K1796,2,2)="02","경기",MID(K1796,2,2)="03","충청",MID(K1796,2,2)="04","충청",MID(K1796,2,2)="05","전라",MID(K1796,2,2)="06","전라",MID(K1796,2,2)="07","경북",MID(K1796,2,2)="08","경남",MID(K1796,2,2)="09","강원",MID(K1796,2,2)="10","제주",TRUE,"국외")</f>
        <v>국외</v>
      </c>
    </row>
    <row r="1797" spans="1:12" ht="17.25" thickBot="1">
      <c r="A1797" s="3" t="s">
        <v>1877</v>
      </c>
      <c r="B1797" s="3"/>
      <c r="C1797" s="3"/>
      <c r="D1797" s="4" t="s">
        <v>181</v>
      </c>
      <c r="E1797" s="4" t="s">
        <v>26</v>
      </c>
      <c r="F1797" s="4">
        <v>2011</v>
      </c>
      <c r="G1797" s="8">
        <v>6.1</v>
      </c>
      <c r="H1797" s="4" t="s">
        <v>26</v>
      </c>
      <c r="I1797" s="8">
        <v>34.6</v>
      </c>
      <c r="J1797" s="3">
        <v>10641</v>
      </c>
      <c r="K1797" s="3"/>
      <c r="L1797" s="17" t="str" cm="1">
        <f t="array" ref="L1797">_xlfn.IFS(MID(K1797,2,2)="01", "서울", MID(K1797,2,2)="02","경기",MID(K1797,2,2)="03","충청",MID(K1797,2,2)="04","충청",MID(K1797,2,2)="05","전라",MID(K1797,2,2)="06","전라",MID(K1797,2,2)="07","경북",MID(K1797,2,2)="08","경남",MID(K1797,2,2)="09","강원",MID(K1797,2,2)="10","제주",TRUE,"국외")</f>
        <v>국외</v>
      </c>
    </row>
    <row r="1798" spans="1:12" ht="17.25" thickBot="1">
      <c r="A1798" s="3" t="s">
        <v>1878</v>
      </c>
      <c r="B1798" s="3"/>
      <c r="C1798" s="3"/>
      <c r="D1798" s="4" t="s">
        <v>181</v>
      </c>
      <c r="E1798" s="4" t="s">
        <v>26</v>
      </c>
      <c r="F1798" s="4">
        <v>2011</v>
      </c>
      <c r="G1798" s="8">
        <v>-0.3</v>
      </c>
      <c r="H1798" s="4" t="s">
        <v>26</v>
      </c>
      <c r="I1798" s="8">
        <v>-0.3</v>
      </c>
      <c r="J1798" s="3">
        <v>10679</v>
      </c>
      <c r="K1798" s="3"/>
      <c r="L1798" s="17" t="str" cm="1">
        <f t="array" ref="L1798">_xlfn.IFS(MID(K1798,2,2)="01", "서울", MID(K1798,2,2)="02","경기",MID(K1798,2,2)="03","충청",MID(K1798,2,2)="04","충청",MID(K1798,2,2)="05","전라",MID(K1798,2,2)="06","전라",MID(K1798,2,2)="07","경북",MID(K1798,2,2)="08","경남",MID(K1798,2,2)="09","강원",MID(K1798,2,2)="10","제주",TRUE,"국외")</f>
        <v>국외</v>
      </c>
    </row>
    <row r="1799" spans="1:12" ht="17.25" thickBot="1">
      <c r="A1799" s="3" t="s">
        <v>1879</v>
      </c>
      <c r="B1799" s="3"/>
      <c r="C1799" s="3"/>
      <c r="D1799" s="4" t="s">
        <v>181</v>
      </c>
      <c r="E1799" s="4" t="s">
        <v>9</v>
      </c>
      <c r="F1799" s="4">
        <v>2011</v>
      </c>
      <c r="G1799" s="8">
        <v>0.8</v>
      </c>
      <c r="H1799" s="4" t="s">
        <v>9</v>
      </c>
      <c r="I1799" s="8">
        <v>0.8</v>
      </c>
      <c r="J1799" s="3">
        <v>10714</v>
      </c>
      <c r="K1799" s="3"/>
      <c r="L1799" s="17" t="str" cm="1">
        <f t="array" ref="L1799">_xlfn.IFS(MID(K1799,2,2)="01", "서울", MID(K1799,2,2)="02","경기",MID(K1799,2,2)="03","충청",MID(K1799,2,2)="04","충청",MID(K1799,2,2)="05","전라",MID(K1799,2,2)="06","전라",MID(K1799,2,2)="07","경북",MID(K1799,2,2)="08","경남",MID(K1799,2,2)="09","강원",MID(K1799,2,2)="10","제주",TRUE,"국외")</f>
        <v>국외</v>
      </c>
    </row>
    <row r="1800" spans="1:12" ht="17.25" thickBot="1">
      <c r="A1800" s="3" t="s">
        <v>1880</v>
      </c>
      <c r="B1800" s="3"/>
      <c r="C1800" s="3"/>
      <c r="D1800" s="4" t="s">
        <v>181</v>
      </c>
      <c r="E1800" s="4" t="s">
        <v>9</v>
      </c>
      <c r="F1800" s="4">
        <v>2011</v>
      </c>
      <c r="G1800" s="8">
        <v>1.4</v>
      </c>
      <c r="H1800" s="4" t="s">
        <v>9</v>
      </c>
      <c r="I1800" s="8">
        <v>1.4</v>
      </c>
      <c r="J1800" s="3">
        <v>10646</v>
      </c>
      <c r="K1800" s="3"/>
      <c r="L1800" s="17" t="str" cm="1">
        <f t="array" ref="L1800">_xlfn.IFS(MID(K1800,2,2)="01", "서울", MID(K1800,2,2)="02","경기",MID(K1800,2,2)="03","충청",MID(K1800,2,2)="04","충청",MID(K1800,2,2)="05","전라",MID(K1800,2,2)="06","전라",MID(K1800,2,2)="07","경북",MID(K1800,2,2)="08","경남",MID(K1800,2,2)="09","강원",MID(K1800,2,2)="10","제주",TRUE,"국외")</f>
        <v>국외</v>
      </c>
    </row>
    <row r="1801" spans="1:12" ht="17.25" thickBot="1">
      <c r="A1801" s="3" t="s">
        <v>1881</v>
      </c>
      <c r="B1801" s="3"/>
      <c r="C1801" s="3"/>
      <c r="D1801" s="4" t="s">
        <v>181</v>
      </c>
      <c r="E1801" s="4" t="s">
        <v>23</v>
      </c>
      <c r="F1801" s="4">
        <v>2011</v>
      </c>
      <c r="G1801" s="8">
        <v>1.3</v>
      </c>
      <c r="H1801" s="4" t="s">
        <v>28</v>
      </c>
      <c r="I1801" s="8">
        <v>3.1</v>
      </c>
      <c r="J1801" s="3">
        <v>10775</v>
      </c>
      <c r="K1801" s="3"/>
      <c r="L1801" s="17" t="str" cm="1">
        <f t="array" ref="L1801">_xlfn.IFS(MID(K1801,2,2)="01", "서울", MID(K1801,2,2)="02","경기",MID(K1801,2,2)="03","충청",MID(K1801,2,2)="04","충청",MID(K1801,2,2)="05","전라",MID(K1801,2,2)="06","전라",MID(K1801,2,2)="07","경북",MID(K1801,2,2)="08","경남",MID(K1801,2,2)="09","강원",MID(K1801,2,2)="10","제주",TRUE,"국외")</f>
        <v>국외</v>
      </c>
    </row>
    <row r="1802" spans="1:12" ht="17.25" thickBot="1">
      <c r="A1802" s="3" t="s">
        <v>1882</v>
      </c>
      <c r="B1802" s="3"/>
      <c r="C1802" s="3"/>
      <c r="D1802" s="4" t="s">
        <v>181</v>
      </c>
      <c r="E1802" s="4" t="s">
        <v>23</v>
      </c>
      <c r="F1802" s="4">
        <v>2011</v>
      </c>
      <c r="G1802" s="8">
        <v>2.2999999999999998</v>
      </c>
      <c r="H1802" s="4" t="s">
        <v>23</v>
      </c>
      <c r="I1802" s="8">
        <v>2.2999999999999998</v>
      </c>
      <c r="J1802" s="3">
        <v>10774</v>
      </c>
      <c r="K1802" s="3"/>
      <c r="L1802" s="17" t="str" cm="1">
        <f t="array" ref="L1802">_xlfn.IFS(MID(K1802,2,2)="01", "서울", MID(K1802,2,2)="02","경기",MID(K1802,2,2)="03","충청",MID(K1802,2,2)="04","충청",MID(K1802,2,2)="05","전라",MID(K1802,2,2)="06","전라",MID(K1802,2,2)="07","경북",MID(K1802,2,2)="08","경남",MID(K1802,2,2)="09","강원",MID(K1802,2,2)="10","제주",TRUE,"국외")</f>
        <v>국외</v>
      </c>
    </row>
    <row r="1803" spans="1:12" ht="17.25" thickBot="1">
      <c r="A1803" s="3" t="s">
        <v>1883</v>
      </c>
      <c r="B1803" s="3"/>
      <c r="C1803" s="3"/>
      <c r="D1803" s="4" t="s">
        <v>181</v>
      </c>
      <c r="E1803" s="4" t="s">
        <v>23</v>
      </c>
      <c r="F1803" s="4">
        <v>2011</v>
      </c>
      <c r="G1803" s="8">
        <v>-0.9</v>
      </c>
      <c r="H1803" s="4" t="s">
        <v>23</v>
      </c>
      <c r="I1803" s="8">
        <v>-0.9</v>
      </c>
      <c r="J1803" s="3">
        <v>10638</v>
      </c>
      <c r="K1803" s="3"/>
      <c r="L1803" s="17" t="str" cm="1">
        <f t="array" ref="L1803">_xlfn.IFS(MID(K1803,2,2)="01", "서울", MID(K1803,2,2)="02","경기",MID(K1803,2,2)="03","충청",MID(K1803,2,2)="04","충청",MID(K1803,2,2)="05","전라",MID(K1803,2,2)="06","전라",MID(K1803,2,2)="07","경북",MID(K1803,2,2)="08","경남",MID(K1803,2,2)="09","강원",MID(K1803,2,2)="10","제주",TRUE,"국외")</f>
        <v>국외</v>
      </c>
    </row>
    <row r="1804" spans="1:12" ht="17.25" thickBot="1">
      <c r="A1804" s="3" t="s">
        <v>1884</v>
      </c>
      <c r="B1804" s="3"/>
      <c r="C1804" s="3"/>
      <c r="D1804" s="4" t="s">
        <v>181</v>
      </c>
      <c r="E1804" s="4" t="s">
        <v>3</v>
      </c>
      <c r="F1804" s="4">
        <v>2011</v>
      </c>
      <c r="G1804" s="8">
        <v>-0.7</v>
      </c>
      <c r="H1804" s="4" t="s">
        <v>3</v>
      </c>
      <c r="I1804" s="8">
        <v>-0.7</v>
      </c>
      <c r="J1804" s="3">
        <v>10661</v>
      </c>
      <c r="K1804" s="3"/>
      <c r="L1804" s="17" t="str" cm="1">
        <f t="array" ref="L1804">_xlfn.IFS(MID(K1804,2,2)="01", "서울", MID(K1804,2,2)="02","경기",MID(K1804,2,2)="03","충청",MID(K1804,2,2)="04","충청",MID(K1804,2,2)="05","전라",MID(K1804,2,2)="06","전라",MID(K1804,2,2)="07","경북",MID(K1804,2,2)="08","경남",MID(K1804,2,2)="09","강원",MID(K1804,2,2)="10","제주",TRUE,"국외")</f>
        <v>국외</v>
      </c>
    </row>
    <row r="1805" spans="1:12" ht="17.25" thickBot="1">
      <c r="A1805" s="3" t="s">
        <v>1885</v>
      </c>
      <c r="B1805" s="3"/>
      <c r="C1805" s="3"/>
      <c r="D1805" s="4" t="s">
        <v>181</v>
      </c>
      <c r="E1805" s="4" t="s">
        <v>3</v>
      </c>
      <c r="F1805" s="4">
        <v>2011</v>
      </c>
      <c r="G1805" s="8">
        <v>3.7</v>
      </c>
      <c r="H1805" s="4" t="s">
        <v>3</v>
      </c>
      <c r="I1805" s="8">
        <v>8</v>
      </c>
      <c r="J1805" s="3">
        <v>10698</v>
      </c>
      <c r="K1805" s="3"/>
      <c r="L1805" s="17" t="str" cm="1">
        <f t="array" ref="L1805">_xlfn.IFS(MID(K1805,2,2)="01", "서울", MID(K1805,2,2)="02","경기",MID(K1805,2,2)="03","충청",MID(K1805,2,2)="04","충청",MID(K1805,2,2)="05","전라",MID(K1805,2,2)="06","전라",MID(K1805,2,2)="07","경북",MID(K1805,2,2)="08","경남",MID(K1805,2,2)="09","강원",MID(K1805,2,2)="10","제주",TRUE,"국외")</f>
        <v>국외</v>
      </c>
    </row>
    <row r="1806" spans="1:12" ht="17.25" thickBot="1">
      <c r="A1806" s="3" t="s">
        <v>513</v>
      </c>
      <c r="B1806" s="3" t="s">
        <v>32</v>
      </c>
      <c r="C1806" s="3" t="s">
        <v>208</v>
      </c>
      <c r="D1806" s="4" t="s">
        <v>1777</v>
      </c>
      <c r="E1806" s="4" t="s">
        <v>9</v>
      </c>
      <c r="F1806" s="4"/>
      <c r="G1806" s="9"/>
      <c r="H1806" s="4"/>
      <c r="I1806" s="9"/>
      <c r="J1806" s="3">
        <v>10838</v>
      </c>
      <c r="K1806" s="3">
        <v>50111</v>
      </c>
      <c r="L1806" s="17" t="str" cm="1">
        <f t="array" ref="L1806">_xlfn.IFS(MID(K1806,2,2)="01", "서울", MID(K1806,2,2)="02","경기",MID(K1806,2,2)="03","충청",MID(K1806,2,2)="04","충청",MID(K1806,2,2)="05","전라",MID(K1806,2,2)="06","전라",MID(K1806,2,2)="07","경북",MID(K1806,2,2)="08","경남",MID(K1806,2,2)="09","강원",MID(K1806,2,2)="10","제주",TRUE,"국외")</f>
        <v>서울</v>
      </c>
    </row>
    <row r="1807" spans="1:12" ht="17.25" thickBot="1">
      <c r="A1807" s="3" t="s">
        <v>1886</v>
      </c>
      <c r="B1807" s="3" t="s">
        <v>14</v>
      </c>
      <c r="C1807" s="3" t="s">
        <v>538</v>
      </c>
      <c r="D1807" s="4" t="s">
        <v>1777</v>
      </c>
      <c r="E1807" s="4" t="s">
        <v>9</v>
      </c>
      <c r="F1807" s="4"/>
      <c r="G1807" s="9"/>
      <c r="H1807" s="4"/>
      <c r="I1807" s="9"/>
      <c r="J1807" s="3">
        <v>10829</v>
      </c>
      <c r="K1807" s="3">
        <v>50703</v>
      </c>
      <c r="L1807" s="17" t="str" cm="1">
        <f t="array" ref="L1807">_xlfn.IFS(MID(K1807,2,2)="01", "서울", MID(K1807,2,2)="02","경기",MID(K1807,2,2)="03","충청",MID(K1807,2,2)="04","충청",MID(K1807,2,2)="05","전라",MID(K1807,2,2)="06","전라",MID(K1807,2,2)="07","경북",MID(K1807,2,2)="08","경남",MID(K1807,2,2)="09","강원",MID(K1807,2,2)="10","제주",TRUE,"국외")</f>
        <v>경북</v>
      </c>
    </row>
    <row r="1808" spans="1:12" ht="17.25" thickBot="1">
      <c r="A1808" s="3" t="s">
        <v>1887</v>
      </c>
      <c r="B1808" s="3" t="s">
        <v>22</v>
      </c>
      <c r="C1808" s="3"/>
      <c r="D1808" s="4" t="s">
        <v>1777</v>
      </c>
      <c r="E1808" s="4" t="s">
        <v>23</v>
      </c>
      <c r="F1808" s="4">
        <v>2011</v>
      </c>
      <c r="G1808" s="8">
        <v>0.3</v>
      </c>
      <c r="H1808" s="4" t="s">
        <v>3</v>
      </c>
      <c r="I1808" s="8">
        <v>0.3</v>
      </c>
      <c r="J1808" s="3">
        <v>10719</v>
      </c>
      <c r="K1808" s="3">
        <v>50209</v>
      </c>
      <c r="L1808" s="17" t="str" cm="1">
        <f t="array" ref="L1808">_xlfn.IFS(MID(K1808,2,2)="01", "서울", MID(K1808,2,2)="02","경기",MID(K1808,2,2)="03","충청",MID(K1808,2,2)="04","충청",MID(K1808,2,2)="05","전라",MID(K1808,2,2)="06","전라",MID(K1808,2,2)="07","경북",MID(K1808,2,2)="08","경남",MID(K1808,2,2)="09","강원",MID(K1808,2,2)="10","제주",TRUE,"국외")</f>
        <v>경기</v>
      </c>
    </row>
    <row r="1809" spans="1:12" ht="17.25" thickBot="1">
      <c r="A1809" s="3" t="s">
        <v>1888</v>
      </c>
      <c r="B1809" s="3" t="s">
        <v>1737</v>
      </c>
      <c r="C1809" s="3" t="s">
        <v>45</v>
      </c>
      <c r="D1809" s="4" t="s">
        <v>205</v>
      </c>
      <c r="E1809" s="4" t="s">
        <v>20</v>
      </c>
      <c r="F1809" s="4">
        <v>2012</v>
      </c>
      <c r="G1809" s="9"/>
      <c r="H1809" s="4" t="s">
        <v>20</v>
      </c>
      <c r="I1809" s="8">
        <v>5.2</v>
      </c>
      <c r="J1809" s="3">
        <v>10935</v>
      </c>
      <c r="K1809" s="3">
        <v>50204</v>
      </c>
      <c r="L1809" s="17" t="str" cm="1">
        <f t="array" ref="L1809">_xlfn.IFS(MID(K1809,2,2)="01", "서울", MID(K1809,2,2)="02","경기",MID(K1809,2,2)="03","충청",MID(K1809,2,2)="04","충청",MID(K1809,2,2)="05","전라",MID(K1809,2,2)="06","전라",MID(K1809,2,2)="07","경북",MID(K1809,2,2)="08","경남",MID(K1809,2,2)="09","강원",MID(K1809,2,2)="10","제주",TRUE,"국외")</f>
        <v>경기</v>
      </c>
    </row>
    <row r="1810" spans="1:12" ht="17.25" thickBot="1">
      <c r="A1810" s="3" t="s">
        <v>1889</v>
      </c>
      <c r="B1810" s="3" t="s">
        <v>74</v>
      </c>
      <c r="C1810" s="3" t="s">
        <v>174</v>
      </c>
      <c r="D1810" s="4" t="s">
        <v>205</v>
      </c>
      <c r="E1810" s="4" t="s">
        <v>20</v>
      </c>
      <c r="F1810" s="4">
        <v>2012</v>
      </c>
      <c r="G1810" s="9"/>
      <c r="H1810" s="4" t="s">
        <v>20</v>
      </c>
      <c r="I1810" s="8">
        <v>-0.7</v>
      </c>
      <c r="J1810" s="3">
        <v>10925</v>
      </c>
      <c r="K1810" s="3">
        <v>50102</v>
      </c>
      <c r="L1810" s="17" t="str" cm="1">
        <f t="array" ref="L1810">_xlfn.IFS(MID(K1810,2,2)="01", "서울", MID(K1810,2,2)="02","경기",MID(K1810,2,2)="03","충청",MID(K1810,2,2)="04","충청",MID(K1810,2,2)="05","전라",MID(K1810,2,2)="06","전라",MID(K1810,2,2)="07","경북",MID(K1810,2,2)="08","경남",MID(K1810,2,2)="09","강원",MID(K1810,2,2)="10","제주",TRUE,"국외")</f>
        <v>서울</v>
      </c>
    </row>
    <row r="1811" spans="1:12" ht="17.25" thickBot="1">
      <c r="A1811" s="3" t="s">
        <v>1890</v>
      </c>
      <c r="B1811" s="3" t="s">
        <v>128</v>
      </c>
      <c r="C1811" s="3" t="s">
        <v>1891</v>
      </c>
      <c r="D1811" s="4" t="s">
        <v>205</v>
      </c>
      <c r="E1811" s="4" t="s">
        <v>20</v>
      </c>
      <c r="F1811" s="4">
        <v>2011</v>
      </c>
      <c r="G1811" s="8">
        <v>-0.3</v>
      </c>
      <c r="H1811" s="4" t="s">
        <v>20</v>
      </c>
      <c r="I1811" s="8">
        <v>-0.3</v>
      </c>
      <c r="J1811" s="3">
        <v>10752</v>
      </c>
      <c r="K1811" s="3">
        <v>50901</v>
      </c>
      <c r="L1811" s="17" t="str" cm="1">
        <f t="array" ref="L1811">_xlfn.IFS(MID(K1811,2,2)="01", "서울", MID(K1811,2,2)="02","경기",MID(K1811,2,2)="03","충청",MID(K1811,2,2)="04","충청",MID(K1811,2,2)="05","전라",MID(K1811,2,2)="06","전라",MID(K1811,2,2)="07","경북",MID(K1811,2,2)="08","경남",MID(K1811,2,2)="09","강원",MID(K1811,2,2)="10","제주",TRUE,"국외")</f>
        <v>강원</v>
      </c>
    </row>
    <row r="1812" spans="1:12" ht="17.25" thickBot="1">
      <c r="A1812" s="3" t="s">
        <v>1892</v>
      </c>
      <c r="B1812" s="3" t="s">
        <v>358</v>
      </c>
      <c r="C1812" s="3" t="s">
        <v>85</v>
      </c>
      <c r="D1812" s="4" t="s">
        <v>205</v>
      </c>
      <c r="E1812" s="4" t="s">
        <v>20</v>
      </c>
      <c r="F1812" s="4">
        <v>2012</v>
      </c>
      <c r="G1812" s="9"/>
      <c r="H1812" s="4" t="s">
        <v>23</v>
      </c>
      <c r="I1812" s="8">
        <v>0</v>
      </c>
      <c r="J1812" s="3">
        <v>10934</v>
      </c>
      <c r="K1812" s="3">
        <v>50902</v>
      </c>
      <c r="L1812" s="17" t="str" cm="1">
        <f t="array" ref="L1812">_xlfn.IFS(MID(K1812,2,2)="01", "서울", MID(K1812,2,2)="02","경기",MID(K1812,2,2)="03","충청",MID(K1812,2,2)="04","충청",MID(K1812,2,2)="05","전라",MID(K1812,2,2)="06","전라",MID(K1812,2,2)="07","경북",MID(K1812,2,2)="08","경남",MID(K1812,2,2)="09","강원",MID(K1812,2,2)="10","제주",TRUE,"국외")</f>
        <v>강원</v>
      </c>
    </row>
    <row r="1813" spans="1:12" ht="17.25" thickBot="1">
      <c r="A1813" s="3" t="s">
        <v>1893</v>
      </c>
      <c r="B1813" s="3" t="s">
        <v>66</v>
      </c>
      <c r="C1813" s="3" t="s">
        <v>218</v>
      </c>
      <c r="D1813" s="4" t="s">
        <v>205</v>
      </c>
      <c r="E1813" s="4" t="s">
        <v>607</v>
      </c>
      <c r="F1813" s="4"/>
      <c r="G1813" s="9"/>
      <c r="H1813" s="4"/>
      <c r="I1813" s="9"/>
      <c r="J1813" s="3">
        <v>10781</v>
      </c>
      <c r="K1813" s="3">
        <v>50110</v>
      </c>
      <c r="L1813" s="17" t="str" cm="1">
        <f t="array" ref="L1813">_xlfn.IFS(MID(K1813,2,2)="01", "서울", MID(K1813,2,2)="02","경기",MID(K1813,2,2)="03","충청",MID(K1813,2,2)="04","충청",MID(K1813,2,2)="05","전라",MID(K1813,2,2)="06","전라",MID(K1813,2,2)="07","경북",MID(K1813,2,2)="08","경남",MID(K1813,2,2)="09","강원",MID(K1813,2,2)="10","제주",TRUE,"국외")</f>
        <v>서울</v>
      </c>
    </row>
    <row r="1814" spans="1:12" ht="17.25" thickBot="1">
      <c r="A1814" s="3" t="s">
        <v>1894</v>
      </c>
      <c r="B1814" s="3" t="s">
        <v>38</v>
      </c>
      <c r="C1814" s="3"/>
      <c r="D1814" s="4" t="s">
        <v>205</v>
      </c>
      <c r="E1814" s="4" t="s">
        <v>906</v>
      </c>
      <c r="F1814" s="4"/>
      <c r="G1814" s="9"/>
      <c r="H1814" s="4"/>
      <c r="I1814" s="9"/>
      <c r="J1814" s="3">
        <v>12967</v>
      </c>
      <c r="K1814" s="3">
        <v>50109</v>
      </c>
      <c r="L1814" s="17" t="str" cm="1">
        <f t="array" ref="L1814">_xlfn.IFS(MID(K1814,2,2)="01", "서울", MID(K1814,2,2)="02","경기",MID(K1814,2,2)="03","충청",MID(K1814,2,2)="04","충청",MID(K1814,2,2)="05","전라",MID(K1814,2,2)="06","전라",MID(K1814,2,2)="07","경북",MID(K1814,2,2)="08","경남",MID(K1814,2,2)="09","강원",MID(K1814,2,2)="10","제주",TRUE,"국외")</f>
        <v>서울</v>
      </c>
    </row>
    <row r="1815" spans="1:12" ht="17.25" thickBot="1">
      <c r="A1815" s="3" t="s">
        <v>1895</v>
      </c>
      <c r="B1815" s="3" t="s">
        <v>96</v>
      </c>
      <c r="C1815" s="3" t="s">
        <v>329</v>
      </c>
      <c r="D1815" s="4" t="s">
        <v>205</v>
      </c>
      <c r="E1815" s="4" t="s">
        <v>906</v>
      </c>
      <c r="F1815" s="4"/>
      <c r="G1815" s="9"/>
      <c r="H1815" s="4"/>
      <c r="I1815" s="9"/>
      <c r="J1815" s="3">
        <v>10845</v>
      </c>
      <c r="K1815" s="3">
        <v>50601</v>
      </c>
      <c r="L1815" s="17" t="str" cm="1">
        <f t="array" ref="L1815">_xlfn.IFS(MID(K1815,2,2)="01", "서울", MID(K1815,2,2)="02","경기",MID(K1815,2,2)="03","충청",MID(K1815,2,2)="04","충청",MID(K1815,2,2)="05","전라",MID(K1815,2,2)="06","전라",MID(K1815,2,2)="07","경북",MID(K1815,2,2)="08","경남",MID(K1815,2,2)="09","강원",MID(K1815,2,2)="10","제주",TRUE,"국외")</f>
        <v>전라</v>
      </c>
    </row>
    <row r="1816" spans="1:12" ht="17.25" thickBot="1">
      <c r="A1816" s="3" t="s">
        <v>1896</v>
      </c>
      <c r="B1816" s="3" t="s">
        <v>96</v>
      </c>
      <c r="C1816" s="3"/>
      <c r="D1816" s="4" t="s">
        <v>205</v>
      </c>
      <c r="E1816" s="4" t="s">
        <v>906</v>
      </c>
      <c r="F1816" s="4">
        <v>2012</v>
      </c>
      <c r="G1816" s="9"/>
      <c r="H1816" s="4" t="s">
        <v>18</v>
      </c>
      <c r="I1816" s="8">
        <v>3</v>
      </c>
      <c r="J1816" s="3">
        <v>10860</v>
      </c>
      <c r="K1816" s="3">
        <v>50601</v>
      </c>
      <c r="L1816" s="17" t="str" cm="1">
        <f t="array" ref="L1816">_xlfn.IFS(MID(K1816,2,2)="01", "서울", MID(K1816,2,2)="02","경기",MID(K1816,2,2)="03","충청",MID(K1816,2,2)="04","충청",MID(K1816,2,2)="05","전라",MID(K1816,2,2)="06","전라",MID(K1816,2,2)="07","경북",MID(K1816,2,2)="08","경남",MID(K1816,2,2)="09","강원",MID(K1816,2,2)="10","제주",TRUE,"국외")</f>
        <v>전라</v>
      </c>
    </row>
    <row r="1817" spans="1:12" ht="17.25" thickBot="1">
      <c r="A1817" s="3" t="s">
        <v>1897</v>
      </c>
      <c r="B1817" s="3" t="s">
        <v>40</v>
      </c>
      <c r="C1817" s="3"/>
      <c r="D1817" s="4" t="s">
        <v>205</v>
      </c>
      <c r="E1817" s="4" t="s">
        <v>906</v>
      </c>
      <c r="F1817" s="4">
        <v>2011</v>
      </c>
      <c r="G1817" s="8">
        <v>-0.1</v>
      </c>
      <c r="H1817" s="4" t="s">
        <v>18</v>
      </c>
      <c r="I1817" s="8">
        <v>-0.1</v>
      </c>
      <c r="J1817" s="3">
        <v>10691</v>
      </c>
      <c r="K1817" s="3">
        <v>50108</v>
      </c>
      <c r="L1817" s="17" t="str" cm="1">
        <f t="array" ref="L1817">_xlfn.IFS(MID(K1817,2,2)="01", "서울", MID(K1817,2,2)="02","경기",MID(K1817,2,2)="03","충청",MID(K1817,2,2)="04","충청",MID(K1817,2,2)="05","전라",MID(K1817,2,2)="06","전라",MID(K1817,2,2)="07","경북",MID(K1817,2,2)="08","경남",MID(K1817,2,2)="09","강원",MID(K1817,2,2)="10","제주",TRUE,"국외")</f>
        <v>서울</v>
      </c>
    </row>
    <row r="1818" spans="1:12" ht="17.25" thickBot="1">
      <c r="A1818" s="3" t="s">
        <v>1898</v>
      </c>
      <c r="B1818" s="3" t="s">
        <v>93</v>
      </c>
      <c r="C1818" s="3" t="s">
        <v>45</v>
      </c>
      <c r="D1818" s="4" t="s">
        <v>205</v>
      </c>
      <c r="E1818" s="4" t="s">
        <v>26</v>
      </c>
      <c r="F1818" s="4"/>
      <c r="G1818" s="9"/>
      <c r="H1818" s="4"/>
      <c r="I1818" s="9"/>
      <c r="J1818" s="3">
        <v>10898</v>
      </c>
      <c r="K1818" s="3">
        <v>50805</v>
      </c>
      <c r="L1818" s="17" t="str" cm="1">
        <f t="array" ref="L1818">_xlfn.IFS(MID(K1818,2,2)="01", "서울", MID(K1818,2,2)="02","경기",MID(K1818,2,2)="03","충청",MID(K1818,2,2)="04","충청",MID(K1818,2,2)="05","전라",MID(K1818,2,2)="06","전라",MID(K1818,2,2)="07","경북",MID(K1818,2,2)="08","경남",MID(K1818,2,2)="09","강원",MID(K1818,2,2)="10","제주",TRUE,"국외")</f>
        <v>경남</v>
      </c>
    </row>
    <row r="1819" spans="1:12" ht="17.25" thickBot="1">
      <c r="A1819" s="3" t="s">
        <v>1899</v>
      </c>
      <c r="B1819" s="3" t="s">
        <v>147</v>
      </c>
      <c r="C1819" s="3"/>
      <c r="D1819" s="4" t="s">
        <v>205</v>
      </c>
      <c r="E1819" s="4" t="s">
        <v>26</v>
      </c>
      <c r="F1819" s="4">
        <v>2013</v>
      </c>
      <c r="G1819" s="9"/>
      <c r="H1819" s="4" t="s">
        <v>12</v>
      </c>
      <c r="I1819" s="8">
        <v>-0.6</v>
      </c>
      <c r="J1819" s="3">
        <v>10883</v>
      </c>
      <c r="K1819" s="3">
        <v>50208</v>
      </c>
      <c r="L1819" s="17" t="str" cm="1">
        <f t="array" ref="L1819">_xlfn.IFS(MID(K1819,2,2)="01", "서울", MID(K1819,2,2)="02","경기",MID(K1819,2,2)="03","충청",MID(K1819,2,2)="04","충청",MID(K1819,2,2)="05","전라",MID(K1819,2,2)="06","전라",MID(K1819,2,2)="07","경북",MID(K1819,2,2)="08","경남",MID(K1819,2,2)="09","강원",MID(K1819,2,2)="10","제주",TRUE,"국외")</f>
        <v>경기</v>
      </c>
    </row>
    <row r="1820" spans="1:12" ht="17.25" thickBot="1">
      <c r="A1820" s="3" t="s">
        <v>1900</v>
      </c>
      <c r="B1820" s="3" t="s">
        <v>93</v>
      </c>
      <c r="C1820" s="3" t="s">
        <v>1856</v>
      </c>
      <c r="D1820" s="4" t="s">
        <v>205</v>
      </c>
      <c r="E1820" s="4" t="s">
        <v>9</v>
      </c>
      <c r="F1820" s="4">
        <v>2012</v>
      </c>
      <c r="G1820" s="9"/>
      <c r="H1820" s="4" t="s">
        <v>9</v>
      </c>
      <c r="I1820" s="8">
        <v>-0.7</v>
      </c>
      <c r="J1820" s="3">
        <v>10834</v>
      </c>
      <c r="K1820" s="3">
        <v>50805</v>
      </c>
      <c r="L1820" s="17" t="str" cm="1">
        <f t="array" ref="L1820">_xlfn.IFS(MID(K1820,2,2)="01", "서울", MID(K1820,2,2)="02","경기",MID(K1820,2,2)="03","충청",MID(K1820,2,2)="04","충청",MID(K1820,2,2)="05","전라",MID(K1820,2,2)="06","전라",MID(K1820,2,2)="07","경북",MID(K1820,2,2)="08","경남",MID(K1820,2,2)="09","강원",MID(K1820,2,2)="10","제주",TRUE,"국외")</f>
        <v>경남</v>
      </c>
    </row>
    <row r="1821" spans="1:12" ht="17.25" thickBot="1">
      <c r="A1821" s="3" t="s">
        <v>1901</v>
      </c>
      <c r="B1821" s="3" t="s">
        <v>11</v>
      </c>
      <c r="C1821" s="3" t="s">
        <v>211</v>
      </c>
      <c r="D1821" s="4" t="s">
        <v>205</v>
      </c>
      <c r="E1821" s="4" t="s">
        <v>9</v>
      </c>
      <c r="F1821" s="4">
        <v>2011</v>
      </c>
      <c r="G1821" s="8">
        <v>-0.1</v>
      </c>
      <c r="H1821" s="4" t="s">
        <v>3</v>
      </c>
      <c r="I1821" s="8">
        <v>2.6</v>
      </c>
      <c r="J1821" s="3">
        <v>10777</v>
      </c>
      <c r="K1821" s="3">
        <v>50802</v>
      </c>
      <c r="L1821" s="17" t="str" cm="1">
        <f t="array" ref="L1821">_xlfn.IFS(MID(K1821,2,2)="01", "서울", MID(K1821,2,2)="02","경기",MID(K1821,2,2)="03","충청",MID(K1821,2,2)="04","충청",MID(K1821,2,2)="05","전라",MID(K1821,2,2)="06","전라",MID(K1821,2,2)="07","경북",MID(K1821,2,2)="08","경남",MID(K1821,2,2)="09","강원",MID(K1821,2,2)="10","제주",TRUE,"국외")</f>
        <v>경남</v>
      </c>
    </row>
    <row r="1822" spans="1:12" ht="17.25" thickBot="1">
      <c r="A1822" s="3" t="s">
        <v>1902</v>
      </c>
      <c r="B1822" s="3" t="s">
        <v>81</v>
      </c>
      <c r="C1822" s="3" t="s">
        <v>1856</v>
      </c>
      <c r="D1822" s="4" t="s">
        <v>205</v>
      </c>
      <c r="E1822" s="4" t="s">
        <v>23</v>
      </c>
      <c r="F1822" s="4">
        <v>2017</v>
      </c>
      <c r="G1822" s="9"/>
      <c r="H1822" s="4" t="s">
        <v>23</v>
      </c>
      <c r="I1822" s="8">
        <v>-0.2</v>
      </c>
      <c r="J1822" s="3">
        <v>10877</v>
      </c>
      <c r="K1822" s="3">
        <v>50105</v>
      </c>
      <c r="L1822" s="17" t="str" cm="1">
        <f t="array" ref="L1822">_xlfn.IFS(MID(K1822,2,2)="01", "서울", MID(K1822,2,2)="02","경기",MID(K1822,2,2)="03","충청",MID(K1822,2,2)="04","충청",MID(K1822,2,2)="05","전라",MID(K1822,2,2)="06","전라",MID(K1822,2,2)="07","경북",MID(K1822,2,2)="08","경남",MID(K1822,2,2)="09","강원",MID(K1822,2,2)="10","제주",TRUE,"국외")</f>
        <v>서울</v>
      </c>
    </row>
    <row r="1823" spans="1:12" ht="17.25" thickBot="1">
      <c r="A1823" s="3" t="s">
        <v>1903</v>
      </c>
      <c r="B1823" s="3" t="s">
        <v>464</v>
      </c>
      <c r="C1823" s="3" t="s">
        <v>133</v>
      </c>
      <c r="D1823" s="4" t="s">
        <v>205</v>
      </c>
      <c r="E1823" s="4" t="s">
        <v>23</v>
      </c>
      <c r="F1823" s="4">
        <v>2011</v>
      </c>
      <c r="G1823" s="8">
        <v>-0.1</v>
      </c>
      <c r="H1823" s="4" t="s">
        <v>23</v>
      </c>
      <c r="I1823" s="8">
        <v>-1.2</v>
      </c>
      <c r="J1823" s="3">
        <v>10726</v>
      </c>
      <c r="K1823" s="3">
        <v>50706</v>
      </c>
      <c r="L1823" s="17" t="str" cm="1">
        <f t="array" ref="L1823">_xlfn.IFS(MID(K1823,2,2)="01", "서울", MID(K1823,2,2)="02","경기",MID(K1823,2,2)="03","충청",MID(K1823,2,2)="04","충청",MID(K1823,2,2)="05","전라",MID(K1823,2,2)="06","전라",MID(K1823,2,2)="07","경북",MID(K1823,2,2)="08","경남",MID(K1823,2,2)="09","강원",MID(K1823,2,2)="10","제주",TRUE,"국외")</f>
        <v>경북</v>
      </c>
    </row>
    <row r="1824" spans="1:12" ht="17.25" thickBot="1">
      <c r="A1824" s="3" t="s">
        <v>1904</v>
      </c>
      <c r="B1824" s="3" t="s">
        <v>25</v>
      </c>
      <c r="C1824" s="3" t="s">
        <v>45</v>
      </c>
      <c r="D1824" s="4" t="s">
        <v>2</v>
      </c>
      <c r="E1824" s="4" t="s">
        <v>20</v>
      </c>
      <c r="F1824" s="4">
        <v>2010</v>
      </c>
      <c r="G1824" s="8">
        <v>-1.3</v>
      </c>
      <c r="H1824" s="4" t="s">
        <v>20</v>
      </c>
      <c r="I1824" s="8">
        <v>1.4</v>
      </c>
      <c r="J1824" s="3">
        <v>10516</v>
      </c>
      <c r="K1824" s="3">
        <v>50403</v>
      </c>
      <c r="L1824" s="17" t="str" cm="1">
        <f t="array" ref="L1824">_xlfn.IFS(MID(K1824,2,2)="01", "서울", MID(K1824,2,2)="02","경기",MID(K1824,2,2)="03","충청",MID(K1824,2,2)="04","충청",MID(K1824,2,2)="05","전라",MID(K1824,2,2)="06","전라",MID(K1824,2,2)="07","경북",MID(K1824,2,2)="08","경남",MID(K1824,2,2)="09","강원",MID(K1824,2,2)="10","제주",TRUE,"국외")</f>
        <v>충청</v>
      </c>
    </row>
    <row r="1825" spans="1:12" ht="17.25" thickBot="1">
      <c r="A1825" s="3" t="s">
        <v>1905</v>
      </c>
      <c r="B1825" s="3" t="s">
        <v>121</v>
      </c>
      <c r="C1825" s="3"/>
      <c r="D1825" s="4" t="s">
        <v>2</v>
      </c>
      <c r="E1825" s="4" t="s">
        <v>906</v>
      </c>
      <c r="F1825" s="4">
        <v>2010</v>
      </c>
      <c r="G1825" s="8">
        <v>-0.6</v>
      </c>
      <c r="H1825" s="4" t="s">
        <v>12</v>
      </c>
      <c r="I1825" s="8">
        <v>0.3</v>
      </c>
      <c r="J1825" s="3">
        <v>10432</v>
      </c>
      <c r="K1825" s="3">
        <v>50604</v>
      </c>
      <c r="L1825" s="17" t="str" cm="1">
        <f t="array" ref="L1825">_xlfn.IFS(MID(K1825,2,2)="01", "서울", MID(K1825,2,2)="02","경기",MID(K1825,2,2)="03","충청",MID(K1825,2,2)="04","충청",MID(K1825,2,2)="05","전라",MID(K1825,2,2)="06","전라",MID(K1825,2,2)="07","경북",MID(K1825,2,2)="08","경남",MID(K1825,2,2)="09","강원",MID(K1825,2,2)="10","제주",TRUE,"국외")</f>
        <v>전라</v>
      </c>
    </row>
    <row r="1826" spans="1:12" ht="17.25" thickBot="1">
      <c r="A1826" s="3" t="s">
        <v>1906</v>
      </c>
      <c r="B1826" s="3" t="s">
        <v>107</v>
      </c>
      <c r="C1826" s="3"/>
      <c r="D1826" s="4" t="s">
        <v>2</v>
      </c>
      <c r="E1826" s="4" t="s">
        <v>6</v>
      </c>
      <c r="F1826" s="4">
        <v>2010</v>
      </c>
      <c r="G1826" s="8">
        <v>-0.1</v>
      </c>
      <c r="H1826" s="4" t="s">
        <v>6</v>
      </c>
      <c r="I1826" s="8">
        <v>4.2</v>
      </c>
      <c r="J1826" s="3">
        <v>10056</v>
      </c>
      <c r="K1826" s="3">
        <v>50602</v>
      </c>
      <c r="L1826" s="17" t="str" cm="1">
        <f t="array" ref="L1826">_xlfn.IFS(MID(K1826,2,2)="01", "서울", MID(K1826,2,2)="02","경기",MID(K1826,2,2)="03","충청",MID(K1826,2,2)="04","충청",MID(K1826,2,2)="05","전라",MID(K1826,2,2)="06","전라",MID(K1826,2,2)="07","경북",MID(K1826,2,2)="08","경남",MID(K1826,2,2)="09","강원",MID(K1826,2,2)="10","제주",TRUE,"국외")</f>
        <v>전라</v>
      </c>
    </row>
    <row r="1827" spans="1:12" ht="17.25" thickBot="1">
      <c r="A1827" s="3" t="s">
        <v>1907</v>
      </c>
      <c r="B1827" s="3" t="s">
        <v>25</v>
      </c>
      <c r="C1827" s="3"/>
      <c r="D1827" s="4" t="s">
        <v>2</v>
      </c>
      <c r="E1827" s="4" t="s">
        <v>3</v>
      </c>
      <c r="F1827" s="4">
        <v>2010</v>
      </c>
      <c r="G1827" s="8">
        <v>-0.1</v>
      </c>
      <c r="H1827" s="4" t="s">
        <v>3</v>
      </c>
      <c r="I1827" s="8">
        <v>0.1</v>
      </c>
      <c r="J1827" s="3">
        <v>10585</v>
      </c>
      <c r="K1827" s="3">
        <v>50403</v>
      </c>
      <c r="L1827" s="17" t="str" cm="1">
        <f t="array" ref="L1827">_xlfn.IFS(MID(K1827,2,2)="01", "서울", MID(K1827,2,2)="02","경기",MID(K1827,2,2)="03","충청",MID(K1827,2,2)="04","충청",MID(K1827,2,2)="05","전라",MID(K1827,2,2)="06","전라",MID(K1827,2,2)="07","경북",MID(K1827,2,2)="08","경남",MID(K1827,2,2)="09","강원",MID(K1827,2,2)="10","제주",TRUE,"국외")</f>
        <v>충청</v>
      </c>
    </row>
    <row r="1828" spans="1:12" ht="17.25" thickBot="1">
      <c r="A1828" s="3" t="s">
        <v>1908</v>
      </c>
      <c r="B1828" s="3" t="s">
        <v>81</v>
      </c>
      <c r="C1828" s="3" t="s">
        <v>45</v>
      </c>
      <c r="D1828" s="4" t="s">
        <v>2</v>
      </c>
      <c r="E1828" s="4" t="s">
        <v>23</v>
      </c>
      <c r="F1828" s="4">
        <v>2010</v>
      </c>
      <c r="G1828" s="8">
        <v>1.8</v>
      </c>
      <c r="H1828" s="4" t="s">
        <v>23</v>
      </c>
      <c r="I1828" s="8">
        <v>1.9</v>
      </c>
      <c r="J1828" s="3">
        <v>10374</v>
      </c>
      <c r="K1828" s="3">
        <v>50105</v>
      </c>
      <c r="L1828" s="17" t="str" cm="1">
        <f t="array" ref="L1828">_xlfn.IFS(MID(K1828,2,2)="01", "서울", MID(K1828,2,2)="02","경기",MID(K1828,2,2)="03","충청",MID(K1828,2,2)="04","충청",MID(K1828,2,2)="05","전라",MID(K1828,2,2)="06","전라",MID(K1828,2,2)="07","경북",MID(K1828,2,2)="08","경남",MID(K1828,2,2)="09","강원",MID(K1828,2,2)="10","제주",TRUE,"국외")</f>
        <v>서울</v>
      </c>
    </row>
    <row r="1829" spans="1:12" ht="17.25" thickBot="1">
      <c r="A1829" s="3" t="s">
        <v>1909</v>
      </c>
      <c r="B1829" s="3" t="s">
        <v>11</v>
      </c>
      <c r="C1829" s="3"/>
      <c r="D1829" s="4" t="s">
        <v>2</v>
      </c>
      <c r="E1829" s="4" t="s">
        <v>9</v>
      </c>
      <c r="F1829" s="4"/>
      <c r="G1829" s="9"/>
      <c r="H1829" s="4"/>
      <c r="I1829" s="9"/>
      <c r="J1829" s="3">
        <v>10307</v>
      </c>
      <c r="K1829" s="3">
        <v>50802</v>
      </c>
      <c r="L1829" s="17" t="str" cm="1">
        <f t="array" ref="L1829">_xlfn.IFS(MID(K1829,2,2)="01", "서울", MID(K1829,2,2)="02","경기",MID(K1829,2,2)="03","충청",MID(K1829,2,2)="04","충청",MID(K1829,2,2)="05","전라",MID(K1829,2,2)="06","전라",MID(K1829,2,2)="07","경북",MID(K1829,2,2)="08","경남",MID(K1829,2,2)="09","강원",MID(K1829,2,2)="10","제주",TRUE,"국외")</f>
        <v>경남</v>
      </c>
    </row>
    <row r="1830" spans="1:12" ht="17.25" thickBot="1">
      <c r="A1830" s="3" t="s">
        <v>1910</v>
      </c>
      <c r="B1830" s="3" t="s">
        <v>169</v>
      </c>
      <c r="C1830" s="3"/>
      <c r="D1830" s="4" t="s">
        <v>2</v>
      </c>
      <c r="E1830" s="4" t="s">
        <v>26</v>
      </c>
      <c r="F1830" s="4">
        <v>2010</v>
      </c>
      <c r="G1830" s="8">
        <v>-0.5</v>
      </c>
      <c r="H1830" s="4" t="s">
        <v>26</v>
      </c>
      <c r="I1830" s="8">
        <v>-0.1</v>
      </c>
      <c r="J1830" s="3">
        <v>10223</v>
      </c>
      <c r="K1830" s="3">
        <v>50606</v>
      </c>
      <c r="L1830" s="17" t="str" cm="1">
        <f t="array" ref="L1830">_xlfn.IFS(MID(K1830,2,2)="01", "서울", MID(K1830,2,2)="02","경기",MID(K1830,2,2)="03","충청",MID(K1830,2,2)="04","충청",MID(K1830,2,2)="05","전라",MID(K1830,2,2)="06","전라",MID(K1830,2,2)="07","경북",MID(K1830,2,2)="08","경남",MID(K1830,2,2)="09","강원",MID(K1830,2,2)="10","제주",TRUE,"국외")</f>
        <v>전라</v>
      </c>
    </row>
    <row r="1831" spans="1:12" ht="17.25" thickBot="1">
      <c r="A1831" s="3" t="s">
        <v>1911</v>
      </c>
      <c r="B1831" s="3" t="s">
        <v>121</v>
      </c>
      <c r="C1831" s="3" t="s">
        <v>90</v>
      </c>
      <c r="D1831" s="4" t="s">
        <v>2</v>
      </c>
      <c r="E1831" s="4" t="s">
        <v>607</v>
      </c>
      <c r="F1831" s="4">
        <v>2010</v>
      </c>
      <c r="G1831" s="8">
        <v>0.2</v>
      </c>
      <c r="H1831" s="4" t="s">
        <v>607</v>
      </c>
      <c r="I1831" s="8">
        <v>-0.6</v>
      </c>
      <c r="J1831" s="3">
        <v>10130</v>
      </c>
      <c r="K1831" s="3">
        <v>50604</v>
      </c>
      <c r="L1831" s="17" t="str" cm="1">
        <f t="array" ref="L1831">_xlfn.IFS(MID(K1831,2,2)="01", "서울", MID(K1831,2,2)="02","경기",MID(K1831,2,2)="03","충청",MID(K1831,2,2)="04","충청",MID(K1831,2,2)="05","전라",MID(K1831,2,2)="06","전라",MID(K1831,2,2)="07","경북",MID(K1831,2,2)="08","경남",MID(K1831,2,2)="09","강원",MID(K1831,2,2)="10","제주",TRUE,"국외")</f>
        <v>전라</v>
      </c>
    </row>
    <row r="1832" spans="1:12" ht="17.25" thickBot="1">
      <c r="A1832" s="3" t="s">
        <v>1912</v>
      </c>
      <c r="B1832" s="3" t="s">
        <v>158</v>
      </c>
      <c r="C1832" s="3"/>
      <c r="D1832" s="4" t="s">
        <v>2</v>
      </c>
      <c r="E1832" s="4" t="s">
        <v>607</v>
      </c>
      <c r="F1832" s="4">
        <v>2011</v>
      </c>
      <c r="G1832" s="9"/>
      <c r="H1832" s="4" t="s">
        <v>607</v>
      </c>
      <c r="I1832" s="8">
        <v>21.5</v>
      </c>
      <c r="J1832" s="3">
        <v>10131</v>
      </c>
      <c r="K1832" s="3">
        <v>50501</v>
      </c>
      <c r="L1832" s="17" t="str" cm="1">
        <f t="array" ref="L1832">_xlfn.IFS(MID(K1832,2,2)="01", "서울", MID(K1832,2,2)="02","경기",MID(K1832,2,2)="03","충청",MID(K1832,2,2)="04","충청",MID(K1832,2,2)="05","전라",MID(K1832,2,2)="06","전라",MID(K1832,2,2)="07","경북",MID(K1832,2,2)="08","경남",MID(K1832,2,2)="09","강원",MID(K1832,2,2)="10","제주",TRUE,"국외")</f>
        <v>전라</v>
      </c>
    </row>
    <row r="1833" spans="1:12" ht="17.25" thickBot="1">
      <c r="A1833" s="3" t="s">
        <v>1913</v>
      </c>
      <c r="B1833" s="3" t="s">
        <v>14</v>
      </c>
      <c r="C1833" s="3"/>
      <c r="D1833" s="4" t="s">
        <v>2</v>
      </c>
      <c r="E1833" s="4" t="s">
        <v>26</v>
      </c>
      <c r="F1833" s="4">
        <v>2010</v>
      </c>
      <c r="G1833" s="8">
        <v>0.2</v>
      </c>
      <c r="H1833" s="4" t="s">
        <v>12</v>
      </c>
      <c r="I1833" s="8">
        <v>25.7</v>
      </c>
      <c r="J1833" s="3">
        <v>10220</v>
      </c>
      <c r="K1833" s="3">
        <v>50703</v>
      </c>
      <c r="L1833" s="17" t="str" cm="1">
        <f t="array" ref="L1833">_xlfn.IFS(MID(K1833,2,2)="01", "서울", MID(K1833,2,2)="02","경기",MID(K1833,2,2)="03","충청",MID(K1833,2,2)="04","충청",MID(K1833,2,2)="05","전라",MID(K1833,2,2)="06","전라",MID(K1833,2,2)="07","경북",MID(K1833,2,2)="08","경남",MID(K1833,2,2)="09","강원",MID(K1833,2,2)="10","제주",TRUE,"국외")</f>
        <v>경북</v>
      </c>
    </row>
    <row r="1834" spans="1:12" ht="17.25" thickBot="1">
      <c r="A1834" s="3" t="s">
        <v>1914</v>
      </c>
      <c r="B1834" s="3" t="s">
        <v>101</v>
      </c>
      <c r="C1834" s="3"/>
      <c r="D1834" s="4" t="s">
        <v>2</v>
      </c>
      <c r="E1834" s="4" t="s">
        <v>9</v>
      </c>
      <c r="F1834" s="4"/>
      <c r="G1834" s="9"/>
      <c r="H1834" s="4"/>
      <c r="I1834" s="9"/>
      <c r="J1834" s="3">
        <v>10297</v>
      </c>
      <c r="K1834" s="3">
        <v>50207</v>
      </c>
      <c r="L1834" s="17" t="str" cm="1">
        <f t="array" ref="L1834">_xlfn.IFS(MID(K1834,2,2)="01", "서울", MID(K1834,2,2)="02","경기",MID(K1834,2,2)="03","충청",MID(K1834,2,2)="04","충청",MID(K1834,2,2)="05","전라",MID(K1834,2,2)="06","전라",MID(K1834,2,2)="07","경북",MID(K1834,2,2)="08","경남",MID(K1834,2,2)="09","강원",MID(K1834,2,2)="10","제주",TRUE,"국외")</f>
        <v>경기</v>
      </c>
    </row>
    <row r="1835" spans="1:12" ht="17.25" thickBot="1">
      <c r="A1835" s="3" t="s">
        <v>513</v>
      </c>
      <c r="B1835" s="3" t="s">
        <v>128</v>
      </c>
      <c r="C1835" s="3" t="s">
        <v>1856</v>
      </c>
      <c r="D1835" s="4" t="s">
        <v>2</v>
      </c>
      <c r="E1835" s="4" t="s">
        <v>23</v>
      </c>
      <c r="F1835" s="4">
        <v>2010</v>
      </c>
      <c r="G1835" s="8">
        <v>0</v>
      </c>
      <c r="H1835" s="4" t="s">
        <v>23</v>
      </c>
      <c r="I1835" s="8">
        <v>1.3</v>
      </c>
      <c r="J1835" s="3">
        <v>10358</v>
      </c>
      <c r="K1835" s="3">
        <v>50901</v>
      </c>
      <c r="L1835" s="17" t="str" cm="1">
        <f t="array" ref="L1835">_xlfn.IFS(MID(K1835,2,2)="01", "서울", MID(K1835,2,2)="02","경기",MID(K1835,2,2)="03","충청",MID(K1835,2,2)="04","충청",MID(K1835,2,2)="05","전라",MID(K1835,2,2)="06","전라",MID(K1835,2,2)="07","경북",MID(K1835,2,2)="08","경남",MID(K1835,2,2)="09","강원",MID(K1835,2,2)="10","제주",TRUE,"국외")</f>
        <v>강원</v>
      </c>
    </row>
    <row r="1836" spans="1:12" ht="17.25" thickBot="1">
      <c r="A1836" s="3" t="s">
        <v>1915</v>
      </c>
      <c r="B1836" s="3" t="s">
        <v>25</v>
      </c>
      <c r="C1836" s="3"/>
      <c r="D1836" s="4" t="s">
        <v>2</v>
      </c>
      <c r="E1836" s="4" t="s">
        <v>3</v>
      </c>
      <c r="F1836" s="4">
        <v>2010</v>
      </c>
      <c r="G1836" s="8">
        <v>0</v>
      </c>
      <c r="H1836" s="4" t="s">
        <v>3</v>
      </c>
      <c r="I1836" s="8">
        <v>0</v>
      </c>
      <c r="J1836" s="3">
        <v>10567</v>
      </c>
      <c r="K1836" s="3">
        <v>50403</v>
      </c>
      <c r="L1836" s="17" t="str" cm="1">
        <f t="array" ref="L1836">_xlfn.IFS(MID(K1836,2,2)="01", "서울", MID(K1836,2,2)="02","경기",MID(K1836,2,2)="03","충청",MID(K1836,2,2)="04","충청",MID(K1836,2,2)="05","전라",MID(K1836,2,2)="06","전라",MID(K1836,2,2)="07","경북",MID(K1836,2,2)="08","경남",MID(K1836,2,2)="09","강원",MID(K1836,2,2)="10","제주",TRUE,"국외")</f>
        <v>충청</v>
      </c>
    </row>
    <row r="1837" spans="1:12" ht="17.25" thickBot="1">
      <c r="A1837" s="3" t="s">
        <v>1916</v>
      </c>
      <c r="B1837" s="3" t="s">
        <v>121</v>
      </c>
      <c r="C1837" s="3" t="s">
        <v>1471</v>
      </c>
      <c r="D1837" s="4" t="s">
        <v>2</v>
      </c>
      <c r="E1837" s="4" t="s">
        <v>6</v>
      </c>
      <c r="F1837" s="4">
        <v>2012</v>
      </c>
      <c r="G1837" s="9"/>
      <c r="H1837" s="4" t="s">
        <v>6</v>
      </c>
      <c r="I1837" s="8">
        <v>2.7</v>
      </c>
      <c r="J1837" s="3">
        <v>10066</v>
      </c>
      <c r="K1837" s="3">
        <v>50604</v>
      </c>
      <c r="L1837" s="17" t="str" cm="1">
        <f t="array" ref="L1837">_xlfn.IFS(MID(K1837,2,2)="01", "서울", MID(K1837,2,2)="02","경기",MID(K1837,2,2)="03","충청",MID(K1837,2,2)="04","충청",MID(K1837,2,2)="05","전라",MID(K1837,2,2)="06","전라",MID(K1837,2,2)="07","경북",MID(K1837,2,2)="08","경남",MID(K1837,2,2)="09","강원",MID(K1837,2,2)="10","제주",TRUE,"국외")</f>
        <v>전라</v>
      </c>
    </row>
    <row r="1838" spans="1:12" ht="17.25" thickBot="1">
      <c r="A1838" s="3" t="s">
        <v>1917</v>
      </c>
      <c r="B1838" s="3" t="s">
        <v>1791</v>
      </c>
      <c r="C1838" s="3" t="s">
        <v>172</v>
      </c>
      <c r="D1838" s="4" t="s">
        <v>2</v>
      </c>
      <c r="E1838" s="4" t="s">
        <v>906</v>
      </c>
      <c r="F1838" s="4">
        <v>2011</v>
      </c>
      <c r="G1838" s="9"/>
      <c r="H1838" s="4" t="s">
        <v>18</v>
      </c>
      <c r="I1838" s="8">
        <v>0.5</v>
      </c>
      <c r="J1838" s="3">
        <v>10451</v>
      </c>
      <c r="K1838" s="3">
        <v>50303</v>
      </c>
      <c r="L1838" s="17" t="str" cm="1">
        <f t="array" ref="L1838">_xlfn.IFS(MID(K1838,2,2)="01", "서울", MID(K1838,2,2)="02","경기",MID(K1838,2,2)="03","충청",MID(K1838,2,2)="04","충청",MID(K1838,2,2)="05","전라",MID(K1838,2,2)="06","전라",MID(K1838,2,2)="07","경북",MID(K1838,2,2)="08","경남",MID(K1838,2,2)="09","강원",MID(K1838,2,2)="10","제주",TRUE,"국외")</f>
        <v>충청</v>
      </c>
    </row>
    <row r="1839" spans="1:12" ht="17.25" thickBot="1">
      <c r="A1839" s="3" t="s">
        <v>449</v>
      </c>
      <c r="B1839" s="3" t="s">
        <v>82</v>
      </c>
      <c r="C1839" s="3"/>
      <c r="D1839" s="4" t="s">
        <v>2</v>
      </c>
      <c r="E1839" s="4" t="s">
        <v>20</v>
      </c>
      <c r="F1839" s="4">
        <v>2015</v>
      </c>
      <c r="G1839" s="9"/>
      <c r="H1839" s="4" t="s">
        <v>23</v>
      </c>
      <c r="I1839" s="8">
        <v>3.3</v>
      </c>
      <c r="J1839" s="3">
        <v>10527</v>
      </c>
      <c r="K1839" s="3">
        <v>50605</v>
      </c>
      <c r="L1839" s="17" t="str" cm="1">
        <f t="array" ref="L1839">_xlfn.IFS(MID(K1839,2,2)="01", "서울", MID(K1839,2,2)="02","경기",MID(K1839,2,2)="03","충청",MID(K1839,2,2)="04","충청",MID(K1839,2,2)="05","전라",MID(K1839,2,2)="06","전라",MID(K1839,2,2)="07","경북",MID(K1839,2,2)="08","경남",MID(K1839,2,2)="09","강원",MID(K1839,2,2)="10","제주",TRUE,"국외")</f>
        <v>전라</v>
      </c>
    </row>
    <row r="1840" spans="1:12" ht="17.25" thickBot="1">
      <c r="A1840" s="3" t="s">
        <v>1918</v>
      </c>
      <c r="B1840" s="3" t="s">
        <v>96</v>
      </c>
      <c r="C1840" s="3"/>
      <c r="D1840" s="4" t="s">
        <v>2</v>
      </c>
      <c r="E1840" s="4" t="s">
        <v>20</v>
      </c>
      <c r="F1840" s="4">
        <v>2010</v>
      </c>
      <c r="G1840" s="8">
        <v>-0.2</v>
      </c>
      <c r="H1840" s="4" t="s">
        <v>20</v>
      </c>
      <c r="I1840" s="8">
        <v>-0.1</v>
      </c>
      <c r="J1840" s="3">
        <v>10522</v>
      </c>
      <c r="K1840" s="3">
        <v>50601</v>
      </c>
      <c r="L1840" s="17" t="str" cm="1">
        <f t="array" ref="L1840">_xlfn.IFS(MID(K1840,2,2)="01", "서울", MID(K1840,2,2)="02","경기",MID(K1840,2,2)="03","충청",MID(K1840,2,2)="04","충청",MID(K1840,2,2)="05","전라",MID(K1840,2,2)="06","전라",MID(K1840,2,2)="07","경북",MID(K1840,2,2)="08","경남",MID(K1840,2,2)="09","강원",MID(K1840,2,2)="10","제주",TRUE,"국외")</f>
        <v>전라</v>
      </c>
    </row>
    <row r="1841" spans="1:12" ht="17.25" thickBot="1">
      <c r="A1841" s="3" t="s">
        <v>1870</v>
      </c>
      <c r="B1841" s="3" t="s">
        <v>93</v>
      </c>
      <c r="C1841" s="3"/>
      <c r="D1841" s="4" t="s">
        <v>2</v>
      </c>
      <c r="E1841" s="4" t="s">
        <v>906</v>
      </c>
      <c r="F1841" s="4">
        <v>2014</v>
      </c>
      <c r="G1841" s="9"/>
      <c r="H1841" s="4" t="s">
        <v>20</v>
      </c>
      <c r="I1841" s="8">
        <v>3.5</v>
      </c>
      <c r="J1841" s="3">
        <v>10706</v>
      </c>
      <c r="K1841" s="3">
        <v>50805</v>
      </c>
      <c r="L1841" s="17" t="str" cm="1">
        <f t="array" ref="L1841">_xlfn.IFS(MID(K1841,2,2)="01", "서울", MID(K1841,2,2)="02","경기",MID(K1841,2,2)="03","충청",MID(K1841,2,2)="04","충청",MID(K1841,2,2)="05","전라",MID(K1841,2,2)="06","전라",MID(K1841,2,2)="07","경북",MID(K1841,2,2)="08","경남",MID(K1841,2,2)="09","강원",MID(K1841,2,2)="10","제주",TRUE,"국외")</f>
        <v>경남</v>
      </c>
    </row>
    <row r="1842" spans="1:12" ht="17.25" thickBot="1">
      <c r="A1842" s="3" t="s">
        <v>1919</v>
      </c>
      <c r="B1842" s="3" t="s">
        <v>70</v>
      </c>
      <c r="C1842" s="3"/>
      <c r="D1842" s="4" t="s">
        <v>2</v>
      </c>
      <c r="E1842" s="4" t="s">
        <v>6</v>
      </c>
      <c r="F1842" s="4">
        <v>2015</v>
      </c>
      <c r="G1842" s="9"/>
      <c r="H1842" s="4" t="s">
        <v>6</v>
      </c>
      <c r="I1842" s="8">
        <v>-0.8</v>
      </c>
      <c r="J1842" s="3">
        <v>10018</v>
      </c>
      <c r="K1842" s="3">
        <v>50103</v>
      </c>
      <c r="L1842" s="17" t="str" cm="1">
        <f t="array" ref="L1842">_xlfn.IFS(MID(K1842,2,2)="01", "서울", MID(K1842,2,2)="02","경기",MID(K1842,2,2)="03","충청",MID(K1842,2,2)="04","충청",MID(K1842,2,2)="05","전라",MID(K1842,2,2)="06","전라",MID(K1842,2,2)="07","경북",MID(K1842,2,2)="08","경남",MID(K1842,2,2)="09","강원",MID(K1842,2,2)="10","제주",TRUE,"국외")</f>
        <v>서울</v>
      </c>
    </row>
    <row r="1843" spans="1:12" ht="17.25" thickBot="1">
      <c r="A1843" s="3" t="s">
        <v>1920</v>
      </c>
      <c r="B1843" s="3" t="s">
        <v>78</v>
      </c>
      <c r="C1843" s="3"/>
      <c r="D1843" s="4" t="s">
        <v>2</v>
      </c>
      <c r="E1843" s="4" t="s">
        <v>3</v>
      </c>
      <c r="F1843" s="4">
        <v>2010</v>
      </c>
      <c r="G1843" s="8">
        <v>-0.2</v>
      </c>
      <c r="H1843" s="4" t="s">
        <v>3</v>
      </c>
      <c r="I1843" s="8">
        <v>-1.7</v>
      </c>
      <c r="J1843" s="3">
        <v>10629</v>
      </c>
      <c r="K1843" s="3">
        <v>50401</v>
      </c>
      <c r="L1843" s="17" t="str" cm="1">
        <f t="array" ref="L1843">_xlfn.IFS(MID(K1843,2,2)="01", "서울", MID(K1843,2,2)="02","경기",MID(K1843,2,2)="03","충청",MID(K1843,2,2)="04","충청",MID(K1843,2,2)="05","전라",MID(K1843,2,2)="06","전라",MID(K1843,2,2)="07","경북",MID(K1843,2,2)="08","경남",MID(K1843,2,2)="09","강원",MID(K1843,2,2)="10","제주",TRUE,"국외")</f>
        <v>충청</v>
      </c>
    </row>
    <row r="1844" spans="1:12" ht="17.25" thickBot="1">
      <c r="A1844" s="3" t="s">
        <v>1921</v>
      </c>
      <c r="B1844" s="3" t="s">
        <v>140</v>
      </c>
      <c r="C1844" s="3"/>
      <c r="D1844" s="4" t="s">
        <v>2</v>
      </c>
      <c r="E1844" s="4" t="s">
        <v>23</v>
      </c>
      <c r="F1844" s="4"/>
      <c r="G1844" s="9"/>
      <c r="H1844" s="4"/>
      <c r="I1844" s="9"/>
      <c r="J1844" s="3">
        <v>10313</v>
      </c>
      <c r="K1844" s="3">
        <v>50801</v>
      </c>
      <c r="L1844" s="17" t="str" cm="1">
        <f t="array" ref="L1844">_xlfn.IFS(MID(K1844,2,2)="01", "서울", MID(K1844,2,2)="02","경기",MID(K1844,2,2)="03","충청",MID(K1844,2,2)="04","충청",MID(K1844,2,2)="05","전라",MID(K1844,2,2)="06","전라",MID(K1844,2,2)="07","경북",MID(K1844,2,2)="08","경남",MID(K1844,2,2)="09","강원",MID(K1844,2,2)="10","제주",TRUE,"국외")</f>
        <v>경남</v>
      </c>
    </row>
    <row r="1845" spans="1:12" ht="17.25" thickBot="1">
      <c r="A1845" s="3" t="s">
        <v>339</v>
      </c>
      <c r="B1845" s="3" t="s">
        <v>112</v>
      </c>
      <c r="C1845" s="3"/>
      <c r="D1845" s="4" t="s">
        <v>2</v>
      </c>
      <c r="E1845" s="4" t="s">
        <v>9</v>
      </c>
      <c r="F1845" s="4">
        <v>2011</v>
      </c>
      <c r="G1845" s="9"/>
      <c r="H1845" s="4" t="s">
        <v>28</v>
      </c>
      <c r="I1845" s="8">
        <v>4.9000000000000004</v>
      </c>
      <c r="J1845" s="3">
        <v>10249</v>
      </c>
      <c r="K1845" s="3">
        <v>50113</v>
      </c>
      <c r="L1845" s="17" t="str" cm="1">
        <f t="array" ref="L1845">_xlfn.IFS(MID(K1845,2,2)="01", "서울", MID(K1845,2,2)="02","경기",MID(K1845,2,2)="03","충청",MID(K1845,2,2)="04","충청",MID(K1845,2,2)="05","전라",MID(K1845,2,2)="06","전라",MID(K1845,2,2)="07","경북",MID(K1845,2,2)="08","경남",MID(K1845,2,2)="09","강원",MID(K1845,2,2)="10","제주",TRUE,"국외")</f>
        <v>서울</v>
      </c>
    </row>
    <row r="1846" spans="1:12" ht="17.25" thickBot="1">
      <c r="A1846" s="3" t="s">
        <v>1922</v>
      </c>
      <c r="B1846" s="3" t="s">
        <v>40</v>
      </c>
      <c r="C1846" s="3"/>
      <c r="D1846" s="4" t="s">
        <v>2</v>
      </c>
      <c r="E1846" s="4" t="s">
        <v>26</v>
      </c>
      <c r="F1846" s="4">
        <v>2010</v>
      </c>
      <c r="G1846" s="8">
        <v>-0.8</v>
      </c>
      <c r="H1846" s="4" t="s">
        <v>28</v>
      </c>
      <c r="I1846" s="8">
        <v>0.7</v>
      </c>
      <c r="J1846" s="3">
        <v>10224</v>
      </c>
      <c r="K1846" s="3">
        <v>50108</v>
      </c>
      <c r="L1846" s="17" t="str" cm="1">
        <f t="array" ref="L1846">_xlfn.IFS(MID(K1846,2,2)="01", "서울", MID(K1846,2,2)="02","경기",MID(K1846,2,2)="03","충청",MID(K1846,2,2)="04","충청",MID(K1846,2,2)="05","전라",MID(K1846,2,2)="06","전라",MID(K1846,2,2)="07","경북",MID(K1846,2,2)="08","경남",MID(K1846,2,2)="09","강원",MID(K1846,2,2)="10","제주",TRUE,"국외")</f>
        <v>서울</v>
      </c>
    </row>
    <row r="1847" spans="1:12" ht="17.25" thickBot="1">
      <c r="A1847" s="3" t="s">
        <v>1905</v>
      </c>
      <c r="B1847" s="3" t="s">
        <v>66</v>
      </c>
      <c r="C1847" s="3" t="s">
        <v>218</v>
      </c>
      <c r="D1847" s="4" t="s">
        <v>2</v>
      </c>
      <c r="E1847" s="4" t="s">
        <v>607</v>
      </c>
      <c r="F1847" s="4">
        <v>2011</v>
      </c>
      <c r="G1847" s="9"/>
      <c r="H1847" s="4" t="s">
        <v>607</v>
      </c>
      <c r="I1847" s="8">
        <v>0.1</v>
      </c>
      <c r="J1847" s="3">
        <v>10079</v>
      </c>
      <c r="K1847" s="3">
        <v>50110</v>
      </c>
      <c r="L1847" s="17" t="str" cm="1">
        <f t="array" ref="L1847">_xlfn.IFS(MID(K1847,2,2)="01", "서울", MID(K1847,2,2)="02","경기",MID(K1847,2,2)="03","충청",MID(K1847,2,2)="04","충청",MID(K1847,2,2)="05","전라",MID(K1847,2,2)="06","전라",MID(K1847,2,2)="07","경북",MID(K1847,2,2)="08","경남",MID(K1847,2,2)="09","강원",MID(K1847,2,2)="10","제주",TRUE,"국외")</f>
        <v>서울</v>
      </c>
    </row>
    <row r="1848" spans="1:12" ht="17.25" thickBot="1">
      <c r="A1848" s="3" t="s">
        <v>1923</v>
      </c>
      <c r="B1848" s="3" t="s">
        <v>38</v>
      </c>
      <c r="C1848" s="3" t="s">
        <v>752</v>
      </c>
      <c r="D1848" s="4" t="s">
        <v>2</v>
      </c>
      <c r="E1848" s="4" t="s">
        <v>607</v>
      </c>
      <c r="F1848" s="4"/>
      <c r="G1848" s="9"/>
      <c r="H1848" s="4"/>
      <c r="I1848" s="9"/>
      <c r="J1848" s="3">
        <v>10712</v>
      </c>
      <c r="K1848" s="3">
        <v>50109</v>
      </c>
      <c r="L1848" s="17" t="str" cm="1">
        <f t="array" ref="L1848">_xlfn.IFS(MID(K1848,2,2)="01", "서울", MID(K1848,2,2)="02","경기",MID(K1848,2,2)="03","충청",MID(K1848,2,2)="04","충청",MID(K1848,2,2)="05","전라",MID(K1848,2,2)="06","전라",MID(K1848,2,2)="07","경북",MID(K1848,2,2)="08","경남",MID(K1848,2,2)="09","강원",MID(K1848,2,2)="10","제주",TRUE,"국외")</f>
        <v>서울</v>
      </c>
    </row>
    <row r="1849" spans="1:12" ht="17.25" thickBot="1">
      <c r="A1849" s="3" t="s">
        <v>1924</v>
      </c>
      <c r="B1849" s="3" t="s">
        <v>34</v>
      </c>
      <c r="C1849" s="3"/>
      <c r="D1849" s="4" t="s">
        <v>2</v>
      </c>
      <c r="E1849" s="4" t="s">
        <v>26</v>
      </c>
      <c r="F1849" s="4"/>
      <c r="G1849" s="9"/>
      <c r="H1849" s="4"/>
      <c r="I1849" s="9"/>
      <c r="J1849" s="3">
        <v>10199</v>
      </c>
      <c r="K1849" s="3">
        <v>50701</v>
      </c>
      <c r="L1849" s="17" t="str" cm="1">
        <f t="array" ref="L1849">_xlfn.IFS(MID(K1849,2,2)="01", "서울", MID(K1849,2,2)="02","경기",MID(K1849,2,2)="03","충청",MID(K1849,2,2)="04","충청",MID(K1849,2,2)="05","전라",MID(K1849,2,2)="06","전라",MID(K1849,2,2)="07","경북",MID(K1849,2,2)="08","경남",MID(K1849,2,2)="09","강원",MID(K1849,2,2)="10","제주",TRUE,"국외")</f>
        <v>경북</v>
      </c>
    </row>
    <row r="1850" spans="1:12" ht="17.25" thickBot="1">
      <c r="A1850" s="3" t="s">
        <v>1925</v>
      </c>
      <c r="B1850" s="3" t="s">
        <v>36</v>
      </c>
      <c r="C1850" s="3"/>
      <c r="D1850" s="4" t="s">
        <v>2</v>
      </c>
      <c r="E1850" s="4" t="s">
        <v>9</v>
      </c>
      <c r="F1850" s="4"/>
      <c r="G1850" s="9"/>
      <c r="H1850" s="4"/>
      <c r="I1850" s="9"/>
      <c r="J1850" s="3">
        <v>10270</v>
      </c>
      <c r="K1850" s="3">
        <v>50402</v>
      </c>
      <c r="L1850" s="17" t="str" cm="1">
        <f t="array" ref="L1850">_xlfn.IFS(MID(K1850,2,2)="01", "서울", MID(K1850,2,2)="02","경기",MID(K1850,2,2)="03","충청",MID(K1850,2,2)="04","충청",MID(K1850,2,2)="05","전라",MID(K1850,2,2)="06","전라",MID(K1850,2,2)="07","경북",MID(K1850,2,2)="08","경남",MID(K1850,2,2)="09","강원",MID(K1850,2,2)="10","제주",TRUE,"국외")</f>
        <v>충청</v>
      </c>
    </row>
    <row r="1851" spans="1:12" ht="17.25" thickBot="1">
      <c r="A1851" s="3" t="s">
        <v>1926</v>
      </c>
      <c r="B1851" s="3" t="s">
        <v>34</v>
      </c>
      <c r="C1851" s="3" t="s">
        <v>122</v>
      </c>
      <c r="D1851" s="4" t="s">
        <v>2</v>
      </c>
      <c r="E1851" s="4" t="s">
        <v>23</v>
      </c>
      <c r="F1851" s="4">
        <v>2013</v>
      </c>
      <c r="G1851" s="9"/>
      <c r="H1851" s="4" t="s">
        <v>23</v>
      </c>
      <c r="I1851" s="8">
        <v>1.1000000000000001</v>
      </c>
      <c r="J1851" s="3">
        <v>10324</v>
      </c>
      <c r="K1851" s="3">
        <v>50701</v>
      </c>
      <c r="L1851" s="17" t="str" cm="1">
        <f t="array" ref="L1851">_xlfn.IFS(MID(K1851,2,2)="01", "서울", MID(K1851,2,2)="02","경기",MID(K1851,2,2)="03","충청",MID(K1851,2,2)="04","충청",MID(K1851,2,2)="05","전라",MID(K1851,2,2)="06","전라",MID(K1851,2,2)="07","경북",MID(K1851,2,2)="08","경남",MID(K1851,2,2)="09","강원",MID(K1851,2,2)="10","제주",TRUE,"국외")</f>
        <v>경북</v>
      </c>
    </row>
    <row r="1852" spans="1:12" ht="17.25" thickBot="1">
      <c r="A1852" s="3" t="s">
        <v>1927</v>
      </c>
      <c r="B1852" s="3" t="s">
        <v>34</v>
      </c>
      <c r="C1852" s="3" t="s">
        <v>99</v>
      </c>
      <c r="D1852" s="4" t="s">
        <v>2</v>
      </c>
      <c r="E1852" s="4" t="s">
        <v>3</v>
      </c>
      <c r="F1852" s="4">
        <v>2010</v>
      </c>
      <c r="G1852" s="8">
        <v>-0.3</v>
      </c>
      <c r="H1852" s="4" t="s">
        <v>3</v>
      </c>
      <c r="I1852" s="8">
        <v>-0.9</v>
      </c>
      <c r="J1852" s="3">
        <v>10572</v>
      </c>
      <c r="K1852" s="3">
        <v>50701</v>
      </c>
      <c r="L1852" s="17" t="str" cm="1">
        <f t="array" ref="L1852">_xlfn.IFS(MID(K1852,2,2)="01", "서울", MID(K1852,2,2)="02","경기",MID(K1852,2,2)="03","충청",MID(K1852,2,2)="04","충청",MID(K1852,2,2)="05","전라",MID(K1852,2,2)="06","전라",MID(K1852,2,2)="07","경북",MID(K1852,2,2)="08","경남",MID(K1852,2,2)="09","강원",MID(K1852,2,2)="10","제주",TRUE,"국외")</f>
        <v>경북</v>
      </c>
    </row>
    <row r="1853" spans="1:12" ht="17.25" thickBot="1">
      <c r="A1853" s="3" t="s">
        <v>1928</v>
      </c>
      <c r="B1853" s="3" t="s">
        <v>66</v>
      </c>
      <c r="C1853" s="3" t="s">
        <v>208</v>
      </c>
      <c r="D1853" s="4" t="s">
        <v>2</v>
      </c>
      <c r="E1853" s="4" t="s">
        <v>6</v>
      </c>
      <c r="F1853" s="4">
        <v>2010</v>
      </c>
      <c r="G1853" s="8">
        <v>0</v>
      </c>
      <c r="H1853" s="4" t="s">
        <v>6</v>
      </c>
      <c r="I1853" s="8">
        <v>-0.2</v>
      </c>
      <c r="J1853" s="3">
        <v>10037</v>
      </c>
      <c r="K1853" s="3">
        <v>50110</v>
      </c>
      <c r="L1853" s="17" t="str" cm="1">
        <f t="array" ref="L1853">_xlfn.IFS(MID(K1853,2,2)="01", "서울", MID(K1853,2,2)="02","경기",MID(K1853,2,2)="03","충청",MID(K1853,2,2)="04","충청",MID(K1853,2,2)="05","전라",MID(K1853,2,2)="06","전라",MID(K1853,2,2)="07","경북",MID(K1853,2,2)="08","경남",MID(K1853,2,2)="09","강원",MID(K1853,2,2)="10","제주",TRUE,"국외")</f>
        <v>서울</v>
      </c>
    </row>
    <row r="1854" spans="1:12" ht="17.25" thickBot="1">
      <c r="A1854" s="3" t="s">
        <v>1929</v>
      </c>
      <c r="B1854" s="3" t="s">
        <v>5</v>
      </c>
      <c r="C1854" s="3"/>
      <c r="D1854" s="4" t="s">
        <v>2</v>
      </c>
      <c r="E1854" s="4" t="s">
        <v>906</v>
      </c>
      <c r="F1854" s="4">
        <v>2010</v>
      </c>
      <c r="G1854" s="8">
        <v>0.4</v>
      </c>
      <c r="H1854" s="4" t="s">
        <v>18</v>
      </c>
      <c r="I1854" s="8">
        <v>6.3</v>
      </c>
      <c r="J1854" s="3">
        <v>10437</v>
      </c>
      <c r="K1854" s="3">
        <v>50114</v>
      </c>
      <c r="L1854" s="17" t="str" cm="1">
        <f t="array" ref="L1854">_xlfn.IFS(MID(K1854,2,2)="01", "서울", MID(K1854,2,2)="02","경기",MID(K1854,2,2)="03","충청",MID(K1854,2,2)="04","충청",MID(K1854,2,2)="05","전라",MID(K1854,2,2)="06","전라",MID(K1854,2,2)="07","경북",MID(K1854,2,2)="08","경남",MID(K1854,2,2)="09","강원",MID(K1854,2,2)="10","제주",TRUE,"국외")</f>
        <v>서울</v>
      </c>
    </row>
    <row r="1855" spans="1:12" ht="17.25" thickBot="1">
      <c r="A1855" s="3" t="s">
        <v>1930</v>
      </c>
      <c r="B1855" s="3" t="s">
        <v>11</v>
      </c>
      <c r="C1855" s="3"/>
      <c r="D1855" s="4" t="s">
        <v>2</v>
      </c>
      <c r="E1855" s="4" t="s">
        <v>20</v>
      </c>
      <c r="F1855" s="4">
        <v>2012</v>
      </c>
      <c r="G1855" s="9"/>
      <c r="H1855" s="4"/>
      <c r="I1855" s="9"/>
      <c r="J1855" s="3">
        <v>10922</v>
      </c>
      <c r="K1855" s="3">
        <v>50802</v>
      </c>
      <c r="L1855" s="17" t="str" cm="1">
        <f t="array" ref="L1855">_xlfn.IFS(MID(K1855,2,2)="01", "서울", MID(K1855,2,2)="02","경기",MID(K1855,2,2)="03","충청",MID(K1855,2,2)="04","충청",MID(K1855,2,2)="05","전라",MID(K1855,2,2)="06","전라",MID(K1855,2,2)="07","경북",MID(K1855,2,2)="08","경남",MID(K1855,2,2)="09","강원",MID(K1855,2,2)="10","제주",TRUE,"국외")</f>
        <v>경남</v>
      </c>
    </row>
    <row r="1856" spans="1:12" ht="17.25" thickBot="1">
      <c r="A1856" s="3" t="s">
        <v>1931</v>
      </c>
      <c r="B1856" s="3" t="s">
        <v>5</v>
      </c>
      <c r="C1856" s="3" t="s">
        <v>133</v>
      </c>
      <c r="D1856" s="4" t="s">
        <v>2</v>
      </c>
      <c r="E1856" s="4" t="s">
        <v>20</v>
      </c>
      <c r="F1856" s="4">
        <v>2013</v>
      </c>
      <c r="G1856" s="9"/>
      <c r="H1856" s="4" t="s">
        <v>12</v>
      </c>
      <c r="I1856" s="8">
        <v>-1.8</v>
      </c>
      <c r="J1856" s="3">
        <v>11160</v>
      </c>
      <c r="K1856" s="3">
        <v>50114</v>
      </c>
      <c r="L1856" s="17" t="str" cm="1">
        <f t="array" ref="L1856">_xlfn.IFS(MID(K1856,2,2)="01", "서울", MID(K1856,2,2)="02","경기",MID(K1856,2,2)="03","충청",MID(K1856,2,2)="04","충청",MID(K1856,2,2)="05","전라",MID(K1856,2,2)="06","전라",MID(K1856,2,2)="07","경북",MID(K1856,2,2)="08","경남",MID(K1856,2,2)="09","강원",MID(K1856,2,2)="10","제주",TRUE,"국외")</f>
        <v>서울</v>
      </c>
    </row>
    <row r="1857" spans="1:12" ht="17.25" thickBot="1">
      <c r="A1857" s="3" t="s">
        <v>1932</v>
      </c>
      <c r="B1857" s="3" t="s">
        <v>63</v>
      </c>
      <c r="C1857" s="3" t="s">
        <v>329</v>
      </c>
      <c r="D1857" s="4" t="s">
        <v>2</v>
      </c>
      <c r="E1857" s="4" t="s">
        <v>906</v>
      </c>
      <c r="F1857" s="4">
        <v>2010</v>
      </c>
      <c r="G1857" s="8">
        <v>-0.1</v>
      </c>
      <c r="H1857" s="4" t="s">
        <v>12</v>
      </c>
      <c r="I1857" s="8">
        <v>-0.2</v>
      </c>
      <c r="J1857" s="3">
        <v>10403</v>
      </c>
      <c r="K1857" s="3">
        <v>50807</v>
      </c>
      <c r="L1857" s="17" t="str" cm="1">
        <f t="array" ref="L1857">_xlfn.IFS(MID(K1857,2,2)="01", "서울", MID(K1857,2,2)="02","경기",MID(K1857,2,2)="03","충청",MID(K1857,2,2)="04","충청",MID(K1857,2,2)="05","전라",MID(K1857,2,2)="06","전라",MID(K1857,2,2)="07","경북",MID(K1857,2,2)="08","경남",MID(K1857,2,2)="09","강원",MID(K1857,2,2)="10","제주",TRUE,"국외")</f>
        <v>경남</v>
      </c>
    </row>
    <row r="1858" spans="1:12" ht="17.25" thickBot="1">
      <c r="A1858" s="3" t="s">
        <v>1933</v>
      </c>
      <c r="B1858" s="3" t="s">
        <v>66</v>
      </c>
      <c r="C1858" s="3"/>
      <c r="D1858" s="4" t="s">
        <v>2</v>
      </c>
      <c r="E1858" s="4" t="s">
        <v>6</v>
      </c>
      <c r="F1858" s="4"/>
      <c r="G1858" s="9"/>
      <c r="H1858" s="4"/>
      <c r="I1858" s="9"/>
      <c r="J1858" s="3">
        <v>10019</v>
      </c>
      <c r="K1858" s="3">
        <v>50110</v>
      </c>
      <c r="L1858" s="17" t="str" cm="1">
        <f t="array" ref="L1858">_xlfn.IFS(MID(K1858,2,2)="01", "서울", MID(K1858,2,2)="02","경기",MID(K1858,2,2)="03","충청",MID(K1858,2,2)="04","충청",MID(K1858,2,2)="05","전라",MID(K1858,2,2)="06","전라",MID(K1858,2,2)="07","경북",MID(K1858,2,2)="08","경남",MID(K1858,2,2)="09","강원",MID(K1858,2,2)="10","제주",TRUE,"국외")</f>
        <v>서울</v>
      </c>
    </row>
    <row r="1859" spans="1:12" ht="17.25" thickBot="1">
      <c r="A1859" s="3" t="s">
        <v>1815</v>
      </c>
      <c r="B1859" s="3" t="s">
        <v>169</v>
      </c>
      <c r="C1859" s="3"/>
      <c r="D1859" s="4" t="s">
        <v>2</v>
      </c>
      <c r="E1859" s="4" t="s">
        <v>3</v>
      </c>
      <c r="F1859" s="4">
        <v>2012</v>
      </c>
      <c r="G1859" s="9"/>
      <c r="H1859" s="4" t="s">
        <v>3</v>
      </c>
      <c r="I1859" s="8">
        <v>11.4</v>
      </c>
      <c r="J1859" s="3">
        <v>10609</v>
      </c>
      <c r="K1859" s="3">
        <v>50606</v>
      </c>
      <c r="L1859" s="17" t="str" cm="1">
        <f t="array" ref="L1859">_xlfn.IFS(MID(K1859,2,2)="01", "서울", MID(K1859,2,2)="02","경기",MID(K1859,2,2)="03","충청",MID(K1859,2,2)="04","충청",MID(K1859,2,2)="05","전라",MID(K1859,2,2)="06","전라",MID(K1859,2,2)="07","경북",MID(K1859,2,2)="08","경남",MID(K1859,2,2)="09","강원",MID(K1859,2,2)="10","제주",TRUE,"국외")</f>
        <v>전라</v>
      </c>
    </row>
    <row r="1860" spans="1:12" ht="17.25" thickBot="1">
      <c r="A1860" s="3" t="s">
        <v>1915</v>
      </c>
      <c r="B1860" s="3" t="s">
        <v>38</v>
      </c>
      <c r="C1860" s="3" t="s">
        <v>221</v>
      </c>
      <c r="D1860" s="4" t="s">
        <v>2</v>
      </c>
      <c r="E1860" s="4" t="s">
        <v>23</v>
      </c>
      <c r="F1860" s="4"/>
      <c r="G1860" s="9"/>
      <c r="H1860" s="4"/>
      <c r="I1860" s="9"/>
      <c r="J1860" s="3">
        <v>10356</v>
      </c>
      <c r="K1860" s="3">
        <v>50109</v>
      </c>
      <c r="L1860" s="17" t="str" cm="1">
        <f t="array" ref="L1860">_xlfn.IFS(MID(K1860,2,2)="01", "서울", MID(K1860,2,2)="02","경기",MID(K1860,2,2)="03","충청",MID(K1860,2,2)="04","충청",MID(K1860,2,2)="05","전라",MID(K1860,2,2)="06","전라",MID(K1860,2,2)="07","경북",MID(K1860,2,2)="08","경남",MID(K1860,2,2)="09","강원",MID(K1860,2,2)="10","제주",TRUE,"국외")</f>
        <v>서울</v>
      </c>
    </row>
    <row r="1861" spans="1:12" ht="17.25" thickBot="1">
      <c r="A1861" s="3" t="s">
        <v>1934</v>
      </c>
      <c r="B1861" s="3" t="s">
        <v>38</v>
      </c>
      <c r="C1861" s="3" t="s">
        <v>211</v>
      </c>
      <c r="D1861" s="4" t="s">
        <v>2</v>
      </c>
      <c r="E1861" s="4" t="s">
        <v>9</v>
      </c>
      <c r="F1861" s="4">
        <v>2010</v>
      </c>
      <c r="G1861" s="8">
        <v>0</v>
      </c>
      <c r="H1861" s="4" t="s">
        <v>9</v>
      </c>
      <c r="I1861" s="8">
        <v>-0.1</v>
      </c>
      <c r="J1861" s="3">
        <v>10233</v>
      </c>
      <c r="K1861" s="3">
        <v>50109</v>
      </c>
      <c r="L1861" s="17" t="str" cm="1">
        <f t="array" ref="L1861">_xlfn.IFS(MID(K1861,2,2)="01", "서울", MID(K1861,2,2)="02","경기",MID(K1861,2,2)="03","충청",MID(K1861,2,2)="04","충청",MID(K1861,2,2)="05","전라",MID(K1861,2,2)="06","전라",MID(K1861,2,2)="07","경북",MID(K1861,2,2)="08","경남",MID(K1861,2,2)="09","강원",MID(K1861,2,2)="10","제주",TRUE,"국외")</f>
        <v>서울</v>
      </c>
    </row>
    <row r="1862" spans="1:12" ht="17.25" thickBot="1">
      <c r="A1862" s="3" t="s">
        <v>1935</v>
      </c>
      <c r="B1862" s="3" t="s">
        <v>11</v>
      </c>
      <c r="C1862" s="3"/>
      <c r="D1862" s="4" t="s">
        <v>2</v>
      </c>
      <c r="E1862" s="4" t="s">
        <v>26</v>
      </c>
      <c r="F1862" s="4"/>
      <c r="G1862" s="9"/>
      <c r="H1862" s="4"/>
      <c r="I1862" s="9"/>
      <c r="J1862" s="3">
        <v>10185</v>
      </c>
      <c r="K1862" s="3">
        <v>50802</v>
      </c>
      <c r="L1862" s="17" t="str" cm="1">
        <f t="array" ref="L1862">_xlfn.IFS(MID(K1862,2,2)="01", "서울", MID(K1862,2,2)="02","경기",MID(K1862,2,2)="03","충청",MID(K1862,2,2)="04","충청",MID(K1862,2,2)="05","전라",MID(K1862,2,2)="06","전라",MID(K1862,2,2)="07","경북",MID(K1862,2,2)="08","경남",MID(K1862,2,2)="09","강원",MID(K1862,2,2)="10","제주",TRUE,"국외")</f>
        <v>경남</v>
      </c>
    </row>
    <row r="1863" spans="1:12" ht="17.25" thickBot="1">
      <c r="A1863" s="3" t="s">
        <v>1936</v>
      </c>
      <c r="B1863" s="3" t="s">
        <v>40</v>
      </c>
      <c r="C1863" s="3" t="s">
        <v>174</v>
      </c>
      <c r="D1863" s="4" t="s">
        <v>2</v>
      </c>
      <c r="E1863" s="4" t="s">
        <v>607</v>
      </c>
      <c r="F1863" s="4">
        <v>2010</v>
      </c>
      <c r="G1863" s="8">
        <v>-0.7</v>
      </c>
      <c r="H1863" s="4" t="s">
        <v>607</v>
      </c>
      <c r="I1863" s="8">
        <v>1.2</v>
      </c>
      <c r="J1863" s="3">
        <v>10104</v>
      </c>
      <c r="K1863" s="3">
        <v>50108</v>
      </c>
      <c r="L1863" s="17" t="str" cm="1">
        <f t="array" ref="L1863">_xlfn.IFS(MID(K1863,2,2)="01", "서울", MID(K1863,2,2)="02","경기",MID(K1863,2,2)="03","충청",MID(K1863,2,2)="04","충청",MID(K1863,2,2)="05","전라",MID(K1863,2,2)="06","전라",MID(K1863,2,2)="07","경북",MID(K1863,2,2)="08","경남",MID(K1863,2,2)="09","강원",MID(K1863,2,2)="10","제주",TRUE,"국외")</f>
        <v>서울</v>
      </c>
    </row>
    <row r="1864" spans="1:12" ht="17.25" thickBot="1">
      <c r="A1864" s="3" t="s">
        <v>1937</v>
      </c>
      <c r="B1864" s="3" t="s">
        <v>52</v>
      </c>
      <c r="C1864" s="3" t="s">
        <v>329</v>
      </c>
      <c r="D1864" s="4" t="s">
        <v>2</v>
      </c>
      <c r="E1864" s="4" t="s">
        <v>607</v>
      </c>
      <c r="F1864" s="4">
        <v>2014</v>
      </c>
      <c r="G1864" s="9"/>
      <c r="H1864" s="4" t="s">
        <v>607</v>
      </c>
      <c r="I1864" s="8">
        <v>0.1</v>
      </c>
      <c r="J1864" s="3">
        <v>10146</v>
      </c>
      <c r="K1864" s="3">
        <v>50803</v>
      </c>
      <c r="L1864" s="17" t="str" cm="1">
        <f t="array" ref="L1864">_xlfn.IFS(MID(K1864,2,2)="01", "서울", MID(K1864,2,2)="02","경기",MID(K1864,2,2)="03","충청",MID(K1864,2,2)="04","충청",MID(K1864,2,2)="05","전라",MID(K1864,2,2)="06","전라",MID(K1864,2,2)="07","경북",MID(K1864,2,2)="08","경남",MID(K1864,2,2)="09","강원",MID(K1864,2,2)="10","제주",TRUE,"국외")</f>
        <v>경남</v>
      </c>
    </row>
    <row r="1865" spans="1:12" ht="17.25" thickBot="1">
      <c r="A1865" s="3" t="s">
        <v>1938</v>
      </c>
      <c r="B1865" s="3" t="s">
        <v>40</v>
      </c>
      <c r="C1865" s="3" t="s">
        <v>174</v>
      </c>
      <c r="D1865" s="4" t="s">
        <v>2</v>
      </c>
      <c r="E1865" s="4" t="s">
        <v>9</v>
      </c>
      <c r="F1865" s="4"/>
      <c r="G1865" s="9"/>
      <c r="H1865" s="4"/>
      <c r="I1865" s="9"/>
      <c r="J1865" s="3">
        <v>10308</v>
      </c>
      <c r="K1865" s="3">
        <v>50108</v>
      </c>
      <c r="L1865" s="17" t="str" cm="1">
        <f t="array" ref="L1865">_xlfn.IFS(MID(K1865,2,2)="01", "서울", MID(K1865,2,2)="02","경기",MID(K1865,2,2)="03","충청",MID(K1865,2,2)="04","충청",MID(K1865,2,2)="05","전라",MID(K1865,2,2)="06","전라",MID(K1865,2,2)="07","경북",MID(K1865,2,2)="08","경남",MID(K1865,2,2)="09","강원",MID(K1865,2,2)="10","제주",TRUE,"국외")</f>
        <v>서울</v>
      </c>
    </row>
    <row r="1866" spans="1:12" ht="17.25" thickBot="1">
      <c r="A1866" s="3" t="s">
        <v>1939</v>
      </c>
      <c r="B1866" s="3" t="s">
        <v>14</v>
      </c>
      <c r="C1866" s="3" t="s">
        <v>538</v>
      </c>
      <c r="D1866" s="4" t="s">
        <v>2</v>
      </c>
      <c r="E1866" s="4" t="s">
        <v>23</v>
      </c>
      <c r="F1866" s="4"/>
      <c r="G1866" s="9"/>
      <c r="H1866" s="4"/>
      <c r="I1866" s="9"/>
      <c r="J1866" s="3">
        <v>10338</v>
      </c>
      <c r="K1866" s="3">
        <v>50703</v>
      </c>
      <c r="L1866" s="17" t="str" cm="1">
        <f t="array" ref="L1866">_xlfn.IFS(MID(K1866,2,2)="01", "서울", MID(K1866,2,2)="02","경기",MID(K1866,2,2)="03","충청",MID(K1866,2,2)="04","충청",MID(K1866,2,2)="05","전라",MID(K1866,2,2)="06","전라",MID(K1866,2,2)="07","경북",MID(K1866,2,2)="08","경남",MID(K1866,2,2)="09","강원",MID(K1866,2,2)="10","제주",TRUE,"국외")</f>
        <v>경북</v>
      </c>
    </row>
    <row r="1867" spans="1:12" ht="17.25" thickBot="1">
      <c r="A1867" s="3" t="s">
        <v>1940</v>
      </c>
      <c r="B1867" s="3" t="s">
        <v>1</v>
      </c>
      <c r="C1867" s="3"/>
      <c r="D1867" s="4" t="s">
        <v>2</v>
      </c>
      <c r="E1867" s="4" t="s">
        <v>3</v>
      </c>
      <c r="F1867" s="4"/>
      <c r="G1867" s="9"/>
      <c r="H1867" s="4"/>
      <c r="I1867" s="9"/>
      <c r="J1867" s="3">
        <v>10549</v>
      </c>
      <c r="K1867" s="3">
        <v>50107</v>
      </c>
      <c r="L1867" s="17" t="str" cm="1">
        <f t="array" ref="L1867">_xlfn.IFS(MID(K1867,2,2)="01", "서울", MID(K1867,2,2)="02","경기",MID(K1867,2,2)="03","충청",MID(K1867,2,2)="04","충청",MID(K1867,2,2)="05","전라",MID(K1867,2,2)="06","전라",MID(K1867,2,2)="07","경북",MID(K1867,2,2)="08","경남",MID(K1867,2,2)="09","강원",MID(K1867,2,2)="10","제주",TRUE,"국외")</f>
        <v>서울</v>
      </c>
    </row>
    <row r="1868" spans="1:12" ht="17.25" thickBot="1">
      <c r="A1868" s="3" t="s">
        <v>1366</v>
      </c>
      <c r="B1868" s="3" t="s">
        <v>14</v>
      </c>
      <c r="C1868" s="3" t="s">
        <v>538</v>
      </c>
      <c r="D1868" s="4" t="s">
        <v>2</v>
      </c>
      <c r="E1868" s="4" t="s">
        <v>6</v>
      </c>
      <c r="F1868" s="4">
        <v>2011</v>
      </c>
      <c r="G1868" s="9"/>
      <c r="H1868" s="4" t="s">
        <v>6</v>
      </c>
      <c r="I1868" s="8">
        <v>-0.3</v>
      </c>
      <c r="J1868" s="3">
        <v>10002</v>
      </c>
      <c r="K1868" s="3">
        <v>50703</v>
      </c>
      <c r="L1868" s="17" t="str" cm="1">
        <f t="array" ref="L1868">_xlfn.IFS(MID(K1868,2,2)="01", "서울", MID(K1868,2,2)="02","경기",MID(K1868,2,2)="03","충청",MID(K1868,2,2)="04","충청",MID(K1868,2,2)="05","전라",MID(K1868,2,2)="06","전라",MID(K1868,2,2)="07","경북",MID(K1868,2,2)="08","경남",MID(K1868,2,2)="09","강원",MID(K1868,2,2)="10","제주",TRUE,"국외")</f>
        <v>경북</v>
      </c>
    </row>
    <row r="1869" spans="1:12" ht="17.25" thickBot="1">
      <c r="A1869" s="3" t="s">
        <v>1941</v>
      </c>
      <c r="B1869" s="3" t="s">
        <v>38</v>
      </c>
      <c r="C1869" s="3" t="s">
        <v>1942</v>
      </c>
      <c r="D1869" s="4" t="s">
        <v>2</v>
      </c>
      <c r="E1869" s="4" t="s">
        <v>906</v>
      </c>
      <c r="F1869" s="4"/>
      <c r="G1869" s="9"/>
      <c r="H1869" s="4"/>
      <c r="I1869" s="9"/>
      <c r="J1869" s="3">
        <v>10760</v>
      </c>
      <c r="K1869" s="3">
        <v>50109</v>
      </c>
      <c r="L1869" s="17" t="str" cm="1">
        <f t="array" ref="L1869">_xlfn.IFS(MID(K1869,2,2)="01", "서울", MID(K1869,2,2)="02","경기",MID(K1869,2,2)="03","충청",MID(K1869,2,2)="04","충청",MID(K1869,2,2)="05","전라",MID(K1869,2,2)="06","전라",MID(K1869,2,2)="07","경북",MID(K1869,2,2)="08","경남",MID(K1869,2,2)="09","강원",MID(K1869,2,2)="10","제주",TRUE,"국외")</f>
        <v>서울</v>
      </c>
    </row>
    <row r="1870" spans="1:12" ht="17.25" thickBot="1">
      <c r="A1870" s="3" t="s">
        <v>1943</v>
      </c>
      <c r="B1870" s="3" t="s">
        <v>93</v>
      </c>
      <c r="C1870" s="3"/>
      <c r="D1870" s="4" t="s">
        <v>2</v>
      </c>
      <c r="E1870" s="4" t="s">
        <v>20</v>
      </c>
      <c r="F1870" s="4">
        <v>2018</v>
      </c>
      <c r="G1870" s="9"/>
      <c r="H1870" s="4" t="s">
        <v>3</v>
      </c>
      <c r="I1870" s="8">
        <v>0</v>
      </c>
      <c r="J1870" s="3">
        <v>10924</v>
      </c>
      <c r="K1870" s="3">
        <v>50805</v>
      </c>
      <c r="L1870" s="17" t="str" cm="1">
        <f t="array" ref="L1870">_xlfn.IFS(MID(K1870,2,2)="01", "서울", MID(K1870,2,2)="02","경기",MID(K1870,2,2)="03","충청",MID(K1870,2,2)="04","충청",MID(K1870,2,2)="05","전라",MID(K1870,2,2)="06","전라",MID(K1870,2,2)="07","경북",MID(K1870,2,2)="08","경남",MID(K1870,2,2)="09","강원",MID(K1870,2,2)="10","제주",TRUE,"국외")</f>
        <v>경남</v>
      </c>
    </row>
    <row r="1871" spans="1:12" ht="17.25" thickBot="1">
      <c r="A1871" s="3" t="s">
        <v>1944</v>
      </c>
      <c r="B1871" s="3" t="s">
        <v>14</v>
      </c>
      <c r="C1871" s="3"/>
      <c r="D1871" s="4" t="s">
        <v>2</v>
      </c>
      <c r="E1871" s="4" t="s">
        <v>20</v>
      </c>
      <c r="F1871" s="4"/>
      <c r="G1871" s="9"/>
      <c r="H1871" s="4"/>
      <c r="I1871" s="9"/>
      <c r="J1871" s="3">
        <v>10757</v>
      </c>
      <c r="K1871" s="3">
        <v>50703</v>
      </c>
      <c r="L1871" s="17" t="str" cm="1">
        <f t="array" ref="L1871">_xlfn.IFS(MID(K1871,2,2)="01", "서울", MID(K1871,2,2)="02","경기",MID(K1871,2,2)="03","충청",MID(K1871,2,2)="04","충청",MID(K1871,2,2)="05","전라",MID(K1871,2,2)="06","전라",MID(K1871,2,2)="07","경북",MID(K1871,2,2)="08","경남",MID(K1871,2,2)="09","강원",MID(K1871,2,2)="10","제주",TRUE,"국외")</f>
        <v>경북</v>
      </c>
    </row>
    <row r="1872" spans="1:12" ht="17.25" thickBot="1">
      <c r="A1872" s="3" t="s">
        <v>1945</v>
      </c>
      <c r="B1872" s="3" t="s">
        <v>68</v>
      </c>
      <c r="C1872" s="3" t="s">
        <v>739</v>
      </c>
      <c r="D1872" s="4" t="s">
        <v>2</v>
      </c>
      <c r="E1872" s="4" t="s">
        <v>906</v>
      </c>
      <c r="F1872" s="4">
        <v>2011</v>
      </c>
      <c r="G1872" s="9"/>
      <c r="H1872" s="4" t="s">
        <v>28</v>
      </c>
      <c r="I1872" s="8">
        <v>-1.7</v>
      </c>
      <c r="J1872" s="3">
        <v>10391</v>
      </c>
      <c r="K1872" s="3">
        <v>50101</v>
      </c>
      <c r="L1872" s="17" t="str" cm="1">
        <f t="array" ref="L1872">_xlfn.IFS(MID(K1872,2,2)="01", "서울", MID(K1872,2,2)="02","경기",MID(K1872,2,2)="03","충청",MID(K1872,2,2)="04","충청",MID(K1872,2,2)="05","전라",MID(K1872,2,2)="06","전라",MID(K1872,2,2)="07","경북",MID(K1872,2,2)="08","경남",MID(K1872,2,2)="09","강원",MID(K1872,2,2)="10","제주",TRUE,"국외")</f>
        <v>서울</v>
      </c>
    </row>
    <row r="1873" spans="1:12" ht="17.25" thickBot="1">
      <c r="A1873" s="3" t="s">
        <v>1946</v>
      </c>
      <c r="B1873" s="3" t="s">
        <v>93</v>
      </c>
      <c r="C1873" s="3" t="s">
        <v>45</v>
      </c>
      <c r="D1873" s="4" t="s">
        <v>2</v>
      </c>
      <c r="E1873" s="4" t="s">
        <v>6</v>
      </c>
      <c r="F1873" s="4">
        <v>2010</v>
      </c>
      <c r="G1873" s="8">
        <v>-0.2</v>
      </c>
      <c r="H1873" s="4" t="s">
        <v>6</v>
      </c>
      <c r="I1873" s="8">
        <v>-1.4</v>
      </c>
      <c r="J1873" s="3">
        <v>10027</v>
      </c>
      <c r="K1873" s="3">
        <v>50805</v>
      </c>
      <c r="L1873" s="17" t="str" cm="1">
        <f t="array" ref="L1873">_xlfn.IFS(MID(K1873,2,2)="01", "서울", MID(K1873,2,2)="02","경기",MID(K1873,2,2)="03","충청",MID(K1873,2,2)="04","충청",MID(K1873,2,2)="05","전라",MID(K1873,2,2)="06","전라",MID(K1873,2,2)="07","경북",MID(K1873,2,2)="08","경남",MID(K1873,2,2)="09","강원",MID(K1873,2,2)="10","제주",TRUE,"국외")</f>
        <v>경남</v>
      </c>
    </row>
    <row r="1874" spans="1:12" ht="17.25" thickBot="1">
      <c r="A1874" s="3" t="s">
        <v>1947</v>
      </c>
      <c r="B1874" s="3" t="s">
        <v>241</v>
      </c>
      <c r="C1874" s="3"/>
      <c r="D1874" s="4" t="s">
        <v>2</v>
      </c>
      <c r="E1874" s="4" t="s">
        <v>3</v>
      </c>
      <c r="F1874" s="4">
        <v>2011</v>
      </c>
      <c r="G1874" s="9"/>
      <c r="H1874" s="4" t="s">
        <v>3</v>
      </c>
      <c r="I1874" s="8">
        <v>0.2</v>
      </c>
      <c r="J1874" s="3">
        <v>10583</v>
      </c>
      <c r="K1874" s="3">
        <v>50202</v>
      </c>
      <c r="L1874" s="17" t="str" cm="1">
        <f t="array" ref="L1874">_xlfn.IFS(MID(K1874,2,2)="01", "서울", MID(K1874,2,2)="02","경기",MID(K1874,2,2)="03","충청",MID(K1874,2,2)="04","충청",MID(K1874,2,2)="05","전라",MID(K1874,2,2)="06","전라",MID(K1874,2,2)="07","경북",MID(K1874,2,2)="08","경남",MID(K1874,2,2)="09","강원",MID(K1874,2,2)="10","제주",TRUE,"국외")</f>
        <v>경기</v>
      </c>
    </row>
    <row r="1875" spans="1:12" ht="17.25" thickBot="1">
      <c r="A1875" s="3" t="s">
        <v>1948</v>
      </c>
      <c r="B1875" s="3" t="s">
        <v>25</v>
      </c>
      <c r="C1875" s="3" t="s">
        <v>1347</v>
      </c>
      <c r="D1875" s="4" t="s">
        <v>2</v>
      </c>
      <c r="E1875" s="4" t="s">
        <v>23</v>
      </c>
      <c r="F1875" s="4">
        <v>2011</v>
      </c>
      <c r="G1875" s="9"/>
      <c r="H1875" s="4" t="s">
        <v>23</v>
      </c>
      <c r="I1875" s="8">
        <v>0.7</v>
      </c>
      <c r="J1875" s="3">
        <v>10369</v>
      </c>
      <c r="K1875" s="3">
        <v>50403</v>
      </c>
      <c r="L1875" s="17" t="str" cm="1">
        <f t="array" ref="L1875">_xlfn.IFS(MID(K1875,2,2)="01", "서울", MID(K1875,2,2)="02","경기",MID(K1875,2,2)="03","충청",MID(K1875,2,2)="04","충청",MID(K1875,2,2)="05","전라",MID(K1875,2,2)="06","전라",MID(K1875,2,2)="07","경북",MID(K1875,2,2)="08","경남",MID(K1875,2,2)="09","강원",MID(K1875,2,2)="10","제주",TRUE,"국외")</f>
        <v>충청</v>
      </c>
    </row>
    <row r="1876" spans="1:12" ht="17.25" thickBot="1">
      <c r="A1876" s="3" t="s">
        <v>1949</v>
      </c>
      <c r="B1876" s="3" t="s">
        <v>1950</v>
      </c>
      <c r="C1876" s="3" t="s">
        <v>1951</v>
      </c>
      <c r="D1876" s="4" t="s">
        <v>2</v>
      </c>
      <c r="E1876" s="4" t="s">
        <v>607</v>
      </c>
      <c r="F1876" s="4"/>
      <c r="G1876" s="9"/>
      <c r="H1876" s="4"/>
      <c r="I1876" s="9"/>
      <c r="J1876" s="3">
        <v>10801</v>
      </c>
      <c r="K1876" s="3">
        <v>50115</v>
      </c>
      <c r="L1876" s="17" t="str" cm="1">
        <f t="array" ref="L1876">_xlfn.IFS(MID(K1876,2,2)="01", "서울", MID(K1876,2,2)="02","경기",MID(K1876,2,2)="03","충청",MID(K1876,2,2)="04","충청",MID(K1876,2,2)="05","전라",MID(K1876,2,2)="06","전라",MID(K1876,2,2)="07","경북",MID(K1876,2,2)="08","경남",MID(K1876,2,2)="09","강원",MID(K1876,2,2)="10","제주",TRUE,"국외")</f>
        <v>서울</v>
      </c>
    </row>
    <row r="1877" spans="1:12" ht="17.25" thickBot="1">
      <c r="A1877" s="3" t="s">
        <v>1952</v>
      </c>
      <c r="B1877" s="3" t="s">
        <v>17</v>
      </c>
      <c r="C1877" s="3" t="s">
        <v>1856</v>
      </c>
      <c r="D1877" s="4" t="s">
        <v>2</v>
      </c>
      <c r="E1877" s="4" t="s">
        <v>607</v>
      </c>
      <c r="F1877" s="4">
        <v>2013</v>
      </c>
      <c r="G1877" s="9"/>
      <c r="H1877" s="4" t="s">
        <v>607</v>
      </c>
      <c r="I1877" s="8">
        <v>0.1</v>
      </c>
      <c r="J1877" s="3">
        <v>10122</v>
      </c>
      <c r="K1877" s="3">
        <v>50903</v>
      </c>
      <c r="L1877" s="17" t="str" cm="1">
        <f t="array" ref="L1877">_xlfn.IFS(MID(K1877,2,2)="01", "서울", MID(K1877,2,2)="02","경기",MID(K1877,2,2)="03","충청",MID(K1877,2,2)="04","충청",MID(K1877,2,2)="05","전라",MID(K1877,2,2)="06","전라",MID(K1877,2,2)="07","경북",MID(K1877,2,2)="08","경남",MID(K1877,2,2)="09","강원",MID(K1877,2,2)="10","제주",TRUE,"국외")</f>
        <v>강원</v>
      </c>
    </row>
    <row r="1878" spans="1:12" ht="17.25" thickBot="1">
      <c r="A1878" s="3" t="s">
        <v>1953</v>
      </c>
      <c r="B1878" s="3" t="s">
        <v>140</v>
      </c>
      <c r="C1878" s="3"/>
      <c r="D1878" s="4" t="s">
        <v>2</v>
      </c>
      <c r="E1878" s="4" t="s">
        <v>23</v>
      </c>
      <c r="F1878" s="4"/>
      <c r="G1878" s="9"/>
      <c r="H1878" s="4"/>
      <c r="I1878" s="9"/>
      <c r="J1878" s="3">
        <v>10352</v>
      </c>
      <c r="K1878" s="3">
        <v>50801</v>
      </c>
      <c r="L1878" s="17" t="str" cm="1">
        <f t="array" ref="L1878">_xlfn.IFS(MID(K1878,2,2)="01", "서울", MID(K1878,2,2)="02","경기",MID(K1878,2,2)="03","충청",MID(K1878,2,2)="04","충청",MID(K1878,2,2)="05","전라",MID(K1878,2,2)="06","전라",MID(K1878,2,2)="07","경북",MID(K1878,2,2)="08","경남",MID(K1878,2,2)="09","강원",MID(K1878,2,2)="10","제주",TRUE,"국외")</f>
        <v>경남</v>
      </c>
    </row>
    <row r="1879" spans="1:12" ht="17.25" thickBot="1">
      <c r="A1879" s="3" t="s">
        <v>781</v>
      </c>
      <c r="B1879" s="3" t="s">
        <v>5</v>
      </c>
      <c r="C1879" s="3"/>
      <c r="D1879" s="4" t="s">
        <v>2</v>
      </c>
      <c r="E1879" s="4" t="s">
        <v>6</v>
      </c>
      <c r="F1879" s="4">
        <v>2012</v>
      </c>
      <c r="G1879" s="9"/>
      <c r="H1879" s="4" t="s">
        <v>6</v>
      </c>
      <c r="I1879" s="8">
        <v>-0.3</v>
      </c>
      <c r="J1879" s="3">
        <v>10065</v>
      </c>
      <c r="K1879" s="3">
        <v>50114</v>
      </c>
      <c r="L1879" s="17" t="str" cm="1">
        <f t="array" ref="L1879">_xlfn.IFS(MID(K1879,2,2)="01", "서울", MID(K1879,2,2)="02","경기",MID(K1879,2,2)="03","충청",MID(K1879,2,2)="04","충청",MID(K1879,2,2)="05","전라",MID(K1879,2,2)="06","전라",MID(K1879,2,2)="07","경북",MID(K1879,2,2)="08","경남",MID(K1879,2,2)="09","강원",MID(K1879,2,2)="10","제주",TRUE,"국외")</f>
        <v>서울</v>
      </c>
    </row>
    <row r="1880" spans="1:12" ht="17.25" thickBot="1">
      <c r="A1880" s="3" t="s">
        <v>1954</v>
      </c>
      <c r="B1880" s="3" t="s">
        <v>63</v>
      </c>
      <c r="C1880" s="3" t="s">
        <v>90</v>
      </c>
      <c r="D1880" s="4" t="s">
        <v>2</v>
      </c>
      <c r="E1880" s="4" t="s">
        <v>906</v>
      </c>
      <c r="F1880" s="4"/>
      <c r="G1880" s="9"/>
      <c r="H1880" s="4"/>
      <c r="I1880" s="9"/>
      <c r="J1880" s="3">
        <v>10415</v>
      </c>
      <c r="K1880" s="3">
        <v>50807</v>
      </c>
      <c r="L1880" s="17" t="str" cm="1">
        <f t="array" ref="L1880">_xlfn.IFS(MID(K1880,2,2)="01", "서울", MID(K1880,2,2)="02","경기",MID(K1880,2,2)="03","충청",MID(K1880,2,2)="04","충청",MID(K1880,2,2)="05","전라",MID(K1880,2,2)="06","전라",MID(K1880,2,2)="07","경북",MID(K1880,2,2)="08","경남",MID(K1880,2,2)="09","강원",MID(K1880,2,2)="10","제주",TRUE,"국외")</f>
        <v>경남</v>
      </c>
    </row>
    <row r="1881" spans="1:12" ht="17.25" thickBot="1">
      <c r="A1881" s="3" t="s">
        <v>1955</v>
      </c>
      <c r="B1881" s="3" t="s">
        <v>101</v>
      </c>
      <c r="C1881" s="3"/>
      <c r="D1881" s="4" t="s">
        <v>2</v>
      </c>
      <c r="E1881" s="4" t="s">
        <v>20</v>
      </c>
      <c r="F1881" s="4">
        <v>2016</v>
      </c>
      <c r="G1881" s="9"/>
      <c r="H1881" s="4" t="s">
        <v>20</v>
      </c>
      <c r="I1881" s="8">
        <v>0.1</v>
      </c>
      <c r="J1881" s="3">
        <v>10923</v>
      </c>
      <c r="K1881" s="3">
        <v>50207</v>
      </c>
      <c r="L1881" s="17" t="str" cm="1">
        <f t="array" ref="L1881">_xlfn.IFS(MID(K1881,2,2)="01", "서울", MID(K1881,2,2)="02","경기",MID(K1881,2,2)="03","충청",MID(K1881,2,2)="04","충청",MID(K1881,2,2)="05","전라",MID(K1881,2,2)="06","전라",MID(K1881,2,2)="07","경북",MID(K1881,2,2)="08","경남",MID(K1881,2,2)="09","강원",MID(K1881,2,2)="10","제주",TRUE,"국외")</f>
        <v>경기</v>
      </c>
    </row>
    <row r="1882" spans="1:12" ht="17.25" thickBot="1">
      <c r="A1882" s="3" t="s">
        <v>1956</v>
      </c>
      <c r="B1882" s="3" t="s">
        <v>52</v>
      </c>
      <c r="C1882" s="3" t="s">
        <v>1479</v>
      </c>
      <c r="D1882" s="4" t="s">
        <v>2</v>
      </c>
      <c r="E1882" s="4" t="s">
        <v>23</v>
      </c>
      <c r="F1882" s="4">
        <v>2014</v>
      </c>
      <c r="G1882" s="9"/>
      <c r="H1882" s="4" t="s">
        <v>23</v>
      </c>
      <c r="I1882" s="8">
        <v>-0.2</v>
      </c>
      <c r="J1882" s="3">
        <v>10335</v>
      </c>
      <c r="K1882" s="3">
        <v>50803</v>
      </c>
      <c r="L1882" s="17" t="str" cm="1">
        <f t="array" ref="L1882">_xlfn.IFS(MID(K1882,2,2)="01", "서울", MID(K1882,2,2)="02","경기",MID(K1882,2,2)="03","충청",MID(K1882,2,2)="04","충청",MID(K1882,2,2)="05","전라",MID(K1882,2,2)="06","전라",MID(K1882,2,2)="07","경북",MID(K1882,2,2)="08","경남",MID(K1882,2,2)="09","강원",MID(K1882,2,2)="10","제주",TRUE,"국외")</f>
        <v>경남</v>
      </c>
    </row>
    <row r="1883" spans="1:12" ht="17.25" thickBot="1">
      <c r="A1883" s="3" t="s">
        <v>507</v>
      </c>
      <c r="B1883" s="3" t="s">
        <v>1497</v>
      </c>
      <c r="C1883" s="3" t="s">
        <v>1891</v>
      </c>
      <c r="D1883" s="4" t="s">
        <v>2</v>
      </c>
      <c r="E1883" s="4"/>
      <c r="F1883" s="4">
        <v>2010</v>
      </c>
      <c r="G1883" s="8">
        <v>-0.4</v>
      </c>
      <c r="H1883" s="4" t="s">
        <v>20</v>
      </c>
      <c r="I1883" s="8">
        <v>1.5</v>
      </c>
      <c r="J1883" s="3">
        <v>10747</v>
      </c>
      <c r="K1883" s="3">
        <v>50112</v>
      </c>
      <c r="L1883" s="17" t="str" cm="1">
        <f t="array" ref="L1883">_xlfn.IFS(MID(K1883,2,2)="01", "서울", MID(K1883,2,2)="02","경기",MID(K1883,2,2)="03","충청",MID(K1883,2,2)="04","충청",MID(K1883,2,2)="05","전라",MID(K1883,2,2)="06","전라",MID(K1883,2,2)="07","경북",MID(K1883,2,2)="08","경남",MID(K1883,2,2)="09","강원",MID(K1883,2,2)="10","제주",TRUE,"국외")</f>
        <v>서울</v>
      </c>
    </row>
    <row r="1884" spans="1:12" ht="17.25" thickBot="1">
      <c r="A1884" s="3" t="s">
        <v>1957</v>
      </c>
      <c r="B1884" s="3" t="s">
        <v>81</v>
      </c>
      <c r="C1884" s="3" t="s">
        <v>538</v>
      </c>
      <c r="D1884" s="4" t="s">
        <v>2</v>
      </c>
      <c r="E1884" s="4" t="s">
        <v>906</v>
      </c>
      <c r="F1884" s="4">
        <v>2010</v>
      </c>
      <c r="G1884" s="8">
        <v>-0.1</v>
      </c>
      <c r="H1884" s="4" t="s">
        <v>18</v>
      </c>
      <c r="I1884" s="8">
        <v>-0.1</v>
      </c>
      <c r="J1884" s="3">
        <v>10405</v>
      </c>
      <c r="K1884" s="3">
        <v>50105</v>
      </c>
      <c r="L1884" s="17" t="str" cm="1">
        <f t="array" ref="L1884">_xlfn.IFS(MID(K1884,2,2)="01", "서울", MID(K1884,2,2)="02","경기",MID(K1884,2,2)="03","충청",MID(K1884,2,2)="04","충청",MID(K1884,2,2)="05","전라",MID(K1884,2,2)="06","전라",MID(K1884,2,2)="07","경북",MID(K1884,2,2)="08","경남",MID(K1884,2,2)="09","강원",MID(K1884,2,2)="10","제주",TRUE,"국외")</f>
        <v>서울</v>
      </c>
    </row>
    <row r="1885" spans="1:12" ht="17.25" thickBot="1">
      <c r="A1885" s="3" t="s">
        <v>1958</v>
      </c>
      <c r="B1885" s="3" t="s">
        <v>1497</v>
      </c>
      <c r="C1885" s="3" t="s">
        <v>99</v>
      </c>
      <c r="D1885" s="4" t="s">
        <v>2</v>
      </c>
      <c r="E1885" s="4" t="s">
        <v>607</v>
      </c>
      <c r="F1885" s="4">
        <v>2010</v>
      </c>
      <c r="G1885" s="8">
        <v>-0.1</v>
      </c>
      <c r="H1885" s="4" t="s">
        <v>28</v>
      </c>
      <c r="I1885" s="8">
        <v>0.8</v>
      </c>
      <c r="J1885" s="3">
        <v>10162</v>
      </c>
      <c r="K1885" s="3">
        <v>50112</v>
      </c>
      <c r="L1885" s="17" t="str" cm="1">
        <f t="array" ref="L1885">_xlfn.IFS(MID(K1885,2,2)="01", "서울", MID(K1885,2,2)="02","경기",MID(K1885,2,2)="03","충청",MID(K1885,2,2)="04","충청",MID(K1885,2,2)="05","전라",MID(K1885,2,2)="06","전라",MID(K1885,2,2)="07","경북",MID(K1885,2,2)="08","경남",MID(K1885,2,2)="09","강원",MID(K1885,2,2)="10","제주",TRUE,"국외")</f>
        <v>서울</v>
      </c>
    </row>
    <row r="1886" spans="1:12" ht="17.25" thickBot="1">
      <c r="A1886" s="3" t="s">
        <v>1661</v>
      </c>
      <c r="B1886" s="3"/>
      <c r="C1886" s="3"/>
      <c r="D1886" s="4" t="s">
        <v>181</v>
      </c>
      <c r="E1886" s="4" t="s">
        <v>6</v>
      </c>
      <c r="F1886" s="4"/>
      <c r="G1886" s="9"/>
      <c r="H1886" s="4"/>
      <c r="I1886" s="9"/>
      <c r="J1886" s="3">
        <v>10047</v>
      </c>
      <c r="K1886" s="3"/>
      <c r="L1886" s="17" t="str" cm="1">
        <f t="array" ref="L1886">_xlfn.IFS(MID(K1886,2,2)="01", "서울", MID(K1886,2,2)="02","경기",MID(K1886,2,2)="03","충청",MID(K1886,2,2)="04","충청",MID(K1886,2,2)="05","전라",MID(K1886,2,2)="06","전라",MID(K1886,2,2)="07","경북",MID(K1886,2,2)="08","경남",MID(K1886,2,2)="09","강원",MID(K1886,2,2)="10","제주",TRUE,"국외")</f>
        <v>국외</v>
      </c>
    </row>
    <row r="1887" spans="1:12" ht="17.25" thickBot="1">
      <c r="A1887" s="3" t="s">
        <v>713</v>
      </c>
      <c r="B1887" s="3"/>
      <c r="C1887" s="3"/>
      <c r="D1887" s="4" t="s">
        <v>181</v>
      </c>
      <c r="E1887" s="4" t="s">
        <v>6</v>
      </c>
      <c r="F1887" s="4">
        <v>2010</v>
      </c>
      <c r="G1887" s="8">
        <v>0.1</v>
      </c>
      <c r="H1887" s="4" t="s">
        <v>6</v>
      </c>
      <c r="I1887" s="8">
        <v>0.1</v>
      </c>
      <c r="J1887" s="3">
        <f>2436</f>
        <v>2436</v>
      </c>
      <c r="K1887" s="3"/>
      <c r="L1887" s="17" t="str" cm="1">
        <f t="array" ref="L1887">_xlfn.IFS(MID(K1887,2,2)="01", "서울", MID(K1887,2,2)="02","경기",MID(K1887,2,2)="03","충청",MID(K1887,2,2)="04","충청",MID(K1887,2,2)="05","전라",MID(K1887,2,2)="06","전라",MID(K1887,2,2)="07","경북",MID(K1887,2,2)="08","경남",MID(K1887,2,2)="09","강원",MID(K1887,2,2)="10","제주",TRUE,"국외")</f>
        <v>국외</v>
      </c>
    </row>
    <row r="1888" spans="1:12" ht="17.25" thickBot="1">
      <c r="A1888" s="3" t="s">
        <v>1959</v>
      </c>
      <c r="B1888" s="3"/>
      <c r="C1888" s="3"/>
      <c r="D1888" s="4" t="s">
        <v>181</v>
      </c>
      <c r="E1888" s="4" t="s">
        <v>6</v>
      </c>
      <c r="F1888" s="4">
        <v>2010</v>
      </c>
      <c r="G1888" s="8">
        <v>1.7</v>
      </c>
      <c r="H1888" s="4" t="s">
        <v>6</v>
      </c>
      <c r="I1888" s="8">
        <v>1.7</v>
      </c>
      <c r="J1888" s="3">
        <f>2433</f>
        <v>2433</v>
      </c>
      <c r="K1888" s="3"/>
      <c r="L1888" s="17" t="str" cm="1">
        <f t="array" ref="L1888">_xlfn.IFS(MID(K1888,2,2)="01", "서울", MID(K1888,2,2)="02","경기",MID(K1888,2,2)="03","충청",MID(K1888,2,2)="04","충청",MID(K1888,2,2)="05","전라",MID(K1888,2,2)="06","전라",MID(K1888,2,2)="07","경북",MID(K1888,2,2)="08","경남",MID(K1888,2,2)="09","강원",MID(K1888,2,2)="10","제주",TRUE,"국외")</f>
        <v>국외</v>
      </c>
    </row>
    <row r="1889" spans="1:12" ht="17.25" thickBot="1">
      <c r="A1889" s="3" t="s">
        <v>1960</v>
      </c>
      <c r="B1889" s="3"/>
      <c r="C1889" s="3"/>
      <c r="D1889" s="4" t="s">
        <v>181</v>
      </c>
      <c r="E1889" s="4" t="s">
        <v>20</v>
      </c>
      <c r="F1889" s="4">
        <v>2010</v>
      </c>
      <c r="G1889" s="8">
        <v>4.0999999999999996</v>
      </c>
      <c r="H1889" s="4" t="s">
        <v>20</v>
      </c>
      <c r="I1889" s="8">
        <v>4.0999999999999996</v>
      </c>
      <c r="J1889" s="3">
        <v>10520</v>
      </c>
      <c r="K1889" s="3"/>
      <c r="L1889" s="17" t="str" cm="1">
        <f t="array" ref="L1889">_xlfn.IFS(MID(K1889,2,2)="01", "서울", MID(K1889,2,2)="02","경기",MID(K1889,2,2)="03","충청",MID(K1889,2,2)="04","충청",MID(K1889,2,2)="05","전라",MID(K1889,2,2)="06","전라",MID(K1889,2,2)="07","경북",MID(K1889,2,2)="08","경남",MID(K1889,2,2)="09","강원",MID(K1889,2,2)="10","제주",TRUE,"국외")</f>
        <v>국외</v>
      </c>
    </row>
    <row r="1890" spans="1:12" ht="17.25" thickBot="1">
      <c r="A1890" s="3" t="s">
        <v>1961</v>
      </c>
      <c r="B1890" s="3"/>
      <c r="C1890" s="3"/>
      <c r="D1890" s="4" t="s">
        <v>181</v>
      </c>
      <c r="E1890" s="4" t="s">
        <v>20</v>
      </c>
      <c r="F1890" s="4">
        <v>2010</v>
      </c>
      <c r="G1890" s="8">
        <v>-0.4</v>
      </c>
      <c r="H1890" s="4" t="s">
        <v>20</v>
      </c>
      <c r="I1890" s="8">
        <v>-0.4</v>
      </c>
      <c r="J1890" s="3">
        <v>10499</v>
      </c>
      <c r="K1890" s="3"/>
      <c r="L1890" s="17" t="str" cm="1">
        <f t="array" ref="L1890">_xlfn.IFS(MID(K1890,2,2)="01", "서울", MID(K1890,2,2)="02","경기",MID(K1890,2,2)="03","충청",MID(K1890,2,2)="04","충청",MID(K1890,2,2)="05","전라",MID(K1890,2,2)="06","전라",MID(K1890,2,2)="07","경북",MID(K1890,2,2)="08","경남",MID(K1890,2,2)="09","강원",MID(K1890,2,2)="10","제주",TRUE,"국외")</f>
        <v>국외</v>
      </c>
    </row>
    <row r="1891" spans="1:12" ht="17.25" thickBot="1">
      <c r="A1891" s="3" t="s">
        <v>1962</v>
      </c>
      <c r="B1891" s="3"/>
      <c r="C1891" s="3"/>
      <c r="D1891" s="4" t="s">
        <v>181</v>
      </c>
      <c r="E1891" s="4" t="s">
        <v>20</v>
      </c>
      <c r="F1891" s="4">
        <v>2010</v>
      </c>
      <c r="G1891" s="8">
        <v>-0.7</v>
      </c>
      <c r="H1891" s="4" t="s">
        <v>20</v>
      </c>
      <c r="I1891" s="8">
        <v>-0.7</v>
      </c>
      <c r="J1891" s="3">
        <f>2434</f>
        <v>2434</v>
      </c>
      <c r="K1891" s="3"/>
      <c r="L1891" s="17" t="str" cm="1">
        <f t="array" ref="L1891">_xlfn.IFS(MID(K1891,2,2)="01", "서울", MID(K1891,2,2)="02","경기",MID(K1891,2,2)="03","충청",MID(K1891,2,2)="04","충청",MID(K1891,2,2)="05","전라",MID(K1891,2,2)="06","전라",MID(K1891,2,2)="07","경북",MID(K1891,2,2)="08","경남",MID(K1891,2,2)="09","강원",MID(K1891,2,2)="10","제주",TRUE,"국외")</f>
        <v>국외</v>
      </c>
    </row>
    <row r="1892" spans="1:12" ht="17.25" thickBot="1">
      <c r="A1892" s="3" t="s">
        <v>1963</v>
      </c>
      <c r="B1892" s="3"/>
      <c r="C1892" s="3"/>
      <c r="D1892" s="4" t="s">
        <v>181</v>
      </c>
      <c r="E1892" s="4" t="s">
        <v>906</v>
      </c>
      <c r="F1892" s="4">
        <v>2010</v>
      </c>
      <c r="G1892" s="8">
        <v>0.8</v>
      </c>
      <c r="H1892" s="4" t="s">
        <v>18</v>
      </c>
      <c r="I1892" s="8">
        <v>0.8</v>
      </c>
      <c r="J1892" s="3">
        <v>10441</v>
      </c>
      <c r="K1892" s="3"/>
      <c r="L1892" s="17" t="str" cm="1">
        <f t="array" ref="L1892">_xlfn.IFS(MID(K1892,2,2)="01", "서울", MID(K1892,2,2)="02","경기",MID(K1892,2,2)="03","충청",MID(K1892,2,2)="04","충청",MID(K1892,2,2)="05","전라",MID(K1892,2,2)="06","전라",MID(K1892,2,2)="07","경북",MID(K1892,2,2)="08","경남",MID(K1892,2,2)="09","강원",MID(K1892,2,2)="10","제주",TRUE,"국외")</f>
        <v>국외</v>
      </c>
    </row>
    <row r="1893" spans="1:12" ht="17.25" thickBot="1">
      <c r="A1893" s="3" t="s">
        <v>1415</v>
      </c>
      <c r="B1893" s="3"/>
      <c r="C1893" s="3"/>
      <c r="D1893" s="4" t="s">
        <v>181</v>
      </c>
      <c r="E1893" s="4" t="s">
        <v>26</v>
      </c>
      <c r="F1893" s="4">
        <v>2010</v>
      </c>
      <c r="G1893" s="8">
        <v>4.3</v>
      </c>
      <c r="H1893" s="4" t="s">
        <v>26</v>
      </c>
      <c r="I1893" s="8">
        <v>4.3</v>
      </c>
      <c r="J1893" s="3">
        <v>10231</v>
      </c>
      <c r="K1893" s="3"/>
      <c r="L1893" s="17" t="str" cm="1">
        <f t="array" ref="L1893">_xlfn.IFS(MID(K1893,2,2)="01", "서울", MID(K1893,2,2)="02","경기",MID(K1893,2,2)="03","충청",MID(K1893,2,2)="04","충청",MID(K1893,2,2)="05","전라",MID(K1893,2,2)="06","전라",MID(K1893,2,2)="07","경북",MID(K1893,2,2)="08","경남",MID(K1893,2,2)="09","강원",MID(K1893,2,2)="10","제주",TRUE,"국외")</f>
        <v>국외</v>
      </c>
    </row>
    <row r="1894" spans="1:12" ht="17.25" thickBot="1">
      <c r="A1894" s="3" t="s">
        <v>1964</v>
      </c>
      <c r="B1894" s="3"/>
      <c r="C1894" s="3"/>
      <c r="D1894" s="4" t="s">
        <v>181</v>
      </c>
      <c r="E1894" s="4" t="s">
        <v>9</v>
      </c>
      <c r="F1894" s="4">
        <v>2010</v>
      </c>
      <c r="G1894" s="8">
        <v>4.3</v>
      </c>
      <c r="H1894" s="4" t="s">
        <v>9</v>
      </c>
      <c r="I1894" s="8">
        <v>10.7</v>
      </c>
      <c r="J1894" s="3">
        <v>10282</v>
      </c>
      <c r="K1894" s="3"/>
      <c r="L1894" s="17" t="str" cm="1">
        <f t="array" ref="L1894">_xlfn.IFS(MID(K1894,2,2)="01", "서울", MID(K1894,2,2)="02","경기",MID(K1894,2,2)="03","충청",MID(K1894,2,2)="04","충청",MID(K1894,2,2)="05","전라",MID(K1894,2,2)="06","전라",MID(K1894,2,2)="07","경북",MID(K1894,2,2)="08","경남",MID(K1894,2,2)="09","강원",MID(K1894,2,2)="10","제주",TRUE,"국외")</f>
        <v>국외</v>
      </c>
    </row>
    <row r="1895" spans="1:12" ht="17.25" thickBot="1">
      <c r="A1895" s="3" t="s">
        <v>1965</v>
      </c>
      <c r="B1895" s="3"/>
      <c r="C1895" s="3"/>
      <c r="D1895" s="4" t="s">
        <v>181</v>
      </c>
      <c r="E1895" s="4" t="s">
        <v>23</v>
      </c>
      <c r="F1895" s="4">
        <v>2010</v>
      </c>
      <c r="G1895" s="8">
        <v>0.6</v>
      </c>
      <c r="H1895" s="4" t="s">
        <v>23</v>
      </c>
      <c r="I1895" s="8">
        <v>0.6</v>
      </c>
      <c r="J1895" s="3">
        <f>2432</f>
        <v>2432</v>
      </c>
      <c r="K1895" s="3"/>
      <c r="L1895" s="17" t="str" cm="1">
        <f t="array" ref="L1895">_xlfn.IFS(MID(K1895,2,2)="01", "서울", MID(K1895,2,2)="02","경기",MID(K1895,2,2)="03","충청",MID(K1895,2,2)="04","충청",MID(K1895,2,2)="05","전라",MID(K1895,2,2)="06","전라",MID(K1895,2,2)="07","경북",MID(K1895,2,2)="08","경남",MID(K1895,2,2)="09","강원",MID(K1895,2,2)="10","제주",TRUE,"국외")</f>
        <v>국외</v>
      </c>
    </row>
    <row r="1896" spans="1:12" ht="17.25" thickBot="1">
      <c r="A1896" s="3" t="s">
        <v>1966</v>
      </c>
      <c r="B1896" s="3"/>
      <c r="C1896" s="3"/>
      <c r="D1896" s="4" t="s">
        <v>181</v>
      </c>
      <c r="E1896" s="4" t="s">
        <v>3</v>
      </c>
      <c r="F1896" s="4">
        <v>2010</v>
      </c>
      <c r="G1896" s="8">
        <v>1.2</v>
      </c>
      <c r="H1896" s="4" t="s">
        <v>3</v>
      </c>
      <c r="I1896" s="8">
        <v>1.1000000000000001</v>
      </c>
      <c r="J1896" s="3">
        <v>10589</v>
      </c>
      <c r="K1896" s="3"/>
      <c r="L1896" s="17" t="str" cm="1">
        <f t="array" ref="L1896">_xlfn.IFS(MID(K1896,2,2)="01", "서울", MID(K1896,2,2)="02","경기",MID(K1896,2,2)="03","충청",MID(K1896,2,2)="04","충청",MID(K1896,2,2)="05","전라",MID(K1896,2,2)="06","전라",MID(K1896,2,2)="07","경북",MID(K1896,2,2)="08","경남",MID(K1896,2,2)="09","강원",MID(K1896,2,2)="10","제주",TRUE,"국외")</f>
        <v>국외</v>
      </c>
    </row>
    <row r="1897" spans="1:12" ht="17.25" thickBot="1">
      <c r="A1897" s="3" t="s">
        <v>1967</v>
      </c>
      <c r="B1897" s="3"/>
      <c r="C1897" s="3"/>
      <c r="D1897" s="4" t="s">
        <v>181</v>
      </c>
      <c r="E1897" s="4" t="s">
        <v>3</v>
      </c>
      <c r="F1897" s="4">
        <v>2010</v>
      </c>
      <c r="G1897" s="8">
        <v>-0.8</v>
      </c>
      <c r="H1897" s="4" t="s">
        <v>3</v>
      </c>
      <c r="I1897" s="8">
        <v>-0.8</v>
      </c>
      <c r="J1897" s="3">
        <f>2435</f>
        <v>2435</v>
      </c>
      <c r="K1897" s="3"/>
      <c r="L1897" s="17" t="str" cm="1">
        <f t="array" ref="L1897">_xlfn.IFS(MID(K1897,2,2)="01", "서울", MID(K1897,2,2)="02","경기",MID(K1897,2,2)="03","충청",MID(K1897,2,2)="04","충청",MID(K1897,2,2)="05","전라",MID(K1897,2,2)="06","전라",MID(K1897,2,2)="07","경북",MID(K1897,2,2)="08","경남",MID(K1897,2,2)="09","강원",MID(K1897,2,2)="10","제주",TRUE,"국외")</f>
        <v>국외</v>
      </c>
    </row>
    <row r="1898" spans="1:12" ht="17.25" thickBot="1">
      <c r="A1898" s="3" t="s">
        <v>1968</v>
      </c>
      <c r="B1898" s="3"/>
      <c r="C1898" s="3"/>
      <c r="D1898" s="4" t="s">
        <v>181</v>
      </c>
      <c r="E1898" s="4" t="s">
        <v>3</v>
      </c>
      <c r="F1898" s="4">
        <v>2010</v>
      </c>
      <c r="G1898" s="8">
        <v>-1.3</v>
      </c>
      <c r="H1898" s="4" t="s">
        <v>3</v>
      </c>
      <c r="I1898" s="8">
        <v>-1.3</v>
      </c>
      <c r="J1898" s="3">
        <v>10619</v>
      </c>
      <c r="K1898" s="3"/>
      <c r="L1898" s="17" t="str" cm="1">
        <f t="array" ref="L1898">_xlfn.IFS(MID(K1898,2,2)="01", "서울", MID(K1898,2,2)="02","경기",MID(K1898,2,2)="03","충청",MID(K1898,2,2)="04","충청",MID(K1898,2,2)="05","전라",MID(K1898,2,2)="06","전라",MID(K1898,2,2)="07","경북",MID(K1898,2,2)="08","경남",MID(K1898,2,2)="09","강원",MID(K1898,2,2)="10","제주",TRUE,"국외")</f>
        <v>국외</v>
      </c>
    </row>
    <row r="1899" spans="1:12" ht="17.25" thickBot="1">
      <c r="A1899" s="3" t="s">
        <v>1969</v>
      </c>
      <c r="B1899" s="3" t="s">
        <v>70</v>
      </c>
      <c r="C1899" s="3" t="s">
        <v>218</v>
      </c>
      <c r="D1899" s="4" t="s">
        <v>1777</v>
      </c>
      <c r="E1899" s="4" t="s">
        <v>906</v>
      </c>
      <c r="F1899" s="4"/>
      <c r="G1899" s="9"/>
      <c r="H1899" s="4"/>
      <c r="I1899" s="9"/>
      <c r="J1899" s="3">
        <v>11466</v>
      </c>
      <c r="K1899" s="3">
        <v>50103</v>
      </c>
      <c r="L1899" s="17" t="str" cm="1">
        <f t="array" ref="L1899">_xlfn.IFS(MID(K1899,2,2)="01", "서울", MID(K1899,2,2)="02","경기",MID(K1899,2,2)="03","충청",MID(K1899,2,2)="04","충청",MID(K1899,2,2)="05","전라",MID(K1899,2,2)="06","전라",MID(K1899,2,2)="07","경북",MID(K1899,2,2)="08","경남",MID(K1899,2,2)="09","강원",MID(K1899,2,2)="10","제주",TRUE,"국외")</f>
        <v>서울</v>
      </c>
    </row>
    <row r="1900" spans="1:12" ht="17.25" thickBot="1">
      <c r="A1900" s="3" t="s">
        <v>1355</v>
      </c>
      <c r="B1900" s="3" t="s">
        <v>1</v>
      </c>
      <c r="C1900" s="3" t="s">
        <v>122</v>
      </c>
      <c r="D1900" s="4" t="s">
        <v>1777</v>
      </c>
      <c r="E1900" s="4" t="s">
        <v>9</v>
      </c>
      <c r="F1900" s="4"/>
      <c r="G1900" s="9"/>
      <c r="H1900" s="4"/>
      <c r="I1900" s="9"/>
      <c r="J1900" s="3">
        <v>13280</v>
      </c>
      <c r="K1900" s="3">
        <v>50107</v>
      </c>
      <c r="L1900" s="17" t="str" cm="1">
        <f t="array" ref="L1900">_xlfn.IFS(MID(K1900,2,2)="01", "서울", MID(K1900,2,2)="02","경기",MID(K1900,2,2)="03","충청",MID(K1900,2,2)="04","충청",MID(K1900,2,2)="05","전라",MID(K1900,2,2)="06","전라",MID(K1900,2,2)="07","경북",MID(K1900,2,2)="08","경남",MID(K1900,2,2)="09","강원",MID(K1900,2,2)="10","제주",TRUE,"국외")</f>
        <v>서울</v>
      </c>
    </row>
    <row r="1901" spans="1:12" ht="17.25" thickBot="1">
      <c r="A1901" s="3" t="s">
        <v>1970</v>
      </c>
      <c r="B1901" s="3" t="s">
        <v>1834</v>
      </c>
      <c r="C1901" s="3" t="s">
        <v>90</v>
      </c>
      <c r="D1901" s="4" t="s">
        <v>1777</v>
      </c>
      <c r="E1901" s="4" t="s">
        <v>9</v>
      </c>
      <c r="F1901" s="4"/>
      <c r="G1901" s="9"/>
      <c r="H1901" s="4"/>
      <c r="I1901" s="9"/>
      <c r="J1901" s="3">
        <v>13278</v>
      </c>
      <c r="K1901" s="3">
        <v>50904</v>
      </c>
      <c r="L1901" s="17" t="str" cm="1">
        <f t="array" ref="L1901">_xlfn.IFS(MID(K1901,2,2)="01", "서울", MID(K1901,2,2)="02","경기",MID(K1901,2,2)="03","충청",MID(K1901,2,2)="04","충청",MID(K1901,2,2)="05","전라",MID(K1901,2,2)="06","전라",MID(K1901,2,2)="07","경북",MID(K1901,2,2)="08","경남",MID(K1901,2,2)="09","강원",MID(K1901,2,2)="10","제주",TRUE,"국외")</f>
        <v>강원</v>
      </c>
    </row>
    <row r="1902" spans="1:12" ht="17.25" thickBot="1">
      <c r="A1902" s="3" t="s">
        <v>1971</v>
      </c>
      <c r="B1902" s="3" t="s">
        <v>332</v>
      </c>
      <c r="C1902" s="3"/>
      <c r="D1902" s="4" t="s">
        <v>1777</v>
      </c>
      <c r="E1902" s="4" t="s">
        <v>23</v>
      </c>
      <c r="F1902" s="4"/>
      <c r="G1902" s="9"/>
      <c r="H1902" s="4"/>
      <c r="I1902" s="9"/>
      <c r="J1902" s="3">
        <v>10875</v>
      </c>
      <c r="K1902" s="3">
        <v>50705</v>
      </c>
      <c r="L1902" s="17" t="str" cm="1">
        <f t="array" ref="L1902">_xlfn.IFS(MID(K1902,2,2)="01", "서울", MID(K1902,2,2)="02","경기",MID(K1902,2,2)="03","충청",MID(K1902,2,2)="04","충청",MID(K1902,2,2)="05","전라",MID(K1902,2,2)="06","전라",MID(K1902,2,2)="07","경북",MID(K1902,2,2)="08","경남",MID(K1902,2,2)="09","강원",MID(K1902,2,2)="10","제주",TRUE,"국외")</f>
        <v>경북</v>
      </c>
    </row>
    <row r="1903" spans="1:12" ht="17.25" thickBot="1">
      <c r="A1903" s="3" t="s">
        <v>1972</v>
      </c>
      <c r="B1903" s="3" t="s">
        <v>25</v>
      </c>
      <c r="C1903" s="3" t="s">
        <v>99</v>
      </c>
      <c r="D1903" s="4" t="s">
        <v>205</v>
      </c>
      <c r="E1903" s="4" t="s">
        <v>6</v>
      </c>
      <c r="F1903" s="4">
        <v>2015</v>
      </c>
      <c r="G1903" s="9"/>
      <c r="H1903" s="4" t="s">
        <v>6</v>
      </c>
      <c r="I1903" s="8">
        <v>-0.3</v>
      </c>
      <c r="J1903" s="3">
        <v>11304</v>
      </c>
      <c r="K1903" s="3">
        <v>50403</v>
      </c>
      <c r="L1903" s="17" t="str" cm="1">
        <f t="array" ref="L1903">_xlfn.IFS(MID(K1903,2,2)="01", "서울", MID(K1903,2,2)="02","경기",MID(K1903,2,2)="03","충청",MID(K1903,2,2)="04","충청",MID(K1903,2,2)="05","전라",MID(K1903,2,2)="06","전라",MID(K1903,2,2)="07","경북",MID(K1903,2,2)="08","경남",MID(K1903,2,2)="09","강원",MID(K1903,2,2)="10","제주",TRUE,"국외")</f>
        <v>충청</v>
      </c>
    </row>
    <row r="1904" spans="1:12" ht="17.25" thickBot="1">
      <c r="A1904" s="3" t="s">
        <v>98</v>
      </c>
      <c r="B1904" s="3" t="s">
        <v>158</v>
      </c>
      <c r="C1904" s="3" t="s">
        <v>45</v>
      </c>
      <c r="D1904" s="4" t="s">
        <v>205</v>
      </c>
      <c r="E1904" s="4" t="s">
        <v>6</v>
      </c>
      <c r="F1904" s="4">
        <v>2011</v>
      </c>
      <c r="G1904" s="9"/>
      <c r="H1904" s="4" t="s">
        <v>6</v>
      </c>
      <c r="I1904" s="8">
        <v>-0.5</v>
      </c>
      <c r="J1904" s="3">
        <v>10703</v>
      </c>
      <c r="K1904" s="3">
        <v>50501</v>
      </c>
      <c r="L1904" s="17" t="str" cm="1">
        <f t="array" ref="L1904">_xlfn.IFS(MID(K1904,2,2)="01", "서울", MID(K1904,2,2)="02","경기",MID(K1904,2,2)="03","충청",MID(K1904,2,2)="04","충청",MID(K1904,2,2)="05","전라",MID(K1904,2,2)="06","전라",MID(K1904,2,2)="07","경북",MID(K1904,2,2)="08","경남",MID(K1904,2,2)="09","강원",MID(K1904,2,2)="10","제주",TRUE,"국외")</f>
        <v>전라</v>
      </c>
    </row>
    <row r="1905" spans="1:12" ht="17.25" thickBot="1">
      <c r="A1905" s="3" t="s">
        <v>1973</v>
      </c>
      <c r="B1905" s="3" t="s">
        <v>68</v>
      </c>
      <c r="C1905" s="3" t="s">
        <v>133</v>
      </c>
      <c r="D1905" s="4" t="s">
        <v>205</v>
      </c>
      <c r="E1905" s="4" t="s">
        <v>607</v>
      </c>
      <c r="F1905" s="4"/>
      <c r="G1905" s="9"/>
      <c r="H1905" s="4"/>
      <c r="I1905" s="9"/>
      <c r="J1905" s="3">
        <v>10797</v>
      </c>
      <c r="K1905" s="3">
        <v>50101</v>
      </c>
      <c r="L1905" s="17" t="str" cm="1">
        <f t="array" ref="L1905">_xlfn.IFS(MID(K1905,2,2)="01", "서울", MID(K1905,2,2)="02","경기",MID(K1905,2,2)="03","충청",MID(K1905,2,2)="04","충청",MID(K1905,2,2)="05","전라",MID(K1905,2,2)="06","전라",MID(K1905,2,2)="07","경북",MID(K1905,2,2)="08","경남",MID(K1905,2,2)="09","강원",MID(K1905,2,2)="10","제주",TRUE,"국외")</f>
        <v>서울</v>
      </c>
    </row>
    <row r="1906" spans="1:12" ht="17.25" thickBot="1">
      <c r="A1906" s="3" t="s">
        <v>1974</v>
      </c>
      <c r="B1906" s="3" t="s">
        <v>25</v>
      </c>
      <c r="C1906" s="3" t="s">
        <v>221</v>
      </c>
      <c r="D1906" s="4" t="s">
        <v>205</v>
      </c>
      <c r="E1906" s="4" t="s">
        <v>607</v>
      </c>
      <c r="F1906" s="4"/>
      <c r="G1906" s="9"/>
      <c r="H1906" s="4"/>
      <c r="I1906" s="9"/>
      <c r="J1906" s="3">
        <v>10874</v>
      </c>
      <c r="K1906" s="3">
        <v>50403</v>
      </c>
      <c r="L1906" s="17" t="str" cm="1">
        <f t="array" ref="L1906">_xlfn.IFS(MID(K1906,2,2)="01", "서울", MID(K1906,2,2)="02","경기",MID(K1906,2,2)="03","충청",MID(K1906,2,2)="04","충청",MID(K1906,2,2)="05","전라",MID(K1906,2,2)="06","전라",MID(K1906,2,2)="07","경북",MID(K1906,2,2)="08","경남",MID(K1906,2,2)="09","강원",MID(K1906,2,2)="10","제주",TRUE,"국외")</f>
        <v>충청</v>
      </c>
    </row>
    <row r="1907" spans="1:12" ht="17.25" thickBot="1">
      <c r="A1907" s="3" t="s">
        <v>1975</v>
      </c>
      <c r="B1907" s="3" t="s">
        <v>40</v>
      </c>
      <c r="C1907" s="3" t="s">
        <v>211</v>
      </c>
      <c r="D1907" s="4" t="s">
        <v>205</v>
      </c>
      <c r="E1907" s="4" t="s">
        <v>26</v>
      </c>
      <c r="F1907" s="4">
        <v>2010</v>
      </c>
      <c r="G1907" s="8">
        <v>0.1</v>
      </c>
      <c r="H1907" s="4" t="s">
        <v>26</v>
      </c>
      <c r="I1907" s="8">
        <v>0.2</v>
      </c>
      <c r="J1907" s="3">
        <v>10688</v>
      </c>
      <c r="K1907" s="3">
        <v>50108</v>
      </c>
      <c r="L1907" s="17" t="str" cm="1">
        <f t="array" ref="L1907">_xlfn.IFS(MID(K1907,2,2)="01", "서울", MID(K1907,2,2)="02","경기",MID(K1907,2,2)="03","충청",MID(K1907,2,2)="04","충청",MID(K1907,2,2)="05","전라",MID(K1907,2,2)="06","전라",MID(K1907,2,2)="07","경북",MID(K1907,2,2)="08","경남",MID(K1907,2,2)="09","강원",MID(K1907,2,2)="10","제주",TRUE,"국외")</f>
        <v>서울</v>
      </c>
    </row>
    <row r="1908" spans="1:12" ht="17.25" thickBot="1">
      <c r="A1908" s="3" t="s">
        <v>1976</v>
      </c>
      <c r="B1908" s="3" t="s">
        <v>1497</v>
      </c>
      <c r="C1908" s="3"/>
      <c r="D1908" s="4" t="s">
        <v>205</v>
      </c>
      <c r="E1908" s="4" t="s">
        <v>26</v>
      </c>
      <c r="F1908" s="4">
        <v>2014</v>
      </c>
      <c r="G1908" s="9"/>
      <c r="H1908" s="4" t="s">
        <v>23</v>
      </c>
      <c r="I1908" s="8">
        <v>-0.6</v>
      </c>
      <c r="J1908" s="3">
        <v>10890</v>
      </c>
      <c r="K1908" s="3">
        <v>50112</v>
      </c>
      <c r="L1908" s="17" t="str" cm="1">
        <f t="array" ref="L1908">_xlfn.IFS(MID(K1908,2,2)="01", "서울", MID(K1908,2,2)="02","경기",MID(K1908,2,2)="03","충청",MID(K1908,2,2)="04","충청",MID(K1908,2,2)="05","전라",MID(K1908,2,2)="06","전라",MID(K1908,2,2)="07","경북",MID(K1908,2,2)="08","경남",MID(K1908,2,2)="09","강원",MID(K1908,2,2)="10","제주",TRUE,"국외")</f>
        <v>서울</v>
      </c>
    </row>
    <row r="1909" spans="1:12" ht="17.25" thickBot="1">
      <c r="A1909" s="3" t="s">
        <v>1977</v>
      </c>
      <c r="B1909" s="3" t="s">
        <v>332</v>
      </c>
      <c r="C1909" s="3" t="s">
        <v>1891</v>
      </c>
      <c r="D1909" s="4" t="s">
        <v>205</v>
      </c>
      <c r="E1909" s="4" t="s">
        <v>9</v>
      </c>
      <c r="F1909" s="4">
        <v>2013</v>
      </c>
      <c r="G1909" s="9"/>
      <c r="H1909" s="4" t="s">
        <v>12</v>
      </c>
      <c r="I1909" s="8">
        <v>-3.4</v>
      </c>
      <c r="J1909" s="3">
        <v>11147</v>
      </c>
      <c r="K1909" s="3">
        <v>50705</v>
      </c>
      <c r="L1909" s="17" t="str" cm="1">
        <f t="array" ref="L1909">_xlfn.IFS(MID(K1909,2,2)="01", "서울", MID(K1909,2,2)="02","경기",MID(K1909,2,2)="03","충청",MID(K1909,2,2)="04","충청",MID(K1909,2,2)="05","전라",MID(K1909,2,2)="06","전라",MID(K1909,2,2)="07","경북",MID(K1909,2,2)="08","경남",MID(K1909,2,2)="09","강원",MID(K1909,2,2)="10","제주",TRUE,"국외")</f>
        <v>경북</v>
      </c>
    </row>
    <row r="1910" spans="1:12" ht="17.25" thickBot="1">
      <c r="A1910" s="3" t="s">
        <v>1978</v>
      </c>
      <c r="B1910" s="3" t="s">
        <v>14</v>
      </c>
      <c r="C1910" s="3"/>
      <c r="D1910" s="4" t="s">
        <v>205</v>
      </c>
      <c r="E1910" s="4" t="s">
        <v>23</v>
      </c>
      <c r="F1910" s="4">
        <v>2015</v>
      </c>
      <c r="G1910" s="9"/>
      <c r="H1910" s="4" t="s">
        <v>28</v>
      </c>
      <c r="I1910" s="8">
        <v>-0.1</v>
      </c>
      <c r="J1910" s="3">
        <v>11331</v>
      </c>
      <c r="K1910" s="3">
        <v>50703</v>
      </c>
      <c r="L1910" s="17" t="str" cm="1">
        <f t="array" ref="L1910">_xlfn.IFS(MID(K1910,2,2)="01", "서울", MID(K1910,2,2)="02","경기",MID(K1910,2,2)="03","충청",MID(K1910,2,2)="04","충청",MID(K1910,2,2)="05","전라",MID(K1910,2,2)="06","전라",MID(K1910,2,2)="07","경북",MID(K1910,2,2)="08","경남",MID(K1910,2,2)="09","강원",MID(K1910,2,2)="10","제주",TRUE,"국외")</f>
        <v>경북</v>
      </c>
    </row>
    <row r="1911" spans="1:12" ht="17.25" thickBot="1">
      <c r="A1911" s="3" t="s">
        <v>1979</v>
      </c>
      <c r="B1911" s="3" t="s">
        <v>14</v>
      </c>
      <c r="C1911" s="3"/>
      <c r="D1911" s="4" t="s">
        <v>205</v>
      </c>
      <c r="E1911" s="4" t="s">
        <v>23</v>
      </c>
      <c r="F1911" s="4"/>
      <c r="G1911" s="9"/>
      <c r="H1911" s="4"/>
      <c r="I1911" s="9"/>
      <c r="J1911" s="3">
        <v>12650</v>
      </c>
      <c r="K1911" s="3">
        <v>50703</v>
      </c>
      <c r="L1911" s="17" t="str" cm="1">
        <f t="array" ref="L1911">_xlfn.IFS(MID(K1911,2,2)="01", "서울", MID(K1911,2,2)="02","경기",MID(K1911,2,2)="03","충청",MID(K1911,2,2)="04","충청",MID(K1911,2,2)="05","전라",MID(K1911,2,2)="06","전라",MID(K1911,2,2)="07","경북",MID(K1911,2,2)="08","경남",MID(K1911,2,2)="09","강원",MID(K1911,2,2)="10","제주",TRUE,"국외")</f>
        <v>경북</v>
      </c>
    </row>
    <row r="1912" spans="1:12" ht="17.25" thickBot="1">
      <c r="A1912" s="3" t="s">
        <v>1980</v>
      </c>
      <c r="B1912" s="3" t="s">
        <v>1398</v>
      </c>
      <c r="C1912" s="3" t="s">
        <v>161</v>
      </c>
      <c r="D1912" s="4" t="s">
        <v>205</v>
      </c>
      <c r="E1912" s="4" t="s">
        <v>23</v>
      </c>
      <c r="F1912" s="4"/>
      <c r="G1912" s="9"/>
      <c r="H1912" s="4"/>
      <c r="I1912" s="10"/>
      <c r="J1912" s="3">
        <v>11105</v>
      </c>
      <c r="K1912" s="3">
        <v>50708</v>
      </c>
      <c r="L1912" s="17" t="str" cm="1">
        <f t="array" ref="L1912">_xlfn.IFS(MID(K1912,2,2)="01", "서울", MID(K1912,2,2)="02","경기",MID(K1912,2,2)="03","충청",MID(K1912,2,2)="04","충청",MID(K1912,2,2)="05","전라",MID(K1912,2,2)="06","전라",MID(K1912,2,2)="07","경북",MID(K1912,2,2)="08","경남",MID(K1912,2,2)="09","강원",MID(K1912,2,2)="10","제주",TRUE,"국외")</f>
        <v>경북</v>
      </c>
    </row>
    <row r="1913" spans="1:12" ht="17.25" thickBot="1">
      <c r="A1913" s="3" t="s">
        <v>1981</v>
      </c>
      <c r="B1913" s="3" t="s">
        <v>107</v>
      </c>
      <c r="C1913" s="3"/>
      <c r="D1913" s="4" t="s">
        <v>243</v>
      </c>
      <c r="E1913" s="4" t="s">
        <v>6</v>
      </c>
      <c r="F1913" s="4">
        <v>2009</v>
      </c>
      <c r="G1913" s="8">
        <v>-0.3</v>
      </c>
      <c r="H1913" s="4" t="s">
        <v>6</v>
      </c>
      <c r="I1913" s="8">
        <v>-0.3</v>
      </c>
      <c r="J1913" s="3">
        <v>10071</v>
      </c>
      <c r="K1913" s="3">
        <v>50602</v>
      </c>
      <c r="L1913" s="17" t="str" cm="1">
        <f t="array" ref="L1913">_xlfn.IFS(MID(K1913,2,2)="01", "서울", MID(K1913,2,2)="02","경기",MID(K1913,2,2)="03","충청",MID(K1913,2,2)="04","충청",MID(K1913,2,2)="05","전라",MID(K1913,2,2)="06","전라",MID(K1913,2,2)="07","경북",MID(K1913,2,2)="08","경남",MID(K1913,2,2)="09","강원",MID(K1913,2,2)="10","제주",TRUE,"국외")</f>
        <v>전라</v>
      </c>
    </row>
    <row r="1914" spans="1:12" ht="17.25" thickBot="1">
      <c r="A1914" s="3" t="s">
        <v>1982</v>
      </c>
      <c r="B1914" s="3" t="s">
        <v>68</v>
      </c>
      <c r="C1914" s="3"/>
      <c r="D1914" s="4" t="s">
        <v>243</v>
      </c>
      <c r="E1914" s="4" t="s">
        <v>20</v>
      </c>
      <c r="F1914" s="4">
        <v>2009</v>
      </c>
      <c r="G1914" s="8">
        <v>-0.1</v>
      </c>
      <c r="H1914" s="4" t="s">
        <v>20</v>
      </c>
      <c r="I1914" s="8">
        <v>65.5</v>
      </c>
      <c r="J1914" s="3">
        <v>10475</v>
      </c>
      <c r="K1914" s="3">
        <v>50101</v>
      </c>
      <c r="L1914" s="17" t="str" cm="1">
        <f t="array" ref="L1914">_xlfn.IFS(MID(K1914,2,2)="01", "서울", MID(K1914,2,2)="02","경기",MID(K1914,2,2)="03","충청",MID(K1914,2,2)="04","충청",MID(K1914,2,2)="05","전라",MID(K1914,2,2)="06","전라",MID(K1914,2,2)="07","경북",MID(K1914,2,2)="08","경남",MID(K1914,2,2)="09","강원",MID(K1914,2,2)="10","제주",TRUE,"국외")</f>
        <v>서울</v>
      </c>
    </row>
    <row r="1915" spans="1:12" ht="17.25" thickBot="1">
      <c r="A1915" s="3" t="s">
        <v>1366</v>
      </c>
      <c r="B1915" s="3" t="s">
        <v>1019</v>
      </c>
      <c r="C1915" s="3"/>
      <c r="D1915" s="4" t="s">
        <v>243</v>
      </c>
      <c r="E1915" s="4" t="s">
        <v>607</v>
      </c>
      <c r="F1915" s="4">
        <v>2010</v>
      </c>
      <c r="G1915" s="9"/>
      <c r="H1915" s="4" t="s">
        <v>607</v>
      </c>
      <c r="I1915" s="8">
        <v>4.9000000000000004</v>
      </c>
      <c r="J1915" s="3">
        <v>10133</v>
      </c>
      <c r="K1915" s="3">
        <v>50201</v>
      </c>
      <c r="L1915" s="17" t="str" cm="1">
        <f t="array" ref="L1915">_xlfn.IFS(MID(K1915,2,2)="01", "서울", MID(K1915,2,2)="02","경기",MID(K1915,2,2)="03","충청",MID(K1915,2,2)="04","충청",MID(K1915,2,2)="05","전라",MID(K1915,2,2)="06","전라",MID(K1915,2,2)="07","경북",MID(K1915,2,2)="08","경남",MID(K1915,2,2)="09","강원",MID(K1915,2,2)="10","제주",TRUE,"국외")</f>
        <v>경기</v>
      </c>
    </row>
    <row r="1916" spans="1:12" ht="17.25" thickBot="1">
      <c r="A1916" s="3" t="s">
        <v>1983</v>
      </c>
      <c r="B1916" s="3" t="s">
        <v>70</v>
      </c>
      <c r="C1916" s="3"/>
      <c r="D1916" s="4" t="s">
        <v>243</v>
      </c>
      <c r="E1916" s="4" t="s">
        <v>26</v>
      </c>
      <c r="F1916" s="4">
        <v>2009</v>
      </c>
      <c r="G1916" s="8">
        <v>0.3</v>
      </c>
      <c r="H1916" s="4" t="s">
        <v>26</v>
      </c>
      <c r="I1916" s="8">
        <v>0.4</v>
      </c>
      <c r="J1916" s="3">
        <v>10208</v>
      </c>
      <c r="K1916" s="3">
        <v>50103</v>
      </c>
      <c r="L1916" s="17" t="str" cm="1">
        <f t="array" ref="L1916">_xlfn.IFS(MID(K1916,2,2)="01", "서울", MID(K1916,2,2)="02","경기",MID(K1916,2,2)="03","충청",MID(K1916,2,2)="04","충청",MID(K1916,2,2)="05","전라",MID(K1916,2,2)="06","전라",MID(K1916,2,2)="07","경북",MID(K1916,2,2)="08","경남",MID(K1916,2,2)="09","강원",MID(K1916,2,2)="10","제주",TRUE,"국외")</f>
        <v>서울</v>
      </c>
    </row>
    <row r="1917" spans="1:12" ht="17.25" thickBot="1">
      <c r="A1917" s="3" t="s">
        <v>1984</v>
      </c>
      <c r="B1917" s="3" t="s">
        <v>93</v>
      </c>
      <c r="C1917" s="3"/>
      <c r="D1917" s="4" t="s">
        <v>243</v>
      </c>
      <c r="E1917" s="4" t="s">
        <v>9</v>
      </c>
      <c r="F1917" s="4">
        <v>2009</v>
      </c>
      <c r="G1917" s="8">
        <v>-1.2</v>
      </c>
      <c r="H1917" s="4" t="s">
        <v>9</v>
      </c>
      <c r="I1917" s="8">
        <v>-1.2</v>
      </c>
      <c r="J1917" s="3">
        <v>10289</v>
      </c>
      <c r="K1917" s="3">
        <v>50805</v>
      </c>
      <c r="L1917" s="17" t="str" cm="1">
        <f t="array" ref="L1917">_xlfn.IFS(MID(K1917,2,2)="01", "서울", MID(K1917,2,2)="02","경기",MID(K1917,2,2)="03","충청",MID(K1917,2,2)="04","충청",MID(K1917,2,2)="05","전라",MID(K1917,2,2)="06","전라",MID(K1917,2,2)="07","경북",MID(K1917,2,2)="08","경남",MID(K1917,2,2)="09","강원",MID(K1917,2,2)="10","제주",TRUE,"국외")</f>
        <v>경남</v>
      </c>
    </row>
    <row r="1918" spans="1:12" ht="17.25" thickBot="1">
      <c r="A1918" s="3" t="s">
        <v>1985</v>
      </c>
      <c r="B1918" s="3" t="s">
        <v>34</v>
      </c>
      <c r="C1918" s="3" t="s">
        <v>1479</v>
      </c>
      <c r="D1918" s="4" t="s">
        <v>243</v>
      </c>
      <c r="E1918" s="4" t="s">
        <v>23</v>
      </c>
      <c r="F1918" s="4">
        <v>2009</v>
      </c>
      <c r="G1918" s="8">
        <v>0.6</v>
      </c>
      <c r="H1918" s="4" t="s">
        <v>23</v>
      </c>
      <c r="I1918" s="8">
        <v>25.3</v>
      </c>
      <c r="J1918" s="3">
        <v>10320</v>
      </c>
      <c r="K1918" s="3">
        <v>50701</v>
      </c>
      <c r="L1918" s="17" t="str" cm="1">
        <f t="array" ref="L1918">_xlfn.IFS(MID(K1918,2,2)="01", "서울", MID(K1918,2,2)="02","경기",MID(K1918,2,2)="03","충청",MID(K1918,2,2)="04","충청",MID(K1918,2,2)="05","전라",MID(K1918,2,2)="06","전라",MID(K1918,2,2)="07","경북",MID(K1918,2,2)="08","경남",MID(K1918,2,2)="09","강원",MID(K1918,2,2)="10","제주",TRUE,"국외")</f>
        <v>경북</v>
      </c>
    </row>
    <row r="1919" spans="1:12" ht="17.25" thickBot="1">
      <c r="A1919" s="3" t="s">
        <v>1986</v>
      </c>
      <c r="B1919" s="3" t="s">
        <v>50</v>
      </c>
      <c r="C1919" s="3" t="s">
        <v>329</v>
      </c>
      <c r="D1919" s="4" t="s">
        <v>243</v>
      </c>
      <c r="E1919" s="4" t="s">
        <v>3</v>
      </c>
      <c r="F1919" s="4">
        <v>2009</v>
      </c>
      <c r="G1919" s="8">
        <v>-0.5</v>
      </c>
      <c r="H1919" s="4" t="s">
        <v>3</v>
      </c>
      <c r="I1919" s="8">
        <v>0.6</v>
      </c>
      <c r="J1919" s="3">
        <v>10554</v>
      </c>
      <c r="K1919" s="3">
        <v>50301</v>
      </c>
      <c r="L1919" s="17" t="str" cm="1">
        <f t="array" ref="L1919">_xlfn.IFS(MID(K1919,2,2)="01", "서울", MID(K1919,2,2)="02","경기",MID(K1919,2,2)="03","충청",MID(K1919,2,2)="04","충청",MID(K1919,2,2)="05","전라",MID(K1919,2,2)="06","전라",MID(K1919,2,2)="07","경북",MID(K1919,2,2)="08","경남",MID(K1919,2,2)="09","강원",MID(K1919,2,2)="10","제주",TRUE,"국외")</f>
        <v>충청</v>
      </c>
    </row>
    <row r="1920" spans="1:12" ht="17.25" thickBot="1">
      <c r="A1920" s="3" t="s">
        <v>1987</v>
      </c>
      <c r="B1920" s="3" t="s">
        <v>32</v>
      </c>
      <c r="C1920" s="3"/>
      <c r="D1920" s="4" t="s">
        <v>243</v>
      </c>
      <c r="E1920" s="4" t="s">
        <v>1988</v>
      </c>
      <c r="F1920" s="4">
        <v>2009</v>
      </c>
      <c r="G1920" s="8">
        <v>0.6</v>
      </c>
      <c r="H1920" s="4" t="s">
        <v>12</v>
      </c>
      <c r="I1920" s="8">
        <v>5.9</v>
      </c>
      <c r="J1920" s="3">
        <v>10423</v>
      </c>
      <c r="K1920" s="3">
        <v>50111</v>
      </c>
      <c r="L1920" s="17" t="str" cm="1">
        <f t="array" ref="L1920">_xlfn.IFS(MID(K1920,2,2)="01", "서울", MID(K1920,2,2)="02","경기",MID(K1920,2,2)="03","충청",MID(K1920,2,2)="04","충청",MID(K1920,2,2)="05","전라",MID(K1920,2,2)="06","전라",MID(K1920,2,2)="07","경북",MID(K1920,2,2)="08","경남",MID(K1920,2,2)="09","강원",MID(K1920,2,2)="10","제주",TRUE,"국외")</f>
        <v>서울</v>
      </c>
    </row>
    <row r="1921" spans="1:12" ht="17.25" thickBot="1">
      <c r="A1921" s="3" t="s">
        <v>1989</v>
      </c>
      <c r="B1921" s="3" t="s">
        <v>1</v>
      </c>
      <c r="C1921" s="3"/>
      <c r="D1921" s="4" t="s">
        <v>254</v>
      </c>
      <c r="E1921" s="4" t="s">
        <v>6</v>
      </c>
      <c r="F1921" s="4">
        <v>2009</v>
      </c>
      <c r="G1921" s="8">
        <v>0.5</v>
      </c>
      <c r="H1921" s="4" t="s">
        <v>6</v>
      </c>
      <c r="I1921" s="8">
        <v>37.799999999999997</v>
      </c>
      <c r="J1921" s="3">
        <v>10014</v>
      </c>
      <c r="K1921" s="3">
        <v>50107</v>
      </c>
      <c r="L1921" s="17" t="str" cm="1">
        <f t="array" ref="L1921">_xlfn.IFS(MID(K1921,2,2)="01", "서울", MID(K1921,2,2)="02","경기",MID(K1921,2,2)="03","충청",MID(K1921,2,2)="04","충청",MID(K1921,2,2)="05","전라",MID(K1921,2,2)="06","전라",MID(K1921,2,2)="07","경북",MID(K1921,2,2)="08","경남",MID(K1921,2,2)="09","강원",MID(K1921,2,2)="10","제주",TRUE,"국외")</f>
        <v>서울</v>
      </c>
    </row>
    <row r="1922" spans="1:12" ht="17.25" thickBot="1">
      <c r="A1922" s="3" t="s">
        <v>1990</v>
      </c>
      <c r="B1922" s="3" t="s">
        <v>169</v>
      </c>
      <c r="C1922" s="3"/>
      <c r="D1922" s="4" t="s">
        <v>254</v>
      </c>
      <c r="E1922" s="4" t="s">
        <v>9</v>
      </c>
      <c r="F1922" s="4">
        <v>2010</v>
      </c>
      <c r="G1922" s="9"/>
      <c r="H1922" s="4" t="s">
        <v>9</v>
      </c>
      <c r="I1922" s="8">
        <v>4.9000000000000004</v>
      </c>
      <c r="J1922" s="3">
        <v>10301</v>
      </c>
      <c r="K1922" s="3">
        <v>50606</v>
      </c>
      <c r="L1922" s="17" t="str" cm="1">
        <f t="array" ref="L1922">_xlfn.IFS(MID(K1922,2,2)="01", "서울", MID(K1922,2,2)="02","경기",MID(K1922,2,2)="03","충청",MID(K1922,2,2)="04","충청",MID(K1922,2,2)="05","전라",MID(K1922,2,2)="06","전라",MID(K1922,2,2)="07","경북",MID(K1922,2,2)="08","경남",MID(K1922,2,2)="09","강원",MID(K1922,2,2)="10","제주",TRUE,"국외")</f>
        <v>전라</v>
      </c>
    </row>
    <row r="1923" spans="1:12" ht="17.25" thickBot="1">
      <c r="A1923" s="3" t="s">
        <v>1991</v>
      </c>
      <c r="B1923" s="3" t="s">
        <v>351</v>
      </c>
      <c r="C1923" s="3" t="s">
        <v>1942</v>
      </c>
      <c r="D1923" s="4" t="s">
        <v>254</v>
      </c>
      <c r="E1923" s="4" t="s">
        <v>1988</v>
      </c>
      <c r="F1923" s="4">
        <v>2009</v>
      </c>
      <c r="G1923" s="8">
        <v>-0.2</v>
      </c>
      <c r="H1923" s="4" t="s">
        <v>18</v>
      </c>
      <c r="I1923" s="8">
        <v>-1.9</v>
      </c>
      <c r="J1923" s="3">
        <v>10404</v>
      </c>
      <c r="K1923" s="3">
        <v>50203</v>
      </c>
      <c r="L1923" s="17" t="str" cm="1">
        <f t="array" ref="L1923">_xlfn.IFS(MID(K1923,2,2)="01", "서울", MID(K1923,2,2)="02","경기",MID(K1923,2,2)="03","충청",MID(K1923,2,2)="04","충청",MID(K1923,2,2)="05","전라",MID(K1923,2,2)="06","전라",MID(K1923,2,2)="07","경북",MID(K1923,2,2)="08","경남",MID(K1923,2,2)="09","강원",MID(K1923,2,2)="10","제주",TRUE,"국외")</f>
        <v>경기</v>
      </c>
    </row>
    <row r="1924" spans="1:12" ht="17.25" thickBot="1">
      <c r="A1924" s="3" t="s">
        <v>1992</v>
      </c>
      <c r="B1924" s="3" t="s">
        <v>158</v>
      </c>
      <c r="C1924" s="3"/>
      <c r="D1924" s="4" t="s">
        <v>254</v>
      </c>
      <c r="E1924" s="4" t="s">
        <v>20</v>
      </c>
      <c r="F1924" s="4">
        <v>2009</v>
      </c>
      <c r="G1924" s="8">
        <v>-0.1</v>
      </c>
      <c r="H1924" s="4" t="s">
        <v>20</v>
      </c>
      <c r="I1924" s="8">
        <v>5</v>
      </c>
      <c r="J1924" s="3">
        <v>10539</v>
      </c>
      <c r="K1924" s="3">
        <v>50501</v>
      </c>
      <c r="L1924" s="17" t="str" cm="1">
        <f t="array" ref="L1924">_xlfn.IFS(MID(K1924,2,2)="01", "서울", MID(K1924,2,2)="02","경기",MID(K1924,2,2)="03","충청",MID(K1924,2,2)="04","충청",MID(K1924,2,2)="05","전라",MID(K1924,2,2)="06","전라",MID(K1924,2,2)="07","경북",MID(K1924,2,2)="08","경남",MID(K1924,2,2)="09","강원",MID(K1924,2,2)="10","제주",TRUE,"국외")</f>
        <v>전라</v>
      </c>
    </row>
    <row r="1925" spans="1:12" ht="17.25" thickBot="1">
      <c r="A1925" s="3" t="s">
        <v>1993</v>
      </c>
      <c r="B1925" s="3" t="s">
        <v>11</v>
      </c>
      <c r="C1925" s="3" t="s">
        <v>1479</v>
      </c>
      <c r="D1925" s="4" t="s">
        <v>254</v>
      </c>
      <c r="E1925" s="4" t="s">
        <v>23</v>
      </c>
      <c r="F1925" s="4">
        <v>2009</v>
      </c>
      <c r="G1925" s="8">
        <v>0</v>
      </c>
      <c r="H1925" s="4" t="s">
        <v>23</v>
      </c>
      <c r="I1925" s="8">
        <v>0</v>
      </c>
      <c r="J1925" s="3">
        <v>10361</v>
      </c>
      <c r="K1925" s="3">
        <v>50802</v>
      </c>
      <c r="L1925" s="17" t="str" cm="1">
        <f t="array" ref="L1925">_xlfn.IFS(MID(K1925,2,2)="01", "서울", MID(K1925,2,2)="02","경기",MID(K1925,2,2)="03","충청",MID(K1925,2,2)="04","충청",MID(K1925,2,2)="05","전라",MID(K1925,2,2)="06","전라",MID(K1925,2,2)="07","경북",MID(K1925,2,2)="08","경남",MID(K1925,2,2)="09","강원",MID(K1925,2,2)="10","제주",TRUE,"국외")</f>
        <v>경남</v>
      </c>
    </row>
    <row r="1926" spans="1:12" ht="17.25" thickBot="1">
      <c r="A1926" s="3" t="s">
        <v>1994</v>
      </c>
      <c r="B1926" s="3" t="s">
        <v>40</v>
      </c>
      <c r="C1926" s="3" t="s">
        <v>172</v>
      </c>
      <c r="D1926" s="4" t="s">
        <v>254</v>
      </c>
      <c r="E1926" s="4" t="s">
        <v>3</v>
      </c>
      <c r="F1926" s="4">
        <v>2014</v>
      </c>
      <c r="G1926" s="9"/>
      <c r="H1926" s="4" t="s">
        <v>3</v>
      </c>
      <c r="I1926" s="8">
        <v>0</v>
      </c>
      <c r="J1926" s="3">
        <v>10581</v>
      </c>
      <c r="K1926" s="3">
        <v>50108</v>
      </c>
      <c r="L1926" s="17" t="str" cm="1">
        <f t="array" ref="L1926">_xlfn.IFS(MID(K1926,2,2)="01", "서울", MID(K1926,2,2)="02","경기",MID(K1926,2,2)="03","충청",MID(K1926,2,2)="04","충청",MID(K1926,2,2)="05","전라",MID(K1926,2,2)="06","전라",MID(K1926,2,2)="07","경북",MID(K1926,2,2)="08","경남",MID(K1926,2,2)="09","강원",MID(K1926,2,2)="10","제주",TRUE,"국외")</f>
        <v>서울</v>
      </c>
    </row>
    <row r="1927" spans="1:12" ht="17.25" thickBot="1">
      <c r="A1927" s="3" t="s">
        <v>1995</v>
      </c>
      <c r="B1927" s="3" t="s">
        <v>107</v>
      </c>
      <c r="C1927" s="3"/>
      <c r="D1927" s="4" t="s">
        <v>254</v>
      </c>
      <c r="E1927" s="4" t="s">
        <v>26</v>
      </c>
      <c r="F1927" s="4">
        <v>2012</v>
      </c>
      <c r="G1927" s="9"/>
      <c r="H1927" s="4" t="s">
        <v>26</v>
      </c>
      <c r="I1927" s="8">
        <v>20.100000000000001</v>
      </c>
      <c r="J1927" s="3">
        <v>10184</v>
      </c>
      <c r="K1927" s="3">
        <v>50602</v>
      </c>
      <c r="L1927" s="17" t="str" cm="1">
        <f t="array" ref="L1927">_xlfn.IFS(MID(K1927,2,2)="01", "서울", MID(K1927,2,2)="02","경기",MID(K1927,2,2)="03","충청",MID(K1927,2,2)="04","충청",MID(K1927,2,2)="05","전라",MID(K1927,2,2)="06","전라",MID(K1927,2,2)="07","경북",MID(K1927,2,2)="08","경남",MID(K1927,2,2)="09","강원",MID(K1927,2,2)="10","제주",TRUE,"국외")</f>
        <v>전라</v>
      </c>
    </row>
    <row r="1928" spans="1:12" ht="17.25" thickBot="1">
      <c r="A1928" s="3" t="s">
        <v>1996</v>
      </c>
      <c r="B1928" s="3" t="s">
        <v>42</v>
      </c>
      <c r="C1928" s="3" t="s">
        <v>218</v>
      </c>
      <c r="D1928" s="4" t="s">
        <v>254</v>
      </c>
      <c r="E1928" s="4" t="s">
        <v>607</v>
      </c>
      <c r="F1928" s="4">
        <v>2009</v>
      </c>
      <c r="G1928" s="8">
        <v>-0.7</v>
      </c>
      <c r="H1928" s="4" t="s">
        <v>20</v>
      </c>
      <c r="I1928" s="8">
        <v>0.8</v>
      </c>
      <c r="J1928" s="3">
        <v>10134</v>
      </c>
      <c r="K1928" s="3">
        <v>50502</v>
      </c>
      <c r="L1928" s="17" t="str" cm="1">
        <f t="array" ref="L1928">_xlfn.IFS(MID(K1928,2,2)="01", "서울", MID(K1928,2,2)="02","경기",MID(K1928,2,2)="03","충청",MID(K1928,2,2)="04","충청",MID(K1928,2,2)="05","전라",MID(K1928,2,2)="06","전라",MID(K1928,2,2)="07","경북",MID(K1928,2,2)="08","경남",MID(K1928,2,2)="09","강원",MID(K1928,2,2)="10","제주",TRUE,"국외")</f>
        <v>전라</v>
      </c>
    </row>
    <row r="1929" spans="1:12" ht="17.25" thickBot="1">
      <c r="A1929" s="3" t="s">
        <v>1997</v>
      </c>
      <c r="B1929" s="3" t="s">
        <v>121</v>
      </c>
      <c r="C1929" s="3"/>
      <c r="D1929" s="4" t="s">
        <v>254</v>
      </c>
      <c r="E1929" s="4" t="s">
        <v>607</v>
      </c>
      <c r="F1929" s="4">
        <v>2010</v>
      </c>
      <c r="G1929" s="9"/>
      <c r="H1929" s="4" t="s">
        <v>607</v>
      </c>
      <c r="I1929" s="8">
        <v>0</v>
      </c>
      <c r="J1929" s="3">
        <v>10095</v>
      </c>
      <c r="K1929" s="3">
        <v>50604</v>
      </c>
      <c r="L1929" s="17" t="str" cm="1">
        <f t="array" ref="L1929">_xlfn.IFS(MID(K1929,2,2)="01", "서울", MID(K1929,2,2)="02","경기",MID(K1929,2,2)="03","충청",MID(K1929,2,2)="04","충청",MID(K1929,2,2)="05","전라",MID(K1929,2,2)="06","전라",MID(K1929,2,2)="07","경북",MID(K1929,2,2)="08","경남",MID(K1929,2,2)="09","강원",MID(K1929,2,2)="10","제주",TRUE,"국외")</f>
        <v>전라</v>
      </c>
    </row>
    <row r="1930" spans="1:12" ht="17.25" thickBot="1">
      <c r="A1930" s="3" t="s">
        <v>452</v>
      </c>
      <c r="B1930" s="3" t="s">
        <v>1</v>
      </c>
      <c r="C1930" s="3"/>
      <c r="D1930" s="4" t="s">
        <v>254</v>
      </c>
      <c r="E1930" s="4" t="s">
        <v>26</v>
      </c>
      <c r="F1930" s="4">
        <v>2009</v>
      </c>
      <c r="G1930" s="8">
        <v>0</v>
      </c>
      <c r="H1930" s="4" t="s">
        <v>26</v>
      </c>
      <c r="I1930" s="8">
        <v>38.5</v>
      </c>
      <c r="J1930" s="3">
        <v>10189</v>
      </c>
      <c r="K1930" s="3">
        <v>50107</v>
      </c>
      <c r="L1930" s="17" t="str" cm="1">
        <f t="array" ref="L1930">_xlfn.IFS(MID(K1930,2,2)="01", "서울", MID(K1930,2,2)="02","경기",MID(K1930,2,2)="03","충청",MID(K1930,2,2)="04","충청",MID(K1930,2,2)="05","전라",MID(K1930,2,2)="06","전라",MID(K1930,2,2)="07","경북",MID(K1930,2,2)="08","경남",MID(K1930,2,2)="09","강원",MID(K1930,2,2)="10","제주",TRUE,"국외")</f>
        <v>서울</v>
      </c>
    </row>
    <row r="1931" spans="1:12" ht="17.25" thickBot="1">
      <c r="A1931" s="3" t="s">
        <v>1998</v>
      </c>
      <c r="B1931" s="3" t="s">
        <v>68</v>
      </c>
      <c r="C1931" s="3" t="s">
        <v>99</v>
      </c>
      <c r="D1931" s="4" t="s">
        <v>254</v>
      </c>
      <c r="E1931" s="4" t="s">
        <v>3</v>
      </c>
      <c r="F1931" s="4">
        <v>2009</v>
      </c>
      <c r="G1931" s="8">
        <v>0.8</v>
      </c>
      <c r="H1931" s="4" t="s">
        <v>3</v>
      </c>
      <c r="I1931" s="8">
        <v>-2.9</v>
      </c>
      <c r="J1931" s="3">
        <v>10620</v>
      </c>
      <c r="K1931" s="3">
        <v>50101</v>
      </c>
      <c r="L1931" s="17" t="str" cm="1">
        <f t="array" ref="L1931">_xlfn.IFS(MID(K1931,2,2)="01", "서울", MID(K1931,2,2)="02","경기",MID(K1931,2,2)="03","충청",MID(K1931,2,2)="04","충청",MID(K1931,2,2)="05","전라",MID(K1931,2,2)="06","전라",MID(K1931,2,2)="07","경북",MID(K1931,2,2)="08","경남",MID(K1931,2,2)="09","강원",MID(K1931,2,2)="10","제주",TRUE,"국외")</f>
        <v>서울</v>
      </c>
    </row>
    <row r="1932" spans="1:12" ht="17.25" thickBot="1">
      <c r="A1932" s="3" t="s">
        <v>1999</v>
      </c>
      <c r="B1932" s="3" t="s">
        <v>25</v>
      </c>
      <c r="C1932" s="3"/>
      <c r="D1932" s="4" t="s">
        <v>254</v>
      </c>
      <c r="E1932" s="4" t="s">
        <v>1988</v>
      </c>
      <c r="F1932" s="4">
        <v>2010</v>
      </c>
      <c r="G1932" s="9"/>
      <c r="H1932" s="4" t="s">
        <v>9</v>
      </c>
      <c r="I1932" s="8">
        <v>8</v>
      </c>
      <c r="J1932" s="3">
        <v>10424</v>
      </c>
      <c r="K1932" s="3">
        <v>50403</v>
      </c>
      <c r="L1932" s="17" t="str" cm="1">
        <f t="array" ref="L1932">_xlfn.IFS(MID(K1932,2,2)="01", "서울", MID(K1932,2,2)="02","경기",MID(K1932,2,2)="03","충청",MID(K1932,2,2)="04","충청",MID(K1932,2,2)="05","전라",MID(K1932,2,2)="06","전라",MID(K1932,2,2)="07","경북",MID(K1932,2,2)="08","경남",MID(K1932,2,2)="09","강원",MID(K1932,2,2)="10","제주",TRUE,"국외")</f>
        <v>충청</v>
      </c>
    </row>
    <row r="1933" spans="1:12" ht="17.25" thickBot="1">
      <c r="A1933" s="3" t="s">
        <v>2000</v>
      </c>
      <c r="B1933" s="3" t="s">
        <v>121</v>
      </c>
      <c r="C1933" s="3"/>
      <c r="D1933" s="4" t="s">
        <v>254</v>
      </c>
      <c r="E1933" s="4" t="s">
        <v>23</v>
      </c>
      <c r="F1933" s="4">
        <v>2009</v>
      </c>
      <c r="G1933" s="8">
        <v>0</v>
      </c>
      <c r="H1933" s="4" t="s">
        <v>23</v>
      </c>
      <c r="I1933" s="8">
        <v>4</v>
      </c>
      <c r="J1933" s="3">
        <v>10343</v>
      </c>
      <c r="K1933" s="3">
        <v>50604</v>
      </c>
      <c r="L1933" s="17" t="str" cm="1">
        <f t="array" ref="L1933">_xlfn.IFS(MID(K1933,2,2)="01", "서울", MID(K1933,2,2)="02","경기",MID(K1933,2,2)="03","충청",MID(K1933,2,2)="04","충청",MID(K1933,2,2)="05","전라",MID(K1933,2,2)="06","전라",MID(K1933,2,2)="07","경북",MID(K1933,2,2)="08","경남",MID(K1933,2,2)="09","강원",MID(K1933,2,2)="10","제주",TRUE,"국외")</f>
        <v>전라</v>
      </c>
    </row>
    <row r="1934" spans="1:12" ht="17.25" thickBot="1">
      <c r="A1934" s="3" t="s">
        <v>2001</v>
      </c>
      <c r="B1934" s="3" t="s">
        <v>74</v>
      </c>
      <c r="C1934" s="3"/>
      <c r="D1934" s="4" t="s">
        <v>254</v>
      </c>
      <c r="E1934" s="4" t="s">
        <v>20</v>
      </c>
      <c r="F1934" s="4">
        <v>2009</v>
      </c>
      <c r="G1934" s="8">
        <v>-1.8</v>
      </c>
      <c r="H1934" s="4" t="s">
        <v>20</v>
      </c>
      <c r="I1934" s="8">
        <v>-0.1</v>
      </c>
      <c r="J1934" s="3">
        <v>10535</v>
      </c>
      <c r="K1934" s="3">
        <v>50102</v>
      </c>
      <c r="L1934" s="17" t="str" cm="1">
        <f t="array" ref="L1934">_xlfn.IFS(MID(K1934,2,2)="01", "서울", MID(K1934,2,2)="02","경기",MID(K1934,2,2)="03","충청",MID(K1934,2,2)="04","충청",MID(K1934,2,2)="05","전라",MID(K1934,2,2)="06","전라",MID(K1934,2,2)="07","경북",MID(K1934,2,2)="08","경남",MID(K1934,2,2)="09","강원",MID(K1934,2,2)="10","제주",TRUE,"국외")</f>
        <v>서울</v>
      </c>
    </row>
    <row r="1935" spans="1:12" ht="17.25" thickBot="1">
      <c r="A1935" s="3" t="s">
        <v>2002</v>
      </c>
      <c r="B1935" s="3" t="s">
        <v>70</v>
      </c>
      <c r="C1935" s="3" t="s">
        <v>1796</v>
      </c>
      <c r="D1935" s="4" t="s">
        <v>254</v>
      </c>
      <c r="E1935" s="4" t="s">
        <v>9</v>
      </c>
      <c r="F1935" s="4">
        <v>2009</v>
      </c>
      <c r="G1935" s="8">
        <v>0</v>
      </c>
      <c r="H1935" s="4" t="s">
        <v>9</v>
      </c>
      <c r="I1935" s="8">
        <v>-0.9</v>
      </c>
      <c r="J1935" s="3">
        <v>10248</v>
      </c>
      <c r="K1935" s="3">
        <v>50103</v>
      </c>
      <c r="L1935" s="17" t="str" cm="1">
        <f t="array" ref="L1935">_xlfn.IFS(MID(K1935,2,2)="01", "서울", MID(K1935,2,2)="02","경기",MID(K1935,2,2)="03","충청",MID(K1935,2,2)="04","충청",MID(K1935,2,2)="05","전라",MID(K1935,2,2)="06","전라",MID(K1935,2,2)="07","경북",MID(K1935,2,2)="08","경남",MID(K1935,2,2)="09","강원",MID(K1935,2,2)="10","제주",TRUE,"국외")</f>
        <v>서울</v>
      </c>
    </row>
    <row r="1936" spans="1:12" ht="17.25" thickBot="1">
      <c r="A1936" s="3" t="s">
        <v>2003</v>
      </c>
      <c r="B1936" s="3" t="s">
        <v>5</v>
      </c>
      <c r="C1936" s="3"/>
      <c r="D1936" s="4" t="s">
        <v>254</v>
      </c>
      <c r="E1936" s="4" t="s">
        <v>6</v>
      </c>
      <c r="F1936" s="4">
        <v>2009</v>
      </c>
      <c r="G1936" s="8">
        <v>-0.1</v>
      </c>
      <c r="H1936" s="4" t="s">
        <v>6</v>
      </c>
      <c r="I1936" s="8">
        <v>-0.1</v>
      </c>
      <c r="J1936" s="3">
        <v>10072</v>
      </c>
      <c r="K1936" s="3">
        <v>50114</v>
      </c>
      <c r="L1936" s="17" t="str" cm="1">
        <f t="array" ref="L1936">_xlfn.IFS(MID(K1936,2,2)="01", "서울", MID(K1936,2,2)="02","경기",MID(K1936,2,2)="03","충청",MID(K1936,2,2)="04","충청",MID(K1936,2,2)="05","전라",MID(K1936,2,2)="06","전라",MID(K1936,2,2)="07","경북",MID(K1936,2,2)="08","경남",MID(K1936,2,2)="09","강원",MID(K1936,2,2)="10","제주",TRUE,"국외")</f>
        <v>서울</v>
      </c>
    </row>
    <row r="1937" spans="1:12" ht="17.25" thickBot="1">
      <c r="A1937" s="3" t="s">
        <v>2004</v>
      </c>
      <c r="B1937" s="3" t="s">
        <v>70</v>
      </c>
      <c r="C1937" s="3" t="s">
        <v>218</v>
      </c>
      <c r="D1937" s="4" t="s">
        <v>254</v>
      </c>
      <c r="E1937" s="4" t="s">
        <v>6</v>
      </c>
      <c r="F1937" s="4">
        <v>2009</v>
      </c>
      <c r="G1937" s="8">
        <v>0</v>
      </c>
      <c r="H1937" s="4" t="s">
        <v>6</v>
      </c>
      <c r="I1937" s="8">
        <v>0</v>
      </c>
      <c r="J1937" s="3">
        <v>10013</v>
      </c>
      <c r="K1937" s="3">
        <v>50103</v>
      </c>
      <c r="L1937" s="17" t="str" cm="1">
        <f t="array" ref="L1937">_xlfn.IFS(MID(K1937,2,2)="01", "서울", MID(K1937,2,2)="02","경기",MID(K1937,2,2)="03","충청",MID(K1937,2,2)="04","충청",MID(K1937,2,2)="05","전라",MID(K1937,2,2)="06","전라",MID(K1937,2,2)="07","경북",MID(K1937,2,2)="08","경남",MID(K1937,2,2)="09","강원",MID(K1937,2,2)="10","제주",TRUE,"국외")</f>
        <v>서울</v>
      </c>
    </row>
    <row r="1938" spans="1:12" ht="17.25" thickBot="1">
      <c r="A1938" s="3" t="s">
        <v>302</v>
      </c>
      <c r="B1938" s="3" t="s">
        <v>8</v>
      </c>
      <c r="C1938" s="3" t="s">
        <v>1796</v>
      </c>
      <c r="D1938" s="4" t="s">
        <v>254</v>
      </c>
      <c r="E1938" s="4" t="s">
        <v>9</v>
      </c>
      <c r="F1938" s="4">
        <v>2010</v>
      </c>
      <c r="G1938" s="9"/>
      <c r="H1938" s="4" t="s">
        <v>9</v>
      </c>
      <c r="I1938" s="8">
        <v>2.6</v>
      </c>
      <c r="J1938" s="3">
        <v>10305</v>
      </c>
      <c r="K1938" s="3">
        <v>50116</v>
      </c>
      <c r="L1938" s="17" t="str" cm="1">
        <f t="array" ref="L1938">_xlfn.IFS(MID(K1938,2,2)="01", "서울", MID(K1938,2,2)="02","경기",MID(K1938,2,2)="03","충청",MID(K1938,2,2)="04","충청",MID(K1938,2,2)="05","전라",MID(K1938,2,2)="06","전라",MID(K1938,2,2)="07","경북",MID(K1938,2,2)="08","경남",MID(K1938,2,2)="09","강원",MID(K1938,2,2)="10","제주",TRUE,"국외")</f>
        <v>서울</v>
      </c>
    </row>
    <row r="1939" spans="1:12" ht="17.25" thickBot="1">
      <c r="A1939" s="3" t="s">
        <v>2005</v>
      </c>
      <c r="B1939" s="3" t="s">
        <v>140</v>
      </c>
      <c r="C1939" s="3"/>
      <c r="D1939" s="4" t="s">
        <v>254</v>
      </c>
      <c r="E1939" s="4" t="s">
        <v>1988</v>
      </c>
      <c r="F1939" s="4">
        <v>2010</v>
      </c>
      <c r="G1939" s="9"/>
      <c r="H1939" s="4" t="s">
        <v>18</v>
      </c>
      <c r="I1939" s="8">
        <v>21.9</v>
      </c>
      <c r="J1939" s="3">
        <v>10387</v>
      </c>
      <c r="K1939" s="3">
        <v>50801</v>
      </c>
      <c r="L1939" s="17" t="str" cm="1">
        <f t="array" ref="L1939">_xlfn.IFS(MID(K1939,2,2)="01", "서울", MID(K1939,2,2)="02","경기",MID(K1939,2,2)="03","충청",MID(K1939,2,2)="04","충청",MID(K1939,2,2)="05","전라",MID(K1939,2,2)="06","전라",MID(K1939,2,2)="07","경북",MID(K1939,2,2)="08","경남",MID(K1939,2,2)="09","강원",MID(K1939,2,2)="10","제주",TRUE,"국외")</f>
        <v>경남</v>
      </c>
    </row>
    <row r="1940" spans="1:12" ht="17.25" thickBot="1">
      <c r="A1940" s="3" t="s">
        <v>2006</v>
      </c>
      <c r="B1940" s="3" t="s">
        <v>22</v>
      </c>
      <c r="C1940" s="3"/>
      <c r="D1940" s="4" t="s">
        <v>254</v>
      </c>
      <c r="E1940" s="4" t="s">
        <v>20</v>
      </c>
      <c r="F1940" s="4">
        <v>2014</v>
      </c>
      <c r="G1940" s="9"/>
      <c r="H1940" s="4" t="s">
        <v>607</v>
      </c>
      <c r="I1940" s="8">
        <v>0.5</v>
      </c>
      <c r="J1940" s="3">
        <v>10495</v>
      </c>
      <c r="K1940" s="3">
        <v>50209</v>
      </c>
      <c r="L1940" s="17" t="str" cm="1">
        <f t="array" ref="L1940">_xlfn.IFS(MID(K1940,2,2)="01", "서울", MID(K1940,2,2)="02","경기",MID(K1940,2,2)="03","충청",MID(K1940,2,2)="04","충청",MID(K1940,2,2)="05","전라",MID(K1940,2,2)="06","전라",MID(K1940,2,2)="07","경북",MID(K1940,2,2)="08","경남",MID(K1940,2,2)="09","강원",MID(K1940,2,2)="10","제주",TRUE,"국외")</f>
        <v>경기</v>
      </c>
    </row>
    <row r="1941" spans="1:12" ht="17.25" thickBot="1">
      <c r="A1941" s="3" t="s">
        <v>2007</v>
      </c>
      <c r="B1941" s="3" t="s">
        <v>14</v>
      </c>
      <c r="C1941" s="3" t="s">
        <v>1479</v>
      </c>
      <c r="D1941" s="4" t="s">
        <v>254</v>
      </c>
      <c r="E1941" s="4" t="s">
        <v>23</v>
      </c>
      <c r="F1941" s="4">
        <v>2010</v>
      </c>
      <c r="G1941" s="9"/>
      <c r="H1941" s="4" t="s">
        <v>23</v>
      </c>
      <c r="I1941" s="8">
        <v>5.9</v>
      </c>
      <c r="J1941" s="3">
        <v>10376</v>
      </c>
      <c r="K1941" s="3">
        <v>50703</v>
      </c>
      <c r="L1941" s="17" t="str" cm="1">
        <f t="array" ref="L1941">_xlfn.IFS(MID(K1941,2,2)="01", "서울", MID(K1941,2,2)="02","경기",MID(K1941,2,2)="03","충청",MID(K1941,2,2)="04","충청",MID(K1941,2,2)="05","전라",MID(K1941,2,2)="06","전라",MID(K1941,2,2)="07","경북",MID(K1941,2,2)="08","경남",MID(K1941,2,2)="09","강원",MID(K1941,2,2)="10","제주",TRUE,"국외")</f>
        <v>경북</v>
      </c>
    </row>
    <row r="1942" spans="1:12" ht="17.25" thickBot="1">
      <c r="A1942" s="3" t="s">
        <v>2008</v>
      </c>
      <c r="B1942" s="3" t="s">
        <v>107</v>
      </c>
      <c r="C1942" s="3"/>
      <c r="D1942" s="4" t="s">
        <v>254</v>
      </c>
      <c r="E1942" s="4" t="s">
        <v>3</v>
      </c>
      <c r="F1942" s="4">
        <v>2010</v>
      </c>
      <c r="G1942" s="9"/>
      <c r="H1942" s="4" t="s">
        <v>3</v>
      </c>
      <c r="I1942" s="8">
        <v>6.4</v>
      </c>
      <c r="J1942" s="3">
        <v>10610</v>
      </c>
      <c r="K1942" s="3">
        <v>50602</v>
      </c>
      <c r="L1942" s="17" t="str" cm="1">
        <f t="array" ref="L1942">_xlfn.IFS(MID(K1942,2,2)="01", "서울", MID(K1942,2,2)="02","경기",MID(K1942,2,2)="03","충청",MID(K1942,2,2)="04","충청",MID(K1942,2,2)="05","전라",MID(K1942,2,2)="06","전라",MID(K1942,2,2)="07","경북",MID(K1942,2,2)="08","경남",MID(K1942,2,2)="09","강원",MID(K1942,2,2)="10","제주",TRUE,"국외")</f>
        <v>전라</v>
      </c>
    </row>
    <row r="1943" spans="1:12" ht="17.25" thickBot="1">
      <c r="A1943" s="3" t="s">
        <v>2009</v>
      </c>
      <c r="B1943" s="3" t="s">
        <v>8</v>
      </c>
      <c r="C1943" s="3"/>
      <c r="D1943" s="4" t="s">
        <v>254</v>
      </c>
      <c r="E1943" s="4" t="s">
        <v>26</v>
      </c>
      <c r="F1943" s="4">
        <v>2009</v>
      </c>
      <c r="G1943" s="8">
        <v>-0.5</v>
      </c>
      <c r="H1943" s="4" t="s">
        <v>26</v>
      </c>
      <c r="I1943" s="8">
        <v>-2</v>
      </c>
      <c r="J1943" s="3">
        <v>10227</v>
      </c>
      <c r="K1943" s="3">
        <v>50116</v>
      </c>
      <c r="L1943" s="17" t="str" cm="1">
        <f t="array" ref="L1943">_xlfn.IFS(MID(K1943,2,2)="01", "서울", MID(K1943,2,2)="02","경기",MID(K1943,2,2)="03","충청",MID(K1943,2,2)="04","충청",MID(K1943,2,2)="05","전라",MID(K1943,2,2)="06","전라",MID(K1943,2,2)="07","경북",MID(K1943,2,2)="08","경남",MID(K1943,2,2)="09","강원",MID(K1943,2,2)="10","제주",TRUE,"국외")</f>
        <v>서울</v>
      </c>
    </row>
    <row r="1944" spans="1:12" ht="17.25" thickBot="1">
      <c r="A1944" s="3" t="s">
        <v>2010</v>
      </c>
      <c r="B1944" s="3" t="s">
        <v>101</v>
      </c>
      <c r="C1944" s="3"/>
      <c r="D1944" s="4" t="s">
        <v>254</v>
      </c>
      <c r="E1944" s="4" t="s">
        <v>607</v>
      </c>
      <c r="F1944" s="4">
        <v>2015</v>
      </c>
      <c r="G1944" s="9"/>
      <c r="H1944" s="4" t="s">
        <v>607</v>
      </c>
      <c r="I1944" s="8">
        <v>0.1</v>
      </c>
      <c r="J1944" s="3">
        <v>10143</v>
      </c>
      <c r="K1944" s="3">
        <v>50207</v>
      </c>
      <c r="L1944" s="17" t="str" cm="1">
        <f t="array" ref="L1944">_xlfn.IFS(MID(K1944,2,2)="01", "서울", MID(K1944,2,2)="02","경기",MID(K1944,2,2)="03","충청",MID(K1944,2,2)="04","충청",MID(K1944,2,2)="05","전라",MID(K1944,2,2)="06","전라",MID(K1944,2,2)="07","경북",MID(K1944,2,2)="08","경남",MID(K1944,2,2)="09","강원",MID(K1944,2,2)="10","제주",TRUE,"국외")</f>
        <v>경기</v>
      </c>
    </row>
    <row r="1945" spans="1:12" ht="17.25" thickBot="1">
      <c r="A1945" s="3" t="s">
        <v>2011</v>
      </c>
      <c r="B1945" s="3" t="s">
        <v>112</v>
      </c>
      <c r="C1945" s="3" t="s">
        <v>99</v>
      </c>
      <c r="D1945" s="4" t="s">
        <v>254</v>
      </c>
      <c r="E1945" s="4" t="s">
        <v>607</v>
      </c>
      <c r="F1945" s="4">
        <v>2009</v>
      </c>
      <c r="G1945" s="8">
        <v>0.2</v>
      </c>
      <c r="H1945" s="4" t="s">
        <v>607</v>
      </c>
      <c r="I1945" s="8">
        <v>0.2</v>
      </c>
      <c r="J1945" s="3">
        <v>10078</v>
      </c>
      <c r="K1945" s="3">
        <v>50113</v>
      </c>
      <c r="L1945" s="17" t="str" cm="1">
        <f t="array" ref="L1945">_xlfn.IFS(MID(K1945,2,2)="01", "서울", MID(K1945,2,2)="02","경기",MID(K1945,2,2)="03","충청",MID(K1945,2,2)="04","충청",MID(K1945,2,2)="05","전라",MID(K1945,2,2)="06","전라",MID(K1945,2,2)="07","경북",MID(K1945,2,2)="08","경남",MID(K1945,2,2)="09","강원",MID(K1945,2,2)="10","제주",TRUE,"국외")</f>
        <v>서울</v>
      </c>
    </row>
    <row r="1946" spans="1:12" ht="17.25" thickBot="1">
      <c r="A1946" s="3" t="s">
        <v>2012</v>
      </c>
      <c r="B1946" s="3" t="s">
        <v>93</v>
      </c>
      <c r="C1946" s="3" t="s">
        <v>45</v>
      </c>
      <c r="D1946" s="4" t="s">
        <v>254</v>
      </c>
      <c r="E1946" s="4" t="s">
        <v>3</v>
      </c>
      <c r="F1946" s="4">
        <v>2009</v>
      </c>
      <c r="G1946" s="8">
        <v>-1.6</v>
      </c>
      <c r="H1946" s="4" t="s">
        <v>6</v>
      </c>
      <c r="I1946" s="8">
        <v>-2.1</v>
      </c>
      <c r="J1946" s="3">
        <v>10595</v>
      </c>
      <c r="K1946" s="3">
        <v>50805</v>
      </c>
      <c r="L1946" s="17" t="str" cm="1">
        <f t="array" ref="L1946">_xlfn.IFS(MID(K1946,2,2)="01", "서울", MID(K1946,2,2)="02","경기",MID(K1946,2,2)="03","충청",MID(K1946,2,2)="04","충청",MID(K1946,2,2)="05","전라",MID(K1946,2,2)="06","전라",MID(K1946,2,2)="07","경북",MID(K1946,2,2)="08","경남",MID(K1946,2,2)="09","강원",MID(K1946,2,2)="10","제주",TRUE,"국외")</f>
        <v>경남</v>
      </c>
    </row>
    <row r="1947" spans="1:12" ht="17.25" thickBot="1">
      <c r="A1947" s="3" t="s">
        <v>2013</v>
      </c>
      <c r="B1947" s="3" t="s">
        <v>63</v>
      </c>
      <c r="C1947" s="3" t="s">
        <v>329</v>
      </c>
      <c r="D1947" s="4" t="s">
        <v>254</v>
      </c>
      <c r="E1947" s="4" t="s">
        <v>1988</v>
      </c>
      <c r="F1947" s="4">
        <v>2011</v>
      </c>
      <c r="G1947" s="9"/>
      <c r="H1947" s="4" t="s">
        <v>18</v>
      </c>
      <c r="I1947" s="8">
        <v>1.4</v>
      </c>
      <c r="J1947" s="3">
        <v>10410</v>
      </c>
      <c r="K1947" s="3">
        <v>50807</v>
      </c>
      <c r="L1947" s="17" t="str" cm="1">
        <f t="array" ref="L1947">_xlfn.IFS(MID(K1947,2,2)="01", "서울", MID(K1947,2,2)="02","경기",MID(K1947,2,2)="03","충청",MID(K1947,2,2)="04","충청",MID(K1947,2,2)="05","전라",MID(K1947,2,2)="06","전라",MID(K1947,2,2)="07","경북",MID(K1947,2,2)="08","경남",MID(K1947,2,2)="09","강원",MID(K1947,2,2)="10","제주",TRUE,"국외")</f>
        <v>경남</v>
      </c>
    </row>
    <row r="1948" spans="1:12" ht="17.25" thickBot="1">
      <c r="A1948" s="3" t="s">
        <v>506</v>
      </c>
      <c r="B1948" s="3" t="s">
        <v>1</v>
      </c>
      <c r="C1948" s="3"/>
      <c r="D1948" s="4" t="s">
        <v>254</v>
      </c>
      <c r="E1948" s="4" t="s">
        <v>20</v>
      </c>
      <c r="F1948" s="4">
        <v>2009</v>
      </c>
      <c r="G1948" s="8">
        <v>-0.2</v>
      </c>
      <c r="H1948" s="4" t="s">
        <v>20</v>
      </c>
      <c r="I1948" s="8">
        <v>1.7</v>
      </c>
      <c r="J1948" s="3">
        <v>10536</v>
      </c>
      <c r="K1948" s="3">
        <v>50107</v>
      </c>
      <c r="L1948" s="17" t="str" cm="1">
        <f t="array" ref="L1948">_xlfn.IFS(MID(K1948,2,2)="01", "서울", MID(K1948,2,2)="02","경기",MID(K1948,2,2)="03","충청",MID(K1948,2,2)="04","충청",MID(K1948,2,2)="05","전라",MID(K1948,2,2)="06","전라",MID(K1948,2,2)="07","경북",MID(K1948,2,2)="08","경남",MID(K1948,2,2)="09","강원",MID(K1948,2,2)="10","제주",TRUE,"국외")</f>
        <v>서울</v>
      </c>
    </row>
    <row r="1949" spans="1:12" ht="17.25" thickBot="1">
      <c r="A1949" s="3" t="s">
        <v>2014</v>
      </c>
      <c r="B1949" s="3" t="s">
        <v>147</v>
      </c>
      <c r="C1949" s="3" t="s">
        <v>133</v>
      </c>
      <c r="D1949" s="4" t="s">
        <v>254</v>
      </c>
      <c r="E1949" s="4" t="s">
        <v>23</v>
      </c>
      <c r="F1949" s="4">
        <v>2010</v>
      </c>
      <c r="G1949" s="9"/>
      <c r="H1949" s="4" t="s">
        <v>23</v>
      </c>
      <c r="I1949" s="8">
        <v>7.8</v>
      </c>
      <c r="J1949" s="3">
        <v>10337</v>
      </c>
      <c r="K1949" s="3">
        <v>50208</v>
      </c>
      <c r="L1949" s="17" t="str" cm="1">
        <f t="array" ref="L1949">_xlfn.IFS(MID(K1949,2,2)="01", "서울", MID(K1949,2,2)="02","경기",MID(K1949,2,2)="03","충청",MID(K1949,2,2)="04","충청",MID(K1949,2,2)="05","전라",MID(K1949,2,2)="06","전라",MID(K1949,2,2)="07","경북",MID(K1949,2,2)="08","경남",MID(K1949,2,2)="09","강원",MID(K1949,2,2)="10","제주",TRUE,"국외")</f>
        <v>경기</v>
      </c>
    </row>
    <row r="1950" spans="1:12" ht="17.25" thickBot="1">
      <c r="A1950" s="3" t="s">
        <v>2015</v>
      </c>
      <c r="B1950" s="3" t="s">
        <v>36</v>
      </c>
      <c r="C1950" s="3" t="s">
        <v>119</v>
      </c>
      <c r="D1950" s="4" t="s">
        <v>254</v>
      </c>
      <c r="E1950" s="4" t="s">
        <v>9</v>
      </c>
      <c r="F1950" s="4"/>
      <c r="G1950" s="9"/>
      <c r="H1950" s="4"/>
      <c r="I1950" s="9"/>
      <c r="J1950" s="3">
        <v>10280</v>
      </c>
      <c r="K1950" s="3">
        <v>50402</v>
      </c>
      <c r="L1950" s="17" t="str" cm="1">
        <f t="array" ref="L1950">_xlfn.IFS(MID(K1950,2,2)="01", "서울", MID(K1950,2,2)="02","경기",MID(K1950,2,2)="03","충청",MID(K1950,2,2)="04","충청",MID(K1950,2,2)="05","전라",MID(K1950,2,2)="06","전라",MID(K1950,2,2)="07","경북",MID(K1950,2,2)="08","경남",MID(K1950,2,2)="09","강원",MID(K1950,2,2)="10","제주",TRUE,"국외")</f>
        <v>충청</v>
      </c>
    </row>
    <row r="1951" spans="1:12" ht="17.25" thickBot="1">
      <c r="A1951" s="3" t="s">
        <v>2016</v>
      </c>
      <c r="B1951" s="3" t="s">
        <v>52</v>
      </c>
      <c r="C1951" s="3"/>
      <c r="D1951" s="4" t="s">
        <v>254</v>
      </c>
      <c r="E1951" s="4" t="s">
        <v>6</v>
      </c>
      <c r="F1951" s="4">
        <v>2013</v>
      </c>
      <c r="G1951" s="9"/>
      <c r="H1951" s="4" t="s">
        <v>12</v>
      </c>
      <c r="I1951" s="8">
        <v>-0.2</v>
      </c>
      <c r="J1951" s="3">
        <v>10051</v>
      </c>
      <c r="K1951" s="3">
        <v>50803</v>
      </c>
      <c r="L1951" s="17" t="str" cm="1">
        <f t="array" ref="L1951">_xlfn.IFS(MID(K1951,2,2)="01", "서울", MID(K1951,2,2)="02","경기",MID(K1951,2,2)="03","충청",MID(K1951,2,2)="04","충청",MID(K1951,2,2)="05","전라",MID(K1951,2,2)="06","전라",MID(K1951,2,2)="07","경북",MID(K1951,2,2)="08","경남",MID(K1951,2,2)="09","강원",MID(K1951,2,2)="10","제주",TRUE,"국외")</f>
        <v>경남</v>
      </c>
    </row>
    <row r="1952" spans="1:12" ht="17.25" thickBot="1">
      <c r="A1952" s="3" t="s">
        <v>2017</v>
      </c>
      <c r="B1952" s="3" t="s">
        <v>121</v>
      </c>
      <c r="C1952" s="3" t="s">
        <v>218</v>
      </c>
      <c r="D1952" s="4" t="s">
        <v>254</v>
      </c>
      <c r="E1952" s="4" t="s">
        <v>6</v>
      </c>
      <c r="F1952" s="4"/>
      <c r="G1952" s="9"/>
      <c r="H1952" s="4"/>
      <c r="I1952" s="9"/>
      <c r="J1952" s="3">
        <v>10057</v>
      </c>
      <c r="K1952" s="3">
        <v>50604</v>
      </c>
      <c r="L1952" s="17" t="str" cm="1">
        <f t="array" ref="L1952">_xlfn.IFS(MID(K1952,2,2)="01", "서울", MID(K1952,2,2)="02","경기",MID(K1952,2,2)="03","충청",MID(K1952,2,2)="04","충청",MID(K1952,2,2)="05","전라",MID(K1952,2,2)="06","전라",MID(K1952,2,2)="07","경북",MID(K1952,2,2)="08","경남",MID(K1952,2,2)="09","강원",MID(K1952,2,2)="10","제주",TRUE,"국외")</f>
        <v>전라</v>
      </c>
    </row>
    <row r="1953" spans="1:12" ht="17.25" thickBot="1">
      <c r="A1953" s="3" t="s">
        <v>2018</v>
      </c>
      <c r="B1953" s="3" t="s">
        <v>1398</v>
      </c>
      <c r="C1953" s="3" t="s">
        <v>1796</v>
      </c>
      <c r="D1953" s="4" t="s">
        <v>254</v>
      </c>
      <c r="E1953" s="4" t="s">
        <v>9</v>
      </c>
      <c r="F1953" s="4"/>
      <c r="G1953" s="9"/>
      <c r="H1953" s="4"/>
      <c r="I1953" s="9"/>
      <c r="J1953" s="3">
        <v>10283</v>
      </c>
      <c r="K1953" s="3">
        <v>50708</v>
      </c>
      <c r="L1953" s="17" t="str" cm="1">
        <f t="array" ref="L1953">_xlfn.IFS(MID(K1953,2,2)="01", "서울", MID(K1953,2,2)="02","경기",MID(K1953,2,2)="03","충청",MID(K1953,2,2)="04","충청",MID(K1953,2,2)="05","전라",MID(K1953,2,2)="06","전라",MID(K1953,2,2)="07","경북",MID(K1953,2,2)="08","경남",MID(K1953,2,2)="09","강원",MID(K1953,2,2)="10","제주",TRUE,"국외")</f>
        <v>경북</v>
      </c>
    </row>
    <row r="1954" spans="1:12" ht="17.25" thickBot="1">
      <c r="A1954" s="3" t="s">
        <v>1438</v>
      </c>
      <c r="B1954" s="3" t="s">
        <v>1497</v>
      </c>
      <c r="C1954" s="3" t="s">
        <v>133</v>
      </c>
      <c r="D1954" s="4" t="s">
        <v>254</v>
      </c>
      <c r="E1954" s="4" t="s">
        <v>1988</v>
      </c>
      <c r="F1954" s="4">
        <v>2009</v>
      </c>
      <c r="G1954" s="8">
        <v>-0.3</v>
      </c>
      <c r="H1954" s="4" t="s">
        <v>18</v>
      </c>
      <c r="I1954" s="8">
        <v>-1.1000000000000001</v>
      </c>
      <c r="J1954" s="3">
        <v>10399</v>
      </c>
      <c r="K1954" s="3">
        <v>50112</v>
      </c>
      <c r="L1954" s="17" t="str" cm="1">
        <f t="array" ref="L1954">_xlfn.IFS(MID(K1954,2,2)="01", "서울", MID(K1954,2,2)="02","경기",MID(K1954,2,2)="03","충청",MID(K1954,2,2)="04","충청",MID(K1954,2,2)="05","전라",MID(K1954,2,2)="06","전라",MID(K1954,2,2)="07","경북",MID(K1954,2,2)="08","경남",MID(K1954,2,2)="09","강원",MID(K1954,2,2)="10","제주",TRUE,"국외")</f>
        <v>서울</v>
      </c>
    </row>
    <row r="1955" spans="1:12" ht="17.25" thickBot="1">
      <c r="A1955" s="3" t="s">
        <v>2019</v>
      </c>
      <c r="B1955" s="3" t="s">
        <v>14</v>
      </c>
      <c r="C1955" s="3"/>
      <c r="D1955" s="4" t="s">
        <v>254</v>
      </c>
      <c r="E1955" s="4" t="s">
        <v>20</v>
      </c>
      <c r="F1955" s="4">
        <v>2009</v>
      </c>
      <c r="G1955" s="8">
        <v>-0.1</v>
      </c>
      <c r="H1955" s="4" t="s">
        <v>20</v>
      </c>
      <c r="I1955" s="8">
        <v>2</v>
      </c>
      <c r="J1955" s="3">
        <v>10480</v>
      </c>
      <c r="K1955" s="3">
        <v>50703</v>
      </c>
      <c r="L1955" s="17" t="str" cm="1">
        <f t="array" ref="L1955">_xlfn.IFS(MID(K1955,2,2)="01", "서울", MID(K1955,2,2)="02","경기",MID(K1955,2,2)="03","충청",MID(K1955,2,2)="04","충청",MID(K1955,2,2)="05","전라",MID(K1955,2,2)="06","전라",MID(K1955,2,2)="07","경북",MID(K1955,2,2)="08","경남",MID(K1955,2,2)="09","강원",MID(K1955,2,2)="10","제주",TRUE,"국외")</f>
        <v>경북</v>
      </c>
    </row>
    <row r="1956" spans="1:12" ht="17.25" thickBot="1">
      <c r="A1956" s="3" t="s">
        <v>2020</v>
      </c>
      <c r="B1956" s="3" t="s">
        <v>169</v>
      </c>
      <c r="C1956" s="3" t="s">
        <v>85</v>
      </c>
      <c r="D1956" s="4" t="s">
        <v>254</v>
      </c>
      <c r="E1956" s="4" t="s">
        <v>23</v>
      </c>
      <c r="F1956" s="4">
        <v>2009</v>
      </c>
      <c r="G1956" s="8">
        <v>-0.5</v>
      </c>
      <c r="H1956" s="4" t="s">
        <v>23</v>
      </c>
      <c r="I1956" s="8">
        <v>-0.5</v>
      </c>
      <c r="J1956" s="3">
        <v>10365</v>
      </c>
      <c r="K1956" s="3">
        <v>50606</v>
      </c>
      <c r="L1956" s="17" t="str" cm="1">
        <f t="array" ref="L1956">_xlfn.IFS(MID(K1956,2,2)="01", "서울", MID(K1956,2,2)="02","경기",MID(K1956,2,2)="03","충청",MID(K1956,2,2)="04","충청",MID(K1956,2,2)="05","전라",MID(K1956,2,2)="06","전라",MID(K1956,2,2)="07","경북",MID(K1956,2,2)="08","경남",MID(K1956,2,2)="09","강원",MID(K1956,2,2)="10","제주",TRUE,"국외")</f>
        <v>전라</v>
      </c>
    </row>
    <row r="1957" spans="1:12" ht="17.25" thickBot="1">
      <c r="A1957" s="3" t="s">
        <v>2021</v>
      </c>
      <c r="B1957" s="3" t="s">
        <v>112</v>
      </c>
      <c r="C1957" s="3" t="s">
        <v>99</v>
      </c>
      <c r="D1957" s="4" t="s">
        <v>254</v>
      </c>
      <c r="E1957" s="4" t="s">
        <v>3</v>
      </c>
      <c r="F1957" s="4">
        <v>2009</v>
      </c>
      <c r="G1957" s="8">
        <v>2.2000000000000002</v>
      </c>
      <c r="H1957" s="4" t="s">
        <v>3</v>
      </c>
      <c r="I1957" s="8">
        <v>1.2</v>
      </c>
      <c r="J1957" s="3">
        <v>10621</v>
      </c>
      <c r="K1957" s="3">
        <v>50113</v>
      </c>
      <c r="L1957" s="17" t="str" cm="1">
        <f t="array" ref="L1957">_xlfn.IFS(MID(K1957,2,2)="01", "서울", MID(K1957,2,2)="02","경기",MID(K1957,2,2)="03","충청",MID(K1957,2,2)="04","충청",MID(K1957,2,2)="05","전라",MID(K1957,2,2)="06","전라",MID(K1957,2,2)="07","경북",MID(K1957,2,2)="08","경남",MID(K1957,2,2)="09","강원",MID(K1957,2,2)="10","제주",TRUE,"국외")</f>
        <v>서울</v>
      </c>
    </row>
    <row r="1958" spans="1:12" ht="17.25" thickBot="1">
      <c r="A1958" s="3" t="s">
        <v>2022</v>
      </c>
      <c r="B1958" s="3" t="s">
        <v>147</v>
      </c>
      <c r="C1958" s="3"/>
      <c r="D1958" s="4" t="s">
        <v>254</v>
      </c>
      <c r="E1958" s="4" t="s">
        <v>26</v>
      </c>
      <c r="F1958" s="4">
        <v>2009</v>
      </c>
      <c r="G1958" s="8">
        <v>0.9</v>
      </c>
      <c r="H1958" s="4" t="s">
        <v>26</v>
      </c>
      <c r="I1958" s="8">
        <v>30.2</v>
      </c>
      <c r="J1958" s="3">
        <v>10195</v>
      </c>
      <c r="K1958" s="3">
        <v>50208</v>
      </c>
      <c r="L1958" s="17" t="str" cm="1">
        <f t="array" ref="L1958">_xlfn.IFS(MID(K1958,2,2)="01", "서울", MID(K1958,2,2)="02","경기",MID(K1958,2,2)="03","충청",MID(K1958,2,2)="04","충청",MID(K1958,2,2)="05","전라",MID(K1958,2,2)="06","전라",MID(K1958,2,2)="07","경북",MID(K1958,2,2)="08","경남",MID(K1958,2,2)="09","강원",MID(K1958,2,2)="10","제주",TRUE,"국외")</f>
        <v>경기</v>
      </c>
    </row>
    <row r="1959" spans="1:12" ht="17.25" thickBot="1">
      <c r="A1959" s="3" t="s">
        <v>2023</v>
      </c>
      <c r="B1959" s="3" t="s">
        <v>107</v>
      </c>
      <c r="C1959" s="3" t="s">
        <v>45</v>
      </c>
      <c r="D1959" s="4" t="s">
        <v>254</v>
      </c>
      <c r="E1959" s="4" t="s">
        <v>607</v>
      </c>
      <c r="F1959" s="4">
        <v>2009</v>
      </c>
      <c r="G1959" s="8">
        <v>0</v>
      </c>
      <c r="H1959" s="4" t="s">
        <v>20</v>
      </c>
      <c r="I1959" s="8">
        <v>0.2</v>
      </c>
      <c r="J1959" s="3">
        <v>10140</v>
      </c>
      <c r="K1959" s="3">
        <v>50602</v>
      </c>
      <c r="L1959" s="17" t="str" cm="1">
        <f t="array" ref="L1959">_xlfn.IFS(MID(K1959,2,2)="01", "서울", MID(K1959,2,2)="02","경기",MID(K1959,2,2)="03","충청",MID(K1959,2,2)="04","충청",MID(K1959,2,2)="05","전라",MID(K1959,2,2)="06","전라",MID(K1959,2,2)="07","경북",MID(K1959,2,2)="08","경남",MID(K1959,2,2)="09","강원",MID(K1959,2,2)="10","제주",TRUE,"국외")</f>
        <v>전라</v>
      </c>
    </row>
    <row r="1960" spans="1:12" ht="17.25" thickBot="1">
      <c r="A1960" s="3" t="s">
        <v>2024</v>
      </c>
      <c r="B1960" s="3" t="s">
        <v>11</v>
      </c>
      <c r="C1960" s="3" t="s">
        <v>211</v>
      </c>
      <c r="D1960" s="4" t="s">
        <v>254</v>
      </c>
      <c r="E1960" s="4" t="s">
        <v>607</v>
      </c>
      <c r="F1960" s="4"/>
      <c r="G1960" s="9"/>
      <c r="H1960" s="4"/>
      <c r="I1960" s="9"/>
      <c r="J1960" s="3">
        <v>10127</v>
      </c>
      <c r="K1960" s="3">
        <v>50802</v>
      </c>
      <c r="L1960" s="17" t="str" cm="1">
        <f t="array" ref="L1960">_xlfn.IFS(MID(K1960,2,2)="01", "서울", MID(K1960,2,2)="02","경기",MID(K1960,2,2)="03","충청",MID(K1960,2,2)="04","충청",MID(K1960,2,2)="05","전라",MID(K1960,2,2)="06","전라",MID(K1960,2,2)="07","경북",MID(K1960,2,2)="08","경남",MID(K1960,2,2)="09","강원",MID(K1960,2,2)="10","제주",TRUE,"국외")</f>
        <v>경남</v>
      </c>
    </row>
    <row r="1961" spans="1:12" ht="17.25" thickBot="1">
      <c r="A1961" s="3" t="s">
        <v>2025</v>
      </c>
      <c r="B1961" s="3" t="s">
        <v>32</v>
      </c>
      <c r="C1961" s="3" t="s">
        <v>211</v>
      </c>
      <c r="D1961" s="4" t="s">
        <v>254</v>
      </c>
      <c r="E1961" s="4" t="s">
        <v>26</v>
      </c>
      <c r="F1961" s="4">
        <v>2009</v>
      </c>
      <c r="G1961" s="8">
        <v>0.5</v>
      </c>
      <c r="H1961" s="4" t="s">
        <v>26</v>
      </c>
      <c r="I1961" s="8">
        <v>24.8</v>
      </c>
      <c r="J1961" s="3">
        <v>10213</v>
      </c>
      <c r="K1961" s="3">
        <v>50111</v>
      </c>
      <c r="L1961" s="17" t="str" cm="1">
        <f t="array" ref="L1961">_xlfn.IFS(MID(K1961,2,2)="01", "서울", MID(K1961,2,2)="02","경기",MID(K1961,2,2)="03","충청",MID(K1961,2,2)="04","충청",MID(K1961,2,2)="05","전라",MID(K1961,2,2)="06","전라",MID(K1961,2,2)="07","경북",MID(K1961,2,2)="08","경남",MID(K1961,2,2)="09","강원",MID(K1961,2,2)="10","제주",TRUE,"국외")</f>
        <v>서울</v>
      </c>
    </row>
    <row r="1962" spans="1:12" ht="17.25" thickBot="1">
      <c r="A1962" s="3" t="s">
        <v>2026</v>
      </c>
      <c r="B1962" s="3" t="s">
        <v>153</v>
      </c>
      <c r="C1962" s="3" t="s">
        <v>329</v>
      </c>
      <c r="D1962" s="4" t="s">
        <v>254</v>
      </c>
      <c r="E1962" s="4" t="s">
        <v>3</v>
      </c>
      <c r="F1962" s="4">
        <v>2009</v>
      </c>
      <c r="G1962" s="8">
        <v>0</v>
      </c>
      <c r="H1962" s="4" t="s">
        <v>3</v>
      </c>
      <c r="I1962" s="8">
        <v>-0.1</v>
      </c>
      <c r="J1962" s="3">
        <v>10548</v>
      </c>
      <c r="K1962" s="3">
        <v>50210</v>
      </c>
      <c r="L1962" s="17" t="str" cm="1">
        <f t="array" ref="L1962">_xlfn.IFS(MID(K1962,2,2)="01", "서울", MID(K1962,2,2)="02","경기",MID(K1962,2,2)="03","충청",MID(K1962,2,2)="04","충청",MID(K1962,2,2)="05","전라",MID(K1962,2,2)="06","전라",MID(K1962,2,2)="07","경북",MID(K1962,2,2)="08","경남",MID(K1962,2,2)="09","강원",MID(K1962,2,2)="10","제주",TRUE,"국외")</f>
        <v>경기</v>
      </c>
    </row>
    <row r="1963" spans="1:12" ht="17.25" thickBot="1">
      <c r="A1963" s="3" t="s">
        <v>2027</v>
      </c>
      <c r="B1963" s="3" t="s">
        <v>1</v>
      </c>
      <c r="C1963" s="3"/>
      <c r="D1963" s="4" t="s">
        <v>254</v>
      </c>
      <c r="E1963" s="4" t="s">
        <v>1988</v>
      </c>
      <c r="F1963" s="4">
        <v>2016</v>
      </c>
      <c r="G1963" s="9"/>
      <c r="H1963" s="4" t="s">
        <v>20</v>
      </c>
      <c r="I1963" s="8">
        <v>0.4</v>
      </c>
      <c r="J1963" s="3">
        <v>10928</v>
      </c>
      <c r="K1963" s="3">
        <v>50107</v>
      </c>
      <c r="L1963" s="17" t="str" cm="1">
        <f t="array" ref="L1963">_xlfn.IFS(MID(K1963,2,2)="01", "서울", MID(K1963,2,2)="02","경기",MID(K1963,2,2)="03","충청",MID(K1963,2,2)="04","충청",MID(K1963,2,2)="05","전라",MID(K1963,2,2)="06","전라",MID(K1963,2,2)="07","경북",MID(K1963,2,2)="08","경남",MID(K1963,2,2)="09","강원",MID(K1963,2,2)="10","제주",TRUE,"국외")</f>
        <v>서울</v>
      </c>
    </row>
    <row r="1964" spans="1:12" ht="17.25" thickBot="1">
      <c r="A1964" s="3" t="s">
        <v>2028</v>
      </c>
      <c r="B1964" s="3" t="s">
        <v>96</v>
      </c>
      <c r="C1964" s="3"/>
      <c r="D1964" s="4" t="s">
        <v>254</v>
      </c>
      <c r="E1964" s="4" t="s">
        <v>23</v>
      </c>
      <c r="F1964" s="4"/>
      <c r="G1964" s="9"/>
      <c r="H1964" s="4"/>
      <c r="I1964" s="9"/>
      <c r="J1964" s="3">
        <v>10373</v>
      </c>
      <c r="K1964" s="3">
        <v>50601</v>
      </c>
      <c r="L1964" s="17" t="str" cm="1">
        <f t="array" ref="L1964">_xlfn.IFS(MID(K1964,2,2)="01", "서울", MID(K1964,2,2)="02","경기",MID(K1964,2,2)="03","충청",MID(K1964,2,2)="04","충청",MID(K1964,2,2)="05","전라",MID(K1964,2,2)="06","전라",MID(K1964,2,2)="07","경북",MID(K1964,2,2)="08","경남",MID(K1964,2,2)="09","강원",MID(K1964,2,2)="10","제주",TRUE,"국외")</f>
        <v>전라</v>
      </c>
    </row>
    <row r="1965" spans="1:12" ht="17.25" thickBot="1">
      <c r="A1965" s="3" t="s">
        <v>2029</v>
      </c>
      <c r="B1965" s="3" t="s">
        <v>74</v>
      </c>
      <c r="C1965" s="3" t="s">
        <v>1347</v>
      </c>
      <c r="D1965" s="4" t="s">
        <v>254</v>
      </c>
      <c r="E1965" s="4" t="s">
        <v>20</v>
      </c>
      <c r="F1965" s="4"/>
      <c r="G1965" s="9"/>
      <c r="H1965" s="4"/>
      <c r="I1965" s="9"/>
      <c r="J1965" s="3">
        <v>10513</v>
      </c>
      <c r="K1965" s="3">
        <v>50102</v>
      </c>
      <c r="L1965" s="17" t="str" cm="1">
        <f t="array" ref="L1965">_xlfn.IFS(MID(K1965,2,2)="01", "서울", MID(K1965,2,2)="02","경기",MID(K1965,2,2)="03","충청",MID(K1965,2,2)="04","충청",MID(K1965,2,2)="05","전라",MID(K1965,2,2)="06","전라",MID(K1965,2,2)="07","경북",MID(K1965,2,2)="08","경남",MID(K1965,2,2)="09","강원",MID(K1965,2,2)="10","제주",TRUE,"국외")</f>
        <v>서울</v>
      </c>
    </row>
    <row r="1966" spans="1:12" ht="17.25" thickBot="1">
      <c r="A1966" s="3" t="s">
        <v>2030</v>
      </c>
      <c r="B1966" s="3" t="s">
        <v>93</v>
      </c>
      <c r="C1966" s="3" t="s">
        <v>45</v>
      </c>
      <c r="D1966" s="4" t="s">
        <v>254</v>
      </c>
      <c r="E1966" s="4" t="s">
        <v>9</v>
      </c>
      <c r="F1966" s="4">
        <v>2012</v>
      </c>
      <c r="G1966" s="9"/>
      <c r="H1966" s="4" t="s">
        <v>9</v>
      </c>
      <c r="I1966" s="8">
        <v>0</v>
      </c>
      <c r="J1966" s="3">
        <v>10237</v>
      </c>
      <c r="K1966" s="3">
        <v>50805</v>
      </c>
      <c r="L1966" s="17" t="str" cm="1">
        <f t="array" ref="L1966">_xlfn.IFS(MID(K1966,2,2)="01", "서울", MID(K1966,2,2)="02","경기",MID(K1966,2,2)="03","충청",MID(K1966,2,2)="04","충청",MID(K1966,2,2)="05","전라",MID(K1966,2,2)="06","전라",MID(K1966,2,2)="07","경북",MID(K1966,2,2)="08","경남",MID(K1966,2,2)="09","강원",MID(K1966,2,2)="10","제주",TRUE,"국외")</f>
        <v>경남</v>
      </c>
    </row>
    <row r="1967" spans="1:12" ht="17.25" thickBot="1">
      <c r="A1967" s="3" t="s">
        <v>2031</v>
      </c>
      <c r="B1967" s="3" t="s">
        <v>96</v>
      </c>
      <c r="C1967" s="3"/>
      <c r="D1967" s="4" t="s">
        <v>254</v>
      </c>
      <c r="E1967" s="4" t="s">
        <v>6</v>
      </c>
      <c r="F1967" s="4">
        <v>2010</v>
      </c>
      <c r="G1967" s="9"/>
      <c r="H1967" s="4" t="s">
        <v>6</v>
      </c>
      <c r="I1967" s="8">
        <v>0</v>
      </c>
      <c r="J1967" s="3">
        <v>10034</v>
      </c>
      <c r="K1967" s="3">
        <v>50601</v>
      </c>
      <c r="L1967" s="17" t="str" cm="1">
        <f t="array" ref="L1967">_xlfn.IFS(MID(K1967,2,2)="01", "서울", MID(K1967,2,2)="02","경기",MID(K1967,2,2)="03","충청",MID(K1967,2,2)="04","충청",MID(K1967,2,2)="05","전라",MID(K1967,2,2)="06","전라",MID(K1967,2,2)="07","경북",MID(K1967,2,2)="08","경남",MID(K1967,2,2)="09","강원",MID(K1967,2,2)="10","제주",TRUE,"국외")</f>
        <v>전라</v>
      </c>
    </row>
    <row r="1968" spans="1:12" ht="17.25" thickBot="1">
      <c r="A1968" s="3" t="s">
        <v>2032</v>
      </c>
      <c r="B1968" s="3" t="s">
        <v>121</v>
      </c>
      <c r="C1968" s="3" t="s">
        <v>119</v>
      </c>
      <c r="D1968" s="4" t="s">
        <v>254</v>
      </c>
      <c r="E1968" s="4" t="s">
        <v>6</v>
      </c>
      <c r="F1968" s="4"/>
      <c r="G1968" s="9"/>
      <c r="H1968" s="4"/>
      <c r="I1968" s="9"/>
      <c r="J1968" s="3">
        <v>10015</v>
      </c>
      <c r="K1968" s="3">
        <v>50604</v>
      </c>
      <c r="L1968" s="17" t="str" cm="1">
        <f t="array" ref="L1968">_xlfn.IFS(MID(K1968,2,2)="01", "서울", MID(K1968,2,2)="02","경기",MID(K1968,2,2)="03","충청",MID(K1968,2,2)="04","충청",MID(K1968,2,2)="05","전라",MID(K1968,2,2)="06","전라",MID(K1968,2,2)="07","경북",MID(K1968,2,2)="08","경남",MID(K1968,2,2)="09","강원",MID(K1968,2,2)="10","제주",TRUE,"국외")</f>
        <v>전라</v>
      </c>
    </row>
    <row r="1969" spans="1:12" ht="17.25" thickBot="1">
      <c r="A1969" s="3" t="s">
        <v>2033</v>
      </c>
      <c r="B1969" s="3" t="s">
        <v>68</v>
      </c>
      <c r="C1969" s="3"/>
      <c r="D1969" s="4" t="s">
        <v>254</v>
      </c>
      <c r="E1969" s="4" t="s">
        <v>1988</v>
      </c>
      <c r="F1969" s="4"/>
      <c r="G1969" s="9"/>
      <c r="H1969" s="4"/>
      <c r="I1969" s="9"/>
      <c r="J1969" s="3">
        <v>10809</v>
      </c>
      <c r="K1969" s="3">
        <v>50101</v>
      </c>
      <c r="L1969" s="17" t="str" cm="1">
        <f t="array" ref="L1969">_xlfn.IFS(MID(K1969,2,2)="01", "서울", MID(K1969,2,2)="02","경기",MID(K1969,2,2)="03","충청",MID(K1969,2,2)="04","충청",MID(K1969,2,2)="05","전라",MID(K1969,2,2)="06","전라",MID(K1969,2,2)="07","경북",MID(K1969,2,2)="08","경남",MID(K1969,2,2)="09","강원",MID(K1969,2,2)="10","제주",TRUE,"국외")</f>
        <v>서울</v>
      </c>
    </row>
    <row r="1970" spans="1:12" ht="17.25" thickBot="1">
      <c r="A1970" s="3" t="s">
        <v>2034</v>
      </c>
      <c r="B1970" s="3" t="s">
        <v>96</v>
      </c>
      <c r="C1970" s="3"/>
      <c r="D1970" s="4" t="s">
        <v>254</v>
      </c>
      <c r="E1970" s="4" t="s">
        <v>20</v>
      </c>
      <c r="F1970" s="4">
        <v>2010</v>
      </c>
      <c r="G1970" s="9"/>
      <c r="H1970" s="4" t="s">
        <v>20</v>
      </c>
      <c r="I1970" s="8">
        <v>1.1000000000000001</v>
      </c>
      <c r="J1970" s="3">
        <v>10468</v>
      </c>
      <c r="K1970" s="3">
        <v>50601</v>
      </c>
      <c r="L1970" s="17" t="str" cm="1">
        <f t="array" ref="L1970">_xlfn.IFS(MID(K1970,2,2)="01", "서울", MID(K1970,2,2)="02","경기",MID(K1970,2,2)="03","충청",MID(K1970,2,2)="04","충청",MID(K1970,2,2)="05","전라",MID(K1970,2,2)="06","전라",MID(K1970,2,2)="07","경북",MID(K1970,2,2)="08","경남",MID(K1970,2,2)="09","강원",MID(K1970,2,2)="10","제주",TRUE,"국외")</f>
        <v>전라</v>
      </c>
    </row>
    <row r="1971" spans="1:12" ht="17.25" thickBot="1">
      <c r="A1971" s="3" t="s">
        <v>2035</v>
      </c>
      <c r="B1971" s="3" t="s">
        <v>63</v>
      </c>
      <c r="C1971" s="3" t="s">
        <v>221</v>
      </c>
      <c r="D1971" s="4" t="s">
        <v>254</v>
      </c>
      <c r="E1971" s="4" t="s">
        <v>23</v>
      </c>
      <c r="F1971" s="4">
        <v>2009</v>
      </c>
      <c r="G1971" s="8">
        <v>-0.1</v>
      </c>
      <c r="H1971" s="4" t="s">
        <v>28</v>
      </c>
      <c r="I1971" s="8">
        <v>1.1000000000000001</v>
      </c>
      <c r="J1971" s="3">
        <v>10340</v>
      </c>
      <c r="K1971" s="3">
        <v>50807</v>
      </c>
      <c r="L1971" s="17" t="str" cm="1">
        <f t="array" ref="L1971">_xlfn.IFS(MID(K1971,2,2)="01", "서울", MID(K1971,2,2)="02","경기",MID(K1971,2,2)="03","충청",MID(K1971,2,2)="04","충청",MID(K1971,2,2)="05","전라",MID(K1971,2,2)="06","전라",MID(K1971,2,2)="07","경북",MID(K1971,2,2)="08","경남",MID(K1971,2,2)="09","강원",MID(K1971,2,2)="10","제주",TRUE,"국외")</f>
        <v>경남</v>
      </c>
    </row>
    <row r="1972" spans="1:12" ht="17.25" thickBot="1">
      <c r="A1972" s="3" t="s">
        <v>2036</v>
      </c>
      <c r="B1972" s="3" t="s">
        <v>38</v>
      </c>
      <c r="C1972" s="3"/>
      <c r="D1972" s="4" t="s">
        <v>254</v>
      </c>
      <c r="E1972" s="4" t="s">
        <v>26</v>
      </c>
      <c r="F1972" s="4">
        <v>2014</v>
      </c>
      <c r="G1972" s="9"/>
      <c r="H1972" s="4" t="s">
        <v>26</v>
      </c>
      <c r="I1972" s="8">
        <v>-0.5</v>
      </c>
      <c r="J1972" s="3">
        <v>10186</v>
      </c>
      <c r="K1972" s="3">
        <v>50109</v>
      </c>
      <c r="L1972" s="17" t="str" cm="1">
        <f t="array" ref="L1972">_xlfn.IFS(MID(K1972,2,2)="01", "서울", MID(K1972,2,2)="02","경기",MID(K1972,2,2)="03","충청",MID(K1972,2,2)="04","충청",MID(K1972,2,2)="05","전라",MID(K1972,2,2)="06","전라",MID(K1972,2,2)="07","경북",MID(K1972,2,2)="08","경남",MID(K1972,2,2)="09","강원",MID(K1972,2,2)="10","제주",TRUE,"국외")</f>
        <v>서울</v>
      </c>
    </row>
    <row r="1973" spans="1:12" ht="17.25" thickBot="1">
      <c r="A1973" s="3" t="s">
        <v>2037</v>
      </c>
      <c r="B1973" s="3" t="s">
        <v>40</v>
      </c>
      <c r="C1973" s="3" t="s">
        <v>1479</v>
      </c>
      <c r="D1973" s="4" t="s">
        <v>254</v>
      </c>
      <c r="E1973" s="4" t="s">
        <v>23</v>
      </c>
      <c r="F1973" s="4"/>
      <c r="G1973" s="9"/>
      <c r="H1973" s="4"/>
      <c r="I1973" s="9"/>
      <c r="J1973" s="3">
        <v>10316</v>
      </c>
      <c r="K1973" s="3">
        <v>50108</v>
      </c>
      <c r="L1973" s="17" t="str" cm="1">
        <f t="array" ref="L1973">_xlfn.IFS(MID(K1973,2,2)="01", "서울", MID(K1973,2,2)="02","경기",MID(K1973,2,2)="03","충청",MID(K1973,2,2)="04","충청",MID(K1973,2,2)="05","전라",MID(K1973,2,2)="06","전라",MID(K1973,2,2)="07","경북",MID(K1973,2,2)="08","경남",MID(K1973,2,2)="09","강원",MID(K1973,2,2)="10","제주",TRUE,"국외")</f>
        <v>서울</v>
      </c>
    </row>
    <row r="1974" spans="1:12" ht="17.25" thickBot="1">
      <c r="A1974" s="3" t="s">
        <v>2038</v>
      </c>
      <c r="B1974" s="3" t="s">
        <v>82</v>
      </c>
      <c r="C1974" s="3"/>
      <c r="D1974" s="4" t="s">
        <v>254</v>
      </c>
      <c r="E1974" s="4" t="s">
        <v>6</v>
      </c>
      <c r="F1974" s="4"/>
      <c r="G1974" s="9"/>
      <c r="H1974" s="4"/>
      <c r="I1974" s="9"/>
      <c r="J1974" s="3">
        <v>10033</v>
      </c>
      <c r="K1974" s="3">
        <v>50605</v>
      </c>
      <c r="L1974" s="17" t="str" cm="1">
        <f t="array" ref="L1974">_xlfn.IFS(MID(K1974,2,2)="01", "서울", MID(K1974,2,2)="02","경기",MID(K1974,2,2)="03","충청",MID(K1974,2,2)="04","충청",MID(K1974,2,2)="05","전라",MID(K1974,2,2)="06","전라",MID(K1974,2,2)="07","경북",MID(K1974,2,2)="08","경남",MID(K1974,2,2)="09","강원",MID(K1974,2,2)="10","제주",TRUE,"국외")</f>
        <v>전라</v>
      </c>
    </row>
    <row r="1975" spans="1:12" ht="17.25" thickBot="1">
      <c r="A1975" s="3" t="s">
        <v>2039</v>
      </c>
      <c r="B1975" s="3" t="s">
        <v>1791</v>
      </c>
      <c r="C1975" s="3" t="s">
        <v>483</v>
      </c>
      <c r="D1975" s="4" t="s">
        <v>254</v>
      </c>
      <c r="E1975" s="4" t="s">
        <v>6</v>
      </c>
      <c r="F1975" s="4">
        <v>2010</v>
      </c>
      <c r="G1975" s="9"/>
      <c r="H1975" s="4" t="s">
        <v>6</v>
      </c>
      <c r="I1975" s="8">
        <v>0.1</v>
      </c>
      <c r="J1975" s="3">
        <v>10023</v>
      </c>
      <c r="K1975" s="3">
        <v>50303</v>
      </c>
      <c r="L1975" s="17" t="str" cm="1">
        <f t="array" ref="L1975">_xlfn.IFS(MID(K1975,2,2)="01", "서울", MID(K1975,2,2)="02","경기",MID(K1975,2,2)="03","충청",MID(K1975,2,2)="04","충청",MID(K1975,2,2)="05","전라",MID(K1975,2,2)="06","전라",MID(K1975,2,2)="07","경북",MID(K1975,2,2)="08","경남",MID(K1975,2,2)="09","강원",MID(K1975,2,2)="10","제주",TRUE,"국외")</f>
        <v>충청</v>
      </c>
    </row>
    <row r="1976" spans="1:12" ht="17.25" thickBot="1">
      <c r="A1976" s="3" t="s">
        <v>2040</v>
      </c>
      <c r="B1976" s="3" t="s">
        <v>332</v>
      </c>
      <c r="C1976" s="3"/>
      <c r="D1976" s="4" t="s">
        <v>254</v>
      </c>
      <c r="E1976" s="4" t="s">
        <v>23</v>
      </c>
      <c r="F1976" s="4"/>
      <c r="G1976" s="9"/>
      <c r="H1976" s="4"/>
      <c r="I1976" s="9"/>
      <c r="J1976" s="3">
        <v>10370</v>
      </c>
      <c r="K1976" s="3">
        <v>50705</v>
      </c>
      <c r="L1976" s="17" t="str" cm="1">
        <f t="array" ref="L1976">_xlfn.IFS(MID(K1976,2,2)="01", "서울", MID(K1976,2,2)="02","경기",MID(K1976,2,2)="03","충청",MID(K1976,2,2)="04","충청",MID(K1976,2,2)="05","전라",MID(K1976,2,2)="06","전라",MID(K1976,2,2)="07","경북",MID(K1976,2,2)="08","경남",MID(K1976,2,2)="09","강원",MID(K1976,2,2)="10","제주",TRUE,"국외")</f>
        <v>경북</v>
      </c>
    </row>
    <row r="1977" spans="1:12" ht="17.25" thickBot="1">
      <c r="A1977" s="3" t="s">
        <v>2041</v>
      </c>
      <c r="B1977" s="3"/>
      <c r="C1977" s="3"/>
      <c r="D1977" s="4" t="s">
        <v>181</v>
      </c>
      <c r="E1977" s="4" t="s">
        <v>6</v>
      </c>
      <c r="F1977" s="4">
        <v>2009</v>
      </c>
      <c r="G1977" s="8">
        <v>4.7</v>
      </c>
      <c r="H1977" s="4" t="s">
        <v>6</v>
      </c>
      <c r="I1977" s="8">
        <v>4.7</v>
      </c>
      <c r="J1977" s="3">
        <v>10044</v>
      </c>
      <c r="K1977" s="3"/>
      <c r="L1977" s="17" t="str" cm="1">
        <f t="array" ref="L1977">_xlfn.IFS(MID(K1977,2,2)="01", "서울", MID(K1977,2,2)="02","경기",MID(K1977,2,2)="03","충청",MID(K1977,2,2)="04","충청",MID(K1977,2,2)="05","전라",MID(K1977,2,2)="06","전라",MID(K1977,2,2)="07","경북",MID(K1977,2,2)="08","경남",MID(K1977,2,2)="09","강원",MID(K1977,2,2)="10","제주",TRUE,"국외")</f>
        <v>국외</v>
      </c>
    </row>
    <row r="1978" spans="1:12" ht="17.25" thickBot="1">
      <c r="A1978" s="3" t="s">
        <v>2042</v>
      </c>
      <c r="B1978" s="3"/>
      <c r="C1978" s="3"/>
      <c r="D1978" s="4" t="s">
        <v>181</v>
      </c>
      <c r="E1978" s="4" t="s">
        <v>6</v>
      </c>
      <c r="F1978" s="4">
        <v>2009</v>
      </c>
      <c r="G1978" s="8">
        <v>4.5</v>
      </c>
      <c r="H1978" s="4" t="s">
        <v>6</v>
      </c>
      <c r="I1978" s="8">
        <v>9</v>
      </c>
      <c r="J1978" s="3">
        <v>10048</v>
      </c>
      <c r="K1978" s="3"/>
      <c r="L1978" s="17" t="str" cm="1">
        <f t="array" ref="L1978">_xlfn.IFS(MID(K1978,2,2)="01", "서울", MID(K1978,2,2)="02","경기",MID(K1978,2,2)="03","충청",MID(K1978,2,2)="04","충청",MID(K1978,2,2)="05","전라",MID(K1978,2,2)="06","전라",MID(K1978,2,2)="07","경북",MID(K1978,2,2)="08","경남",MID(K1978,2,2)="09","강원",MID(K1978,2,2)="10","제주",TRUE,"국외")</f>
        <v>국외</v>
      </c>
    </row>
    <row r="1979" spans="1:12" ht="17.25" thickBot="1">
      <c r="A1979" s="3" t="s">
        <v>2043</v>
      </c>
      <c r="B1979" s="3"/>
      <c r="C1979" s="3"/>
      <c r="D1979" s="4" t="s">
        <v>181</v>
      </c>
      <c r="E1979" s="4" t="s">
        <v>20</v>
      </c>
      <c r="F1979" s="4">
        <v>2009</v>
      </c>
      <c r="G1979" s="8">
        <v>-0.3</v>
      </c>
      <c r="H1979" s="4" t="s">
        <v>20</v>
      </c>
      <c r="I1979" s="8">
        <v>-0.3</v>
      </c>
      <c r="J1979" s="3">
        <v>10508</v>
      </c>
      <c r="K1979" s="3"/>
      <c r="L1979" s="17" t="str" cm="1">
        <f t="array" ref="L1979">_xlfn.IFS(MID(K1979,2,2)="01", "서울", MID(K1979,2,2)="02","경기",MID(K1979,2,2)="03","충청",MID(K1979,2,2)="04","충청",MID(K1979,2,2)="05","전라",MID(K1979,2,2)="06","전라",MID(K1979,2,2)="07","경북",MID(K1979,2,2)="08","경남",MID(K1979,2,2)="09","강원",MID(K1979,2,2)="10","제주",TRUE,"국외")</f>
        <v>국외</v>
      </c>
    </row>
    <row r="1980" spans="1:12" ht="17.25" thickBot="1">
      <c r="A1980" s="3" t="s">
        <v>2044</v>
      </c>
      <c r="B1980" s="3"/>
      <c r="C1980" s="3"/>
      <c r="D1980" s="4" t="s">
        <v>181</v>
      </c>
      <c r="E1980" s="4" t="s">
        <v>20</v>
      </c>
      <c r="F1980" s="4">
        <v>2009</v>
      </c>
      <c r="G1980" s="8">
        <v>0.1</v>
      </c>
      <c r="H1980" s="4" t="s">
        <v>20</v>
      </c>
      <c r="I1980" s="8">
        <v>0.1</v>
      </c>
      <c r="J1980" s="3">
        <v>10534</v>
      </c>
      <c r="K1980" s="3"/>
      <c r="L1980" s="17" t="str" cm="1">
        <f t="array" ref="L1980">_xlfn.IFS(MID(K1980,2,2)="01", "서울", MID(K1980,2,2)="02","경기",MID(K1980,2,2)="03","충청",MID(K1980,2,2)="04","충청",MID(K1980,2,2)="05","전라",MID(K1980,2,2)="06","전라",MID(K1980,2,2)="07","경북",MID(K1980,2,2)="08","경남",MID(K1980,2,2)="09","강원",MID(K1980,2,2)="10","제주",TRUE,"국외")</f>
        <v>국외</v>
      </c>
    </row>
    <row r="1981" spans="1:12" ht="17.25" thickBot="1">
      <c r="A1981" s="3" t="s">
        <v>2045</v>
      </c>
      <c r="B1981" s="3"/>
      <c r="C1981" s="3"/>
      <c r="D1981" s="4" t="s">
        <v>181</v>
      </c>
      <c r="E1981" s="4" t="s">
        <v>607</v>
      </c>
      <c r="F1981" s="4">
        <v>2009</v>
      </c>
      <c r="G1981" s="8">
        <v>1.8</v>
      </c>
      <c r="H1981" s="4" t="s">
        <v>26</v>
      </c>
      <c r="I1981" s="8">
        <v>1.7</v>
      </c>
      <c r="J1981" s="3">
        <v>10204</v>
      </c>
      <c r="K1981" s="3"/>
      <c r="L1981" s="17" t="str" cm="1">
        <f t="array" ref="L1981">_xlfn.IFS(MID(K1981,2,2)="01", "서울", MID(K1981,2,2)="02","경기",MID(K1981,2,2)="03","충청",MID(K1981,2,2)="04","충청",MID(K1981,2,2)="05","전라",MID(K1981,2,2)="06","전라",MID(K1981,2,2)="07","경북",MID(K1981,2,2)="08","경남",MID(K1981,2,2)="09","강원",MID(K1981,2,2)="10","제주",TRUE,"국외")</f>
        <v>국외</v>
      </c>
    </row>
    <row r="1982" spans="1:12" ht="17.25" thickBot="1">
      <c r="A1982" s="3" t="s">
        <v>2046</v>
      </c>
      <c r="B1982" s="3"/>
      <c r="C1982" s="3"/>
      <c r="D1982" s="4" t="s">
        <v>181</v>
      </c>
      <c r="E1982" s="4" t="s">
        <v>607</v>
      </c>
      <c r="F1982" s="4">
        <v>2009</v>
      </c>
      <c r="G1982" s="8">
        <v>4.5999999999999996</v>
      </c>
      <c r="H1982" s="4" t="s">
        <v>607</v>
      </c>
      <c r="I1982" s="8">
        <v>5.7</v>
      </c>
      <c r="J1982" s="3">
        <v>10125</v>
      </c>
      <c r="K1982" s="3"/>
      <c r="L1982" s="17" t="str" cm="1">
        <f t="array" ref="L1982">_xlfn.IFS(MID(K1982,2,2)="01", "서울", MID(K1982,2,2)="02","경기",MID(K1982,2,2)="03","충청",MID(K1982,2,2)="04","충청",MID(K1982,2,2)="05","전라",MID(K1982,2,2)="06","전라",MID(K1982,2,2)="07","경북",MID(K1982,2,2)="08","경남",MID(K1982,2,2)="09","강원",MID(K1982,2,2)="10","제주",TRUE,"국외")</f>
        <v>국외</v>
      </c>
    </row>
    <row r="1983" spans="1:12" ht="17.25" thickBot="1">
      <c r="A1983" s="3" t="s">
        <v>2047</v>
      </c>
      <c r="B1983" s="3"/>
      <c r="C1983" s="3"/>
      <c r="D1983" s="4" t="s">
        <v>181</v>
      </c>
      <c r="E1983" s="4" t="s">
        <v>607</v>
      </c>
      <c r="F1983" s="4">
        <v>2009</v>
      </c>
      <c r="G1983" s="8">
        <v>1.3</v>
      </c>
      <c r="H1983" s="4" t="s">
        <v>607</v>
      </c>
      <c r="I1983" s="8">
        <v>5.3</v>
      </c>
      <c r="J1983" s="3">
        <v>10163</v>
      </c>
      <c r="K1983" s="3"/>
      <c r="L1983" s="17" t="str" cm="1">
        <f t="array" ref="L1983">_xlfn.IFS(MID(K1983,2,2)="01", "서울", MID(K1983,2,2)="02","경기",MID(K1983,2,2)="03","충청",MID(K1983,2,2)="04","충청",MID(K1983,2,2)="05","전라",MID(K1983,2,2)="06","전라",MID(K1983,2,2)="07","경북",MID(K1983,2,2)="08","경남",MID(K1983,2,2)="09","강원",MID(K1983,2,2)="10","제주",TRUE,"국외")</f>
        <v>국외</v>
      </c>
    </row>
    <row r="1984" spans="1:12" ht="17.25" thickBot="1">
      <c r="A1984" s="3" t="s">
        <v>2048</v>
      </c>
      <c r="B1984" s="3"/>
      <c r="C1984" s="3"/>
      <c r="D1984" s="4" t="s">
        <v>181</v>
      </c>
      <c r="E1984" s="4" t="s">
        <v>26</v>
      </c>
      <c r="F1984" s="4">
        <v>2009</v>
      </c>
      <c r="G1984" s="8">
        <v>0.3</v>
      </c>
      <c r="H1984" s="4" t="s">
        <v>26</v>
      </c>
      <c r="I1984" s="8">
        <v>0.3</v>
      </c>
      <c r="J1984" s="3">
        <v>10209</v>
      </c>
      <c r="K1984" s="3"/>
      <c r="L1984" s="17" t="str" cm="1">
        <f t="array" ref="L1984">_xlfn.IFS(MID(K1984,2,2)="01", "서울", MID(K1984,2,2)="02","경기",MID(K1984,2,2)="03","충청",MID(K1984,2,2)="04","충청",MID(K1984,2,2)="05","전라",MID(K1984,2,2)="06","전라",MID(K1984,2,2)="07","경북",MID(K1984,2,2)="08","경남",MID(K1984,2,2)="09","강원",MID(K1984,2,2)="10","제주",TRUE,"국외")</f>
        <v>국외</v>
      </c>
    </row>
    <row r="1985" spans="1:12" ht="17.25" thickBot="1">
      <c r="A1985" s="3" t="s">
        <v>2049</v>
      </c>
      <c r="B1985" s="3"/>
      <c r="C1985" s="3"/>
      <c r="D1985" s="4" t="s">
        <v>181</v>
      </c>
      <c r="E1985" s="4" t="s">
        <v>26</v>
      </c>
      <c r="F1985" s="4">
        <v>2009</v>
      </c>
      <c r="G1985" s="8">
        <v>-0.2</v>
      </c>
      <c r="H1985" s="4" t="s">
        <v>26</v>
      </c>
      <c r="I1985" s="8">
        <v>-0.2</v>
      </c>
      <c r="J1985" s="3">
        <v>10190</v>
      </c>
      <c r="K1985" s="3"/>
      <c r="L1985" s="17" t="str" cm="1">
        <f t="array" ref="L1985">_xlfn.IFS(MID(K1985,2,2)="01", "서울", MID(K1985,2,2)="02","경기",MID(K1985,2,2)="03","충청",MID(K1985,2,2)="04","충청",MID(K1985,2,2)="05","전라",MID(K1985,2,2)="06","전라",MID(K1985,2,2)="07","경북",MID(K1985,2,2)="08","경남",MID(K1985,2,2)="09","강원",MID(K1985,2,2)="10","제주",TRUE,"국외")</f>
        <v>국외</v>
      </c>
    </row>
    <row r="1986" spans="1:12" ht="17.25" thickBot="1">
      <c r="A1986" s="3" t="s">
        <v>2050</v>
      </c>
      <c r="B1986" s="3"/>
      <c r="C1986" s="3"/>
      <c r="D1986" s="4" t="s">
        <v>181</v>
      </c>
      <c r="E1986" s="4" t="s">
        <v>9</v>
      </c>
      <c r="F1986" s="4">
        <v>2009</v>
      </c>
      <c r="G1986" s="8">
        <v>3.2</v>
      </c>
      <c r="H1986" s="4" t="s">
        <v>9</v>
      </c>
      <c r="I1986" s="8">
        <v>3.2</v>
      </c>
      <c r="J1986" s="3">
        <v>10287</v>
      </c>
      <c r="K1986" s="3"/>
      <c r="L1986" s="17" t="str" cm="1">
        <f t="array" ref="L1986">_xlfn.IFS(MID(K1986,2,2)="01", "서울", MID(K1986,2,2)="02","경기",MID(K1986,2,2)="03","충청",MID(K1986,2,2)="04","충청",MID(K1986,2,2)="05","전라",MID(K1986,2,2)="06","전라",MID(K1986,2,2)="07","경북",MID(K1986,2,2)="08","경남",MID(K1986,2,2)="09","강원",MID(K1986,2,2)="10","제주",TRUE,"국외")</f>
        <v>국외</v>
      </c>
    </row>
    <row r="1987" spans="1:12" ht="17.25" thickBot="1">
      <c r="A1987" s="3" t="s">
        <v>2051</v>
      </c>
      <c r="B1987" s="3"/>
      <c r="C1987" s="3"/>
      <c r="D1987" s="4" t="s">
        <v>181</v>
      </c>
      <c r="E1987" s="4" t="s">
        <v>23</v>
      </c>
      <c r="F1987" s="4">
        <v>2009</v>
      </c>
      <c r="G1987" s="8">
        <v>1.7</v>
      </c>
      <c r="H1987" s="4" t="s">
        <v>18</v>
      </c>
      <c r="I1987" s="8">
        <v>14.2</v>
      </c>
      <c r="J1987" s="3">
        <v>10360</v>
      </c>
      <c r="K1987" s="3"/>
      <c r="L1987" s="17" t="str" cm="1">
        <f t="array" ref="L1987">_xlfn.IFS(MID(K1987,2,2)="01", "서울", MID(K1987,2,2)="02","경기",MID(K1987,2,2)="03","충청",MID(K1987,2,2)="04","충청",MID(K1987,2,2)="05","전라",MID(K1987,2,2)="06","전라",MID(K1987,2,2)="07","경북",MID(K1987,2,2)="08","경남",MID(K1987,2,2)="09","강원",MID(K1987,2,2)="10","제주",TRUE,"국외")</f>
        <v>국외</v>
      </c>
    </row>
    <row r="1988" spans="1:12" ht="17.25" thickBot="1">
      <c r="A1988" s="3" t="s">
        <v>2052</v>
      </c>
      <c r="B1988" s="3"/>
      <c r="C1988" s="3"/>
      <c r="D1988" s="4" t="s">
        <v>181</v>
      </c>
      <c r="E1988" s="4" t="s">
        <v>23</v>
      </c>
      <c r="F1988" s="4">
        <v>2009</v>
      </c>
      <c r="G1988" s="8">
        <v>2.2999999999999998</v>
      </c>
      <c r="H1988" s="4" t="s">
        <v>23</v>
      </c>
      <c r="I1988" s="8">
        <v>3.4</v>
      </c>
      <c r="J1988" s="3">
        <v>10384</v>
      </c>
      <c r="K1988" s="3"/>
      <c r="L1988" s="17" t="str" cm="1">
        <f t="array" ref="L1988">_xlfn.IFS(MID(K1988,2,2)="01", "서울", MID(K1988,2,2)="02","경기",MID(K1988,2,2)="03","충청",MID(K1988,2,2)="04","충청",MID(K1988,2,2)="05","전라",MID(K1988,2,2)="06","전라",MID(K1988,2,2)="07","경북",MID(K1988,2,2)="08","경남",MID(K1988,2,2)="09","강원",MID(K1988,2,2)="10","제주",TRUE,"국외")</f>
        <v>국외</v>
      </c>
    </row>
    <row r="1989" spans="1:12" ht="17.25" thickBot="1">
      <c r="A1989" s="3" t="s">
        <v>2053</v>
      </c>
      <c r="B1989" s="3"/>
      <c r="C1989" s="3"/>
      <c r="D1989" s="4" t="s">
        <v>181</v>
      </c>
      <c r="E1989" s="4" t="s">
        <v>23</v>
      </c>
      <c r="F1989" s="4">
        <v>2009</v>
      </c>
      <c r="G1989" s="8">
        <v>0.2</v>
      </c>
      <c r="H1989" s="4" t="s">
        <v>23</v>
      </c>
      <c r="I1989" s="8">
        <v>0.2</v>
      </c>
      <c r="J1989" s="3">
        <v>10366</v>
      </c>
      <c r="K1989" s="3"/>
      <c r="L1989" s="17" t="str" cm="1">
        <f t="array" ref="L1989">_xlfn.IFS(MID(K1989,2,2)="01", "서울", MID(K1989,2,2)="02","경기",MID(K1989,2,2)="03","충청",MID(K1989,2,2)="04","충청",MID(K1989,2,2)="05","전라",MID(K1989,2,2)="06","전라",MID(K1989,2,2)="07","경북",MID(K1989,2,2)="08","경남",MID(K1989,2,2)="09","강원",MID(K1989,2,2)="10","제주",TRUE,"국외")</f>
        <v>국외</v>
      </c>
    </row>
    <row r="1990" spans="1:12" ht="17.25" thickBot="1">
      <c r="A1990" s="3" t="s">
        <v>2054</v>
      </c>
      <c r="B1990" s="3"/>
      <c r="C1990" s="3"/>
      <c r="D1990" s="4" t="s">
        <v>181</v>
      </c>
      <c r="E1990" s="4" t="s">
        <v>3</v>
      </c>
      <c r="F1990" s="4">
        <v>2009</v>
      </c>
      <c r="G1990" s="8">
        <v>0.1</v>
      </c>
      <c r="H1990" s="4" t="s">
        <v>3</v>
      </c>
      <c r="I1990" s="8">
        <v>0.1</v>
      </c>
      <c r="J1990" s="3">
        <v>10566</v>
      </c>
      <c r="K1990" s="3"/>
      <c r="L1990" s="17" t="str" cm="1">
        <f t="array" ref="L1990">_xlfn.IFS(MID(K1990,2,2)="01", "서울", MID(K1990,2,2)="02","경기",MID(K1990,2,2)="03","충청",MID(K1990,2,2)="04","충청",MID(K1990,2,2)="05","전라",MID(K1990,2,2)="06","전라",MID(K1990,2,2)="07","경북",MID(K1990,2,2)="08","경남",MID(K1990,2,2)="09","강원",MID(K1990,2,2)="10","제주",TRUE,"국외")</f>
        <v>국외</v>
      </c>
    </row>
    <row r="1991" spans="1:12" ht="17.25" thickBot="1">
      <c r="A1991" s="3" t="s">
        <v>2055</v>
      </c>
      <c r="B1991" s="3"/>
      <c r="C1991" s="3"/>
      <c r="D1991" s="4" t="s">
        <v>181</v>
      </c>
      <c r="E1991" s="4" t="s">
        <v>3</v>
      </c>
      <c r="F1991" s="4">
        <v>2009</v>
      </c>
      <c r="G1991" s="8">
        <v>0</v>
      </c>
      <c r="H1991" s="4" t="s">
        <v>3</v>
      </c>
      <c r="I1991" s="8">
        <v>0</v>
      </c>
      <c r="J1991" s="3">
        <v>10603</v>
      </c>
      <c r="K1991" s="3"/>
      <c r="L1991" s="17" t="str" cm="1">
        <f t="array" ref="L1991">_xlfn.IFS(MID(K1991,2,2)="01", "서울", MID(K1991,2,2)="02","경기",MID(K1991,2,2)="03","충청",MID(K1991,2,2)="04","충청",MID(K1991,2,2)="05","전라",MID(K1991,2,2)="06","전라",MID(K1991,2,2)="07","경북",MID(K1991,2,2)="08","경남",MID(K1991,2,2)="09","강원",MID(K1991,2,2)="10","제주",TRUE,"국외")</f>
        <v>국외</v>
      </c>
    </row>
    <row r="1992" spans="1:12" ht="17.25" thickBot="1">
      <c r="A1992" s="3"/>
      <c r="B1992" s="3"/>
      <c r="C1992" s="3" t="s">
        <v>211</v>
      </c>
      <c r="D1992" s="4" t="s">
        <v>1777</v>
      </c>
      <c r="E1992" s="4" t="s">
        <v>6</v>
      </c>
      <c r="F1992" s="4"/>
      <c r="G1992" s="9"/>
      <c r="H1992" s="4"/>
      <c r="I1992" s="9"/>
      <c r="J1992" s="3">
        <v>11480</v>
      </c>
      <c r="K1992" s="3"/>
      <c r="L1992" s="17" t="str" cm="1">
        <f t="array" ref="L1992">_xlfn.IFS(MID(K1992,2,2)="01", "서울", MID(K1992,2,2)="02","경기",MID(K1992,2,2)="03","충청",MID(K1992,2,2)="04","충청",MID(K1992,2,2)="05","전라",MID(K1992,2,2)="06","전라",MID(K1992,2,2)="07","경북",MID(K1992,2,2)="08","경남",MID(K1992,2,2)="09","강원",MID(K1992,2,2)="10","제주",TRUE,"국외")</f>
        <v>국외</v>
      </c>
    </row>
    <row r="1993" spans="1:12" ht="17.25" thickBot="1">
      <c r="A1993" s="3" t="s">
        <v>2056</v>
      </c>
      <c r="B1993" s="3" t="s">
        <v>25</v>
      </c>
      <c r="C1993" s="3" t="s">
        <v>122</v>
      </c>
      <c r="D1993" s="4" t="s">
        <v>205</v>
      </c>
      <c r="E1993" s="4" t="s">
        <v>6</v>
      </c>
      <c r="F1993" s="4">
        <v>2010</v>
      </c>
      <c r="G1993" s="9"/>
      <c r="H1993" s="4" t="s">
        <v>6</v>
      </c>
      <c r="I1993" s="8">
        <v>-0.8</v>
      </c>
      <c r="J1993" s="3">
        <v>10941</v>
      </c>
      <c r="K1993" s="3">
        <v>50403</v>
      </c>
      <c r="L1993" s="17" t="str" cm="1">
        <f t="array" ref="L1993">_xlfn.IFS(MID(K1993,2,2)="01", "서울", MID(K1993,2,2)="02","경기",MID(K1993,2,2)="03","충청",MID(K1993,2,2)="04","충청",MID(K1993,2,2)="05","전라",MID(K1993,2,2)="06","전라",MID(K1993,2,2)="07","경북",MID(K1993,2,2)="08","경남",MID(K1993,2,2)="09","강원",MID(K1993,2,2)="10","제주",TRUE,"국외")</f>
        <v>충청</v>
      </c>
    </row>
    <row r="1994" spans="1:12" ht="17.25" thickBot="1">
      <c r="A1994" s="3" t="s">
        <v>2057</v>
      </c>
      <c r="B1994" s="3" t="s">
        <v>101</v>
      </c>
      <c r="C1994" s="3"/>
      <c r="D1994" s="4" t="s">
        <v>205</v>
      </c>
      <c r="E1994" s="4" t="s">
        <v>20</v>
      </c>
      <c r="F1994" s="4">
        <v>2009</v>
      </c>
      <c r="G1994" s="8">
        <v>-0.3</v>
      </c>
      <c r="H1994" s="4" t="s">
        <v>28</v>
      </c>
      <c r="I1994" s="8">
        <v>-0.6</v>
      </c>
      <c r="J1994" s="3">
        <v>10512</v>
      </c>
      <c r="K1994" s="3">
        <v>50207</v>
      </c>
      <c r="L1994" s="17" t="str" cm="1">
        <f t="array" ref="L1994">_xlfn.IFS(MID(K1994,2,2)="01", "서울", MID(K1994,2,2)="02","경기",MID(K1994,2,2)="03","충청",MID(K1994,2,2)="04","충청",MID(K1994,2,2)="05","전라",MID(K1994,2,2)="06","전라",MID(K1994,2,2)="07","경북",MID(K1994,2,2)="08","경남",MID(K1994,2,2)="09","강원",MID(K1994,2,2)="10","제주",TRUE,"국외")</f>
        <v>경기</v>
      </c>
    </row>
    <row r="1995" spans="1:12" ht="17.25" thickBot="1">
      <c r="A1995" s="3" t="s">
        <v>2058</v>
      </c>
      <c r="B1995" s="3" t="s">
        <v>107</v>
      </c>
      <c r="C1995" s="3" t="s">
        <v>221</v>
      </c>
      <c r="D1995" s="4" t="s">
        <v>205</v>
      </c>
      <c r="E1995" s="4" t="s">
        <v>20</v>
      </c>
      <c r="F1995" s="4">
        <v>2009</v>
      </c>
      <c r="G1995" s="8">
        <v>-0.1</v>
      </c>
      <c r="H1995" s="4" t="s">
        <v>20</v>
      </c>
      <c r="I1995" s="8">
        <v>-2.2000000000000002</v>
      </c>
      <c r="J1995" s="3">
        <v>10476</v>
      </c>
      <c r="K1995" s="3">
        <v>50602</v>
      </c>
      <c r="L1995" s="17" t="str" cm="1">
        <f t="array" ref="L1995">_xlfn.IFS(MID(K1995,2,2)="01", "서울", MID(K1995,2,2)="02","경기",MID(K1995,2,2)="03","충청",MID(K1995,2,2)="04","충청",MID(K1995,2,2)="05","전라",MID(K1995,2,2)="06","전라",MID(K1995,2,2)="07","경북",MID(K1995,2,2)="08","경남",MID(K1995,2,2)="09","강원",MID(K1995,2,2)="10","제주",TRUE,"국외")</f>
        <v>전라</v>
      </c>
    </row>
    <row r="1996" spans="1:12" ht="17.25" thickBot="1">
      <c r="A1996" s="3" t="s">
        <v>356</v>
      </c>
      <c r="B1996" s="3" t="s">
        <v>14</v>
      </c>
      <c r="C1996" s="3" t="s">
        <v>1743</v>
      </c>
      <c r="D1996" s="4" t="s">
        <v>205</v>
      </c>
      <c r="E1996" s="4" t="s">
        <v>20</v>
      </c>
      <c r="F1996" s="4"/>
      <c r="G1996" s="9"/>
      <c r="H1996" s="4"/>
      <c r="I1996" s="9"/>
      <c r="J1996" s="3">
        <v>11171</v>
      </c>
      <c r="K1996" s="3">
        <v>50703</v>
      </c>
      <c r="L1996" s="17" t="str" cm="1">
        <f t="array" ref="L1996">_xlfn.IFS(MID(K1996,2,2)="01", "서울", MID(K1996,2,2)="02","경기",MID(K1996,2,2)="03","충청",MID(K1996,2,2)="04","충청",MID(K1996,2,2)="05","전라",MID(K1996,2,2)="06","전라",MID(K1996,2,2)="07","경북",MID(K1996,2,2)="08","경남",MID(K1996,2,2)="09","강원",MID(K1996,2,2)="10","제주",TRUE,"국외")</f>
        <v>경북</v>
      </c>
    </row>
    <row r="1997" spans="1:12" ht="17.25" thickBot="1">
      <c r="A1997" s="3" t="s">
        <v>2059</v>
      </c>
      <c r="B1997" s="3" t="s">
        <v>169</v>
      </c>
      <c r="C1997" s="3"/>
      <c r="D1997" s="4" t="s">
        <v>205</v>
      </c>
      <c r="E1997" s="4" t="s">
        <v>20</v>
      </c>
      <c r="F1997" s="4">
        <v>2014</v>
      </c>
      <c r="G1997" s="9"/>
      <c r="H1997" s="4" t="s">
        <v>20</v>
      </c>
      <c r="I1997" s="8">
        <v>18.2</v>
      </c>
      <c r="J1997" s="3">
        <v>11215</v>
      </c>
      <c r="K1997" s="3">
        <v>50606</v>
      </c>
      <c r="L1997" s="17" t="str" cm="1">
        <f t="array" ref="L1997">_xlfn.IFS(MID(K1997,2,2)="01", "서울", MID(K1997,2,2)="02","경기",MID(K1997,2,2)="03","충청",MID(K1997,2,2)="04","충청",MID(K1997,2,2)="05","전라",MID(K1997,2,2)="06","전라",MID(K1997,2,2)="07","경북",MID(K1997,2,2)="08","경남",MID(K1997,2,2)="09","강원",MID(K1997,2,2)="10","제주",TRUE,"국외")</f>
        <v>전라</v>
      </c>
    </row>
    <row r="1998" spans="1:12" ht="17.25" thickBot="1">
      <c r="A1998" s="3" t="s">
        <v>2060</v>
      </c>
      <c r="B1998" s="3" t="s">
        <v>68</v>
      </c>
      <c r="C1998" s="3" t="s">
        <v>1796</v>
      </c>
      <c r="D1998" s="4" t="s">
        <v>205</v>
      </c>
      <c r="E1998" s="4" t="s">
        <v>20</v>
      </c>
      <c r="F1998" s="4">
        <v>2010</v>
      </c>
      <c r="G1998" s="9"/>
      <c r="H1998" s="4" t="s">
        <v>20</v>
      </c>
      <c r="I1998" s="8">
        <v>0.1</v>
      </c>
      <c r="J1998" s="3">
        <v>10473</v>
      </c>
      <c r="K1998" s="3">
        <v>50101</v>
      </c>
      <c r="L1998" s="17" t="str" cm="1">
        <f t="array" ref="L1998">_xlfn.IFS(MID(K1998,2,2)="01", "서울", MID(K1998,2,2)="02","경기",MID(K1998,2,2)="03","충청",MID(K1998,2,2)="04","충청",MID(K1998,2,2)="05","전라",MID(K1998,2,2)="06","전라",MID(K1998,2,2)="07","경북",MID(K1998,2,2)="08","경남",MID(K1998,2,2)="09","강원",MID(K1998,2,2)="10","제주",TRUE,"국외")</f>
        <v>서울</v>
      </c>
    </row>
    <row r="1999" spans="1:12" ht="17.25" thickBot="1">
      <c r="A1999" s="3" t="s">
        <v>2061</v>
      </c>
      <c r="B1999" s="3" t="s">
        <v>241</v>
      </c>
      <c r="C1999" s="3" t="s">
        <v>752</v>
      </c>
      <c r="D1999" s="4" t="s">
        <v>205</v>
      </c>
      <c r="E1999" s="4" t="s">
        <v>607</v>
      </c>
      <c r="F1999" s="4">
        <v>2015</v>
      </c>
      <c r="G1999" s="9"/>
      <c r="H1999" s="4" t="s">
        <v>28</v>
      </c>
      <c r="I1999" s="8">
        <v>-1</v>
      </c>
      <c r="J1999" s="3">
        <v>11341</v>
      </c>
      <c r="K1999" s="3">
        <v>50202</v>
      </c>
      <c r="L1999" s="17" t="str" cm="1">
        <f t="array" ref="L1999">_xlfn.IFS(MID(K1999,2,2)="01", "서울", MID(K1999,2,2)="02","경기",MID(K1999,2,2)="03","충청",MID(K1999,2,2)="04","충청",MID(K1999,2,2)="05","전라",MID(K1999,2,2)="06","전라",MID(K1999,2,2)="07","경북",MID(K1999,2,2)="08","경남",MID(K1999,2,2)="09","강원",MID(K1999,2,2)="10","제주",TRUE,"국외")</f>
        <v>경기</v>
      </c>
    </row>
    <row r="2000" spans="1:12" ht="17.25" thickBot="1">
      <c r="A2000" s="3" t="s">
        <v>2062</v>
      </c>
      <c r="B2000" s="3" t="s">
        <v>40</v>
      </c>
      <c r="C2000" s="3"/>
      <c r="D2000" s="4" t="s">
        <v>205</v>
      </c>
      <c r="E2000" s="4" t="s">
        <v>607</v>
      </c>
      <c r="F2000" s="4">
        <v>2011</v>
      </c>
      <c r="G2000" s="9"/>
      <c r="H2000" s="4" t="s">
        <v>607</v>
      </c>
      <c r="I2000" s="8">
        <v>-0.1</v>
      </c>
      <c r="J2000" s="3">
        <v>10118</v>
      </c>
      <c r="K2000" s="3">
        <v>50108</v>
      </c>
      <c r="L2000" s="17" t="str" cm="1">
        <f t="array" ref="L2000">_xlfn.IFS(MID(K2000,2,2)="01", "서울", MID(K2000,2,2)="02","경기",MID(K2000,2,2)="03","충청",MID(K2000,2,2)="04","충청",MID(K2000,2,2)="05","전라",MID(K2000,2,2)="06","전라",MID(K2000,2,2)="07","경북",MID(K2000,2,2)="08","경남",MID(K2000,2,2)="09","강원",MID(K2000,2,2)="10","제주",TRUE,"국외")</f>
        <v>서울</v>
      </c>
    </row>
    <row r="2001" spans="1:12" ht="17.25" thickBot="1">
      <c r="A2001" s="3" t="s">
        <v>2063</v>
      </c>
      <c r="B2001" s="3" t="s">
        <v>70</v>
      </c>
      <c r="C2001" s="3"/>
      <c r="D2001" s="4" t="s">
        <v>205</v>
      </c>
      <c r="E2001" s="4" t="s">
        <v>26</v>
      </c>
      <c r="F2001" s="4"/>
      <c r="G2001" s="9"/>
      <c r="H2001" s="4"/>
      <c r="I2001" s="9"/>
      <c r="J2001" s="3">
        <v>10900</v>
      </c>
      <c r="K2001" s="3">
        <v>50103</v>
      </c>
      <c r="L2001" s="17" t="str" cm="1">
        <f t="array" ref="L2001">_xlfn.IFS(MID(K2001,2,2)="01", "서울", MID(K2001,2,2)="02","경기",MID(K2001,2,2)="03","충청",MID(K2001,2,2)="04","충청",MID(K2001,2,2)="05","전라",MID(K2001,2,2)="06","전라",MID(K2001,2,2)="07","경북",MID(K2001,2,2)="08","경남",MID(K2001,2,2)="09","강원",MID(K2001,2,2)="10","제주",TRUE,"국외")</f>
        <v>서울</v>
      </c>
    </row>
    <row r="2002" spans="1:12" ht="17.25" thickBot="1">
      <c r="A2002" s="3" t="s">
        <v>2064</v>
      </c>
      <c r="B2002" s="3" t="s">
        <v>8</v>
      </c>
      <c r="C2002" s="3" t="s">
        <v>45</v>
      </c>
      <c r="D2002" s="4" t="s">
        <v>205</v>
      </c>
      <c r="E2002" s="4" t="s">
        <v>26</v>
      </c>
      <c r="F2002" s="4">
        <v>2011</v>
      </c>
      <c r="G2002" s="9"/>
      <c r="H2002" s="4" t="s">
        <v>26</v>
      </c>
      <c r="I2002" s="8">
        <v>-0.1</v>
      </c>
      <c r="J2002" s="3">
        <v>10689</v>
      </c>
      <c r="K2002" s="3">
        <v>50116</v>
      </c>
      <c r="L2002" s="17" t="str" cm="1">
        <f t="array" ref="L2002">_xlfn.IFS(MID(K2002,2,2)="01", "서울", MID(K2002,2,2)="02","경기",MID(K2002,2,2)="03","충청",MID(K2002,2,2)="04","충청",MID(K2002,2,2)="05","전라",MID(K2002,2,2)="06","전라",MID(K2002,2,2)="07","경북",MID(K2002,2,2)="08","경남",MID(K2002,2,2)="09","강원",MID(K2002,2,2)="10","제주",TRUE,"국외")</f>
        <v>서울</v>
      </c>
    </row>
    <row r="2003" spans="1:12" ht="17.25" thickBot="1">
      <c r="A2003" s="3" t="s">
        <v>2065</v>
      </c>
      <c r="B2003" s="3" t="s">
        <v>126</v>
      </c>
      <c r="C2003" s="3" t="s">
        <v>99</v>
      </c>
      <c r="D2003" s="4" t="s">
        <v>205</v>
      </c>
      <c r="E2003" s="4" t="s">
        <v>23</v>
      </c>
      <c r="F2003" s="4">
        <v>2009</v>
      </c>
      <c r="G2003" s="8">
        <v>0.2</v>
      </c>
      <c r="H2003" s="4" t="s">
        <v>23</v>
      </c>
      <c r="I2003" s="8">
        <v>5.7</v>
      </c>
      <c r="J2003" s="3">
        <v>10371</v>
      </c>
      <c r="K2003" s="3">
        <v>50206</v>
      </c>
      <c r="L2003" s="17" t="str" cm="1">
        <f t="array" ref="L2003">_xlfn.IFS(MID(K2003,2,2)="01", "서울", MID(K2003,2,2)="02","경기",MID(K2003,2,2)="03","충청",MID(K2003,2,2)="04","충청",MID(K2003,2,2)="05","전라",MID(K2003,2,2)="06","전라",MID(K2003,2,2)="07","경북",MID(K2003,2,2)="08","경남",MID(K2003,2,2)="09","강원",MID(K2003,2,2)="10","제주",TRUE,"국외")</f>
        <v>경기</v>
      </c>
    </row>
    <row r="2004" spans="1:12" ht="17.25" thickBot="1">
      <c r="A2004" s="3" t="s">
        <v>2066</v>
      </c>
      <c r="B2004" s="3" t="s">
        <v>78</v>
      </c>
      <c r="C2004" s="3" t="s">
        <v>346</v>
      </c>
      <c r="D2004" s="4" t="s">
        <v>205</v>
      </c>
      <c r="E2004" s="4" t="s">
        <v>23</v>
      </c>
      <c r="F2004" s="4"/>
      <c r="G2004" s="9"/>
      <c r="H2004" s="4"/>
      <c r="I2004" s="9"/>
      <c r="J2004" s="3">
        <v>11354</v>
      </c>
      <c r="K2004" s="3">
        <v>50401</v>
      </c>
      <c r="L2004" s="17" t="str" cm="1">
        <f t="array" ref="L2004">_xlfn.IFS(MID(K2004,2,2)="01", "서울", MID(K2004,2,2)="02","경기",MID(K2004,2,2)="03","충청",MID(K2004,2,2)="04","충청",MID(K2004,2,2)="05","전라",MID(K2004,2,2)="06","전라",MID(K2004,2,2)="07","경북",MID(K2004,2,2)="08","경남",MID(K2004,2,2)="09","강원",MID(K2004,2,2)="10","제주",TRUE,"국외")</f>
        <v>충청</v>
      </c>
    </row>
    <row r="2005" spans="1:12" ht="17.25" thickBot="1">
      <c r="A2005" s="3" t="s">
        <v>2067</v>
      </c>
      <c r="B2005" s="3" t="s">
        <v>14</v>
      </c>
      <c r="C2005" s="3" t="s">
        <v>538</v>
      </c>
      <c r="D2005" s="4" t="s">
        <v>205</v>
      </c>
      <c r="E2005" s="4" t="s">
        <v>3</v>
      </c>
      <c r="F2005" s="4">
        <v>2016</v>
      </c>
      <c r="G2005" s="9"/>
      <c r="H2005" s="4" t="s">
        <v>23</v>
      </c>
      <c r="I2005" s="8">
        <v>0.2</v>
      </c>
      <c r="J2005" s="3">
        <v>11401</v>
      </c>
      <c r="K2005" s="3">
        <v>50703</v>
      </c>
      <c r="L2005" s="17" t="str" cm="1">
        <f t="array" ref="L2005">_xlfn.IFS(MID(K2005,2,2)="01", "서울", MID(K2005,2,2)="02","경기",MID(K2005,2,2)="03","충청",MID(K2005,2,2)="04","충청",MID(K2005,2,2)="05","전라",MID(K2005,2,2)="06","전라",MID(K2005,2,2)="07","경북",MID(K2005,2,2)="08","경남",MID(K2005,2,2)="09","강원",MID(K2005,2,2)="10","제주",TRUE,"국외")</f>
        <v>경북</v>
      </c>
    </row>
    <row r="2006" spans="1:12" ht="17.25" thickBot="1">
      <c r="A2006" s="3" t="s">
        <v>2068</v>
      </c>
      <c r="B2006" s="3" t="s">
        <v>36</v>
      </c>
      <c r="C2006" s="3" t="s">
        <v>122</v>
      </c>
      <c r="D2006" s="4" t="s">
        <v>205</v>
      </c>
      <c r="E2006" s="4" t="s">
        <v>1988</v>
      </c>
      <c r="F2006" s="4">
        <v>2015</v>
      </c>
      <c r="G2006" s="9"/>
      <c r="H2006" s="4" t="s">
        <v>28</v>
      </c>
      <c r="I2006" s="8">
        <v>-1.2</v>
      </c>
      <c r="J2006" s="3">
        <v>11327</v>
      </c>
      <c r="K2006" s="3">
        <v>50402</v>
      </c>
      <c r="L2006" s="17" t="str" cm="1">
        <f t="array" ref="L2006">_xlfn.IFS(MID(K2006,2,2)="01", "서울", MID(K2006,2,2)="02","경기",MID(K2006,2,2)="03","충청",MID(K2006,2,2)="04","충청",MID(K2006,2,2)="05","전라",MID(K2006,2,2)="06","전라",MID(K2006,2,2)="07","경북",MID(K2006,2,2)="08","경남",MID(K2006,2,2)="09","강원",MID(K2006,2,2)="10","제주",TRUE,"국외")</f>
        <v>충청</v>
      </c>
    </row>
    <row r="2007" spans="1:12" ht="17.25" thickBot="1">
      <c r="A2007" s="3" t="s">
        <v>2069</v>
      </c>
      <c r="B2007" s="3" t="s">
        <v>158</v>
      </c>
      <c r="C2007" s="3"/>
      <c r="D2007" s="4" t="s">
        <v>243</v>
      </c>
      <c r="E2007" s="4" t="s">
        <v>6</v>
      </c>
      <c r="F2007" s="4">
        <v>2008</v>
      </c>
      <c r="G2007" s="8">
        <v>0</v>
      </c>
      <c r="H2007" s="4" t="s">
        <v>6</v>
      </c>
      <c r="I2007" s="8">
        <v>0.7</v>
      </c>
      <c r="J2007" s="3">
        <v>10070</v>
      </c>
      <c r="K2007" s="3">
        <v>50501</v>
      </c>
      <c r="L2007" s="17" t="str" cm="1">
        <f t="array" ref="L2007">_xlfn.IFS(MID(K2007,2,2)="01", "서울", MID(K2007,2,2)="02","경기",MID(K2007,2,2)="03","충청",MID(K2007,2,2)="04","충청",MID(K2007,2,2)="05","전라",MID(K2007,2,2)="06","전라",MID(K2007,2,2)="07","경북",MID(K2007,2,2)="08","경남",MID(K2007,2,2)="09","강원",MID(K2007,2,2)="10","제주",TRUE,"국외")</f>
        <v>전라</v>
      </c>
    </row>
    <row r="2008" spans="1:12" ht="17.25" thickBot="1">
      <c r="A2008" s="3" t="s">
        <v>2070</v>
      </c>
      <c r="B2008" s="3" t="s">
        <v>1</v>
      </c>
      <c r="C2008" s="3"/>
      <c r="D2008" s="4" t="s">
        <v>243</v>
      </c>
      <c r="E2008" s="4" t="s">
        <v>20</v>
      </c>
      <c r="F2008" s="4">
        <v>2010</v>
      </c>
      <c r="G2008" s="9"/>
      <c r="H2008" s="4" t="s">
        <v>20</v>
      </c>
      <c r="I2008" s="8">
        <v>13.4</v>
      </c>
      <c r="J2008" s="3">
        <v>12516</v>
      </c>
      <c r="K2008" s="3">
        <v>50107</v>
      </c>
      <c r="L2008" s="17" t="str" cm="1">
        <f t="array" ref="L2008">_xlfn.IFS(MID(K2008,2,2)="01", "서울", MID(K2008,2,2)="02","경기",MID(K2008,2,2)="03","충청",MID(K2008,2,2)="04","충청",MID(K2008,2,2)="05","전라",MID(K2008,2,2)="06","전라",MID(K2008,2,2)="07","경북",MID(K2008,2,2)="08","경남",MID(K2008,2,2)="09","강원",MID(K2008,2,2)="10","제주",TRUE,"국외")</f>
        <v>서울</v>
      </c>
    </row>
    <row r="2009" spans="1:12" ht="17.25" thickBot="1">
      <c r="A2009" s="3" t="s">
        <v>2071</v>
      </c>
      <c r="B2009" s="3" t="s">
        <v>241</v>
      </c>
      <c r="C2009" s="3"/>
      <c r="D2009" s="4" t="s">
        <v>243</v>
      </c>
      <c r="E2009" s="4" t="s">
        <v>607</v>
      </c>
      <c r="F2009" s="4"/>
      <c r="G2009" s="9"/>
      <c r="H2009" s="4"/>
      <c r="I2009" s="9"/>
      <c r="J2009" s="3">
        <v>10873</v>
      </c>
      <c r="K2009" s="3">
        <v>50202</v>
      </c>
      <c r="L2009" s="17" t="str" cm="1">
        <f t="array" ref="L2009">_xlfn.IFS(MID(K2009,2,2)="01", "서울", MID(K2009,2,2)="02","경기",MID(K2009,2,2)="03","충청",MID(K2009,2,2)="04","충청",MID(K2009,2,2)="05","전라",MID(K2009,2,2)="06","전라",MID(K2009,2,2)="07","경북",MID(K2009,2,2)="08","경남",MID(K2009,2,2)="09","강원",MID(K2009,2,2)="10","제주",TRUE,"국외")</f>
        <v>경기</v>
      </c>
    </row>
    <row r="2010" spans="1:12" ht="17.25" thickBot="1">
      <c r="A2010" s="3" t="s">
        <v>2072</v>
      </c>
      <c r="B2010" s="3" t="s">
        <v>40</v>
      </c>
      <c r="C2010" s="3" t="s">
        <v>1942</v>
      </c>
      <c r="D2010" s="4" t="s">
        <v>243</v>
      </c>
      <c r="E2010" s="4" t="s">
        <v>26</v>
      </c>
      <c r="F2010" s="4">
        <v>2008</v>
      </c>
      <c r="G2010" s="8">
        <v>0.1</v>
      </c>
      <c r="H2010" s="4" t="s">
        <v>26</v>
      </c>
      <c r="I2010" s="8">
        <v>0.7</v>
      </c>
      <c r="J2010" s="3">
        <v>10229</v>
      </c>
      <c r="K2010" s="3">
        <v>50108</v>
      </c>
      <c r="L2010" s="17" t="str" cm="1">
        <f t="array" ref="L2010">_xlfn.IFS(MID(K2010,2,2)="01", "서울", MID(K2010,2,2)="02","경기",MID(K2010,2,2)="03","충청",MID(K2010,2,2)="04","충청",MID(K2010,2,2)="05","전라",MID(K2010,2,2)="06","전라",MID(K2010,2,2)="07","경북",MID(K2010,2,2)="08","경남",MID(K2010,2,2)="09","강원",MID(K2010,2,2)="10","제주",TRUE,"국외")</f>
        <v>서울</v>
      </c>
    </row>
    <row r="2011" spans="1:12" ht="17.25" thickBot="1">
      <c r="A2011" s="3" t="s">
        <v>2073</v>
      </c>
      <c r="B2011" s="3" t="s">
        <v>11</v>
      </c>
      <c r="C2011" s="3" t="s">
        <v>1796</v>
      </c>
      <c r="D2011" s="4" t="s">
        <v>243</v>
      </c>
      <c r="E2011" s="4" t="s">
        <v>9</v>
      </c>
      <c r="F2011" s="4">
        <v>2009</v>
      </c>
      <c r="G2011" s="9"/>
      <c r="H2011" s="4" t="s">
        <v>28</v>
      </c>
      <c r="I2011" s="8">
        <v>17.399999999999999</v>
      </c>
      <c r="J2011" s="3">
        <v>10235</v>
      </c>
      <c r="K2011" s="3">
        <v>50802</v>
      </c>
      <c r="L2011" s="17" t="str" cm="1">
        <f t="array" ref="L2011">_xlfn.IFS(MID(K2011,2,2)="01", "서울", MID(K2011,2,2)="02","경기",MID(K2011,2,2)="03","충청",MID(K2011,2,2)="04","충청",MID(K2011,2,2)="05","전라",MID(K2011,2,2)="06","전라",MID(K2011,2,2)="07","경북",MID(K2011,2,2)="08","경남",MID(K2011,2,2)="09","강원",MID(K2011,2,2)="10","제주",TRUE,"국외")</f>
        <v>경남</v>
      </c>
    </row>
    <row r="2012" spans="1:12" ht="17.25" thickBot="1">
      <c r="A2012" s="3" t="s">
        <v>2074</v>
      </c>
      <c r="B2012" s="3" t="s">
        <v>332</v>
      </c>
      <c r="C2012" s="3" t="s">
        <v>2075</v>
      </c>
      <c r="D2012" s="4" t="s">
        <v>243</v>
      </c>
      <c r="E2012" s="4" t="s">
        <v>23</v>
      </c>
      <c r="F2012" s="4">
        <v>2008</v>
      </c>
      <c r="G2012" s="8">
        <v>0.9</v>
      </c>
      <c r="H2012" s="4" t="s">
        <v>23</v>
      </c>
      <c r="I2012" s="8">
        <v>2.2999999999999998</v>
      </c>
      <c r="J2012" s="3">
        <v>10341</v>
      </c>
      <c r="K2012" s="3">
        <v>50705</v>
      </c>
      <c r="L2012" s="17" t="str" cm="1">
        <f t="array" ref="L2012">_xlfn.IFS(MID(K2012,2,2)="01", "서울", MID(K2012,2,2)="02","경기",MID(K2012,2,2)="03","충청",MID(K2012,2,2)="04","충청",MID(K2012,2,2)="05","전라",MID(K2012,2,2)="06","전라",MID(K2012,2,2)="07","경북",MID(K2012,2,2)="08","경남",MID(K2012,2,2)="09","강원",MID(K2012,2,2)="10","제주",TRUE,"국외")</f>
        <v>경북</v>
      </c>
    </row>
    <row r="2013" spans="1:12" ht="17.25" thickBot="1">
      <c r="A2013" s="3" t="s">
        <v>2076</v>
      </c>
      <c r="B2013" s="3" t="s">
        <v>36</v>
      </c>
      <c r="C2013" s="3"/>
      <c r="D2013" s="4" t="s">
        <v>243</v>
      </c>
      <c r="E2013" s="4" t="s">
        <v>3</v>
      </c>
      <c r="F2013" s="4">
        <v>2013</v>
      </c>
      <c r="G2013" s="9"/>
      <c r="H2013" s="4" t="s">
        <v>3</v>
      </c>
      <c r="I2013" s="8">
        <v>0</v>
      </c>
      <c r="J2013" s="3">
        <v>10568</v>
      </c>
      <c r="K2013" s="3">
        <v>50402</v>
      </c>
      <c r="L2013" s="17" t="str" cm="1">
        <f t="array" ref="L2013">_xlfn.IFS(MID(K2013,2,2)="01", "서울", MID(K2013,2,2)="02","경기",MID(K2013,2,2)="03","충청",MID(K2013,2,2)="04","충청",MID(K2013,2,2)="05","전라",MID(K2013,2,2)="06","전라",MID(K2013,2,2)="07","경북",MID(K2013,2,2)="08","경남",MID(K2013,2,2)="09","강원",MID(K2013,2,2)="10","제주",TRUE,"국외")</f>
        <v>충청</v>
      </c>
    </row>
    <row r="2014" spans="1:12" ht="17.25" thickBot="1">
      <c r="A2014" s="3" t="s">
        <v>2077</v>
      </c>
      <c r="B2014" s="3" t="s">
        <v>11</v>
      </c>
      <c r="C2014" s="3"/>
      <c r="D2014" s="4" t="s">
        <v>254</v>
      </c>
      <c r="E2014" s="4" t="s">
        <v>9</v>
      </c>
      <c r="F2014" s="4">
        <v>2009</v>
      </c>
      <c r="G2014" s="9"/>
      <c r="H2014" s="4" t="s">
        <v>28</v>
      </c>
      <c r="I2014" s="8">
        <v>-0.4</v>
      </c>
      <c r="J2014" s="3">
        <v>10304</v>
      </c>
      <c r="K2014" s="3">
        <v>50802</v>
      </c>
      <c r="L2014" s="17" t="str" cm="1">
        <f t="array" ref="L2014">_xlfn.IFS(MID(K2014,2,2)="01", "서울", MID(K2014,2,2)="02","경기",MID(K2014,2,2)="03","충청",MID(K2014,2,2)="04","충청",MID(K2014,2,2)="05","전라",MID(K2014,2,2)="06","전라",MID(K2014,2,2)="07","경북",MID(K2014,2,2)="08","경남",MID(K2014,2,2)="09","강원",MID(K2014,2,2)="10","제주",TRUE,"국외")</f>
        <v>경남</v>
      </c>
    </row>
    <row r="2015" spans="1:12" ht="17.25" thickBot="1">
      <c r="A2015" s="3" t="s">
        <v>2078</v>
      </c>
      <c r="B2015" s="3" t="s">
        <v>107</v>
      </c>
      <c r="C2015" s="3"/>
      <c r="D2015" s="4" t="s">
        <v>254</v>
      </c>
      <c r="E2015" s="4" t="s">
        <v>20</v>
      </c>
      <c r="F2015" s="4">
        <v>2008</v>
      </c>
      <c r="G2015" s="8">
        <v>-0.5</v>
      </c>
      <c r="H2015" s="4" t="s">
        <v>20</v>
      </c>
      <c r="I2015" s="8">
        <v>7.1</v>
      </c>
      <c r="J2015" s="3">
        <v>10533</v>
      </c>
      <c r="K2015" s="3">
        <v>50602</v>
      </c>
      <c r="L2015" s="17" t="str" cm="1">
        <f t="array" ref="L2015">_xlfn.IFS(MID(K2015,2,2)="01", "서울", MID(K2015,2,2)="02","경기",MID(K2015,2,2)="03","충청",MID(K2015,2,2)="04","충청",MID(K2015,2,2)="05","전라",MID(K2015,2,2)="06","전라",MID(K2015,2,2)="07","경북",MID(K2015,2,2)="08","경남",MID(K2015,2,2)="09","강원",MID(K2015,2,2)="10","제주",TRUE,"국외")</f>
        <v>전라</v>
      </c>
    </row>
    <row r="2016" spans="1:12" ht="17.25" thickBot="1">
      <c r="A2016" s="3" t="s">
        <v>2079</v>
      </c>
      <c r="B2016" s="3" t="s">
        <v>107</v>
      </c>
      <c r="C2016" s="3" t="s">
        <v>99</v>
      </c>
      <c r="D2016" s="4" t="s">
        <v>254</v>
      </c>
      <c r="E2016" s="4" t="s">
        <v>607</v>
      </c>
      <c r="F2016" s="4">
        <v>2008</v>
      </c>
      <c r="G2016" s="8">
        <v>-0.6</v>
      </c>
      <c r="H2016" s="4" t="s">
        <v>12</v>
      </c>
      <c r="I2016" s="8">
        <v>10.5</v>
      </c>
      <c r="J2016" s="3">
        <v>10093</v>
      </c>
      <c r="K2016" s="3">
        <v>50602</v>
      </c>
      <c r="L2016" s="17" t="str" cm="1">
        <f t="array" ref="L2016">_xlfn.IFS(MID(K2016,2,2)="01", "서울", MID(K2016,2,2)="02","경기",MID(K2016,2,2)="03","충청",MID(K2016,2,2)="04","충청",MID(K2016,2,2)="05","전라",MID(K2016,2,2)="06","전라",MID(K2016,2,2)="07","경북",MID(K2016,2,2)="08","경남",MID(K2016,2,2)="09","강원",MID(K2016,2,2)="10","제주",TRUE,"국외")</f>
        <v>전라</v>
      </c>
    </row>
    <row r="2017" spans="1:12" ht="17.25" thickBot="1">
      <c r="A2017" s="3" t="s">
        <v>2080</v>
      </c>
      <c r="B2017" s="3" t="s">
        <v>22</v>
      </c>
      <c r="C2017" s="3"/>
      <c r="D2017" s="4" t="s">
        <v>254</v>
      </c>
      <c r="E2017" s="4" t="s">
        <v>26</v>
      </c>
      <c r="F2017" s="4">
        <v>2008</v>
      </c>
      <c r="G2017" s="8">
        <v>-0.4</v>
      </c>
      <c r="H2017" s="4" t="s">
        <v>26</v>
      </c>
      <c r="I2017" s="8">
        <v>36.299999999999997</v>
      </c>
      <c r="J2017" s="3">
        <v>10643</v>
      </c>
      <c r="K2017" s="3">
        <v>50209</v>
      </c>
      <c r="L2017" s="17" t="str" cm="1">
        <f t="array" ref="L2017">_xlfn.IFS(MID(K2017,2,2)="01", "서울", MID(K2017,2,2)="02","경기",MID(K2017,2,2)="03","충청",MID(K2017,2,2)="04","충청",MID(K2017,2,2)="05","전라",MID(K2017,2,2)="06","전라",MID(K2017,2,2)="07","경북",MID(K2017,2,2)="08","경남",MID(K2017,2,2)="09","강원",MID(K2017,2,2)="10","제주",TRUE,"국외")</f>
        <v>경기</v>
      </c>
    </row>
    <row r="2018" spans="1:12" ht="17.25" thickBot="1">
      <c r="A2018" s="3" t="s">
        <v>2081</v>
      </c>
      <c r="B2018" s="3" t="s">
        <v>66</v>
      </c>
      <c r="C2018" s="3" t="s">
        <v>122</v>
      </c>
      <c r="D2018" s="4" t="s">
        <v>254</v>
      </c>
      <c r="E2018" s="4" t="s">
        <v>6</v>
      </c>
      <c r="F2018" s="4">
        <v>2008</v>
      </c>
      <c r="G2018" s="8">
        <v>2.2000000000000002</v>
      </c>
      <c r="H2018" s="4" t="s">
        <v>6</v>
      </c>
      <c r="I2018" s="8">
        <v>26</v>
      </c>
      <c r="J2018" s="3">
        <v>10030</v>
      </c>
      <c r="K2018" s="3">
        <v>50110</v>
      </c>
      <c r="L2018" s="17" t="str" cm="1">
        <f t="array" ref="L2018">_xlfn.IFS(MID(K2018,2,2)="01", "서울", MID(K2018,2,2)="02","경기",MID(K2018,2,2)="03","충청",MID(K2018,2,2)="04","충청",MID(K2018,2,2)="05","전라",MID(K2018,2,2)="06","전라",MID(K2018,2,2)="07","경북",MID(K2018,2,2)="08","경남",MID(K2018,2,2)="09","강원",MID(K2018,2,2)="10","제주",TRUE,"국외")</f>
        <v>서울</v>
      </c>
    </row>
    <row r="2019" spans="1:12" ht="17.25" thickBot="1">
      <c r="A2019" s="3" t="s">
        <v>1238</v>
      </c>
      <c r="B2019" s="3" t="s">
        <v>275</v>
      </c>
      <c r="C2019" s="3"/>
      <c r="D2019" s="4" t="s">
        <v>254</v>
      </c>
      <c r="E2019" s="4" t="s">
        <v>1988</v>
      </c>
      <c r="F2019" s="4">
        <v>2008</v>
      </c>
      <c r="G2019" s="8">
        <v>0.5</v>
      </c>
      <c r="H2019" s="4" t="s">
        <v>18</v>
      </c>
      <c r="I2019" s="8">
        <v>1.5</v>
      </c>
      <c r="J2019" s="3">
        <v>10429</v>
      </c>
      <c r="K2019" s="3">
        <v>51001</v>
      </c>
      <c r="L2019" s="17" t="str" cm="1">
        <f t="array" ref="L2019">_xlfn.IFS(MID(K2019,2,2)="01", "서울", MID(K2019,2,2)="02","경기",MID(K2019,2,2)="03","충청",MID(K2019,2,2)="04","충청",MID(K2019,2,2)="05","전라",MID(K2019,2,2)="06","전라",MID(K2019,2,2)="07","경북",MID(K2019,2,2)="08","경남",MID(K2019,2,2)="09","강원",MID(K2019,2,2)="10","제주",TRUE,"국외")</f>
        <v>제주</v>
      </c>
    </row>
    <row r="2020" spans="1:12" ht="17.25" thickBot="1">
      <c r="A2020" s="3" t="s">
        <v>2082</v>
      </c>
      <c r="B2020" s="3" t="s">
        <v>25</v>
      </c>
      <c r="C2020" s="3"/>
      <c r="D2020" s="4" t="s">
        <v>254</v>
      </c>
      <c r="E2020" s="4" t="s">
        <v>3</v>
      </c>
      <c r="F2020" s="4">
        <v>2008</v>
      </c>
      <c r="G2020" s="8">
        <v>-0.3</v>
      </c>
      <c r="H2020" s="4" t="s">
        <v>3</v>
      </c>
      <c r="I2020" s="8">
        <v>-0.2</v>
      </c>
      <c r="J2020" s="3">
        <v>10608</v>
      </c>
      <c r="K2020" s="3">
        <v>50403</v>
      </c>
      <c r="L2020" s="17" t="str" cm="1">
        <f t="array" ref="L2020">_xlfn.IFS(MID(K2020,2,2)="01", "서울", MID(K2020,2,2)="02","경기",MID(K2020,2,2)="03","충청",MID(K2020,2,2)="04","충청",MID(K2020,2,2)="05","전라",MID(K2020,2,2)="06","전라",MID(K2020,2,2)="07","경북",MID(K2020,2,2)="08","경남",MID(K2020,2,2)="09","강원",MID(K2020,2,2)="10","제주",TRUE,"국외")</f>
        <v>충청</v>
      </c>
    </row>
    <row r="2021" spans="1:12" ht="17.25" thickBot="1">
      <c r="A2021" s="3" t="s">
        <v>2083</v>
      </c>
      <c r="B2021" s="3" t="s">
        <v>32</v>
      </c>
      <c r="C2021" s="3"/>
      <c r="D2021" s="4" t="s">
        <v>254</v>
      </c>
      <c r="E2021" s="4" t="s">
        <v>23</v>
      </c>
      <c r="F2021" s="4">
        <v>2008</v>
      </c>
      <c r="G2021" s="8">
        <v>-0.6</v>
      </c>
      <c r="H2021" s="4" t="s">
        <v>23</v>
      </c>
      <c r="I2021" s="8">
        <v>-0.2</v>
      </c>
      <c r="J2021" s="3">
        <v>10382</v>
      </c>
      <c r="K2021" s="3">
        <v>50111</v>
      </c>
      <c r="L2021" s="17" t="str" cm="1">
        <f t="array" ref="L2021">_xlfn.IFS(MID(K2021,2,2)="01", "서울", MID(K2021,2,2)="02","경기",MID(K2021,2,2)="03","충청",MID(K2021,2,2)="04","충청",MID(K2021,2,2)="05","전라",MID(K2021,2,2)="06","전라",MID(K2021,2,2)="07","경북",MID(K2021,2,2)="08","경남",MID(K2021,2,2)="09","강원",MID(K2021,2,2)="10","제주",TRUE,"국외")</f>
        <v>서울</v>
      </c>
    </row>
    <row r="2022" spans="1:12" ht="17.25" thickBot="1">
      <c r="A2022" s="3" t="s">
        <v>2084</v>
      </c>
      <c r="B2022" s="3" t="s">
        <v>32</v>
      </c>
      <c r="C2022" s="3"/>
      <c r="D2022" s="4" t="s">
        <v>254</v>
      </c>
      <c r="E2022" s="4" t="s">
        <v>23</v>
      </c>
      <c r="F2022" s="4">
        <v>2008</v>
      </c>
      <c r="G2022" s="8">
        <v>0</v>
      </c>
      <c r="H2022" s="4" t="s">
        <v>23</v>
      </c>
      <c r="I2022" s="8">
        <v>-0.2</v>
      </c>
      <c r="J2022" s="3">
        <v>10725</v>
      </c>
      <c r="K2022" s="3">
        <v>50111</v>
      </c>
      <c r="L2022" s="17" t="str" cm="1">
        <f t="array" ref="L2022">_xlfn.IFS(MID(K2022,2,2)="01", "서울", MID(K2022,2,2)="02","경기",MID(K2022,2,2)="03","충청",MID(K2022,2,2)="04","충청",MID(K2022,2,2)="05","전라",MID(K2022,2,2)="06","전라",MID(K2022,2,2)="07","경북",MID(K2022,2,2)="08","경남",MID(K2022,2,2)="09","강원",MID(K2022,2,2)="10","제주",TRUE,"국외")</f>
        <v>서울</v>
      </c>
    </row>
    <row r="2023" spans="1:12" ht="17.25" thickBot="1">
      <c r="A2023" s="3" t="s">
        <v>2085</v>
      </c>
      <c r="B2023" s="3" t="s">
        <v>1497</v>
      </c>
      <c r="C2023" s="3" t="s">
        <v>99</v>
      </c>
      <c r="D2023" s="4" t="s">
        <v>254</v>
      </c>
      <c r="E2023" s="4" t="s">
        <v>3</v>
      </c>
      <c r="F2023" s="4">
        <v>2008</v>
      </c>
      <c r="G2023" s="8">
        <v>0.3</v>
      </c>
      <c r="H2023" s="4" t="s">
        <v>3</v>
      </c>
      <c r="I2023" s="8">
        <v>-1.1000000000000001</v>
      </c>
      <c r="J2023" s="3">
        <v>10544</v>
      </c>
      <c r="K2023" s="3">
        <v>50112</v>
      </c>
      <c r="L2023" s="17" t="str" cm="1">
        <f t="array" ref="L2023">_xlfn.IFS(MID(K2023,2,2)="01", "서울", MID(K2023,2,2)="02","경기",MID(K2023,2,2)="03","충청",MID(K2023,2,2)="04","충청",MID(K2023,2,2)="05","전라",MID(K2023,2,2)="06","전라",MID(K2023,2,2)="07","경북",MID(K2023,2,2)="08","경남",MID(K2023,2,2)="09","강원",MID(K2023,2,2)="10","제주",TRUE,"국외")</f>
        <v>서울</v>
      </c>
    </row>
    <row r="2024" spans="1:12" ht="17.25" thickBot="1">
      <c r="A2024" s="3" t="s">
        <v>2086</v>
      </c>
      <c r="B2024" s="3" t="s">
        <v>96</v>
      </c>
      <c r="C2024" s="3" t="s">
        <v>83</v>
      </c>
      <c r="D2024" s="4" t="s">
        <v>254</v>
      </c>
      <c r="E2024" s="4" t="s">
        <v>1988</v>
      </c>
      <c r="F2024" s="4">
        <v>2009</v>
      </c>
      <c r="G2024" s="9"/>
      <c r="H2024" s="4" t="s">
        <v>12</v>
      </c>
      <c r="I2024" s="8">
        <v>7.9</v>
      </c>
      <c r="J2024" s="3">
        <v>10452</v>
      </c>
      <c r="K2024" s="3">
        <v>50601</v>
      </c>
      <c r="L2024" s="17" t="str" cm="1">
        <f t="array" ref="L2024">_xlfn.IFS(MID(K2024,2,2)="01", "서울", MID(K2024,2,2)="02","경기",MID(K2024,2,2)="03","충청",MID(K2024,2,2)="04","충청",MID(K2024,2,2)="05","전라",MID(K2024,2,2)="06","전라",MID(K2024,2,2)="07","경북",MID(K2024,2,2)="08","경남",MID(K2024,2,2)="09","강원",MID(K2024,2,2)="10","제주",TRUE,"국외")</f>
        <v>전라</v>
      </c>
    </row>
    <row r="2025" spans="1:12" ht="17.25" thickBot="1">
      <c r="A2025" s="3" t="s">
        <v>2087</v>
      </c>
      <c r="B2025" s="3" t="s">
        <v>78</v>
      </c>
      <c r="C2025" s="3" t="s">
        <v>172</v>
      </c>
      <c r="D2025" s="4" t="s">
        <v>254</v>
      </c>
      <c r="E2025" s="4" t="s">
        <v>6</v>
      </c>
      <c r="F2025" s="4">
        <v>2008</v>
      </c>
      <c r="G2025" s="8">
        <v>-0.5</v>
      </c>
      <c r="H2025" s="4" t="s">
        <v>6</v>
      </c>
      <c r="I2025" s="8">
        <v>-1.6</v>
      </c>
      <c r="J2025" s="3">
        <v>10024</v>
      </c>
      <c r="K2025" s="3">
        <v>50401</v>
      </c>
      <c r="L2025" s="17" t="str" cm="1">
        <f t="array" ref="L2025">_xlfn.IFS(MID(K2025,2,2)="01", "서울", MID(K2025,2,2)="02","경기",MID(K2025,2,2)="03","충청",MID(K2025,2,2)="04","충청",MID(K2025,2,2)="05","전라",MID(K2025,2,2)="06","전라",MID(K2025,2,2)="07","경북",MID(K2025,2,2)="08","경남",MID(K2025,2,2)="09","강원",MID(K2025,2,2)="10","제주",TRUE,"국외")</f>
        <v>충청</v>
      </c>
    </row>
    <row r="2026" spans="1:12" ht="17.25" thickBot="1">
      <c r="A2026" s="3" t="s">
        <v>2088</v>
      </c>
      <c r="B2026" s="3" t="s">
        <v>38</v>
      </c>
      <c r="C2026" s="3" t="s">
        <v>329</v>
      </c>
      <c r="D2026" s="4" t="s">
        <v>254</v>
      </c>
      <c r="E2026" s="4" t="s">
        <v>26</v>
      </c>
      <c r="F2026" s="4">
        <v>2008</v>
      </c>
      <c r="G2026" s="8">
        <v>0.4</v>
      </c>
      <c r="H2026" s="4" t="s">
        <v>26</v>
      </c>
      <c r="I2026" s="8">
        <v>11.9</v>
      </c>
      <c r="J2026" s="3">
        <v>10196</v>
      </c>
      <c r="K2026" s="3">
        <v>50109</v>
      </c>
      <c r="L2026" s="17" t="str" cm="1">
        <f t="array" ref="L2026">_xlfn.IFS(MID(K2026,2,2)="01", "서울", MID(K2026,2,2)="02","경기",MID(K2026,2,2)="03","충청",MID(K2026,2,2)="04","충청",MID(K2026,2,2)="05","전라",MID(K2026,2,2)="06","전라",MID(K2026,2,2)="07","경북",MID(K2026,2,2)="08","경남",MID(K2026,2,2)="09","강원",MID(K2026,2,2)="10","제주",TRUE,"국외")</f>
        <v>서울</v>
      </c>
    </row>
    <row r="2027" spans="1:12" ht="17.25" thickBot="1">
      <c r="A2027" s="3" t="s">
        <v>2089</v>
      </c>
      <c r="B2027" s="3" t="s">
        <v>112</v>
      </c>
      <c r="C2027" s="3" t="s">
        <v>752</v>
      </c>
      <c r="D2027" s="4" t="s">
        <v>254</v>
      </c>
      <c r="E2027" s="4" t="s">
        <v>607</v>
      </c>
      <c r="F2027" s="4">
        <v>2013</v>
      </c>
      <c r="G2027" s="9"/>
      <c r="H2027" s="4" t="s">
        <v>607</v>
      </c>
      <c r="I2027" s="8">
        <v>2.6</v>
      </c>
      <c r="J2027" s="3">
        <v>10136</v>
      </c>
      <c r="K2027" s="3">
        <v>50113</v>
      </c>
      <c r="L2027" s="17" t="str" cm="1">
        <f t="array" ref="L2027">_xlfn.IFS(MID(K2027,2,2)="01", "서울", MID(K2027,2,2)="02","경기",MID(K2027,2,2)="03","충청",MID(K2027,2,2)="04","충청",MID(K2027,2,2)="05","전라",MID(K2027,2,2)="06","전라",MID(K2027,2,2)="07","경북",MID(K2027,2,2)="08","경남",MID(K2027,2,2)="09","강원",MID(K2027,2,2)="10","제주",TRUE,"국외")</f>
        <v>서울</v>
      </c>
    </row>
    <row r="2028" spans="1:12" ht="17.25" thickBot="1">
      <c r="A2028" s="3" t="s">
        <v>2090</v>
      </c>
      <c r="B2028" s="3" t="s">
        <v>228</v>
      </c>
      <c r="C2028" s="3" t="s">
        <v>208</v>
      </c>
      <c r="D2028" s="4" t="s">
        <v>254</v>
      </c>
      <c r="E2028" s="4" t="s">
        <v>9</v>
      </c>
      <c r="F2028" s="4">
        <v>2008</v>
      </c>
      <c r="G2028" s="8">
        <v>-0.3</v>
      </c>
      <c r="H2028" s="4" t="s">
        <v>9</v>
      </c>
      <c r="I2028" s="8">
        <v>32.6</v>
      </c>
      <c r="J2028" s="3">
        <v>10266</v>
      </c>
      <c r="K2028" s="3">
        <v>50702</v>
      </c>
      <c r="L2028" s="17" t="str" cm="1">
        <f t="array" ref="L2028">_xlfn.IFS(MID(K2028,2,2)="01", "서울", MID(K2028,2,2)="02","경기",MID(K2028,2,2)="03","충청",MID(K2028,2,2)="04","충청",MID(K2028,2,2)="05","전라",MID(K2028,2,2)="06","전라",MID(K2028,2,2)="07","경북",MID(K2028,2,2)="08","경남",MID(K2028,2,2)="09","강원",MID(K2028,2,2)="10","제주",TRUE,"국외")</f>
        <v>경북</v>
      </c>
    </row>
    <row r="2029" spans="1:12" ht="17.25" thickBot="1">
      <c r="A2029" s="3" t="s">
        <v>2091</v>
      </c>
      <c r="B2029" s="3" t="s">
        <v>1737</v>
      </c>
      <c r="C2029" s="3"/>
      <c r="D2029" s="4" t="s">
        <v>254</v>
      </c>
      <c r="E2029" s="4" t="s">
        <v>20</v>
      </c>
      <c r="F2029" s="4">
        <v>2008</v>
      </c>
      <c r="G2029" s="8">
        <v>-0.1</v>
      </c>
      <c r="H2029" s="4" t="s">
        <v>20</v>
      </c>
      <c r="I2029" s="8">
        <v>-1.1000000000000001</v>
      </c>
      <c r="J2029" s="3">
        <v>10525</v>
      </c>
      <c r="K2029" s="3">
        <v>50204</v>
      </c>
      <c r="L2029" s="17" t="str" cm="1">
        <f t="array" ref="L2029">_xlfn.IFS(MID(K2029,2,2)="01", "서울", MID(K2029,2,2)="02","경기",MID(K2029,2,2)="03","충청",MID(K2029,2,2)="04","충청",MID(K2029,2,2)="05","전라",MID(K2029,2,2)="06","전라",MID(K2029,2,2)="07","경북",MID(K2029,2,2)="08","경남",MID(K2029,2,2)="09","강원",MID(K2029,2,2)="10","제주",TRUE,"국외")</f>
        <v>경기</v>
      </c>
    </row>
    <row r="2030" spans="1:12" ht="17.25" thickBot="1">
      <c r="A2030" s="3" t="s">
        <v>2092</v>
      </c>
      <c r="B2030" s="3" t="s">
        <v>93</v>
      </c>
      <c r="C2030" s="3" t="s">
        <v>1942</v>
      </c>
      <c r="D2030" s="4" t="s">
        <v>254</v>
      </c>
      <c r="E2030" s="4" t="s">
        <v>20</v>
      </c>
      <c r="F2030" s="4">
        <v>2008</v>
      </c>
      <c r="G2030" s="8">
        <v>0</v>
      </c>
      <c r="H2030" s="4" t="s">
        <v>12</v>
      </c>
      <c r="I2030" s="8">
        <v>10.7</v>
      </c>
      <c r="J2030" s="3">
        <v>10459</v>
      </c>
      <c r="K2030" s="3">
        <v>50805</v>
      </c>
      <c r="L2030" s="17" t="str" cm="1">
        <f t="array" ref="L2030">_xlfn.IFS(MID(K2030,2,2)="01", "서울", MID(K2030,2,2)="02","경기",MID(K2030,2,2)="03","충청",MID(K2030,2,2)="04","충청",MID(K2030,2,2)="05","전라",MID(K2030,2,2)="06","전라",MID(K2030,2,2)="07","경북",MID(K2030,2,2)="08","경남",MID(K2030,2,2)="09","강원",MID(K2030,2,2)="10","제주",TRUE,"국외")</f>
        <v>경남</v>
      </c>
    </row>
    <row r="2031" spans="1:12" ht="17.25" thickBot="1">
      <c r="A2031" s="3" t="s">
        <v>2093</v>
      </c>
      <c r="B2031" s="3" t="s">
        <v>1</v>
      </c>
      <c r="C2031" s="3" t="s">
        <v>122</v>
      </c>
      <c r="D2031" s="4" t="s">
        <v>254</v>
      </c>
      <c r="E2031" s="4" t="s">
        <v>9</v>
      </c>
      <c r="F2031" s="4">
        <v>2013</v>
      </c>
      <c r="G2031" s="9"/>
      <c r="H2031" s="4" t="s">
        <v>3</v>
      </c>
      <c r="I2031" s="8">
        <v>-0.3</v>
      </c>
      <c r="J2031" s="3">
        <v>10268</v>
      </c>
      <c r="K2031" s="3">
        <v>50107</v>
      </c>
      <c r="L2031" s="17" t="str" cm="1">
        <f t="array" ref="L2031">_xlfn.IFS(MID(K2031,2,2)="01", "서울", MID(K2031,2,2)="02","경기",MID(K2031,2,2)="03","충청",MID(K2031,2,2)="04","충청",MID(K2031,2,2)="05","전라",MID(K2031,2,2)="06","전라",MID(K2031,2,2)="07","경북",MID(K2031,2,2)="08","경남",MID(K2031,2,2)="09","강원",MID(K2031,2,2)="10","제주",TRUE,"국외")</f>
        <v>서울</v>
      </c>
    </row>
    <row r="2032" spans="1:12" ht="17.25" thickBot="1">
      <c r="A2032" s="3" t="s">
        <v>1927</v>
      </c>
      <c r="B2032" s="3" t="s">
        <v>40</v>
      </c>
      <c r="C2032" s="3" t="s">
        <v>122</v>
      </c>
      <c r="D2032" s="4" t="s">
        <v>254</v>
      </c>
      <c r="E2032" s="4" t="s">
        <v>607</v>
      </c>
      <c r="F2032" s="4">
        <v>2011</v>
      </c>
      <c r="G2032" s="9"/>
      <c r="H2032" s="4" t="s">
        <v>607</v>
      </c>
      <c r="I2032" s="8">
        <v>0.1</v>
      </c>
      <c r="J2032" s="3">
        <v>10710</v>
      </c>
      <c r="K2032" s="3">
        <v>50108</v>
      </c>
      <c r="L2032" s="17" t="str" cm="1">
        <f t="array" ref="L2032">_xlfn.IFS(MID(K2032,2,2)="01", "서울", MID(K2032,2,2)="02","경기",MID(K2032,2,2)="03","충청",MID(K2032,2,2)="04","충청",MID(K2032,2,2)="05","전라",MID(K2032,2,2)="06","전라",MID(K2032,2,2)="07","경북",MID(K2032,2,2)="08","경남",MID(K2032,2,2)="09","강원",MID(K2032,2,2)="10","제주",TRUE,"국외")</f>
        <v>서울</v>
      </c>
    </row>
    <row r="2033" spans="1:12" ht="17.25" thickBot="1">
      <c r="A2033" s="3" t="s">
        <v>2094</v>
      </c>
      <c r="B2033" s="3" t="s">
        <v>5</v>
      </c>
      <c r="C2033" s="3"/>
      <c r="D2033" s="4" t="s">
        <v>254</v>
      </c>
      <c r="E2033" s="4" t="s">
        <v>26</v>
      </c>
      <c r="F2033" s="4">
        <v>2009</v>
      </c>
      <c r="G2033" s="9"/>
      <c r="H2033" s="4" t="s">
        <v>26</v>
      </c>
      <c r="I2033" s="8">
        <v>7.1</v>
      </c>
      <c r="J2033" s="3">
        <v>10230</v>
      </c>
      <c r="K2033" s="3">
        <v>50114</v>
      </c>
      <c r="L2033" s="17" t="str" cm="1">
        <f t="array" ref="L2033">_xlfn.IFS(MID(K2033,2,2)="01", "서울", MID(K2033,2,2)="02","경기",MID(K2033,2,2)="03","충청",MID(K2033,2,2)="04","충청",MID(K2033,2,2)="05","전라",MID(K2033,2,2)="06","전라",MID(K2033,2,2)="07","경북",MID(K2033,2,2)="08","경남",MID(K2033,2,2)="09","강원",MID(K2033,2,2)="10","제주",TRUE,"국외")</f>
        <v>서울</v>
      </c>
    </row>
    <row r="2034" spans="1:12" ht="17.25" thickBot="1">
      <c r="A2034" s="3" t="s">
        <v>2095</v>
      </c>
      <c r="B2034" s="3" t="s">
        <v>14</v>
      </c>
      <c r="C2034" s="3" t="s">
        <v>83</v>
      </c>
      <c r="D2034" s="4" t="s">
        <v>254</v>
      </c>
      <c r="E2034" s="4" t="s">
        <v>6</v>
      </c>
      <c r="F2034" s="4">
        <v>2008</v>
      </c>
      <c r="G2034" s="8">
        <v>0</v>
      </c>
      <c r="H2034" s="4" t="s">
        <v>6</v>
      </c>
      <c r="I2034" s="8">
        <v>0</v>
      </c>
      <c r="J2034" s="3">
        <v>10012</v>
      </c>
      <c r="K2034" s="3">
        <v>50703</v>
      </c>
      <c r="L2034" s="17" t="str" cm="1">
        <f t="array" ref="L2034">_xlfn.IFS(MID(K2034,2,2)="01", "서울", MID(K2034,2,2)="02","경기",MID(K2034,2,2)="03","충청",MID(K2034,2,2)="04","충청",MID(K2034,2,2)="05","전라",MID(K2034,2,2)="06","전라",MID(K2034,2,2)="07","경북",MID(K2034,2,2)="08","경남",MID(K2034,2,2)="09","강원",MID(K2034,2,2)="10","제주",TRUE,"국외")</f>
        <v>경북</v>
      </c>
    </row>
    <row r="2035" spans="1:12" ht="17.25" thickBot="1">
      <c r="A2035" s="3" t="s">
        <v>2096</v>
      </c>
      <c r="B2035" s="3" t="s">
        <v>1497</v>
      </c>
      <c r="C2035" s="3" t="s">
        <v>1942</v>
      </c>
      <c r="D2035" s="4" t="s">
        <v>254</v>
      </c>
      <c r="E2035" s="4" t="s">
        <v>1988</v>
      </c>
      <c r="F2035" s="4">
        <v>2008</v>
      </c>
      <c r="G2035" s="8">
        <v>-0.1</v>
      </c>
      <c r="H2035" s="4" t="s">
        <v>12</v>
      </c>
      <c r="I2035" s="8">
        <v>-0.1</v>
      </c>
      <c r="J2035" s="3">
        <v>10434</v>
      </c>
      <c r="K2035" s="3">
        <v>50112</v>
      </c>
      <c r="L2035" s="17" t="str" cm="1">
        <f t="array" ref="L2035">_xlfn.IFS(MID(K2035,2,2)="01", "서울", MID(K2035,2,2)="02","경기",MID(K2035,2,2)="03","충청",MID(K2035,2,2)="04","충청",MID(K2035,2,2)="05","전라",MID(K2035,2,2)="06","전라",MID(K2035,2,2)="07","경북",MID(K2035,2,2)="08","경남",MID(K2035,2,2)="09","강원",MID(K2035,2,2)="10","제주",TRUE,"국외")</f>
        <v>서울</v>
      </c>
    </row>
    <row r="2036" spans="1:12" ht="17.25" thickBot="1">
      <c r="A2036" s="3" t="s">
        <v>1952</v>
      </c>
      <c r="B2036" s="3" t="s">
        <v>101</v>
      </c>
      <c r="C2036" s="3"/>
      <c r="D2036" s="4" t="s">
        <v>254</v>
      </c>
      <c r="E2036" s="4" t="s">
        <v>3</v>
      </c>
      <c r="F2036" s="4"/>
      <c r="G2036" s="9"/>
      <c r="H2036" s="4"/>
      <c r="I2036" s="9"/>
      <c r="J2036" s="3">
        <v>10615</v>
      </c>
      <c r="K2036" s="3">
        <v>50207</v>
      </c>
      <c r="L2036" s="17" t="str" cm="1">
        <f t="array" ref="L2036">_xlfn.IFS(MID(K2036,2,2)="01", "서울", MID(K2036,2,2)="02","경기",MID(K2036,2,2)="03","충청",MID(K2036,2,2)="04","충청",MID(K2036,2,2)="05","전라",MID(K2036,2,2)="06","전라",MID(K2036,2,2)="07","경북",MID(K2036,2,2)="08","경남",MID(K2036,2,2)="09","강원",MID(K2036,2,2)="10","제주",TRUE,"국외")</f>
        <v>경기</v>
      </c>
    </row>
    <row r="2037" spans="1:12" ht="17.25" thickBot="1">
      <c r="A2037" s="3" t="s">
        <v>2097</v>
      </c>
      <c r="B2037" s="3" t="s">
        <v>14</v>
      </c>
      <c r="C2037" s="3"/>
      <c r="D2037" s="4" t="s">
        <v>254</v>
      </c>
      <c r="E2037" s="4" t="s">
        <v>23</v>
      </c>
      <c r="F2037" s="4"/>
      <c r="G2037" s="9"/>
      <c r="H2037" s="4"/>
      <c r="I2037" s="9"/>
      <c r="J2037" s="3">
        <v>10353</v>
      </c>
      <c r="K2037" s="3">
        <v>50703</v>
      </c>
      <c r="L2037" s="17" t="str" cm="1">
        <f t="array" ref="L2037">_xlfn.IFS(MID(K2037,2,2)="01", "서울", MID(K2037,2,2)="02","경기",MID(K2037,2,2)="03","충청",MID(K2037,2,2)="04","충청",MID(K2037,2,2)="05","전라",MID(K2037,2,2)="06","전라",MID(K2037,2,2)="07","경북",MID(K2037,2,2)="08","경남",MID(K2037,2,2)="09","강원",MID(K2037,2,2)="10","제주",TRUE,"국외")</f>
        <v>경북</v>
      </c>
    </row>
    <row r="2038" spans="1:12" ht="17.25" thickBot="1">
      <c r="A2038" s="3" t="s">
        <v>2098</v>
      </c>
      <c r="B2038" s="3" t="s">
        <v>96</v>
      </c>
      <c r="C2038" s="3" t="s">
        <v>208</v>
      </c>
      <c r="D2038" s="4" t="s">
        <v>254</v>
      </c>
      <c r="E2038" s="4" t="s">
        <v>23</v>
      </c>
      <c r="F2038" s="4">
        <v>2008</v>
      </c>
      <c r="G2038" s="8">
        <v>-0.5</v>
      </c>
      <c r="H2038" s="4" t="s">
        <v>23</v>
      </c>
      <c r="I2038" s="8">
        <v>-0.5</v>
      </c>
      <c r="J2038" s="3">
        <v>10345</v>
      </c>
      <c r="K2038" s="3">
        <v>50601</v>
      </c>
      <c r="L2038" s="17" t="str" cm="1">
        <f t="array" ref="L2038">_xlfn.IFS(MID(K2038,2,2)="01", "서울", MID(K2038,2,2)="02","경기",MID(K2038,2,2)="03","충청",MID(K2038,2,2)="04","충청",MID(K2038,2,2)="05","전라",MID(K2038,2,2)="06","전라",MID(K2038,2,2)="07","경북",MID(K2038,2,2)="08","경남",MID(K2038,2,2)="09","강원",MID(K2038,2,2)="10","제주",TRUE,"국외")</f>
        <v>전라</v>
      </c>
    </row>
    <row r="2039" spans="1:12" ht="17.25" thickBot="1">
      <c r="A2039" s="3" t="s">
        <v>2099</v>
      </c>
      <c r="B2039" s="3" t="s">
        <v>40</v>
      </c>
      <c r="C2039" s="3"/>
      <c r="D2039" s="4" t="s">
        <v>254</v>
      </c>
      <c r="E2039" s="4" t="s">
        <v>3</v>
      </c>
      <c r="F2039" s="4">
        <v>2008</v>
      </c>
      <c r="G2039" s="8">
        <v>-0.2</v>
      </c>
      <c r="H2039" s="4" t="s">
        <v>3</v>
      </c>
      <c r="I2039" s="8">
        <v>-0.9</v>
      </c>
      <c r="J2039" s="3">
        <v>10557</v>
      </c>
      <c r="K2039" s="3">
        <v>50108</v>
      </c>
      <c r="L2039" s="17" t="str" cm="1">
        <f t="array" ref="L2039">_xlfn.IFS(MID(K2039,2,2)="01", "서울", MID(K2039,2,2)="02","경기",MID(K2039,2,2)="03","충청",MID(K2039,2,2)="04","충청",MID(K2039,2,2)="05","전라",MID(K2039,2,2)="06","전라",MID(K2039,2,2)="07","경북",MID(K2039,2,2)="08","경남",MID(K2039,2,2)="09","강원",MID(K2039,2,2)="10","제주",TRUE,"국외")</f>
        <v>서울</v>
      </c>
    </row>
    <row r="2040" spans="1:12" ht="17.25" thickBot="1">
      <c r="A2040" s="3" t="s">
        <v>2100</v>
      </c>
      <c r="B2040" s="3" t="s">
        <v>70</v>
      </c>
      <c r="C2040" s="3"/>
      <c r="D2040" s="4" t="s">
        <v>254</v>
      </c>
      <c r="E2040" s="4" t="s">
        <v>1988</v>
      </c>
      <c r="F2040" s="4">
        <v>2008</v>
      </c>
      <c r="G2040" s="8">
        <v>-0.3</v>
      </c>
      <c r="H2040" s="4" t="s">
        <v>28</v>
      </c>
      <c r="I2040" s="8">
        <v>1.3</v>
      </c>
      <c r="J2040" s="3">
        <v>10417</v>
      </c>
      <c r="K2040" s="3">
        <v>50103</v>
      </c>
      <c r="L2040" s="17" t="str" cm="1">
        <f t="array" ref="L2040">_xlfn.IFS(MID(K2040,2,2)="01", "서울", MID(K2040,2,2)="02","경기",MID(K2040,2,2)="03","충청",MID(K2040,2,2)="04","충청",MID(K2040,2,2)="05","전라",MID(K2040,2,2)="06","전라",MID(K2040,2,2)="07","경북",MID(K2040,2,2)="08","경남",MID(K2040,2,2)="09","강원",MID(K2040,2,2)="10","제주",TRUE,"국외")</f>
        <v>서울</v>
      </c>
    </row>
    <row r="2041" spans="1:12" ht="17.25" thickBot="1">
      <c r="A2041" s="3" t="s">
        <v>2101</v>
      </c>
      <c r="B2041" s="3" t="s">
        <v>38</v>
      </c>
      <c r="C2041" s="3" t="s">
        <v>45</v>
      </c>
      <c r="D2041" s="4" t="s">
        <v>254</v>
      </c>
      <c r="E2041" s="4" t="s">
        <v>26</v>
      </c>
      <c r="F2041" s="4">
        <v>2008</v>
      </c>
      <c r="G2041" s="8">
        <v>0</v>
      </c>
      <c r="H2041" s="4" t="s">
        <v>20</v>
      </c>
      <c r="I2041" s="8">
        <v>5.3</v>
      </c>
      <c r="J2041" s="3">
        <v>10466</v>
      </c>
      <c r="K2041" s="3">
        <v>50109</v>
      </c>
      <c r="L2041" s="17" t="str" cm="1">
        <f t="array" ref="L2041">_xlfn.IFS(MID(K2041,2,2)="01", "서울", MID(K2041,2,2)="02","경기",MID(K2041,2,2)="03","충청",MID(K2041,2,2)="04","충청",MID(K2041,2,2)="05","전라",MID(K2041,2,2)="06","전라",MID(K2041,2,2)="07","경북",MID(K2041,2,2)="08","경남",MID(K2041,2,2)="09","강원",MID(K2041,2,2)="10","제주",TRUE,"국외")</f>
        <v>서울</v>
      </c>
    </row>
    <row r="2042" spans="1:12" ht="17.25" thickBot="1">
      <c r="A2042" s="3" t="s">
        <v>2102</v>
      </c>
      <c r="B2042" s="3" t="s">
        <v>153</v>
      </c>
      <c r="C2042" s="3" t="s">
        <v>1796</v>
      </c>
      <c r="D2042" s="4" t="s">
        <v>254</v>
      </c>
      <c r="E2042" s="4" t="s">
        <v>9</v>
      </c>
      <c r="F2042" s="4">
        <v>2010</v>
      </c>
      <c r="G2042" s="9"/>
      <c r="H2042" s="4" t="s">
        <v>9</v>
      </c>
      <c r="I2042" s="8">
        <v>2.1</v>
      </c>
      <c r="J2042" s="3">
        <v>10737</v>
      </c>
      <c r="K2042" s="3">
        <v>50210</v>
      </c>
      <c r="L2042" s="17" t="str" cm="1">
        <f t="array" ref="L2042">_xlfn.IFS(MID(K2042,2,2)="01", "서울", MID(K2042,2,2)="02","경기",MID(K2042,2,2)="03","충청",MID(K2042,2,2)="04","충청",MID(K2042,2,2)="05","전라",MID(K2042,2,2)="06","전라",MID(K2042,2,2)="07","경북",MID(K2042,2,2)="08","경남",MID(K2042,2,2)="09","강원",MID(K2042,2,2)="10","제주",TRUE,"국외")</f>
        <v>경기</v>
      </c>
    </row>
    <row r="2043" spans="1:12" ht="17.25" thickBot="1">
      <c r="A2043" s="3" t="s">
        <v>2103</v>
      </c>
      <c r="B2043" s="3" t="s">
        <v>1497</v>
      </c>
      <c r="C2043" s="3"/>
      <c r="D2043" s="4" t="s">
        <v>254</v>
      </c>
      <c r="E2043" s="4" t="s">
        <v>20</v>
      </c>
      <c r="F2043" s="4">
        <v>2009</v>
      </c>
      <c r="G2043" s="9"/>
      <c r="H2043" s="4" t="s">
        <v>20</v>
      </c>
      <c r="I2043" s="8">
        <v>0.3</v>
      </c>
      <c r="J2043" s="3">
        <v>10506</v>
      </c>
      <c r="K2043" s="3">
        <v>50112</v>
      </c>
      <c r="L2043" s="17" t="str" cm="1">
        <f t="array" ref="L2043">_xlfn.IFS(MID(K2043,2,2)="01", "서울", MID(K2043,2,2)="02","경기",MID(K2043,2,2)="03","충청",MID(K2043,2,2)="04","충청",MID(K2043,2,2)="05","전라",MID(K2043,2,2)="06","전라",MID(K2043,2,2)="07","경북",MID(K2043,2,2)="08","경남",MID(K2043,2,2)="09","강원",MID(K2043,2,2)="10","제주",TRUE,"국외")</f>
        <v>서울</v>
      </c>
    </row>
    <row r="2044" spans="1:12" ht="17.25" thickBot="1">
      <c r="A2044" s="3" t="s">
        <v>2104</v>
      </c>
      <c r="B2044" s="3" t="s">
        <v>68</v>
      </c>
      <c r="C2044" s="3" t="s">
        <v>45</v>
      </c>
      <c r="D2044" s="4" t="s">
        <v>254</v>
      </c>
      <c r="E2044" s="4" t="s">
        <v>607</v>
      </c>
      <c r="F2044" s="4">
        <v>2008</v>
      </c>
      <c r="G2044" s="8">
        <v>-0.1</v>
      </c>
      <c r="H2044" s="4" t="s">
        <v>607</v>
      </c>
      <c r="I2044" s="8">
        <v>0.6</v>
      </c>
      <c r="J2044" s="3">
        <v>10132</v>
      </c>
      <c r="K2044" s="3">
        <v>50101</v>
      </c>
      <c r="L2044" s="17" t="str" cm="1">
        <f t="array" ref="L2044">_xlfn.IFS(MID(K2044,2,2)="01", "서울", MID(K2044,2,2)="02","경기",MID(K2044,2,2)="03","충청",MID(K2044,2,2)="04","충청",MID(K2044,2,2)="05","전라",MID(K2044,2,2)="06","전라",MID(K2044,2,2)="07","경북",MID(K2044,2,2)="08","경남",MID(K2044,2,2)="09","강원",MID(K2044,2,2)="10","제주",TRUE,"국외")</f>
        <v>서울</v>
      </c>
    </row>
    <row r="2045" spans="1:12" ht="17.25" thickBot="1">
      <c r="A2045" s="3" t="s">
        <v>2105</v>
      </c>
      <c r="B2045" s="3" t="s">
        <v>8</v>
      </c>
      <c r="C2045" s="3"/>
      <c r="D2045" s="4" t="s">
        <v>254</v>
      </c>
      <c r="E2045" s="4" t="s">
        <v>26</v>
      </c>
      <c r="F2045" s="4"/>
      <c r="G2045" s="9"/>
      <c r="H2045" s="4"/>
      <c r="I2045" s="9"/>
      <c r="J2045" s="3">
        <v>10214</v>
      </c>
      <c r="K2045" s="3">
        <v>50116</v>
      </c>
      <c r="L2045" s="17" t="str" cm="1">
        <f t="array" ref="L2045">_xlfn.IFS(MID(K2045,2,2)="01", "서울", MID(K2045,2,2)="02","경기",MID(K2045,2,2)="03","충청",MID(K2045,2,2)="04","충청",MID(K2045,2,2)="05","전라",MID(K2045,2,2)="06","전라",MID(K2045,2,2)="07","경북",MID(K2045,2,2)="08","경남",MID(K2045,2,2)="09","강원",MID(K2045,2,2)="10","제주",TRUE,"국외")</f>
        <v>서울</v>
      </c>
    </row>
    <row r="2046" spans="1:12" ht="17.25" thickBot="1">
      <c r="A2046" s="3" t="s">
        <v>2106</v>
      </c>
      <c r="B2046" s="3" t="s">
        <v>32</v>
      </c>
      <c r="C2046" s="3"/>
      <c r="D2046" s="4" t="s">
        <v>254</v>
      </c>
      <c r="E2046" s="4" t="s">
        <v>6</v>
      </c>
      <c r="F2046" s="4">
        <v>2013</v>
      </c>
      <c r="G2046" s="9"/>
      <c r="H2046" s="4" t="s">
        <v>6</v>
      </c>
      <c r="I2046" s="8">
        <v>-3</v>
      </c>
      <c r="J2046" s="3">
        <v>10003</v>
      </c>
      <c r="K2046" s="3">
        <v>50111</v>
      </c>
      <c r="L2046" s="17" t="str" cm="1">
        <f t="array" ref="L2046">_xlfn.IFS(MID(K2046,2,2)="01", "서울", MID(K2046,2,2)="02","경기",MID(K2046,2,2)="03","충청",MID(K2046,2,2)="04","충청",MID(K2046,2,2)="05","전라",MID(K2046,2,2)="06","전라",MID(K2046,2,2)="07","경북",MID(K2046,2,2)="08","경남",MID(K2046,2,2)="09","강원",MID(K2046,2,2)="10","제주",TRUE,"국외")</f>
        <v>서울</v>
      </c>
    </row>
    <row r="2047" spans="1:12" ht="17.25" thickBot="1">
      <c r="A2047" s="3" t="s">
        <v>2107</v>
      </c>
      <c r="B2047" s="3" t="s">
        <v>335</v>
      </c>
      <c r="C2047" s="3" t="s">
        <v>90</v>
      </c>
      <c r="D2047" s="4" t="s">
        <v>254</v>
      </c>
      <c r="E2047" s="4" t="s">
        <v>3</v>
      </c>
      <c r="F2047" s="4">
        <v>2008</v>
      </c>
      <c r="G2047" s="8">
        <v>0.5</v>
      </c>
      <c r="H2047" s="4" t="s">
        <v>3</v>
      </c>
      <c r="I2047" s="8">
        <v>0.4</v>
      </c>
      <c r="J2047" s="3">
        <v>10611</v>
      </c>
      <c r="K2047" s="3">
        <v>50804</v>
      </c>
      <c r="L2047" s="17" t="str" cm="1">
        <f t="array" ref="L2047">_xlfn.IFS(MID(K2047,2,2)="01", "서울", MID(K2047,2,2)="02","경기",MID(K2047,2,2)="03","충청",MID(K2047,2,2)="04","충청",MID(K2047,2,2)="05","전라",MID(K2047,2,2)="06","전라",MID(K2047,2,2)="07","경북",MID(K2047,2,2)="08","경남",MID(K2047,2,2)="09","강원",MID(K2047,2,2)="10","제주",TRUE,"국외")</f>
        <v>경남</v>
      </c>
    </row>
    <row r="2048" spans="1:12" ht="17.25" thickBot="1">
      <c r="A2048" s="3" t="s">
        <v>2108</v>
      </c>
      <c r="B2048" s="3" t="s">
        <v>11</v>
      </c>
      <c r="C2048" s="3" t="s">
        <v>739</v>
      </c>
      <c r="D2048" s="4" t="s">
        <v>254</v>
      </c>
      <c r="E2048" s="4" t="s">
        <v>23</v>
      </c>
      <c r="F2048" s="4">
        <v>2008</v>
      </c>
      <c r="G2048" s="8">
        <v>0</v>
      </c>
      <c r="H2048" s="4" t="s">
        <v>23</v>
      </c>
      <c r="I2048" s="8">
        <v>0.1</v>
      </c>
      <c r="J2048" s="3">
        <v>10318</v>
      </c>
      <c r="K2048" s="3">
        <v>50802</v>
      </c>
      <c r="L2048" s="17" t="str" cm="1">
        <f t="array" ref="L2048">_xlfn.IFS(MID(K2048,2,2)="01", "서울", MID(K2048,2,2)="02","경기",MID(K2048,2,2)="03","충청",MID(K2048,2,2)="04","충청",MID(K2048,2,2)="05","전라",MID(K2048,2,2)="06","전라",MID(K2048,2,2)="07","경북",MID(K2048,2,2)="08","경남",MID(K2048,2,2)="09","강원",MID(K2048,2,2)="10","제주",TRUE,"국외")</f>
        <v>경남</v>
      </c>
    </row>
    <row r="2049" spans="1:12" ht="17.25" thickBot="1">
      <c r="A2049" s="3" t="s">
        <v>2109</v>
      </c>
      <c r="B2049" s="3" t="s">
        <v>1497</v>
      </c>
      <c r="C2049" s="3" t="s">
        <v>133</v>
      </c>
      <c r="D2049" s="4" t="s">
        <v>254</v>
      </c>
      <c r="E2049" s="4" t="s">
        <v>23</v>
      </c>
      <c r="F2049" s="4">
        <v>2008</v>
      </c>
      <c r="G2049" s="8">
        <v>-0.1</v>
      </c>
      <c r="H2049" s="4" t="s">
        <v>23</v>
      </c>
      <c r="I2049" s="8">
        <v>2.8</v>
      </c>
      <c r="J2049" s="3">
        <v>10342</v>
      </c>
      <c r="K2049" s="3">
        <v>50112</v>
      </c>
      <c r="L2049" s="17" t="str" cm="1">
        <f t="array" ref="L2049">_xlfn.IFS(MID(K2049,2,2)="01", "서울", MID(K2049,2,2)="02","경기",MID(K2049,2,2)="03","충청",MID(K2049,2,2)="04","충청",MID(K2049,2,2)="05","전라",MID(K2049,2,2)="06","전라",MID(K2049,2,2)="07","경북",MID(K2049,2,2)="08","경남",MID(K2049,2,2)="09","강원",MID(K2049,2,2)="10","제주",TRUE,"국외")</f>
        <v>서울</v>
      </c>
    </row>
    <row r="2050" spans="1:12" ht="17.25" thickBot="1">
      <c r="A2050" s="3" t="s">
        <v>2110</v>
      </c>
      <c r="B2050" s="3" t="s">
        <v>351</v>
      </c>
      <c r="C2050" s="3" t="s">
        <v>549</v>
      </c>
      <c r="D2050" s="4" t="s">
        <v>254</v>
      </c>
      <c r="E2050" s="4" t="s">
        <v>1988</v>
      </c>
      <c r="F2050" s="4">
        <v>2008</v>
      </c>
      <c r="G2050" s="8">
        <v>-0.2</v>
      </c>
      <c r="H2050" s="4" t="s">
        <v>18</v>
      </c>
      <c r="I2050" s="8">
        <v>-0.2</v>
      </c>
      <c r="J2050" s="3">
        <v>10414</v>
      </c>
      <c r="K2050" s="3">
        <v>50203</v>
      </c>
      <c r="L2050" s="17" t="str" cm="1">
        <f t="array" ref="L2050">_xlfn.IFS(MID(K2050,2,2)="01", "서울", MID(K2050,2,2)="02","경기",MID(K2050,2,2)="03","충청",MID(K2050,2,2)="04","충청",MID(K2050,2,2)="05","전라",MID(K2050,2,2)="06","전라",MID(K2050,2,2)="07","경북",MID(K2050,2,2)="08","경남",MID(K2050,2,2)="09","강원",MID(K2050,2,2)="10","제주",TRUE,"국외")</f>
        <v>경기</v>
      </c>
    </row>
    <row r="2051" spans="1:12" ht="17.25" thickBot="1">
      <c r="A2051" s="3" t="s">
        <v>2111</v>
      </c>
      <c r="B2051" s="3" t="s">
        <v>82</v>
      </c>
      <c r="C2051" s="3"/>
      <c r="D2051" s="4" t="s">
        <v>254</v>
      </c>
      <c r="E2051" s="4" t="s">
        <v>6</v>
      </c>
      <c r="F2051" s="4">
        <v>2008</v>
      </c>
      <c r="G2051" s="8">
        <v>0.9</v>
      </c>
      <c r="H2051" s="4" t="s">
        <v>6</v>
      </c>
      <c r="I2051" s="8">
        <v>37.1</v>
      </c>
      <c r="J2051" s="3">
        <v>10008</v>
      </c>
      <c r="K2051" s="3">
        <v>50605</v>
      </c>
      <c r="L2051" s="17" t="str" cm="1">
        <f t="array" ref="L2051">_xlfn.IFS(MID(K2051,2,2)="01", "서울", MID(K2051,2,2)="02","경기",MID(K2051,2,2)="03","충청",MID(K2051,2,2)="04","충청",MID(K2051,2,2)="05","전라",MID(K2051,2,2)="06","전라",MID(K2051,2,2)="07","경북",MID(K2051,2,2)="08","경남",MID(K2051,2,2)="09","강원",MID(K2051,2,2)="10","제주",TRUE,"국외")</f>
        <v>전라</v>
      </c>
    </row>
    <row r="2052" spans="1:12" ht="17.25" thickBot="1">
      <c r="A2052" s="3" t="s">
        <v>2112</v>
      </c>
      <c r="B2052" s="3" t="s">
        <v>96</v>
      </c>
      <c r="C2052" s="3"/>
      <c r="D2052" s="4" t="s">
        <v>254</v>
      </c>
      <c r="E2052" s="4" t="s">
        <v>26</v>
      </c>
      <c r="F2052" s="4">
        <v>2015</v>
      </c>
      <c r="G2052" s="9"/>
      <c r="H2052" s="4" t="s">
        <v>28</v>
      </c>
      <c r="I2052" s="8">
        <v>0</v>
      </c>
      <c r="J2052" s="3">
        <v>10167</v>
      </c>
      <c r="K2052" s="3">
        <v>50601</v>
      </c>
      <c r="L2052" s="17" t="str" cm="1">
        <f t="array" ref="L2052">_xlfn.IFS(MID(K2052,2,2)="01", "서울", MID(K2052,2,2)="02","경기",MID(K2052,2,2)="03","충청",MID(K2052,2,2)="04","충청",MID(K2052,2,2)="05","전라",MID(K2052,2,2)="06","전라",MID(K2052,2,2)="07","경북",MID(K2052,2,2)="08","경남",MID(K2052,2,2)="09","강원",MID(K2052,2,2)="10","제주",TRUE,"국외")</f>
        <v>전라</v>
      </c>
    </row>
    <row r="2053" spans="1:12" ht="17.25" thickBot="1">
      <c r="A2053" s="3" t="s">
        <v>2113</v>
      </c>
      <c r="B2053" s="3" t="s">
        <v>40</v>
      </c>
      <c r="C2053" s="3" t="s">
        <v>45</v>
      </c>
      <c r="D2053" s="4" t="s">
        <v>254</v>
      </c>
      <c r="E2053" s="4" t="s">
        <v>607</v>
      </c>
      <c r="F2053" s="4">
        <v>2008</v>
      </c>
      <c r="G2053" s="8">
        <v>-0.1</v>
      </c>
      <c r="H2053" s="4" t="s">
        <v>9</v>
      </c>
      <c r="I2053" s="8">
        <v>0.2</v>
      </c>
      <c r="J2053" s="3">
        <v>10116</v>
      </c>
      <c r="K2053" s="3">
        <v>50108</v>
      </c>
      <c r="L2053" s="17" t="str" cm="1">
        <f t="array" ref="L2053">_xlfn.IFS(MID(K2053,2,2)="01", "서울", MID(K2053,2,2)="02","경기",MID(K2053,2,2)="03","충청",MID(K2053,2,2)="04","충청",MID(K2053,2,2)="05","전라",MID(K2053,2,2)="06","전라",MID(K2053,2,2)="07","경북",MID(K2053,2,2)="08","경남",MID(K2053,2,2)="09","강원",MID(K2053,2,2)="10","제주",TRUE,"국외")</f>
        <v>서울</v>
      </c>
    </row>
    <row r="2054" spans="1:12" ht="17.25" thickBot="1">
      <c r="A2054" s="3" t="s">
        <v>2114</v>
      </c>
      <c r="B2054" s="3" t="s">
        <v>153</v>
      </c>
      <c r="C2054" s="3" t="s">
        <v>752</v>
      </c>
      <c r="D2054" s="4" t="s">
        <v>254</v>
      </c>
      <c r="E2054" s="4" t="s">
        <v>607</v>
      </c>
      <c r="F2054" s="4">
        <v>2011</v>
      </c>
      <c r="G2054" s="9"/>
      <c r="H2054" s="4" t="s">
        <v>607</v>
      </c>
      <c r="I2054" s="8">
        <v>-0.2</v>
      </c>
      <c r="J2054" s="3">
        <v>10100</v>
      </c>
      <c r="K2054" s="3">
        <v>50210</v>
      </c>
      <c r="L2054" s="17" t="str" cm="1">
        <f t="array" ref="L2054">_xlfn.IFS(MID(K2054,2,2)="01", "서울", MID(K2054,2,2)="02","경기",MID(K2054,2,2)="03","충청",MID(K2054,2,2)="04","충청",MID(K2054,2,2)="05","전라",MID(K2054,2,2)="06","전라",MID(K2054,2,2)="07","경북",MID(K2054,2,2)="08","경남",MID(K2054,2,2)="09","강원",MID(K2054,2,2)="10","제주",TRUE,"국외")</f>
        <v>경기</v>
      </c>
    </row>
    <row r="2055" spans="1:12" ht="17.25" thickBot="1">
      <c r="A2055" s="3" t="s">
        <v>808</v>
      </c>
      <c r="B2055" s="3" t="s">
        <v>32</v>
      </c>
      <c r="C2055" s="3"/>
      <c r="D2055" s="4" t="s">
        <v>254</v>
      </c>
      <c r="E2055" s="4" t="s">
        <v>26</v>
      </c>
      <c r="F2055" s="4">
        <v>2008</v>
      </c>
      <c r="G2055" s="8">
        <v>1.8</v>
      </c>
      <c r="H2055" s="4" t="s">
        <v>12</v>
      </c>
      <c r="I2055" s="8">
        <v>2.1</v>
      </c>
      <c r="J2055" s="3">
        <v>10205</v>
      </c>
      <c r="K2055" s="3">
        <v>50111</v>
      </c>
      <c r="L2055" s="17" t="str" cm="1">
        <f t="array" ref="L2055">_xlfn.IFS(MID(K2055,2,2)="01", "서울", MID(K2055,2,2)="02","경기",MID(K2055,2,2)="03","충청",MID(K2055,2,2)="04","충청",MID(K2055,2,2)="05","전라",MID(K2055,2,2)="06","전라",MID(K2055,2,2)="07","경북",MID(K2055,2,2)="08","경남",MID(K2055,2,2)="09","강원",MID(K2055,2,2)="10","제주",TRUE,"국외")</f>
        <v>서울</v>
      </c>
    </row>
    <row r="2056" spans="1:12" ht="17.25" thickBot="1">
      <c r="A2056" s="3" t="s">
        <v>2115</v>
      </c>
      <c r="B2056" s="3" t="s">
        <v>1950</v>
      </c>
      <c r="C2056" s="3" t="s">
        <v>218</v>
      </c>
      <c r="D2056" s="4" t="s">
        <v>254</v>
      </c>
      <c r="E2056" s="4" t="s">
        <v>23</v>
      </c>
      <c r="F2056" s="4"/>
      <c r="G2056" s="9"/>
      <c r="H2056" s="4"/>
      <c r="I2056" s="9"/>
      <c r="J2056" s="3">
        <v>10115</v>
      </c>
      <c r="K2056" s="3">
        <v>50115</v>
      </c>
      <c r="L2056" s="17" t="str" cm="1">
        <f t="array" ref="L2056">_xlfn.IFS(MID(K2056,2,2)="01", "서울", MID(K2056,2,2)="02","경기",MID(K2056,2,2)="03","충청",MID(K2056,2,2)="04","충청",MID(K2056,2,2)="05","전라",MID(K2056,2,2)="06","전라",MID(K2056,2,2)="07","경북",MID(K2056,2,2)="08","경남",MID(K2056,2,2)="09","강원",MID(K2056,2,2)="10","제주",TRUE,"국외")</f>
        <v>서울</v>
      </c>
    </row>
    <row r="2057" spans="1:12" ht="17.25" thickBot="1">
      <c r="A2057" s="3" t="s">
        <v>2054</v>
      </c>
      <c r="B2057" s="3"/>
      <c r="C2057" s="3"/>
      <c r="D2057" s="4" t="s">
        <v>181</v>
      </c>
      <c r="E2057" s="4" t="s">
        <v>6</v>
      </c>
      <c r="F2057" s="4">
        <v>2008</v>
      </c>
      <c r="G2057" s="8">
        <v>0.9</v>
      </c>
      <c r="H2057" s="4" t="s">
        <v>6</v>
      </c>
      <c r="I2057" s="8">
        <v>0.9</v>
      </c>
      <c r="J2057" s="3">
        <f>2422</f>
        <v>2422</v>
      </c>
      <c r="K2057" s="3"/>
      <c r="L2057" s="17" t="str" cm="1">
        <f t="array" ref="L2057">_xlfn.IFS(MID(K2057,2,2)="01", "서울", MID(K2057,2,2)="02","경기",MID(K2057,2,2)="03","충청",MID(K2057,2,2)="04","충청",MID(K2057,2,2)="05","전라",MID(K2057,2,2)="06","전라",MID(K2057,2,2)="07","경북",MID(K2057,2,2)="08","경남",MID(K2057,2,2)="09","강원",MID(K2057,2,2)="10","제주",TRUE,"국외")</f>
        <v>국외</v>
      </c>
    </row>
    <row r="2058" spans="1:12" ht="17.25" thickBot="1">
      <c r="A2058" s="3" t="s">
        <v>2116</v>
      </c>
      <c r="B2058" s="3"/>
      <c r="C2058" s="3"/>
      <c r="D2058" s="4" t="s">
        <v>181</v>
      </c>
      <c r="E2058" s="4"/>
      <c r="F2058" s="4">
        <v>2008</v>
      </c>
      <c r="G2058" s="8">
        <v>0.8</v>
      </c>
      <c r="H2058" s="4" t="s">
        <v>6</v>
      </c>
      <c r="I2058" s="8">
        <v>0.8</v>
      </c>
      <c r="J2058" s="3">
        <f>2429</f>
        <v>2429</v>
      </c>
      <c r="K2058" s="3"/>
      <c r="L2058" s="17" t="str" cm="1">
        <f t="array" ref="L2058">_xlfn.IFS(MID(K2058,2,2)="01", "서울", MID(K2058,2,2)="02","경기",MID(K2058,2,2)="03","충청",MID(K2058,2,2)="04","충청",MID(K2058,2,2)="05","전라",MID(K2058,2,2)="06","전라",MID(K2058,2,2)="07","경북",MID(K2058,2,2)="08","경남",MID(K2058,2,2)="09","강원",MID(K2058,2,2)="10","제주",TRUE,"국외")</f>
        <v>국외</v>
      </c>
    </row>
    <row r="2059" spans="1:12" ht="17.25" thickBot="1">
      <c r="A2059" s="3" t="s">
        <v>2117</v>
      </c>
      <c r="B2059" s="3"/>
      <c r="C2059" s="3"/>
      <c r="D2059" s="4" t="s">
        <v>181</v>
      </c>
      <c r="E2059" s="4" t="s">
        <v>6</v>
      </c>
      <c r="F2059" s="4">
        <v>2008</v>
      </c>
      <c r="G2059" s="8">
        <v>-0.3</v>
      </c>
      <c r="H2059" s="4" t="s">
        <v>6</v>
      </c>
      <c r="I2059" s="8">
        <v>-0.3</v>
      </c>
      <c r="J2059" s="3">
        <f>2428</f>
        <v>2428</v>
      </c>
      <c r="K2059" s="3"/>
      <c r="L2059" s="17" t="str" cm="1">
        <f t="array" ref="L2059">_xlfn.IFS(MID(K2059,2,2)="01", "서울", MID(K2059,2,2)="02","경기",MID(K2059,2,2)="03","충청",MID(K2059,2,2)="04","충청",MID(K2059,2,2)="05","전라",MID(K2059,2,2)="06","전라",MID(K2059,2,2)="07","경북",MID(K2059,2,2)="08","경남",MID(K2059,2,2)="09","강원",MID(K2059,2,2)="10","제주",TRUE,"국외")</f>
        <v>국외</v>
      </c>
    </row>
    <row r="2060" spans="1:12" ht="17.25" thickBot="1">
      <c r="A2060" s="3" t="s">
        <v>2118</v>
      </c>
      <c r="B2060" s="3"/>
      <c r="C2060" s="3"/>
      <c r="D2060" s="4" t="s">
        <v>181</v>
      </c>
      <c r="E2060" s="4" t="s">
        <v>6</v>
      </c>
      <c r="F2060" s="4">
        <v>2008</v>
      </c>
      <c r="G2060" s="8">
        <v>0.5</v>
      </c>
      <c r="H2060" s="4" t="s">
        <v>6</v>
      </c>
      <c r="I2060" s="8">
        <v>0.5</v>
      </c>
      <c r="J2060" s="3">
        <f>2420</f>
        <v>2420</v>
      </c>
      <c r="K2060" s="3"/>
      <c r="L2060" s="17" t="str" cm="1">
        <f t="array" ref="L2060">_xlfn.IFS(MID(K2060,2,2)="01", "서울", MID(K2060,2,2)="02","경기",MID(K2060,2,2)="03","충청",MID(K2060,2,2)="04","충청",MID(K2060,2,2)="05","전라",MID(K2060,2,2)="06","전라",MID(K2060,2,2)="07","경북",MID(K2060,2,2)="08","경남",MID(K2060,2,2)="09","강원",MID(K2060,2,2)="10","제주",TRUE,"국외")</f>
        <v>국외</v>
      </c>
    </row>
    <row r="2061" spans="1:12" ht="17.25" thickBot="1">
      <c r="A2061" s="3" t="s">
        <v>2119</v>
      </c>
      <c r="B2061" s="3"/>
      <c r="C2061" s="3"/>
      <c r="D2061" s="4" t="s">
        <v>181</v>
      </c>
      <c r="E2061" s="4" t="s">
        <v>607</v>
      </c>
      <c r="F2061" s="4">
        <v>2008</v>
      </c>
      <c r="G2061" s="8">
        <v>-0.2</v>
      </c>
      <c r="H2061" s="4" t="s">
        <v>607</v>
      </c>
      <c r="I2061" s="8">
        <v>-0.2</v>
      </c>
      <c r="J2061" s="3">
        <f>2424</f>
        <v>2424</v>
      </c>
      <c r="K2061" s="3"/>
      <c r="L2061" s="17" t="str" cm="1">
        <f t="array" ref="L2061">_xlfn.IFS(MID(K2061,2,2)="01", "서울", MID(K2061,2,2)="02","경기",MID(K2061,2,2)="03","충청",MID(K2061,2,2)="04","충청",MID(K2061,2,2)="05","전라",MID(K2061,2,2)="06","전라",MID(K2061,2,2)="07","경북",MID(K2061,2,2)="08","경남",MID(K2061,2,2)="09","강원",MID(K2061,2,2)="10","제주",TRUE,"국외")</f>
        <v>국외</v>
      </c>
    </row>
    <row r="2062" spans="1:12" ht="17.25" thickBot="1">
      <c r="A2062" s="3" t="s">
        <v>2120</v>
      </c>
      <c r="B2062" s="3"/>
      <c r="C2062" s="3"/>
      <c r="D2062" s="4" t="s">
        <v>181</v>
      </c>
      <c r="E2062" s="4" t="s">
        <v>607</v>
      </c>
      <c r="F2062" s="4">
        <v>2008</v>
      </c>
      <c r="G2062" s="8">
        <v>2</v>
      </c>
      <c r="H2062" s="4" t="s">
        <v>607</v>
      </c>
      <c r="I2062" s="8">
        <v>2</v>
      </c>
      <c r="J2062" s="3">
        <f>2416</f>
        <v>2416</v>
      </c>
      <c r="K2062" s="3"/>
      <c r="L2062" s="17" t="str" cm="1">
        <f t="array" ref="L2062">_xlfn.IFS(MID(K2062,2,2)="01", "서울", MID(K2062,2,2)="02","경기",MID(K2062,2,2)="03","충청",MID(K2062,2,2)="04","충청",MID(K2062,2,2)="05","전라",MID(K2062,2,2)="06","전라",MID(K2062,2,2)="07","경북",MID(K2062,2,2)="08","경남",MID(K2062,2,2)="09","강원",MID(K2062,2,2)="10","제주",TRUE,"국외")</f>
        <v>국외</v>
      </c>
    </row>
    <row r="2063" spans="1:12" ht="17.25" thickBot="1">
      <c r="A2063" s="3" t="s">
        <v>2121</v>
      </c>
      <c r="B2063" s="3"/>
      <c r="C2063" s="3"/>
      <c r="D2063" s="4" t="s">
        <v>181</v>
      </c>
      <c r="E2063" s="4" t="s">
        <v>607</v>
      </c>
      <c r="F2063" s="4">
        <v>2008</v>
      </c>
      <c r="G2063" s="8">
        <v>-0.1</v>
      </c>
      <c r="H2063" s="4" t="s">
        <v>607</v>
      </c>
      <c r="I2063" s="8">
        <v>-0.1</v>
      </c>
      <c r="J2063" s="3">
        <f>2423</f>
        <v>2423</v>
      </c>
      <c r="K2063" s="3"/>
      <c r="L2063" s="17" t="str" cm="1">
        <f t="array" ref="L2063">_xlfn.IFS(MID(K2063,2,2)="01", "서울", MID(K2063,2,2)="02","경기",MID(K2063,2,2)="03","충청",MID(K2063,2,2)="04","충청",MID(K2063,2,2)="05","전라",MID(K2063,2,2)="06","전라",MID(K2063,2,2)="07","경북",MID(K2063,2,2)="08","경남",MID(K2063,2,2)="09","강원",MID(K2063,2,2)="10","제주",TRUE,"국외")</f>
        <v>국외</v>
      </c>
    </row>
    <row r="2064" spans="1:12" ht="17.25" thickBot="1">
      <c r="A2064" s="3" t="s">
        <v>2122</v>
      </c>
      <c r="B2064" s="3"/>
      <c r="C2064" s="3"/>
      <c r="D2064" s="4" t="s">
        <v>181</v>
      </c>
      <c r="E2064" s="4" t="s">
        <v>26</v>
      </c>
      <c r="F2064" s="4">
        <v>2008</v>
      </c>
      <c r="G2064" s="8">
        <v>0.1</v>
      </c>
      <c r="H2064" s="4" t="s">
        <v>26</v>
      </c>
      <c r="I2064" s="8">
        <v>0.1</v>
      </c>
      <c r="J2064" s="3">
        <f>2418</f>
        <v>2418</v>
      </c>
      <c r="K2064" s="3"/>
      <c r="L2064" s="17" t="str" cm="1">
        <f t="array" ref="L2064">_xlfn.IFS(MID(K2064,2,2)="01", "서울", MID(K2064,2,2)="02","경기",MID(K2064,2,2)="03","충청",MID(K2064,2,2)="04","충청",MID(K2064,2,2)="05","전라",MID(K2064,2,2)="06","전라",MID(K2064,2,2)="07","경북",MID(K2064,2,2)="08","경남",MID(K2064,2,2)="09","강원",MID(K2064,2,2)="10","제주",TRUE,"국외")</f>
        <v>국외</v>
      </c>
    </row>
    <row r="2065" spans="1:12" ht="17.25" thickBot="1">
      <c r="A2065" s="3" t="s">
        <v>2123</v>
      </c>
      <c r="B2065" s="3"/>
      <c r="C2065" s="3"/>
      <c r="D2065" s="4" t="s">
        <v>181</v>
      </c>
      <c r="E2065" s="4" t="s">
        <v>9</v>
      </c>
      <c r="F2065" s="4">
        <v>2008</v>
      </c>
      <c r="G2065" s="8">
        <v>1.1000000000000001</v>
      </c>
      <c r="H2065" s="4" t="s">
        <v>9</v>
      </c>
      <c r="I2065" s="8">
        <v>1.1000000000000001</v>
      </c>
      <c r="J2065" s="3">
        <f>2419</f>
        <v>2419</v>
      </c>
      <c r="K2065" s="3"/>
      <c r="L2065" s="17" t="str" cm="1">
        <f t="array" ref="L2065">_xlfn.IFS(MID(K2065,2,2)="01", "서울", MID(K2065,2,2)="02","경기",MID(K2065,2,2)="03","충청",MID(K2065,2,2)="04","충청",MID(K2065,2,2)="05","전라",MID(K2065,2,2)="06","전라",MID(K2065,2,2)="07","경북",MID(K2065,2,2)="08","경남",MID(K2065,2,2)="09","강원",MID(K2065,2,2)="10","제주",TRUE,"국외")</f>
        <v>국외</v>
      </c>
    </row>
    <row r="2066" spans="1:12" ht="17.25" thickBot="1">
      <c r="A2066" s="3" t="s">
        <v>385</v>
      </c>
      <c r="B2066" s="3"/>
      <c r="C2066" s="3"/>
      <c r="D2066" s="4" t="s">
        <v>181</v>
      </c>
      <c r="E2066" s="4" t="s">
        <v>9</v>
      </c>
      <c r="F2066" s="4">
        <v>2008</v>
      </c>
      <c r="G2066" s="8">
        <v>3.8</v>
      </c>
      <c r="H2066" s="4" t="s">
        <v>9</v>
      </c>
      <c r="I2066" s="8">
        <v>9.8000000000000007</v>
      </c>
      <c r="J2066" s="3">
        <v>10258</v>
      </c>
      <c r="K2066" s="3"/>
      <c r="L2066" s="17" t="str" cm="1">
        <f t="array" ref="L2066">_xlfn.IFS(MID(K2066,2,2)="01", "서울", MID(K2066,2,2)="02","경기",MID(K2066,2,2)="03","충청",MID(K2066,2,2)="04","충청",MID(K2066,2,2)="05","전라",MID(K2066,2,2)="06","전라",MID(K2066,2,2)="07","경북",MID(K2066,2,2)="08","경남",MID(K2066,2,2)="09","강원",MID(K2066,2,2)="10","제주",TRUE,"국외")</f>
        <v>국외</v>
      </c>
    </row>
    <row r="2067" spans="1:12" ht="17.25" thickBot="1">
      <c r="A2067" s="3" t="s">
        <v>2124</v>
      </c>
      <c r="B2067" s="3"/>
      <c r="C2067" s="3"/>
      <c r="D2067" s="4" t="s">
        <v>181</v>
      </c>
      <c r="E2067" s="4" t="s">
        <v>9</v>
      </c>
      <c r="F2067" s="4">
        <v>2008</v>
      </c>
      <c r="G2067" s="8">
        <v>1.5</v>
      </c>
      <c r="H2067" s="4" t="s">
        <v>9</v>
      </c>
      <c r="I2067" s="8">
        <v>1.5</v>
      </c>
      <c r="J2067" s="3">
        <f>2425</f>
        <v>2425</v>
      </c>
      <c r="K2067" s="3"/>
      <c r="L2067" s="17" t="str" cm="1">
        <f t="array" ref="L2067">_xlfn.IFS(MID(K2067,2,2)="01", "서울", MID(K2067,2,2)="02","경기",MID(K2067,2,2)="03","충청",MID(K2067,2,2)="04","충청",MID(K2067,2,2)="05","전라",MID(K2067,2,2)="06","전라",MID(K2067,2,2)="07","경북",MID(K2067,2,2)="08","경남",MID(K2067,2,2)="09","강원",MID(K2067,2,2)="10","제주",TRUE,"국외")</f>
        <v>국외</v>
      </c>
    </row>
    <row r="2068" spans="1:12" ht="17.25" thickBot="1">
      <c r="A2068" s="3" t="s">
        <v>2125</v>
      </c>
      <c r="B2068" s="3"/>
      <c r="C2068" s="3"/>
      <c r="D2068" s="4" t="s">
        <v>181</v>
      </c>
      <c r="E2068" s="4" t="s">
        <v>23</v>
      </c>
      <c r="F2068" s="4">
        <v>2008</v>
      </c>
      <c r="G2068" s="8">
        <v>-0.1</v>
      </c>
      <c r="H2068" s="4" t="s">
        <v>23</v>
      </c>
      <c r="I2068" s="8">
        <v>-0.1</v>
      </c>
      <c r="J2068" s="3">
        <f>2426</f>
        <v>2426</v>
      </c>
      <c r="K2068" s="3"/>
      <c r="L2068" s="17" t="str" cm="1">
        <f t="array" ref="L2068">_xlfn.IFS(MID(K2068,2,2)="01", "서울", MID(K2068,2,2)="02","경기",MID(K2068,2,2)="03","충청",MID(K2068,2,2)="04","충청",MID(K2068,2,2)="05","전라",MID(K2068,2,2)="06","전라",MID(K2068,2,2)="07","경북",MID(K2068,2,2)="08","경남",MID(K2068,2,2)="09","강원",MID(K2068,2,2)="10","제주",TRUE,"국외")</f>
        <v>국외</v>
      </c>
    </row>
    <row r="2069" spans="1:12" ht="17.25" thickBot="1">
      <c r="A2069" s="3" t="s">
        <v>2126</v>
      </c>
      <c r="B2069" s="3"/>
      <c r="C2069" s="3"/>
      <c r="D2069" s="4" t="s">
        <v>181</v>
      </c>
      <c r="E2069" s="4" t="s">
        <v>23</v>
      </c>
      <c r="F2069" s="4">
        <v>2008</v>
      </c>
      <c r="G2069" s="8">
        <v>0.7</v>
      </c>
      <c r="H2069" s="4" t="s">
        <v>23</v>
      </c>
      <c r="I2069" s="8">
        <v>0.7</v>
      </c>
      <c r="J2069" s="3">
        <f>2427</f>
        <v>2427</v>
      </c>
      <c r="K2069" s="3"/>
      <c r="L2069" s="17" t="str" cm="1">
        <f t="array" ref="L2069">_xlfn.IFS(MID(K2069,2,2)="01", "서울", MID(K2069,2,2)="02","경기",MID(K2069,2,2)="03","충청",MID(K2069,2,2)="04","충청",MID(K2069,2,2)="05","전라",MID(K2069,2,2)="06","전라",MID(K2069,2,2)="07","경북",MID(K2069,2,2)="08","경남",MID(K2069,2,2)="09","강원",MID(K2069,2,2)="10","제주",TRUE,"국외")</f>
        <v>국외</v>
      </c>
    </row>
    <row r="2070" spans="1:12" ht="17.25" thickBot="1">
      <c r="A2070" s="3" t="s">
        <v>2127</v>
      </c>
      <c r="B2070" s="3"/>
      <c r="C2070" s="3"/>
      <c r="D2070" s="4" t="s">
        <v>181</v>
      </c>
      <c r="E2070" s="4" t="s">
        <v>23</v>
      </c>
      <c r="F2070" s="4">
        <v>2008</v>
      </c>
      <c r="G2070" s="8">
        <v>-0.9</v>
      </c>
      <c r="H2070" s="4" t="s">
        <v>23</v>
      </c>
      <c r="I2070" s="8">
        <v>-0.9</v>
      </c>
      <c r="J2070" s="3">
        <f>2430</f>
        <v>2430</v>
      </c>
      <c r="K2070" s="3"/>
      <c r="L2070" s="17" t="str" cm="1">
        <f t="array" ref="L2070">_xlfn.IFS(MID(K2070,2,2)="01", "서울", MID(K2070,2,2)="02","경기",MID(K2070,2,2)="03","충청",MID(K2070,2,2)="04","충청",MID(K2070,2,2)="05","전라",MID(K2070,2,2)="06","전라",MID(K2070,2,2)="07","경북",MID(K2070,2,2)="08","경남",MID(K2070,2,2)="09","강원",MID(K2070,2,2)="10","제주",TRUE,"국외")</f>
        <v>국외</v>
      </c>
    </row>
    <row r="2071" spans="1:12" ht="17.25" thickBot="1">
      <c r="A2071" s="3" t="s">
        <v>2128</v>
      </c>
      <c r="B2071" s="3" t="s">
        <v>722</v>
      </c>
      <c r="C2071" s="3"/>
      <c r="D2071" s="4" t="s">
        <v>181</v>
      </c>
      <c r="E2071" s="4" t="s">
        <v>3</v>
      </c>
      <c r="F2071" s="4">
        <v>2009</v>
      </c>
      <c r="G2071" s="9"/>
      <c r="H2071" s="4" t="s">
        <v>3</v>
      </c>
      <c r="I2071" s="8">
        <v>-0.2</v>
      </c>
      <c r="J2071" s="3">
        <v>10546</v>
      </c>
      <c r="K2071" s="3">
        <v>51100</v>
      </c>
      <c r="L2071" s="17" t="str" cm="1">
        <f t="array" ref="L2071">_xlfn.IFS(MID(K2071,2,2)="01", "서울", MID(K2071,2,2)="02","경기",MID(K2071,2,2)="03","충청",MID(K2071,2,2)="04","충청",MID(K2071,2,2)="05","전라",MID(K2071,2,2)="06","전라",MID(K2071,2,2)="07","경북",MID(K2071,2,2)="08","경남",MID(K2071,2,2)="09","강원",MID(K2071,2,2)="10","제주",TRUE,"국외")</f>
        <v>국외</v>
      </c>
    </row>
    <row r="2072" spans="1:12" ht="17.25" thickBot="1">
      <c r="A2072" s="3" t="s">
        <v>2129</v>
      </c>
      <c r="B2072" s="3"/>
      <c r="C2072" s="3"/>
      <c r="D2072" s="4" t="s">
        <v>181</v>
      </c>
      <c r="E2072" s="4" t="s">
        <v>3</v>
      </c>
      <c r="F2072" s="4">
        <v>2008</v>
      </c>
      <c r="G2072" s="8">
        <v>4.8</v>
      </c>
      <c r="H2072" s="4" t="s">
        <v>18</v>
      </c>
      <c r="I2072" s="8">
        <v>9.6</v>
      </c>
      <c r="J2072" s="3">
        <v>10422</v>
      </c>
      <c r="K2072" s="3"/>
      <c r="L2072" s="17" t="str" cm="1">
        <f t="array" ref="L2072">_xlfn.IFS(MID(K2072,2,2)="01", "서울", MID(K2072,2,2)="02","경기",MID(K2072,2,2)="03","충청",MID(K2072,2,2)="04","충청",MID(K2072,2,2)="05","전라",MID(K2072,2,2)="06","전라",MID(K2072,2,2)="07","경북",MID(K2072,2,2)="08","경남",MID(K2072,2,2)="09","강원",MID(K2072,2,2)="10","제주",TRUE,"국외")</f>
        <v>국외</v>
      </c>
    </row>
    <row r="2073" spans="1:12" ht="17.25" thickBot="1">
      <c r="A2073" s="3" t="s">
        <v>1537</v>
      </c>
      <c r="B2073" s="3"/>
      <c r="C2073" s="3"/>
      <c r="D2073" s="4" t="s">
        <v>181</v>
      </c>
      <c r="E2073" s="4" t="s">
        <v>3</v>
      </c>
      <c r="F2073" s="4">
        <v>2008</v>
      </c>
      <c r="G2073" s="8">
        <v>3.2</v>
      </c>
      <c r="H2073" s="4" t="s">
        <v>3</v>
      </c>
      <c r="I2073" s="8">
        <v>6.9</v>
      </c>
      <c r="J2073" s="3">
        <v>10618</v>
      </c>
      <c r="K2073" s="3"/>
      <c r="L2073" s="17" t="str" cm="1">
        <f t="array" ref="L2073">_xlfn.IFS(MID(K2073,2,2)="01", "서울", MID(K2073,2,2)="02","경기",MID(K2073,2,2)="03","충청",MID(K2073,2,2)="04","충청",MID(K2073,2,2)="05","전라",MID(K2073,2,2)="06","전라",MID(K2073,2,2)="07","경북",MID(K2073,2,2)="08","경남",MID(K2073,2,2)="09","강원",MID(K2073,2,2)="10","제주",TRUE,"국외")</f>
        <v>국외</v>
      </c>
    </row>
    <row r="2074" spans="1:12" ht="17.25" thickBot="1">
      <c r="A2074" s="3" t="s">
        <v>2130</v>
      </c>
      <c r="B2074" s="3"/>
      <c r="C2074" s="3"/>
      <c r="D2074" s="4" t="s">
        <v>181</v>
      </c>
      <c r="E2074" s="4" t="s">
        <v>1988</v>
      </c>
      <c r="F2074" s="4">
        <v>2008</v>
      </c>
      <c r="G2074" s="8">
        <v>3.4</v>
      </c>
      <c r="H2074" s="4" t="s">
        <v>18</v>
      </c>
      <c r="I2074" s="8">
        <v>3.4</v>
      </c>
      <c r="J2074" s="3">
        <f>2417</f>
        <v>2417</v>
      </c>
      <c r="K2074" s="3"/>
      <c r="L2074" s="17" t="str" cm="1">
        <f t="array" ref="L2074">_xlfn.IFS(MID(K2074,2,2)="01", "서울", MID(K2074,2,2)="02","경기",MID(K2074,2,2)="03","충청",MID(K2074,2,2)="04","충청",MID(K2074,2,2)="05","전라",MID(K2074,2,2)="06","전라",MID(K2074,2,2)="07","경북",MID(K2074,2,2)="08","경남",MID(K2074,2,2)="09","강원",MID(K2074,2,2)="10","제주",TRUE,"국외")</f>
        <v>국외</v>
      </c>
    </row>
    <row r="2075" spans="1:12" ht="17.25" thickBot="1">
      <c r="A2075" s="3" t="s">
        <v>2131</v>
      </c>
      <c r="B2075" s="3"/>
      <c r="C2075" s="3"/>
      <c r="D2075" s="4" t="s">
        <v>181</v>
      </c>
      <c r="E2075" s="4" t="s">
        <v>20</v>
      </c>
      <c r="F2075" s="4">
        <v>2008</v>
      </c>
      <c r="G2075" s="8">
        <v>3.8</v>
      </c>
      <c r="H2075" s="4" t="s">
        <v>20</v>
      </c>
      <c r="I2075" s="8">
        <v>9.8000000000000007</v>
      </c>
      <c r="J2075" s="3">
        <v>10482</v>
      </c>
      <c r="K2075" s="3"/>
      <c r="L2075" s="17" t="str" cm="1">
        <f t="array" ref="L2075">_xlfn.IFS(MID(K2075,2,2)="01", "서울", MID(K2075,2,2)="02","경기",MID(K2075,2,2)="03","충청",MID(K2075,2,2)="04","충청",MID(K2075,2,2)="05","전라",MID(K2075,2,2)="06","전라",MID(K2075,2,2)="07","경북",MID(K2075,2,2)="08","경남",MID(K2075,2,2)="09","강원",MID(K2075,2,2)="10","제주",TRUE,"국외")</f>
        <v>국외</v>
      </c>
    </row>
    <row r="2076" spans="1:12" ht="17.25" thickBot="1">
      <c r="A2076" s="3" t="s">
        <v>2132</v>
      </c>
      <c r="B2076" s="3" t="s">
        <v>74</v>
      </c>
      <c r="C2076" s="3" t="s">
        <v>172</v>
      </c>
      <c r="D2076" s="4" t="s">
        <v>1777</v>
      </c>
      <c r="E2076" s="4" t="s">
        <v>20</v>
      </c>
      <c r="F2076" s="4">
        <v>2008</v>
      </c>
      <c r="G2076" s="8">
        <v>0.1</v>
      </c>
      <c r="H2076" s="4" t="s">
        <v>20</v>
      </c>
      <c r="I2076" s="8">
        <v>-0.2</v>
      </c>
      <c r="J2076" s="3">
        <v>10494</v>
      </c>
      <c r="K2076" s="3">
        <v>50102</v>
      </c>
      <c r="L2076" s="17" t="str" cm="1">
        <f t="array" ref="L2076">_xlfn.IFS(MID(K2076,2,2)="01", "서울", MID(K2076,2,2)="02","경기",MID(K2076,2,2)="03","충청",MID(K2076,2,2)="04","충청",MID(K2076,2,2)="05","전라",MID(K2076,2,2)="06","전라",MID(K2076,2,2)="07","경북",MID(K2076,2,2)="08","경남",MID(K2076,2,2)="09","강원",MID(K2076,2,2)="10","제주",TRUE,"국외")</f>
        <v>서울</v>
      </c>
    </row>
    <row r="2077" spans="1:12" ht="17.25" thickBot="1">
      <c r="A2077" s="3" t="s">
        <v>2133</v>
      </c>
      <c r="B2077" s="3" t="s">
        <v>107</v>
      </c>
      <c r="C2077" s="3"/>
      <c r="D2077" s="4" t="s">
        <v>1777</v>
      </c>
      <c r="E2077" s="4" t="s">
        <v>20</v>
      </c>
      <c r="F2077" s="4">
        <v>2008</v>
      </c>
      <c r="G2077" s="8">
        <v>0</v>
      </c>
      <c r="H2077" s="4" t="s">
        <v>18</v>
      </c>
      <c r="I2077" s="8">
        <v>34.1</v>
      </c>
      <c r="J2077" s="3">
        <v>10855</v>
      </c>
      <c r="K2077" s="3">
        <v>50602</v>
      </c>
      <c r="L2077" s="17" t="str" cm="1">
        <f t="array" ref="L2077">_xlfn.IFS(MID(K2077,2,2)="01", "서울", MID(K2077,2,2)="02","경기",MID(K2077,2,2)="03","충청",MID(K2077,2,2)="04","충청",MID(K2077,2,2)="05","전라",MID(K2077,2,2)="06","전라",MID(K2077,2,2)="07","경북",MID(K2077,2,2)="08","경남",MID(K2077,2,2)="09","강원",MID(K2077,2,2)="10","제주",TRUE,"국외")</f>
        <v>전라</v>
      </c>
    </row>
    <row r="2078" spans="1:12" ht="17.25" thickBot="1">
      <c r="A2078" s="3" t="s">
        <v>2134</v>
      </c>
      <c r="B2078" s="3" t="s">
        <v>14</v>
      </c>
      <c r="C2078" s="3" t="s">
        <v>739</v>
      </c>
      <c r="D2078" s="4" t="s">
        <v>205</v>
      </c>
      <c r="E2078" s="4" t="s">
        <v>6</v>
      </c>
      <c r="F2078" s="4">
        <v>2013</v>
      </c>
      <c r="G2078" s="9"/>
      <c r="H2078" s="4" t="s">
        <v>12</v>
      </c>
      <c r="I2078" s="8">
        <v>-0.2</v>
      </c>
      <c r="J2078" s="3">
        <v>11173</v>
      </c>
      <c r="K2078" s="3">
        <v>50703</v>
      </c>
      <c r="L2078" s="17" t="str" cm="1">
        <f t="array" ref="L2078">_xlfn.IFS(MID(K2078,2,2)="01", "서울", MID(K2078,2,2)="02","경기",MID(K2078,2,2)="03","충청",MID(K2078,2,2)="04","충청",MID(K2078,2,2)="05","전라",MID(K2078,2,2)="06","전라",MID(K2078,2,2)="07","경북",MID(K2078,2,2)="08","경남",MID(K2078,2,2)="09","강원",MID(K2078,2,2)="10","제주",TRUE,"국외")</f>
        <v>경북</v>
      </c>
    </row>
    <row r="2079" spans="1:12" ht="17.25" thickBot="1">
      <c r="A2079" s="3" t="s">
        <v>2135</v>
      </c>
      <c r="B2079" s="3" t="s">
        <v>93</v>
      </c>
      <c r="C2079" s="3" t="s">
        <v>45</v>
      </c>
      <c r="D2079" s="4" t="s">
        <v>205</v>
      </c>
      <c r="E2079" s="4" t="s">
        <v>20</v>
      </c>
      <c r="F2079" s="4">
        <v>2008</v>
      </c>
      <c r="G2079" s="8">
        <v>-0.6</v>
      </c>
      <c r="H2079" s="4" t="s">
        <v>20</v>
      </c>
      <c r="I2079" s="8">
        <v>-0.5</v>
      </c>
      <c r="J2079" s="3">
        <v>10505</v>
      </c>
      <c r="K2079" s="3">
        <v>50805</v>
      </c>
      <c r="L2079" s="17" t="str" cm="1">
        <f t="array" ref="L2079">_xlfn.IFS(MID(K2079,2,2)="01", "서울", MID(K2079,2,2)="02","경기",MID(K2079,2,2)="03","충청",MID(K2079,2,2)="04","충청",MID(K2079,2,2)="05","전라",MID(K2079,2,2)="06","전라",MID(K2079,2,2)="07","경북",MID(K2079,2,2)="08","경남",MID(K2079,2,2)="09","강원",MID(K2079,2,2)="10","제주",TRUE,"국외")</f>
        <v>경남</v>
      </c>
    </row>
    <row r="2080" spans="1:12" ht="17.25" thickBot="1">
      <c r="A2080" s="3" t="s">
        <v>2136</v>
      </c>
      <c r="B2080" s="3" t="s">
        <v>1497</v>
      </c>
      <c r="C2080" s="3" t="s">
        <v>99</v>
      </c>
      <c r="D2080" s="4" t="s">
        <v>205</v>
      </c>
      <c r="E2080" s="4" t="s">
        <v>607</v>
      </c>
      <c r="F2080" s="4">
        <v>2009</v>
      </c>
      <c r="G2080" s="9"/>
      <c r="H2080" s="4" t="s">
        <v>607</v>
      </c>
      <c r="I2080" s="8">
        <v>-0.1</v>
      </c>
      <c r="J2080" s="3">
        <v>10107</v>
      </c>
      <c r="K2080" s="3">
        <v>50112</v>
      </c>
      <c r="L2080" s="17" t="str" cm="1">
        <f t="array" ref="L2080">_xlfn.IFS(MID(K2080,2,2)="01", "서울", MID(K2080,2,2)="02","경기",MID(K2080,2,2)="03","충청",MID(K2080,2,2)="04","충청",MID(K2080,2,2)="05","전라",MID(K2080,2,2)="06","전라",MID(K2080,2,2)="07","경북",MID(K2080,2,2)="08","경남",MID(K2080,2,2)="09","강원",MID(K2080,2,2)="10","제주",TRUE,"국외")</f>
        <v>서울</v>
      </c>
    </row>
    <row r="2081" spans="1:12" ht="17.25" thickBot="1">
      <c r="A2081" s="3" t="s">
        <v>2137</v>
      </c>
      <c r="B2081" s="3" t="s">
        <v>5</v>
      </c>
      <c r="C2081" s="3" t="s">
        <v>122</v>
      </c>
      <c r="D2081" s="4" t="s">
        <v>205</v>
      </c>
      <c r="E2081" s="4" t="s">
        <v>607</v>
      </c>
      <c r="F2081" s="4">
        <v>2008</v>
      </c>
      <c r="G2081" s="8">
        <v>0</v>
      </c>
      <c r="H2081" s="4" t="s">
        <v>20</v>
      </c>
      <c r="I2081" s="8">
        <v>1.7</v>
      </c>
      <c r="J2081" s="3">
        <v>10081</v>
      </c>
      <c r="K2081" s="3">
        <v>50114</v>
      </c>
      <c r="L2081" s="17" t="str" cm="1">
        <f t="array" ref="L2081">_xlfn.IFS(MID(K2081,2,2)="01", "서울", MID(K2081,2,2)="02","경기",MID(K2081,2,2)="03","충청",MID(K2081,2,2)="04","충청",MID(K2081,2,2)="05","전라",MID(K2081,2,2)="06","전라",MID(K2081,2,2)="07","경북",MID(K2081,2,2)="08","경남",MID(K2081,2,2)="09","강원",MID(K2081,2,2)="10","제주",TRUE,"국외")</f>
        <v>서울</v>
      </c>
    </row>
    <row r="2082" spans="1:12" ht="17.25" thickBot="1">
      <c r="A2082" s="3" t="s">
        <v>2138</v>
      </c>
      <c r="B2082" s="3" t="s">
        <v>2139</v>
      </c>
      <c r="C2082" s="3" t="s">
        <v>208</v>
      </c>
      <c r="D2082" s="4" t="s">
        <v>205</v>
      </c>
      <c r="E2082" s="4" t="s">
        <v>607</v>
      </c>
      <c r="F2082" s="4">
        <v>2008</v>
      </c>
      <c r="G2082" s="8">
        <v>0.1</v>
      </c>
      <c r="H2082" s="4" t="s">
        <v>607</v>
      </c>
      <c r="I2082" s="8">
        <v>1.8</v>
      </c>
      <c r="J2082" s="3">
        <v>10151</v>
      </c>
      <c r="K2082" s="3">
        <v>50104</v>
      </c>
      <c r="L2082" s="17" t="str" cm="1">
        <f t="array" ref="L2082">_xlfn.IFS(MID(K2082,2,2)="01", "서울", MID(K2082,2,2)="02","경기",MID(K2082,2,2)="03","충청",MID(K2082,2,2)="04","충청",MID(K2082,2,2)="05","전라",MID(K2082,2,2)="06","전라",MID(K2082,2,2)="07","경북",MID(K2082,2,2)="08","경남",MID(K2082,2,2)="09","강원",MID(K2082,2,2)="10","제주",TRUE,"국외")</f>
        <v>서울</v>
      </c>
    </row>
    <row r="2083" spans="1:12" ht="17.25" thickBot="1">
      <c r="A2083" s="3" t="s">
        <v>2140</v>
      </c>
      <c r="B2083" s="3" t="s">
        <v>38</v>
      </c>
      <c r="C2083" s="3" t="s">
        <v>739</v>
      </c>
      <c r="D2083" s="4" t="s">
        <v>205</v>
      </c>
      <c r="E2083" s="4" t="s">
        <v>607</v>
      </c>
      <c r="F2083" s="4"/>
      <c r="G2083" s="9"/>
      <c r="H2083" s="4"/>
      <c r="I2083" s="9"/>
      <c r="J2083" s="3">
        <v>10141</v>
      </c>
      <c r="K2083" s="3">
        <v>50109</v>
      </c>
      <c r="L2083" s="17" t="str" cm="1">
        <f t="array" ref="L2083">_xlfn.IFS(MID(K2083,2,2)="01", "서울", MID(K2083,2,2)="02","경기",MID(K2083,2,2)="03","충청",MID(K2083,2,2)="04","충청",MID(K2083,2,2)="05","전라",MID(K2083,2,2)="06","전라",MID(K2083,2,2)="07","경북",MID(K2083,2,2)="08","경남",MID(K2083,2,2)="09","강원",MID(K2083,2,2)="10","제주",TRUE,"국외")</f>
        <v>서울</v>
      </c>
    </row>
    <row r="2084" spans="1:12" ht="17.25" thickBot="1">
      <c r="A2084" s="3" t="s">
        <v>2141</v>
      </c>
      <c r="B2084" s="3" t="s">
        <v>14</v>
      </c>
      <c r="C2084" s="3" t="s">
        <v>83</v>
      </c>
      <c r="D2084" s="4" t="s">
        <v>205</v>
      </c>
      <c r="E2084" s="4" t="s">
        <v>607</v>
      </c>
      <c r="F2084" s="4">
        <v>2008</v>
      </c>
      <c r="G2084" s="8">
        <v>-0.4</v>
      </c>
      <c r="H2084" s="4" t="s">
        <v>607</v>
      </c>
      <c r="I2084" s="8">
        <v>-0.5</v>
      </c>
      <c r="J2084" s="3">
        <v>10087</v>
      </c>
      <c r="K2084" s="3">
        <v>50703</v>
      </c>
      <c r="L2084" s="17" t="str" cm="1">
        <f t="array" ref="L2084">_xlfn.IFS(MID(K2084,2,2)="01", "서울", MID(K2084,2,2)="02","경기",MID(K2084,2,2)="03","충청",MID(K2084,2,2)="04","충청",MID(K2084,2,2)="05","전라",MID(K2084,2,2)="06","전라",MID(K2084,2,2)="07","경북",MID(K2084,2,2)="08","경남",MID(K2084,2,2)="09","강원",MID(K2084,2,2)="10","제주",TRUE,"국외")</f>
        <v>경북</v>
      </c>
    </row>
    <row r="2085" spans="1:12" ht="17.25" thickBot="1">
      <c r="A2085" s="3" t="s">
        <v>2142</v>
      </c>
      <c r="B2085" s="3" t="s">
        <v>32</v>
      </c>
      <c r="C2085" s="3" t="s">
        <v>172</v>
      </c>
      <c r="D2085" s="4" t="s">
        <v>205</v>
      </c>
      <c r="E2085" s="4" t="s">
        <v>26</v>
      </c>
      <c r="F2085" s="4">
        <v>2009</v>
      </c>
      <c r="G2085" s="9"/>
      <c r="H2085" s="4" t="s">
        <v>26</v>
      </c>
      <c r="I2085" s="8">
        <v>5.2</v>
      </c>
      <c r="J2085" s="3">
        <v>10210</v>
      </c>
      <c r="K2085" s="3">
        <v>50111</v>
      </c>
      <c r="L2085" s="17" t="str" cm="1">
        <f t="array" ref="L2085">_xlfn.IFS(MID(K2085,2,2)="01", "서울", MID(K2085,2,2)="02","경기",MID(K2085,2,2)="03","충청",MID(K2085,2,2)="04","충청",MID(K2085,2,2)="05","전라",MID(K2085,2,2)="06","전라",MID(K2085,2,2)="07","경북",MID(K2085,2,2)="08","경남",MID(K2085,2,2)="09","강원",MID(K2085,2,2)="10","제주",TRUE,"국외")</f>
        <v>서울</v>
      </c>
    </row>
    <row r="2086" spans="1:12" ht="17.25" thickBot="1">
      <c r="A2086" s="3" t="s">
        <v>2143</v>
      </c>
      <c r="B2086" s="3" t="s">
        <v>22</v>
      </c>
      <c r="C2086" s="3"/>
      <c r="D2086" s="4" t="s">
        <v>205</v>
      </c>
      <c r="E2086" s="4" t="s">
        <v>26</v>
      </c>
      <c r="F2086" s="4">
        <v>2012</v>
      </c>
      <c r="G2086" s="9"/>
      <c r="H2086" s="4" t="s">
        <v>26</v>
      </c>
      <c r="I2086" s="8">
        <v>-0.4</v>
      </c>
      <c r="J2086" s="3">
        <v>10172</v>
      </c>
      <c r="K2086" s="3">
        <v>50209</v>
      </c>
      <c r="L2086" s="17" t="str" cm="1">
        <f t="array" ref="L2086">_xlfn.IFS(MID(K2086,2,2)="01", "서울", MID(K2086,2,2)="02","경기",MID(K2086,2,2)="03","충청",MID(K2086,2,2)="04","충청",MID(K2086,2,2)="05","전라",MID(K2086,2,2)="06","전라",MID(K2086,2,2)="07","경북",MID(K2086,2,2)="08","경남",MID(K2086,2,2)="09","강원",MID(K2086,2,2)="10","제주",TRUE,"국외")</f>
        <v>경기</v>
      </c>
    </row>
    <row r="2087" spans="1:12" ht="17.25" thickBot="1">
      <c r="A2087" s="3" t="s">
        <v>2144</v>
      </c>
      <c r="B2087" s="3" t="s">
        <v>70</v>
      </c>
      <c r="C2087" s="3" t="s">
        <v>1942</v>
      </c>
      <c r="D2087" s="4" t="s">
        <v>205</v>
      </c>
      <c r="E2087" s="4" t="s">
        <v>26</v>
      </c>
      <c r="F2087" s="4">
        <v>2008</v>
      </c>
      <c r="G2087" s="8">
        <v>0</v>
      </c>
      <c r="H2087" s="4" t="s">
        <v>3</v>
      </c>
      <c r="I2087" s="8">
        <v>24.8</v>
      </c>
      <c r="J2087" s="3">
        <v>10170</v>
      </c>
      <c r="K2087" s="3">
        <v>50103</v>
      </c>
      <c r="L2087" s="17" t="str" cm="1">
        <f t="array" ref="L2087">_xlfn.IFS(MID(K2087,2,2)="01", "서울", MID(K2087,2,2)="02","경기",MID(K2087,2,2)="03","충청",MID(K2087,2,2)="04","충청",MID(K2087,2,2)="05","전라",MID(K2087,2,2)="06","전라",MID(K2087,2,2)="07","경북",MID(K2087,2,2)="08","경남",MID(K2087,2,2)="09","강원",MID(K2087,2,2)="10","제주",TRUE,"국외")</f>
        <v>서울</v>
      </c>
    </row>
    <row r="2088" spans="1:12" ht="17.25" thickBot="1">
      <c r="A2088" s="3" t="s">
        <v>2145</v>
      </c>
      <c r="B2088" s="3" t="s">
        <v>275</v>
      </c>
      <c r="C2088" s="3"/>
      <c r="D2088" s="4" t="s">
        <v>205</v>
      </c>
      <c r="E2088" s="4" t="s">
        <v>9</v>
      </c>
      <c r="F2088" s="4">
        <v>2010</v>
      </c>
      <c r="G2088" s="9"/>
      <c r="H2088" s="4" t="s">
        <v>9</v>
      </c>
      <c r="I2088" s="8">
        <v>1.9</v>
      </c>
      <c r="J2088" s="3">
        <v>10647</v>
      </c>
      <c r="K2088" s="3">
        <v>51001</v>
      </c>
      <c r="L2088" s="17" t="str" cm="1">
        <f t="array" ref="L2088">_xlfn.IFS(MID(K2088,2,2)="01", "서울", MID(K2088,2,2)="02","경기",MID(K2088,2,2)="03","충청",MID(K2088,2,2)="04","충청",MID(K2088,2,2)="05","전라",MID(K2088,2,2)="06","전라",MID(K2088,2,2)="07","경북",MID(K2088,2,2)="08","경남",MID(K2088,2,2)="09","강원",MID(K2088,2,2)="10","제주",TRUE,"국외")</f>
        <v>제주</v>
      </c>
    </row>
    <row r="2089" spans="1:12" ht="17.25" thickBot="1">
      <c r="A2089" s="3" t="s">
        <v>2146</v>
      </c>
      <c r="B2089" s="3" t="s">
        <v>40</v>
      </c>
      <c r="C2089" s="3" t="s">
        <v>174</v>
      </c>
      <c r="D2089" s="4" t="s">
        <v>205</v>
      </c>
      <c r="E2089" s="4" t="s">
        <v>9</v>
      </c>
      <c r="F2089" s="4">
        <v>2009</v>
      </c>
      <c r="G2089" s="9"/>
      <c r="H2089" s="4" t="s">
        <v>26</v>
      </c>
      <c r="I2089" s="8">
        <v>-0.5</v>
      </c>
      <c r="J2089" s="3">
        <v>10250</v>
      </c>
      <c r="K2089" s="3">
        <v>50108</v>
      </c>
      <c r="L2089" s="17" t="str" cm="1">
        <f t="array" ref="L2089">_xlfn.IFS(MID(K2089,2,2)="01", "서울", MID(K2089,2,2)="02","경기",MID(K2089,2,2)="03","충청",MID(K2089,2,2)="04","충청",MID(K2089,2,2)="05","전라",MID(K2089,2,2)="06","전라",MID(K2089,2,2)="07","경북",MID(K2089,2,2)="08","경남",MID(K2089,2,2)="09","강원",MID(K2089,2,2)="10","제주",TRUE,"국외")</f>
        <v>서울</v>
      </c>
    </row>
    <row r="2090" spans="1:12" ht="17.25" thickBot="1">
      <c r="A2090" s="3" t="s">
        <v>2147</v>
      </c>
      <c r="B2090" s="3" t="s">
        <v>153</v>
      </c>
      <c r="C2090" s="3" t="s">
        <v>329</v>
      </c>
      <c r="D2090" s="4" t="s">
        <v>205</v>
      </c>
      <c r="E2090" s="4" t="s">
        <v>23</v>
      </c>
      <c r="F2090" s="4">
        <v>2009</v>
      </c>
      <c r="G2090" s="9"/>
      <c r="H2090" s="4" t="s">
        <v>23</v>
      </c>
      <c r="I2090" s="8">
        <v>13.6</v>
      </c>
      <c r="J2090" s="3">
        <v>10312</v>
      </c>
      <c r="K2090" s="3">
        <v>50210</v>
      </c>
      <c r="L2090" s="17" t="str" cm="1">
        <f t="array" ref="L2090">_xlfn.IFS(MID(K2090,2,2)="01", "서울", MID(K2090,2,2)="02","경기",MID(K2090,2,2)="03","충청",MID(K2090,2,2)="04","충청",MID(K2090,2,2)="05","전라",MID(K2090,2,2)="06","전라",MID(K2090,2,2)="07","경북",MID(K2090,2,2)="08","경남",MID(K2090,2,2)="09","강원",MID(K2090,2,2)="10","제주",TRUE,"국외")</f>
        <v>경기</v>
      </c>
    </row>
    <row r="2091" spans="1:12" ht="17.25" thickBot="1">
      <c r="A2091" s="3" t="s">
        <v>2148</v>
      </c>
      <c r="B2091" s="3" t="s">
        <v>96</v>
      </c>
      <c r="C2091" s="3" t="s">
        <v>99</v>
      </c>
      <c r="D2091" s="4" t="s">
        <v>205</v>
      </c>
      <c r="E2091" s="4" t="s">
        <v>3</v>
      </c>
      <c r="F2091" s="4">
        <v>2010</v>
      </c>
      <c r="G2091" s="9"/>
      <c r="H2091" s="4" t="s">
        <v>6</v>
      </c>
      <c r="I2091" s="8">
        <v>-1.6</v>
      </c>
      <c r="J2091" s="3">
        <v>10626</v>
      </c>
      <c r="K2091" s="3">
        <v>50601</v>
      </c>
      <c r="L2091" s="17" t="str" cm="1">
        <f t="array" ref="L2091">_xlfn.IFS(MID(K2091,2,2)="01", "서울", MID(K2091,2,2)="02","경기",MID(K2091,2,2)="03","충청",MID(K2091,2,2)="04","충청",MID(K2091,2,2)="05","전라",MID(K2091,2,2)="06","전라",MID(K2091,2,2)="07","경북",MID(K2091,2,2)="08","경남",MID(K2091,2,2)="09","강원",MID(K2091,2,2)="10","제주",TRUE,"국외")</f>
        <v>전라</v>
      </c>
    </row>
    <row r="2092" spans="1:12" ht="17.25" thickBot="1">
      <c r="A2092" s="3" t="s">
        <v>2149</v>
      </c>
      <c r="B2092" s="3" t="s">
        <v>74</v>
      </c>
      <c r="C2092" s="3" t="s">
        <v>119</v>
      </c>
      <c r="D2092" s="4" t="s">
        <v>205</v>
      </c>
      <c r="E2092" s="4" t="s">
        <v>3</v>
      </c>
      <c r="F2092" s="4">
        <v>2008</v>
      </c>
      <c r="G2092" s="8">
        <v>0</v>
      </c>
      <c r="H2092" s="4" t="s">
        <v>3</v>
      </c>
      <c r="I2092" s="8">
        <v>-0.5</v>
      </c>
      <c r="J2092" s="3">
        <v>10563</v>
      </c>
      <c r="K2092" s="3">
        <v>50102</v>
      </c>
      <c r="L2092" s="17" t="str" cm="1">
        <f t="array" ref="L2092">_xlfn.IFS(MID(K2092,2,2)="01", "서울", MID(K2092,2,2)="02","경기",MID(K2092,2,2)="03","충청",MID(K2092,2,2)="04","충청",MID(K2092,2,2)="05","전라",MID(K2092,2,2)="06","전라",MID(K2092,2,2)="07","경북",MID(K2092,2,2)="08","경남",MID(K2092,2,2)="09","강원",MID(K2092,2,2)="10","제주",TRUE,"국외")</f>
        <v>서울</v>
      </c>
    </row>
    <row r="2093" spans="1:12" ht="17.25" thickBot="1">
      <c r="A2093" s="3" t="s">
        <v>2150</v>
      </c>
      <c r="B2093" s="3" t="s">
        <v>147</v>
      </c>
      <c r="C2093" s="3"/>
      <c r="D2093" s="4" t="s">
        <v>205</v>
      </c>
      <c r="E2093" s="4" t="s">
        <v>3</v>
      </c>
      <c r="F2093" s="4">
        <v>2009</v>
      </c>
      <c r="G2093" s="9"/>
      <c r="H2093" s="4" t="s">
        <v>3</v>
      </c>
      <c r="I2093" s="8">
        <v>-0.2</v>
      </c>
      <c r="J2093" s="3">
        <v>10586</v>
      </c>
      <c r="K2093" s="3">
        <v>50208</v>
      </c>
      <c r="L2093" s="17" t="str" cm="1">
        <f t="array" ref="L2093">_xlfn.IFS(MID(K2093,2,2)="01", "서울", MID(K2093,2,2)="02","경기",MID(K2093,2,2)="03","충청",MID(K2093,2,2)="04","충청",MID(K2093,2,2)="05","전라",MID(K2093,2,2)="06","전라",MID(K2093,2,2)="07","경북",MID(K2093,2,2)="08","경남",MID(K2093,2,2)="09","강원",MID(K2093,2,2)="10","제주",TRUE,"국외")</f>
        <v>경기</v>
      </c>
    </row>
    <row r="2094" spans="1:12" ht="17.25" thickBot="1">
      <c r="A2094" s="3" t="s">
        <v>2151</v>
      </c>
      <c r="B2094" s="3" t="s">
        <v>1497</v>
      </c>
      <c r="C2094" s="3"/>
      <c r="D2094" s="4" t="s">
        <v>205</v>
      </c>
      <c r="E2094" s="4" t="s">
        <v>3</v>
      </c>
      <c r="F2094" s="4"/>
      <c r="G2094" s="9"/>
      <c r="H2094" s="4"/>
      <c r="I2094" s="9"/>
      <c r="J2094" s="3">
        <v>11120</v>
      </c>
      <c r="K2094" s="3">
        <v>50112</v>
      </c>
      <c r="L2094" s="17" t="str" cm="1">
        <f t="array" ref="L2094">_xlfn.IFS(MID(K2094,2,2)="01", "서울", MID(K2094,2,2)="02","경기",MID(K2094,2,2)="03","충청",MID(K2094,2,2)="04","충청",MID(K2094,2,2)="05","전라",MID(K2094,2,2)="06","전라",MID(K2094,2,2)="07","경북",MID(K2094,2,2)="08","경남",MID(K2094,2,2)="09","강원",MID(K2094,2,2)="10","제주",TRUE,"국외")</f>
        <v>서울</v>
      </c>
    </row>
    <row r="2095" spans="1:12" ht="17.25" thickBot="1">
      <c r="A2095" s="5" t="s">
        <v>2152</v>
      </c>
      <c r="B2095" s="5" t="s">
        <v>107</v>
      </c>
      <c r="C2095" s="5" t="s">
        <v>45</v>
      </c>
      <c r="D2095" s="6" t="s">
        <v>205</v>
      </c>
      <c r="E2095" s="6" t="s">
        <v>3</v>
      </c>
      <c r="F2095" s="6">
        <v>2010</v>
      </c>
      <c r="G2095" s="11"/>
      <c r="H2095" s="6" t="s">
        <v>3</v>
      </c>
      <c r="I2095" s="12">
        <v>-0.1</v>
      </c>
      <c r="J2095" s="5">
        <f>2431</f>
        <v>2431</v>
      </c>
      <c r="K2095" s="5">
        <v>50602</v>
      </c>
      <c r="L2095" s="17" t="str" cm="1">
        <f t="array" ref="L2095">_xlfn.IFS(MID(K2095,2,2)="01", "서울", MID(K2095,2,2)="02","경기",MID(K2095,2,2)="03","충청",MID(K2095,2,2)="04","충청",MID(K2095,2,2)="05","전라",MID(K2095,2,2)="06","전라",MID(K2095,2,2)="07","경북",MID(K2095,2,2)="08","경남",MID(K2095,2,2)="09","강원",MID(K2095,2,2)="10","제주",TRUE,"국외")</f>
        <v>전라</v>
      </c>
    </row>
    <row r="2096" spans="1:12" ht="17.25" thickBot="1">
      <c r="A2096" s="3" t="s">
        <v>2153</v>
      </c>
      <c r="B2096" s="3" t="s">
        <v>1</v>
      </c>
      <c r="C2096" s="3"/>
      <c r="D2096" s="4" t="s">
        <v>243</v>
      </c>
      <c r="E2096" s="4" t="s">
        <v>26</v>
      </c>
      <c r="F2096" s="4">
        <v>2007</v>
      </c>
      <c r="G2096" s="8">
        <v>8.4</v>
      </c>
      <c r="H2096" s="4" t="s">
        <v>26</v>
      </c>
      <c r="I2096" s="8">
        <v>22.7</v>
      </c>
      <c r="J2096" s="3">
        <v>10222</v>
      </c>
      <c r="K2096" s="3">
        <v>50107</v>
      </c>
      <c r="L2096" s="17" t="str" cm="1">
        <f t="array" ref="L2096">_xlfn.IFS(MID(K2096,2,2)="01", "서울", MID(K2096,2,2)="02","경기",MID(K2096,2,2)="03","충청",MID(K2096,2,2)="04","충청",MID(K2096,2,2)="05","전라",MID(K2096,2,2)="06","전라",MID(K2096,2,2)="07","경북",MID(K2096,2,2)="08","경남",MID(K2096,2,2)="09","강원",MID(K2096,2,2)="10","제주",TRUE,"국외")</f>
        <v>서울</v>
      </c>
    </row>
    <row r="2097" spans="1:12" ht="17.25" thickBot="1">
      <c r="A2097" s="3" t="s">
        <v>2154</v>
      </c>
      <c r="B2097" s="3" t="s">
        <v>66</v>
      </c>
      <c r="C2097" s="3"/>
      <c r="D2097" s="4" t="s">
        <v>243</v>
      </c>
      <c r="E2097" s="4" t="s">
        <v>20</v>
      </c>
      <c r="F2097" s="4">
        <v>2007</v>
      </c>
      <c r="G2097" s="8">
        <v>0.4</v>
      </c>
      <c r="H2097" s="4" t="s">
        <v>20</v>
      </c>
      <c r="I2097" s="8">
        <v>26.6</v>
      </c>
      <c r="J2097" s="3">
        <v>10514</v>
      </c>
      <c r="K2097" s="3">
        <v>50110</v>
      </c>
      <c r="L2097" s="17" t="str" cm="1">
        <f t="array" ref="L2097">_xlfn.IFS(MID(K2097,2,2)="01", "서울", MID(K2097,2,2)="02","경기",MID(K2097,2,2)="03","충청",MID(K2097,2,2)="04","충청",MID(K2097,2,2)="05","전라",MID(K2097,2,2)="06","전라",MID(K2097,2,2)="07","경북",MID(K2097,2,2)="08","경남",MID(K2097,2,2)="09","강원",MID(K2097,2,2)="10","제주",TRUE,"국외")</f>
        <v>서울</v>
      </c>
    </row>
    <row r="2098" spans="1:12" ht="17.25" thickBot="1">
      <c r="A2098" s="3" t="s">
        <v>2155</v>
      </c>
      <c r="B2098" s="3" t="s">
        <v>126</v>
      </c>
      <c r="C2098" s="3"/>
      <c r="D2098" s="4" t="s">
        <v>243</v>
      </c>
      <c r="E2098" s="4" t="s">
        <v>607</v>
      </c>
      <c r="F2098" s="4">
        <v>2007</v>
      </c>
      <c r="G2098" s="8">
        <v>1.2</v>
      </c>
      <c r="H2098" s="4" t="s">
        <v>607</v>
      </c>
      <c r="I2098" s="8">
        <v>61.8</v>
      </c>
      <c r="J2098" s="3">
        <v>10126</v>
      </c>
      <c r="K2098" s="3">
        <v>50206</v>
      </c>
      <c r="L2098" s="17" t="str" cm="1">
        <f t="array" ref="L2098">_xlfn.IFS(MID(K2098,2,2)="01", "서울", MID(K2098,2,2)="02","경기",MID(K2098,2,2)="03","충청",MID(K2098,2,2)="04","충청",MID(K2098,2,2)="05","전라",MID(K2098,2,2)="06","전라",MID(K2098,2,2)="07","경북",MID(K2098,2,2)="08","경남",MID(K2098,2,2)="09","강원",MID(K2098,2,2)="10","제주",TRUE,"국외")</f>
        <v>경기</v>
      </c>
    </row>
    <row r="2099" spans="1:12" ht="17.25" thickBot="1">
      <c r="A2099" s="3" t="s">
        <v>2156</v>
      </c>
      <c r="B2099" s="3" t="s">
        <v>32</v>
      </c>
      <c r="C2099" s="3"/>
      <c r="D2099" s="4" t="s">
        <v>243</v>
      </c>
      <c r="E2099" s="4" t="s">
        <v>26</v>
      </c>
      <c r="F2099" s="4">
        <v>2008</v>
      </c>
      <c r="G2099" s="9"/>
      <c r="H2099" s="4" t="s">
        <v>26</v>
      </c>
      <c r="I2099" s="8">
        <v>23.3</v>
      </c>
      <c r="J2099" s="3">
        <v>10217</v>
      </c>
      <c r="K2099" s="3">
        <v>50111</v>
      </c>
      <c r="L2099" s="17" t="str" cm="1">
        <f t="array" ref="L2099">_xlfn.IFS(MID(K2099,2,2)="01", "서울", MID(K2099,2,2)="02","경기",MID(K2099,2,2)="03","충청",MID(K2099,2,2)="04","충청",MID(K2099,2,2)="05","전라",MID(K2099,2,2)="06","전라",MID(K2099,2,2)="07","경북",MID(K2099,2,2)="08","경남",MID(K2099,2,2)="09","강원",MID(K2099,2,2)="10","제주",TRUE,"국외")</f>
        <v>서울</v>
      </c>
    </row>
    <row r="2100" spans="1:12" ht="17.25" thickBot="1">
      <c r="A2100" s="3" t="s">
        <v>2157</v>
      </c>
      <c r="B2100" s="3" t="s">
        <v>14</v>
      </c>
      <c r="C2100" s="3"/>
      <c r="D2100" s="4" t="s">
        <v>243</v>
      </c>
      <c r="E2100" s="4" t="s">
        <v>23</v>
      </c>
      <c r="F2100" s="4">
        <v>2007</v>
      </c>
      <c r="G2100" s="8">
        <v>0</v>
      </c>
      <c r="H2100" s="4" t="s">
        <v>28</v>
      </c>
      <c r="I2100" s="8">
        <v>-1.3</v>
      </c>
      <c r="J2100" s="3">
        <v>10309</v>
      </c>
      <c r="K2100" s="3">
        <v>50703</v>
      </c>
      <c r="L2100" s="17" t="str" cm="1">
        <f t="array" ref="L2100">_xlfn.IFS(MID(K2100,2,2)="01", "서울", MID(K2100,2,2)="02","경기",MID(K2100,2,2)="03","충청",MID(K2100,2,2)="04","충청",MID(K2100,2,2)="05","전라",MID(K2100,2,2)="06","전라",MID(K2100,2,2)="07","경북",MID(K2100,2,2)="08","경남",MID(K2100,2,2)="09","강원",MID(K2100,2,2)="10","제주",TRUE,"국외")</f>
        <v>경북</v>
      </c>
    </row>
    <row r="2101" spans="1:12" ht="17.25" thickBot="1">
      <c r="A2101" s="3" t="s">
        <v>2158</v>
      </c>
      <c r="B2101" s="3" t="s">
        <v>107</v>
      </c>
      <c r="C2101" s="3" t="s">
        <v>221</v>
      </c>
      <c r="D2101" s="4" t="s">
        <v>243</v>
      </c>
      <c r="E2101" s="4" t="s">
        <v>6</v>
      </c>
      <c r="F2101" s="4">
        <v>2007</v>
      </c>
      <c r="G2101" s="8">
        <v>-0.3</v>
      </c>
      <c r="H2101" s="4" t="s">
        <v>6</v>
      </c>
      <c r="I2101" s="8">
        <v>-1.3</v>
      </c>
      <c r="J2101" s="3">
        <v>10059</v>
      </c>
      <c r="K2101" s="3">
        <v>50602</v>
      </c>
      <c r="L2101" s="17" t="str" cm="1">
        <f t="array" ref="L2101">_xlfn.IFS(MID(K2101,2,2)="01", "서울", MID(K2101,2,2)="02","경기",MID(K2101,2,2)="03","충청",MID(K2101,2,2)="04","충청",MID(K2101,2,2)="05","전라",MID(K2101,2,2)="06","전라",MID(K2101,2,2)="07","경북",MID(K2101,2,2)="08","경남",MID(K2101,2,2)="09","강원",MID(K2101,2,2)="10","제주",TRUE,"국외")</f>
        <v>전라</v>
      </c>
    </row>
    <row r="2102" spans="1:12" ht="17.25" thickBot="1">
      <c r="A2102" s="3" t="s">
        <v>1866</v>
      </c>
      <c r="B2102" s="3" t="s">
        <v>50</v>
      </c>
      <c r="C2102" s="3" t="s">
        <v>221</v>
      </c>
      <c r="D2102" s="4" t="s">
        <v>243</v>
      </c>
      <c r="E2102" s="4" t="s">
        <v>3</v>
      </c>
      <c r="F2102" s="4">
        <v>2011</v>
      </c>
      <c r="G2102" s="9"/>
      <c r="H2102" s="4" t="s">
        <v>3</v>
      </c>
      <c r="I2102" s="8">
        <v>-0.3</v>
      </c>
      <c r="J2102" s="3">
        <v>10660</v>
      </c>
      <c r="K2102" s="3">
        <v>50301</v>
      </c>
      <c r="L2102" s="17" t="str" cm="1">
        <f t="array" ref="L2102">_xlfn.IFS(MID(K2102,2,2)="01", "서울", MID(K2102,2,2)="02","경기",MID(K2102,2,2)="03","충청",MID(K2102,2,2)="04","충청",MID(K2102,2,2)="05","전라",MID(K2102,2,2)="06","전라",MID(K2102,2,2)="07","경북",MID(K2102,2,2)="08","경남",MID(K2102,2,2)="09","강원",MID(K2102,2,2)="10","제주",TRUE,"국외")</f>
        <v>충청</v>
      </c>
    </row>
    <row r="2103" spans="1:12" ht="17.25" thickBot="1">
      <c r="A2103" s="3" t="s">
        <v>2159</v>
      </c>
      <c r="B2103" s="3" t="s">
        <v>11</v>
      </c>
      <c r="C2103" s="3"/>
      <c r="D2103" s="4" t="s">
        <v>243</v>
      </c>
      <c r="E2103" s="4" t="s">
        <v>9</v>
      </c>
      <c r="F2103" s="4">
        <v>2009</v>
      </c>
      <c r="G2103" s="9"/>
      <c r="H2103" s="4" t="s">
        <v>28</v>
      </c>
      <c r="I2103" s="8">
        <v>2.2999999999999998</v>
      </c>
      <c r="J2103" s="3">
        <v>10831</v>
      </c>
      <c r="K2103" s="3">
        <v>50802</v>
      </c>
      <c r="L2103" s="17" t="str" cm="1">
        <f t="array" ref="L2103">_xlfn.IFS(MID(K2103,2,2)="01", "서울", MID(K2103,2,2)="02","경기",MID(K2103,2,2)="03","충청",MID(K2103,2,2)="04","충청",MID(K2103,2,2)="05","전라",MID(K2103,2,2)="06","전라",MID(K2103,2,2)="07","경북",MID(K2103,2,2)="08","경남",MID(K2103,2,2)="09","강원",MID(K2103,2,2)="10","제주",TRUE,"국외")</f>
        <v>경남</v>
      </c>
    </row>
    <row r="2104" spans="1:12" ht="17.25" thickBot="1">
      <c r="A2104" s="3" t="s">
        <v>2160</v>
      </c>
      <c r="B2104" s="3" t="s">
        <v>11</v>
      </c>
      <c r="C2104" s="3"/>
      <c r="D2104" s="4" t="s">
        <v>243</v>
      </c>
      <c r="E2104" s="4" t="s">
        <v>9</v>
      </c>
      <c r="F2104" s="4">
        <v>2010</v>
      </c>
      <c r="G2104" s="9"/>
      <c r="H2104" s="4" t="s">
        <v>9</v>
      </c>
      <c r="I2104" s="8">
        <v>1.6</v>
      </c>
      <c r="J2104" s="3">
        <v>10293</v>
      </c>
      <c r="K2104" s="3">
        <v>50802</v>
      </c>
      <c r="L2104" s="17" t="str" cm="1">
        <f t="array" ref="L2104">_xlfn.IFS(MID(K2104,2,2)="01", "서울", MID(K2104,2,2)="02","경기",MID(K2104,2,2)="03","충청",MID(K2104,2,2)="04","충청",MID(K2104,2,2)="05","전라",MID(K2104,2,2)="06","전라",MID(K2104,2,2)="07","경북",MID(K2104,2,2)="08","경남",MID(K2104,2,2)="09","강원",MID(K2104,2,2)="10","제주",TRUE,"국외")</f>
        <v>경남</v>
      </c>
    </row>
    <row r="2105" spans="1:12" ht="17.25" thickBot="1">
      <c r="A2105" s="3" t="s">
        <v>2161</v>
      </c>
      <c r="B2105" s="3" t="s">
        <v>78</v>
      </c>
      <c r="C2105" s="3"/>
      <c r="D2105" s="4" t="s">
        <v>254</v>
      </c>
      <c r="E2105" s="4" t="s">
        <v>9</v>
      </c>
      <c r="F2105" s="4"/>
      <c r="G2105" s="9"/>
      <c r="H2105" s="4"/>
      <c r="I2105" s="9"/>
      <c r="J2105" s="3">
        <v>10292</v>
      </c>
      <c r="K2105" s="3">
        <v>50401</v>
      </c>
      <c r="L2105" s="17" t="str" cm="1">
        <f t="array" ref="L2105">_xlfn.IFS(MID(K2105,2,2)="01", "서울", MID(K2105,2,2)="02","경기",MID(K2105,2,2)="03","충청",MID(K2105,2,2)="04","충청",MID(K2105,2,2)="05","전라",MID(K2105,2,2)="06","전라",MID(K2105,2,2)="07","경북",MID(K2105,2,2)="08","경남",MID(K2105,2,2)="09","강원",MID(K2105,2,2)="10","제주",TRUE,"국외")</f>
        <v>충청</v>
      </c>
    </row>
    <row r="2106" spans="1:12" ht="17.25" thickBot="1">
      <c r="A2106" s="3" t="s">
        <v>2162</v>
      </c>
      <c r="B2106" s="3" t="s">
        <v>96</v>
      </c>
      <c r="C2106" s="3"/>
      <c r="D2106" s="4" t="s">
        <v>254</v>
      </c>
      <c r="E2106" s="4" t="s">
        <v>6</v>
      </c>
      <c r="F2106" s="4">
        <v>2007</v>
      </c>
      <c r="G2106" s="8">
        <v>0.5</v>
      </c>
      <c r="H2106" s="4" t="s">
        <v>6</v>
      </c>
      <c r="I2106" s="8">
        <v>64.7</v>
      </c>
      <c r="J2106" s="3">
        <v>10058</v>
      </c>
      <c r="K2106" s="3">
        <v>50601</v>
      </c>
      <c r="L2106" s="17" t="str" cm="1">
        <f t="array" ref="L2106">_xlfn.IFS(MID(K2106,2,2)="01", "서울", MID(K2106,2,2)="02","경기",MID(K2106,2,2)="03","충청",MID(K2106,2,2)="04","충청",MID(K2106,2,2)="05","전라",MID(K2106,2,2)="06","전라",MID(K2106,2,2)="07","경북",MID(K2106,2,2)="08","경남",MID(K2106,2,2)="09","강원",MID(K2106,2,2)="10","제주",TRUE,"국외")</f>
        <v>전라</v>
      </c>
    </row>
    <row r="2107" spans="1:12" ht="17.25" thickBot="1">
      <c r="A2107" s="3" t="s">
        <v>2163</v>
      </c>
      <c r="B2107" s="3" t="s">
        <v>25</v>
      </c>
      <c r="C2107" s="3"/>
      <c r="D2107" s="4" t="s">
        <v>254</v>
      </c>
      <c r="E2107" s="4" t="s">
        <v>2164</v>
      </c>
      <c r="F2107" s="4">
        <v>2007</v>
      </c>
      <c r="G2107" s="8">
        <v>-0.2</v>
      </c>
      <c r="H2107" s="4" t="s">
        <v>3</v>
      </c>
      <c r="I2107" s="8">
        <v>6.8</v>
      </c>
      <c r="J2107" s="3">
        <v>10453</v>
      </c>
      <c r="K2107" s="3">
        <v>50403</v>
      </c>
      <c r="L2107" s="17" t="str" cm="1">
        <f t="array" ref="L2107">_xlfn.IFS(MID(K2107,2,2)="01", "서울", MID(K2107,2,2)="02","경기",MID(K2107,2,2)="03","충청",MID(K2107,2,2)="04","충청",MID(K2107,2,2)="05","전라",MID(K2107,2,2)="06","전라",MID(K2107,2,2)="07","경북",MID(K2107,2,2)="08","경남",MID(K2107,2,2)="09","강원",MID(K2107,2,2)="10","제주",TRUE,"국외")</f>
        <v>충청</v>
      </c>
    </row>
    <row r="2108" spans="1:12" ht="17.25" thickBot="1">
      <c r="A2108" s="3" t="s">
        <v>2165</v>
      </c>
      <c r="B2108" s="3" t="s">
        <v>358</v>
      </c>
      <c r="C2108" s="3" t="s">
        <v>538</v>
      </c>
      <c r="D2108" s="4" t="s">
        <v>254</v>
      </c>
      <c r="E2108" s="4" t="s">
        <v>20</v>
      </c>
      <c r="F2108" s="4">
        <v>2007</v>
      </c>
      <c r="G2108" s="8">
        <v>-0.3</v>
      </c>
      <c r="H2108" s="4" t="s">
        <v>20</v>
      </c>
      <c r="I2108" s="8">
        <v>-0.7</v>
      </c>
      <c r="J2108" s="3">
        <v>10471</v>
      </c>
      <c r="K2108" s="3">
        <v>50902</v>
      </c>
      <c r="L2108" s="17" t="str" cm="1">
        <f t="array" ref="L2108">_xlfn.IFS(MID(K2108,2,2)="01", "서울", MID(K2108,2,2)="02","경기",MID(K2108,2,2)="03","충청",MID(K2108,2,2)="04","충청",MID(K2108,2,2)="05","전라",MID(K2108,2,2)="06","전라",MID(K2108,2,2)="07","경북",MID(K2108,2,2)="08","경남",MID(K2108,2,2)="09","강원",MID(K2108,2,2)="10","제주",TRUE,"국외")</f>
        <v>강원</v>
      </c>
    </row>
    <row r="2109" spans="1:12" ht="17.25" thickBot="1">
      <c r="A2109" s="3" t="s">
        <v>2166</v>
      </c>
      <c r="B2109" s="3" t="s">
        <v>1737</v>
      </c>
      <c r="C2109" s="3" t="s">
        <v>1796</v>
      </c>
      <c r="D2109" s="4" t="s">
        <v>254</v>
      </c>
      <c r="E2109" s="4" t="s">
        <v>3</v>
      </c>
      <c r="F2109" s="4">
        <v>2007</v>
      </c>
      <c r="G2109" s="8">
        <v>0</v>
      </c>
      <c r="H2109" s="4" t="s">
        <v>3</v>
      </c>
      <c r="I2109" s="8">
        <v>1.6</v>
      </c>
      <c r="J2109" s="3">
        <v>10587</v>
      </c>
      <c r="K2109" s="3">
        <v>50204</v>
      </c>
      <c r="L2109" s="17" t="str" cm="1">
        <f t="array" ref="L2109">_xlfn.IFS(MID(K2109,2,2)="01", "서울", MID(K2109,2,2)="02","경기",MID(K2109,2,2)="03","충청",MID(K2109,2,2)="04","충청",MID(K2109,2,2)="05","전라",MID(K2109,2,2)="06","전라",MID(K2109,2,2)="07","경북",MID(K2109,2,2)="08","경남",MID(K2109,2,2)="09","강원",MID(K2109,2,2)="10","제주",TRUE,"국외")</f>
        <v>경기</v>
      </c>
    </row>
    <row r="2110" spans="1:12" ht="17.25" thickBot="1">
      <c r="A2110" s="3" t="s">
        <v>2167</v>
      </c>
      <c r="B2110" s="3" t="s">
        <v>158</v>
      </c>
      <c r="C2110" s="3" t="s">
        <v>45</v>
      </c>
      <c r="D2110" s="4" t="s">
        <v>254</v>
      </c>
      <c r="E2110" s="4" t="s">
        <v>607</v>
      </c>
      <c r="F2110" s="4">
        <v>2014</v>
      </c>
      <c r="G2110" s="9"/>
      <c r="H2110" s="4" t="s">
        <v>607</v>
      </c>
      <c r="I2110" s="8">
        <v>-0.1</v>
      </c>
      <c r="J2110" s="3">
        <v>10785</v>
      </c>
      <c r="K2110" s="3">
        <v>50501</v>
      </c>
      <c r="L2110" s="17" t="str" cm="1">
        <f t="array" ref="L2110">_xlfn.IFS(MID(K2110,2,2)="01", "서울", MID(K2110,2,2)="02","경기",MID(K2110,2,2)="03","충청",MID(K2110,2,2)="04","충청",MID(K2110,2,2)="05","전라",MID(K2110,2,2)="06","전라",MID(K2110,2,2)="07","경북",MID(K2110,2,2)="08","경남",MID(K2110,2,2)="09","강원",MID(K2110,2,2)="10","제주",TRUE,"국외")</f>
        <v>전라</v>
      </c>
    </row>
    <row r="2111" spans="1:12" ht="17.25" thickBot="1">
      <c r="A2111" s="3" t="s">
        <v>272</v>
      </c>
      <c r="B2111" s="3" t="s">
        <v>1497</v>
      </c>
      <c r="C2111" s="3"/>
      <c r="D2111" s="4" t="s">
        <v>254</v>
      </c>
      <c r="E2111" s="4" t="s">
        <v>26</v>
      </c>
      <c r="F2111" s="4">
        <v>2007</v>
      </c>
      <c r="G2111" s="8">
        <v>-0.3</v>
      </c>
      <c r="H2111" s="4" t="s">
        <v>26</v>
      </c>
      <c r="I2111" s="8">
        <v>-1.4</v>
      </c>
      <c r="J2111" s="3">
        <v>10218</v>
      </c>
      <c r="K2111" s="3">
        <v>50112</v>
      </c>
      <c r="L2111" s="17" t="str" cm="1">
        <f t="array" ref="L2111">_xlfn.IFS(MID(K2111,2,2)="01", "서울", MID(K2111,2,2)="02","경기",MID(K2111,2,2)="03","충청",MID(K2111,2,2)="04","충청",MID(K2111,2,2)="05","전라",MID(K2111,2,2)="06","전라",MID(K2111,2,2)="07","경북",MID(K2111,2,2)="08","경남",MID(K2111,2,2)="09","강원",MID(K2111,2,2)="10","제주",TRUE,"국외")</f>
        <v>서울</v>
      </c>
    </row>
    <row r="2112" spans="1:12" ht="17.25" thickBot="1">
      <c r="A2112" s="3" t="s">
        <v>2168</v>
      </c>
      <c r="B2112" s="3" t="s">
        <v>332</v>
      </c>
      <c r="C2112" s="3"/>
      <c r="D2112" s="4" t="s">
        <v>254</v>
      </c>
      <c r="E2112" s="4" t="s">
        <v>23</v>
      </c>
      <c r="F2112" s="4">
        <v>2007</v>
      </c>
      <c r="G2112" s="8">
        <v>-0.4</v>
      </c>
      <c r="H2112" s="4" t="s">
        <v>23</v>
      </c>
      <c r="I2112" s="8">
        <v>23.1</v>
      </c>
      <c r="J2112" s="3">
        <v>10363</v>
      </c>
      <c r="K2112" s="3">
        <v>50705</v>
      </c>
      <c r="L2112" s="17" t="str" cm="1">
        <f t="array" ref="L2112">_xlfn.IFS(MID(K2112,2,2)="01", "서울", MID(K2112,2,2)="02","경기",MID(K2112,2,2)="03","충청",MID(K2112,2,2)="04","충청",MID(K2112,2,2)="05","전라",MID(K2112,2,2)="06","전라",MID(K2112,2,2)="07","경북",MID(K2112,2,2)="08","경남",MID(K2112,2,2)="09","강원",MID(K2112,2,2)="10","제주",TRUE,"국외")</f>
        <v>경북</v>
      </c>
    </row>
    <row r="2113" spans="1:12" ht="17.25" thickBot="1">
      <c r="A2113" s="3" t="s">
        <v>2169</v>
      </c>
      <c r="B2113" s="3" t="s">
        <v>1398</v>
      </c>
      <c r="C2113" s="3"/>
      <c r="D2113" s="4" t="s">
        <v>254</v>
      </c>
      <c r="E2113" s="4" t="s">
        <v>23</v>
      </c>
      <c r="F2113" s="4"/>
      <c r="G2113" s="9"/>
      <c r="H2113" s="4"/>
      <c r="I2113" s="9"/>
      <c r="J2113" s="3">
        <v>10723</v>
      </c>
      <c r="K2113" s="3">
        <v>50708</v>
      </c>
      <c r="L2113" s="17" t="str" cm="1">
        <f t="array" ref="L2113">_xlfn.IFS(MID(K2113,2,2)="01", "서울", MID(K2113,2,2)="02","경기",MID(K2113,2,2)="03","충청",MID(K2113,2,2)="04","충청",MID(K2113,2,2)="05","전라",MID(K2113,2,2)="06","전라",MID(K2113,2,2)="07","경북",MID(K2113,2,2)="08","경남",MID(K2113,2,2)="09","강원",MID(K2113,2,2)="10","제주",TRUE,"국외")</f>
        <v>경북</v>
      </c>
    </row>
    <row r="2114" spans="1:12" ht="17.25" thickBot="1">
      <c r="A2114" s="3" t="s">
        <v>2170</v>
      </c>
      <c r="B2114" s="3" t="s">
        <v>32</v>
      </c>
      <c r="C2114" s="3"/>
      <c r="D2114" s="4" t="s">
        <v>254</v>
      </c>
      <c r="E2114" s="4" t="s">
        <v>26</v>
      </c>
      <c r="F2114" s="4">
        <v>2007</v>
      </c>
      <c r="G2114" s="8">
        <v>0</v>
      </c>
      <c r="H2114" s="4" t="s">
        <v>26</v>
      </c>
      <c r="I2114" s="8">
        <v>0.2</v>
      </c>
      <c r="J2114" s="3">
        <v>10179</v>
      </c>
      <c r="K2114" s="3">
        <v>50111</v>
      </c>
      <c r="L2114" s="17" t="str" cm="1">
        <f t="array" ref="L2114">_xlfn.IFS(MID(K2114,2,2)="01", "서울", MID(K2114,2,2)="02","경기",MID(K2114,2,2)="03","충청",MID(K2114,2,2)="04","충청",MID(K2114,2,2)="05","전라",MID(K2114,2,2)="06","전라",MID(K2114,2,2)="07","경북",MID(K2114,2,2)="08","경남",MID(K2114,2,2)="09","강원",MID(K2114,2,2)="10","제주",TRUE,"국외")</f>
        <v>서울</v>
      </c>
    </row>
    <row r="2115" spans="1:12" ht="17.25" thickBot="1">
      <c r="A2115" s="3" t="s">
        <v>1785</v>
      </c>
      <c r="B2115" s="3" t="s">
        <v>52</v>
      </c>
      <c r="C2115" s="3"/>
      <c r="D2115" s="4" t="s">
        <v>254</v>
      </c>
      <c r="E2115" s="4" t="s">
        <v>607</v>
      </c>
      <c r="F2115" s="4">
        <v>2009</v>
      </c>
      <c r="G2115" s="9"/>
      <c r="H2115" s="4" t="s">
        <v>607</v>
      </c>
      <c r="I2115" s="8">
        <v>0.2</v>
      </c>
      <c r="J2115" s="3">
        <v>10110</v>
      </c>
      <c r="K2115" s="3">
        <v>50803</v>
      </c>
      <c r="L2115" s="17" t="str" cm="1">
        <f t="array" ref="L2115">_xlfn.IFS(MID(K2115,2,2)="01", "서울", MID(K2115,2,2)="02","경기",MID(K2115,2,2)="03","충청",MID(K2115,2,2)="04","충청",MID(K2115,2,2)="05","전라",MID(K2115,2,2)="06","전라",MID(K2115,2,2)="07","경북",MID(K2115,2,2)="08","경남",MID(K2115,2,2)="09","강원",MID(K2115,2,2)="10","제주",TRUE,"국외")</f>
        <v>경남</v>
      </c>
    </row>
    <row r="2116" spans="1:12" ht="17.25" thickBot="1">
      <c r="A2116" s="3" t="s">
        <v>2171</v>
      </c>
      <c r="B2116" s="3" t="s">
        <v>8</v>
      </c>
      <c r="C2116" s="3" t="s">
        <v>83</v>
      </c>
      <c r="D2116" s="4" t="s">
        <v>254</v>
      </c>
      <c r="E2116" s="4" t="s">
        <v>3</v>
      </c>
      <c r="F2116" s="4">
        <v>2009</v>
      </c>
      <c r="G2116" s="9"/>
      <c r="H2116" s="4" t="s">
        <v>3</v>
      </c>
      <c r="I2116" s="8">
        <v>-0.2</v>
      </c>
      <c r="J2116" s="3">
        <v>10545</v>
      </c>
      <c r="K2116" s="3">
        <v>50116</v>
      </c>
      <c r="L2116" s="17" t="str" cm="1">
        <f t="array" ref="L2116">_xlfn.IFS(MID(K2116,2,2)="01", "서울", MID(K2116,2,2)="02","경기",MID(K2116,2,2)="03","충청",MID(K2116,2,2)="04","충청",MID(K2116,2,2)="05","전라",MID(K2116,2,2)="06","전라",MID(K2116,2,2)="07","경북",MID(K2116,2,2)="08","경남",MID(K2116,2,2)="09","강원",MID(K2116,2,2)="10","제주",TRUE,"국외")</f>
        <v>서울</v>
      </c>
    </row>
    <row r="2117" spans="1:12" ht="17.25" thickBot="1">
      <c r="A2117" s="3" t="s">
        <v>2172</v>
      </c>
      <c r="B2117" s="3" t="s">
        <v>2139</v>
      </c>
      <c r="C2117" s="3" t="s">
        <v>1796</v>
      </c>
      <c r="D2117" s="4" t="s">
        <v>254</v>
      </c>
      <c r="E2117" s="4" t="s">
        <v>9</v>
      </c>
      <c r="F2117" s="4">
        <v>2007</v>
      </c>
      <c r="G2117" s="8">
        <v>0</v>
      </c>
      <c r="H2117" s="4" t="s">
        <v>18</v>
      </c>
      <c r="I2117" s="8">
        <v>28.9</v>
      </c>
      <c r="J2117" s="3">
        <v>10238</v>
      </c>
      <c r="K2117" s="3">
        <v>50104</v>
      </c>
      <c r="L2117" s="17" t="str" cm="1">
        <f t="array" ref="L2117">_xlfn.IFS(MID(K2117,2,2)="01", "서울", MID(K2117,2,2)="02","경기",MID(K2117,2,2)="03","충청",MID(K2117,2,2)="04","충청",MID(K2117,2,2)="05","전라",MID(K2117,2,2)="06","전라",MID(K2117,2,2)="07","경북",MID(K2117,2,2)="08","경남",MID(K2117,2,2)="09","강원",MID(K2117,2,2)="10","제주",TRUE,"국외")</f>
        <v>서울</v>
      </c>
    </row>
    <row r="2118" spans="1:12" ht="17.25" thickBot="1">
      <c r="A2118" s="3" t="s">
        <v>2173</v>
      </c>
      <c r="B2118" s="3" t="s">
        <v>42</v>
      </c>
      <c r="C2118" s="3"/>
      <c r="D2118" s="4" t="s">
        <v>254</v>
      </c>
      <c r="E2118" s="4" t="s">
        <v>2164</v>
      </c>
      <c r="F2118" s="4">
        <v>2014</v>
      </c>
      <c r="G2118" s="9"/>
      <c r="H2118" s="4" t="s">
        <v>18</v>
      </c>
      <c r="I2118" s="8">
        <v>-0.3</v>
      </c>
      <c r="J2118" s="3">
        <v>10392</v>
      </c>
      <c r="K2118" s="3">
        <v>50502</v>
      </c>
      <c r="L2118" s="17" t="str" cm="1">
        <f t="array" ref="L2118">_xlfn.IFS(MID(K2118,2,2)="01", "서울", MID(K2118,2,2)="02","경기",MID(K2118,2,2)="03","충청",MID(K2118,2,2)="04","충청",MID(K2118,2,2)="05","전라",MID(K2118,2,2)="06","전라",MID(K2118,2,2)="07","경북",MID(K2118,2,2)="08","경남",MID(K2118,2,2)="09","강원",MID(K2118,2,2)="10","제주",TRUE,"국외")</f>
        <v>전라</v>
      </c>
    </row>
    <row r="2119" spans="1:12" ht="17.25" thickBot="1">
      <c r="A2119" s="3" t="s">
        <v>2174</v>
      </c>
      <c r="B2119" s="3" t="s">
        <v>158</v>
      </c>
      <c r="C2119" s="3" t="s">
        <v>99</v>
      </c>
      <c r="D2119" s="4" t="s">
        <v>254</v>
      </c>
      <c r="E2119" s="4" t="s">
        <v>6</v>
      </c>
      <c r="F2119" s="4">
        <v>2007</v>
      </c>
      <c r="G2119" s="8">
        <v>-0.6</v>
      </c>
      <c r="H2119" s="4" t="s">
        <v>607</v>
      </c>
      <c r="I2119" s="8">
        <v>-3.6</v>
      </c>
      <c r="J2119" s="3">
        <v>10089</v>
      </c>
      <c r="K2119" s="3">
        <v>50501</v>
      </c>
      <c r="L2119" s="17" t="str" cm="1">
        <f t="array" ref="L2119">_xlfn.IFS(MID(K2119,2,2)="01", "서울", MID(K2119,2,2)="02","경기",MID(K2119,2,2)="03","충청",MID(K2119,2,2)="04","충청",MID(K2119,2,2)="05","전라",MID(K2119,2,2)="06","전라",MID(K2119,2,2)="07","경북",MID(K2119,2,2)="08","경남",MID(K2119,2,2)="09","강원",MID(K2119,2,2)="10","제주",TRUE,"국외")</f>
        <v>전라</v>
      </c>
    </row>
    <row r="2120" spans="1:12" ht="17.25" thickBot="1">
      <c r="A2120" s="3" t="s">
        <v>2175</v>
      </c>
      <c r="B2120" s="3" t="s">
        <v>8</v>
      </c>
      <c r="C2120" s="3" t="s">
        <v>218</v>
      </c>
      <c r="D2120" s="4" t="s">
        <v>254</v>
      </c>
      <c r="E2120" s="4" t="s">
        <v>6</v>
      </c>
      <c r="F2120" s="4">
        <v>2007</v>
      </c>
      <c r="G2120" s="8">
        <v>-0.2</v>
      </c>
      <c r="H2120" s="4" t="s">
        <v>6</v>
      </c>
      <c r="I2120" s="8">
        <v>-1.3</v>
      </c>
      <c r="J2120" s="3">
        <v>10038</v>
      </c>
      <c r="K2120" s="3">
        <v>50116</v>
      </c>
      <c r="L2120" s="17" t="str" cm="1">
        <f t="array" ref="L2120">_xlfn.IFS(MID(K2120,2,2)="01", "서울", MID(K2120,2,2)="02","경기",MID(K2120,2,2)="03","충청",MID(K2120,2,2)="04","충청",MID(K2120,2,2)="05","전라",MID(K2120,2,2)="06","전라",MID(K2120,2,2)="07","경북",MID(K2120,2,2)="08","경남",MID(K2120,2,2)="09","강원",MID(K2120,2,2)="10","제주",TRUE,"국외")</f>
        <v>서울</v>
      </c>
    </row>
    <row r="2121" spans="1:12" ht="17.25" thickBot="1">
      <c r="A2121" s="3" t="s">
        <v>2176</v>
      </c>
      <c r="B2121" s="3" t="s">
        <v>22</v>
      </c>
      <c r="C2121" s="3"/>
      <c r="D2121" s="4" t="s">
        <v>254</v>
      </c>
      <c r="E2121" s="4" t="s">
        <v>2164</v>
      </c>
      <c r="F2121" s="4">
        <v>2007</v>
      </c>
      <c r="G2121" s="8">
        <v>0</v>
      </c>
      <c r="H2121" s="4" t="s">
        <v>18</v>
      </c>
      <c r="I2121" s="8">
        <v>-0.1</v>
      </c>
      <c r="J2121" s="3">
        <v>10396</v>
      </c>
      <c r="K2121" s="3">
        <v>50209</v>
      </c>
      <c r="L2121" s="17" t="str" cm="1">
        <f t="array" ref="L2121">_xlfn.IFS(MID(K2121,2,2)="01", "서울", MID(K2121,2,2)="02","경기",MID(K2121,2,2)="03","충청",MID(K2121,2,2)="04","충청",MID(K2121,2,2)="05","전라",MID(K2121,2,2)="06","전라",MID(K2121,2,2)="07","경북",MID(K2121,2,2)="08","경남",MID(K2121,2,2)="09","강원",MID(K2121,2,2)="10","제주",TRUE,"국외")</f>
        <v>경기</v>
      </c>
    </row>
    <row r="2122" spans="1:12" ht="17.25" thickBot="1">
      <c r="A2122" s="3" t="s">
        <v>1252</v>
      </c>
      <c r="B2122" s="3" t="s">
        <v>32</v>
      </c>
      <c r="C2122" s="3"/>
      <c r="D2122" s="4" t="s">
        <v>254</v>
      </c>
      <c r="E2122" s="4" t="s">
        <v>20</v>
      </c>
      <c r="F2122" s="4">
        <v>2009</v>
      </c>
      <c r="G2122" s="9"/>
      <c r="H2122" s="4" t="s">
        <v>20</v>
      </c>
      <c r="I2122" s="8">
        <v>-0.6</v>
      </c>
      <c r="J2122" s="3">
        <v>10528</v>
      </c>
      <c r="K2122" s="3">
        <v>50111</v>
      </c>
      <c r="L2122" s="17" t="str" cm="1">
        <f t="array" ref="L2122">_xlfn.IFS(MID(K2122,2,2)="01", "서울", MID(K2122,2,2)="02","경기",MID(K2122,2,2)="03","충청",MID(K2122,2,2)="04","충청",MID(K2122,2,2)="05","전라",MID(K2122,2,2)="06","전라",MID(K2122,2,2)="07","경북",MID(K2122,2,2)="08","경남",MID(K2122,2,2)="09","강원",MID(K2122,2,2)="10","제주",TRUE,"국외")</f>
        <v>서울</v>
      </c>
    </row>
    <row r="2123" spans="1:12" ht="17.25" thickBot="1">
      <c r="A2123" s="3" t="s">
        <v>2177</v>
      </c>
      <c r="B2123" s="3" t="s">
        <v>107</v>
      </c>
      <c r="C2123" s="3"/>
      <c r="D2123" s="4" t="s">
        <v>254</v>
      </c>
      <c r="E2123" s="4" t="s">
        <v>3</v>
      </c>
      <c r="F2123" s="4">
        <v>2007</v>
      </c>
      <c r="G2123" s="8">
        <v>-0.1</v>
      </c>
      <c r="H2123" s="4" t="s">
        <v>3</v>
      </c>
      <c r="I2123" s="8">
        <v>0.2</v>
      </c>
      <c r="J2123" s="3">
        <v>10547</v>
      </c>
      <c r="K2123" s="3">
        <v>50602</v>
      </c>
      <c r="L2123" s="17" t="str" cm="1">
        <f t="array" ref="L2123">_xlfn.IFS(MID(K2123,2,2)="01", "서울", MID(K2123,2,2)="02","경기",MID(K2123,2,2)="03","충청",MID(K2123,2,2)="04","충청",MID(K2123,2,2)="05","전라",MID(K2123,2,2)="06","전라",MID(K2123,2,2)="07","경북",MID(K2123,2,2)="08","경남",MID(K2123,2,2)="09","강원",MID(K2123,2,2)="10","제주",TRUE,"국외")</f>
        <v>전라</v>
      </c>
    </row>
    <row r="2124" spans="1:12" ht="17.25" thickBot="1">
      <c r="A2124" s="3" t="s">
        <v>2030</v>
      </c>
      <c r="B2124" s="3" t="s">
        <v>1497</v>
      </c>
      <c r="C2124" s="3"/>
      <c r="D2124" s="4" t="s">
        <v>254</v>
      </c>
      <c r="E2124" s="4" t="s">
        <v>26</v>
      </c>
      <c r="F2124" s="4"/>
      <c r="G2124" s="9"/>
      <c r="H2124" s="4"/>
      <c r="I2124" s="9"/>
      <c r="J2124" s="3">
        <v>10893</v>
      </c>
      <c r="K2124" s="3">
        <v>50112</v>
      </c>
      <c r="L2124" s="17" t="str" cm="1">
        <f t="array" ref="L2124">_xlfn.IFS(MID(K2124,2,2)="01", "서울", MID(K2124,2,2)="02","경기",MID(K2124,2,2)="03","충청",MID(K2124,2,2)="04","충청",MID(K2124,2,2)="05","전라",MID(K2124,2,2)="06","전라",MID(K2124,2,2)="07","경북",MID(K2124,2,2)="08","경남",MID(K2124,2,2)="09","강원",MID(K2124,2,2)="10","제주",TRUE,"국외")</f>
        <v>서울</v>
      </c>
    </row>
    <row r="2125" spans="1:12" ht="17.25" thickBot="1">
      <c r="A2125" s="3" t="s">
        <v>2178</v>
      </c>
      <c r="B2125" s="3" t="s">
        <v>96</v>
      </c>
      <c r="C2125" s="3"/>
      <c r="D2125" s="4" t="s">
        <v>254</v>
      </c>
      <c r="E2125" s="4" t="s">
        <v>23</v>
      </c>
      <c r="F2125" s="4">
        <v>2010</v>
      </c>
      <c r="G2125" s="9"/>
      <c r="H2125" s="4" t="s">
        <v>3</v>
      </c>
      <c r="I2125" s="8">
        <v>-1.9</v>
      </c>
      <c r="J2125" s="3">
        <v>10328</v>
      </c>
      <c r="K2125" s="3">
        <v>50601</v>
      </c>
      <c r="L2125" s="17" t="str" cm="1">
        <f t="array" ref="L2125">_xlfn.IFS(MID(K2125,2,2)="01", "서울", MID(K2125,2,2)="02","경기",MID(K2125,2,2)="03","충청",MID(K2125,2,2)="04","충청",MID(K2125,2,2)="05","전라",MID(K2125,2,2)="06","전라",MID(K2125,2,2)="07","경북",MID(K2125,2,2)="08","경남",MID(K2125,2,2)="09","강원",MID(K2125,2,2)="10","제주",TRUE,"국외")</f>
        <v>전라</v>
      </c>
    </row>
    <row r="2126" spans="1:12" ht="17.25" thickBot="1">
      <c r="A2126" s="3" t="s">
        <v>2179</v>
      </c>
      <c r="B2126" s="3" t="s">
        <v>145</v>
      </c>
      <c r="C2126" s="3" t="s">
        <v>208</v>
      </c>
      <c r="D2126" s="4" t="s">
        <v>254</v>
      </c>
      <c r="E2126" s="4" t="s">
        <v>23</v>
      </c>
      <c r="F2126" s="4">
        <v>2011</v>
      </c>
      <c r="G2126" s="9"/>
      <c r="H2126" s="4" t="s">
        <v>12</v>
      </c>
      <c r="I2126" s="8">
        <v>6.1</v>
      </c>
      <c r="J2126" s="3">
        <v>10333</v>
      </c>
      <c r="K2126" s="3">
        <v>50106</v>
      </c>
      <c r="L2126" s="17" t="str" cm="1">
        <f t="array" ref="L2126">_xlfn.IFS(MID(K2126,2,2)="01", "서울", MID(K2126,2,2)="02","경기",MID(K2126,2,2)="03","충청",MID(K2126,2,2)="04","충청",MID(K2126,2,2)="05","전라",MID(K2126,2,2)="06","전라",MID(K2126,2,2)="07","경북",MID(K2126,2,2)="08","경남",MID(K2126,2,2)="09","강원",MID(K2126,2,2)="10","제주",TRUE,"국외")</f>
        <v>서울</v>
      </c>
    </row>
    <row r="2127" spans="1:12" ht="17.25" thickBot="1">
      <c r="A2127" s="3" t="s">
        <v>2180</v>
      </c>
      <c r="B2127" s="3" t="s">
        <v>68</v>
      </c>
      <c r="C2127" s="3"/>
      <c r="D2127" s="4" t="s">
        <v>254</v>
      </c>
      <c r="E2127" s="4" t="s">
        <v>26</v>
      </c>
      <c r="F2127" s="4">
        <v>2008</v>
      </c>
      <c r="G2127" s="9"/>
      <c r="H2127" s="4" t="s">
        <v>26</v>
      </c>
      <c r="I2127" s="8">
        <v>6.5</v>
      </c>
      <c r="J2127" s="3">
        <v>10690</v>
      </c>
      <c r="K2127" s="3">
        <v>50101</v>
      </c>
      <c r="L2127" s="17" t="str" cm="1">
        <f t="array" ref="L2127">_xlfn.IFS(MID(K2127,2,2)="01", "서울", MID(K2127,2,2)="02","경기",MID(K2127,2,2)="03","충청",MID(K2127,2,2)="04","충청",MID(K2127,2,2)="05","전라",MID(K2127,2,2)="06","전라",MID(K2127,2,2)="07","경북",MID(K2127,2,2)="08","경남",MID(K2127,2,2)="09","강원",MID(K2127,2,2)="10","제주",TRUE,"국외")</f>
        <v>서울</v>
      </c>
    </row>
    <row r="2128" spans="1:12" ht="17.25" thickBot="1">
      <c r="A2128" s="3" t="s">
        <v>2181</v>
      </c>
      <c r="B2128" s="3" t="s">
        <v>66</v>
      </c>
      <c r="C2128" s="3"/>
      <c r="D2128" s="4" t="s">
        <v>254</v>
      </c>
      <c r="E2128" s="4" t="s">
        <v>607</v>
      </c>
      <c r="F2128" s="4"/>
      <c r="G2128" s="9"/>
      <c r="H2128" s="4"/>
      <c r="I2128" s="9"/>
      <c r="J2128" s="3">
        <v>11143</v>
      </c>
      <c r="K2128" s="3">
        <v>50110</v>
      </c>
      <c r="L2128" s="17" t="str" cm="1">
        <f t="array" ref="L2128">_xlfn.IFS(MID(K2128,2,2)="01", "서울", MID(K2128,2,2)="02","경기",MID(K2128,2,2)="03","충청",MID(K2128,2,2)="04","충청",MID(K2128,2,2)="05","전라",MID(K2128,2,2)="06","전라",MID(K2128,2,2)="07","경북",MID(K2128,2,2)="08","경남",MID(K2128,2,2)="09","강원",MID(K2128,2,2)="10","제주",TRUE,"국외")</f>
        <v>서울</v>
      </c>
    </row>
    <row r="2129" spans="1:12" ht="17.25" thickBot="1">
      <c r="A2129" s="3" t="s">
        <v>2182</v>
      </c>
      <c r="B2129" s="3" t="s">
        <v>93</v>
      </c>
      <c r="C2129" s="3"/>
      <c r="D2129" s="4" t="s">
        <v>254</v>
      </c>
      <c r="E2129" s="4" t="s">
        <v>9</v>
      </c>
      <c r="F2129" s="4">
        <v>2007</v>
      </c>
      <c r="G2129" s="8">
        <v>0</v>
      </c>
      <c r="H2129" s="4" t="s">
        <v>9</v>
      </c>
      <c r="I2129" s="8">
        <v>64.599999999999994</v>
      </c>
      <c r="J2129" s="3">
        <v>10261</v>
      </c>
      <c r="K2129" s="3">
        <v>50805</v>
      </c>
      <c r="L2129" s="17" t="str" cm="1">
        <f t="array" ref="L2129">_xlfn.IFS(MID(K2129,2,2)="01", "서울", MID(K2129,2,2)="02","경기",MID(K2129,2,2)="03","충청",MID(K2129,2,2)="04","충청",MID(K2129,2,2)="05","전라",MID(K2129,2,2)="06","전라",MID(K2129,2,2)="07","경북",MID(K2129,2,2)="08","경남",MID(K2129,2,2)="09","강원",MID(K2129,2,2)="10","제주",TRUE,"국외")</f>
        <v>경남</v>
      </c>
    </row>
    <row r="2130" spans="1:12" ht="17.25" thickBot="1">
      <c r="A2130" s="3" t="s">
        <v>692</v>
      </c>
      <c r="B2130" s="3" t="s">
        <v>70</v>
      </c>
      <c r="C2130" s="3"/>
      <c r="D2130" s="4" t="s">
        <v>254</v>
      </c>
      <c r="E2130" s="4" t="s">
        <v>20</v>
      </c>
      <c r="F2130" s="4">
        <v>2007</v>
      </c>
      <c r="G2130" s="8">
        <v>-0.2</v>
      </c>
      <c r="H2130" s="4" t="s">
        <v>20</v>
      </c>
      <c r="I2130" s="8">
        <v>0</v>
      </c>
      <c r="J2130" s="3">
        <v>10538</v>
      </c>
      <c r="K2130" s="3">
        <v>50103</v>
      </c>
      <c r="L2130" s="17" t="str" cm="1">
        <f t="array" ref="L2130">_xlfn.IFS(MID(K2130,2,2)="01", "서울", MID(K2130,2,2)="02","경기",MID(K2130,2,2)="03","충청",MID(K2130,2,2)="04","충청",MID(K2130,2,2)="05","전라",MID(K2130,2,2)="06","전라",MID(K2130,2,2)="07","경북",MID(K2130,2,2)="08","경남",MID(K2130,2,2)="09","강원",MID(K2130,2,2)="10","제주",TRUE,"국외")</f>
        <v>서울</v>
      </c>
    </row>
    <row r="2131" spans="1:12" ht="17.25" thickBot="1">
      <c r="A2131" s="3" t="s">
        <v>2183</v>
      </c>
      <c r="B2131" s="3" t="s">
        <v>241</v>
      </c>
      <c r="C2131" s="3" t="s">
        <v>221</v>
      </c>
      <c r="D2131" s="4" t="s">
        <v>254</v>
      </c>
      <c r="E2131" s="4" t="s">
        <v>6</v>
      </c>
      <c r="F2131" s="4">
        <v>2007</v>
      </c>
      <c r="G2131" s="8">
        <v>-0.1</v>
      </c>
      <c r="H2131" s="4" t="s">
        <v>6</v>
      </c>
      <c r="I2131" s="8">
        <v>-0.1</v>
      </c>
      <c r="J2131" s="3">
        <f>2405</f>
        <v>2405</v>
      </c>
      <c r="K2131" s="3">
        <v>50202</v>
      </c>
      <c r="L2131" s="17" t="str" cm="1">
        <f t="array" ref="L2131">_xlfn.IFS(MID(K2131,2,2)="01", "서울", MID(K2131,2,2)="02","경기",MID(K2131,2,2)="03","충청",MID(K2131,2,2)="04","충청",MID(K2131,2,2)="05","전라",MID(K2131,2,2)="06","전라",MID(K2131,2,2)="07","경북",MID(K2131,2,2)="08","경남",MID(K2131,2,2)="09","강원",MID(K2131,2,2)="10","제주",TRUE,"국외")</f>
        <v>경기</v>
      </c>
    </row>
    <row r="2132" spans="1:12" ht="17.25" thickBot="1">
      <c r="A2132" s="3" t="s">
        <v>2184</v>
      </c>
      <c r="B2132" s="3" t="s">
        <v>107</v>
      </c>
      <c r="C2132" s="3" t="s">
        <v>99</v>
      </c>
      <c r="D2132" s="4" t="s">
        <v>254</v>
      </c>
      <c r="E2132" s="4" t="s">
        <v>3</v>
      </c>
      <c r="F2132" s="4">
        <v>2007</v>
      </c>
      <c r="G2132" s="8">
        <v>0.1</v>
      </c>
      <c r="H2132" s="4" t="s">
        <v>3</v>
      </c>
      <c r="I2132" s="8">
        <v>0.1</v>
      </c>
      <c r="J2132" s="3">
        <v>10569</v>
      </c>
      <c r="K2132" s="3">
        <v>50602</v>
      </c>
      <c r="L2132" s="17" t="str" cm="1">
        <f t="array" ref="L2132">_xlfn.IFS(MID(K2132,2,2)="01", "서울", MID(K2132,2,2)="02","경기",MID(K2132,2,2)="03","충청",MID(K2132,2,2)="04","충청",MID(K2132,2,2)="05","전라",MID(K2132,2,2)="06","전라",MID(K2132,2,2)="07","경북",MID(K2132,2,2)="08","경남",MID(K2132,2,2)="09","강원",MID(K2132,2,2)="10","제주",TRUE,"국외")</f>
        <v>전라</v>
      </c>
    </row>
    <row r="2133" spans="1:12" ht="17.25" thickBot="1">
      <c r="A2133" s="3" t="s">
        <v>2185</v>
      </c>
      <c r="B2133" s="3" t="s">
        <v>22</v>
      </c>
      <c r="C2133" s="3"/>
      <c r="D2133" s="4" t="s">
        <v>254</v>
      </c>
      <c r="E2133" s="4" t="s">
        <v>607</v>
      </c>
      <c r="F2133" s="4">
        <v>2011</v>
      </c>
      <c r="G2133" s="9"/>
      <c r="H2133" s="4" t="s">
        <v>607</v>
      </c>
      <c r="I2133" s="8">
        <v>-0.8</v>
      </c>
      <c r="J2133" s="3">
        <v>10094</v>
      </c>
      <c r="K2133" s="3">
        <v>50209</v>
      </c>
      <c r="L2133" s="17" t="str" cm="1">
        <f t="array" ref="L2133">_xlfn.IFS(MID(K2133,2,2)="01", "서울", MID(K2133,2,2)="02","경기",MID(K2133,2,2)="03","충청",MID(K2133,2,2)="04","충청",MID(K2133,2,2)="05","전라",MID(K2133,2,2)="06","전라",MID(K2133,2,2)="07","경북",MID(K2133,2,2)="08","경남",MID(K2133,2,2)="09","강원",MID(K2133,2,2)="10","제주",TRUE,"국외")</f>
        <v>경기</v>
      </c>
    </row>
    <row r="2134" spans="1:12" ht="17.25" thickBot="1">
      <c r="A2134" s="3" t="s">
        <v>2186</v>
      </c>
      <c r="B2134" s="3" t="s">
        <v>1834</v>
      </c>
      <c r="C2134" s="3"/>
      <c r="D2134" s="4" t="s">
        <v>254</v>
      </c>
      <c r="E2134" s="4" t="s">
        <v>26</v>
      </c>
      <c r="F2134" s="4"/>
      <c r="G2134" s="9"/>
      <c r="H2134" s="4"/>
      <c r="I2134" s="9"/>
      <c r="J2134" s="3">
        <v>10181</v>
      </c>
      <c r="K2134" s="3">
        <v>50904</v>
      </c>
      <c r="L2134" s="17" t="str" cm="1">
        <f t="array" ref="L2134">_xlfn.IFS(MID(K2134,2,2)="01", "서울", MID(K2134,2,2)="02","경기",MID(K2134,2,2)="03","충청",MID(K2134,2,2)="04","충청",MID(K2134,2,2)="05","전라",MID(K2134,2,2)="06","전라",MID(K2134,2,2)="07","경북",MID(K2134,2,2)="08","경남",MID(K2134,2,2)="09","강원",MID(K2134,2,2)="10","제주",TRUE,"국외")</f>
        <v>강원</v>
      </c>
    </row>
    <row r="2135" spans="1:12" ht="17.25" thickBot="1">
      <c r="A2135" s="3" t="s">
        <v>2187</v>
      </c>
      <c r="B2135" s="3" t="s">
        <v>70</v>
      </c>
      <c r="C2135" s="3"/>
      <c r="D2135" s="4" t="s">
        <v>254</v>
      </c>
      <c r="E2135" s="4" t="s">
        <v>26</v>
      </c>
      <c r="F2135" s="4">
        <v>2015</v>
      </c>
      <c r="G2135" s="9"/>
      <c r="H2135" s="4" t="s">
        <v>26</v>
      </c>
      <c r="I2135" s="8">
        <v>0</v>
      </c>
      <c r="J2135" s="3">
        <v>10888</v>
      </c>
      <c r="K2135" s="3">
        <v>50103</v>
      </c>
      <c r="L2135" s="17" t="str" cm="1">
        <f t="array" ref="L2135">_xlfn.IFS(MID(K2135,2,2)="01", "서울", MID(K2135,2,2)="02","경기",MID(K2135,2,2)="03","충청",MID(K2135,2,2)="04","충청",MID(K2135,2,2)="05","전라",MID(K2135,2,2)="06","전라",MID(K2135,2,2)="07","경북",MID(K2135,2,2)="08","경남",MID(K2135,2,2)="09","강원",MID(K2135,2,2)="10","제주",TRUE,"국외")</f>
        <v>서울</v>
      </c>
    </row>
    <row r="2136" spans="1:12" ht="17.25" thickBot="1">
      <c r="A2136" s="3" t="s">
        <v>2188</v>
      </c>
      <c r="B2136" s="3" t="s">
        <v>78</v>
      </c>
      <c r="C2136" s="3"/>
      <c r="D2136" s="4" t="s">
        <v>254</v>
      </c>
      <c r="E2136" s="4" t="s">
        <v>9</v>
      </c>
      <c r="F2136" s="4">
        <v>2012</v>
      </c>
      <c r="G2136" s="9"/>
      <c r="H2136" s="4" t="s">
        <v>9</v>
      </c>
      <c r="I2136" s="8">
        <v>-0.5</v>
      </c>
      <c r="J2136" s="3">
        <v>10257</v>
      </c>
      <c r="K2136" s="3">
        <v>50401</v>
      </c>
      <c r="L2136" s="17" t="str" cm="1">
        <f t="array" ref="L2136">_xlfn.IFS(MID(K2136,2,2)="01", "서울", MID(K2136,2,2)="02","경기",MID(K2136,2,2)="03","충청",MID(K2136,2,2)="04","충청",MID(K2136,2,2)="05","전라",MID(K2136,2,2)="06","전라",MID(K2136,2,2)="07","경북",MID(K2136,2,2)="08","경남",MID(K2136,2,2)="09","강원",MID(K2136,2,2)="10","제주",TRUE,"국외")</f>
        <v>충청</v>
      </c>
    </row>
    <row r="2137" spans="1:12" ht="17.25" thickBot="1">
      <c r="A2137" s="3" t="s">
        <v>1175</v>
      </c>
      <c r="B2137" s="3" t="s">
        <v>2139</v>
      </c>
      <c r="C2137" s="3"/>
      <c r="D2137" s="4" t="s">
        <v>254</v>
      </c>
      <c r="E2137" s="4" t="s">
        <v>6</v>
      </c>
      <c r="F2137" s="4">
        <v>2008</v>
      </c>
      <c r="G2137" s="9"/>
      <c r="H2137" s="4" t="s">
        <v>9</v>
      </c>
      <c r="I2137" s="8">
        <v>-0.5</v>
      </c>
      <c r="J2137" s="3">
        <v>11285</v>
      </c>
      <c r="K2137" s="3">
        <v>50104</v>
      </c>
      <c r="L2137" s="17" t="str" cm="1">
        <f t="array" ref="L2137">_xlfn.IFS(MID(K2137,2,2)="01", "서울", MID(K2137,2,2)="02","경기",MID(K2137,2,2)="03","충청",MID(K2137,2,2)="04","충청",MID(K2137,2,2)="05","전라",MID(K2137,2,2)="06","전라",MID(K2137,2,2)="07","경북",MID(K2137,2,2)="08","경남",MID(K2137,2,2)="09","강원",MID(K2137,2,2)="10","제주",TRUE,"국외")</f>
        <v>서울</v>
      </c>
    </row>
    <row r="2138" spans="1:12" ht="17.25" thickBot="1">
      <c r="A2138" s="3" t="s">
        <v>1817</v>
      </c>
      <c r="B2138" s="3" t="s">
        <v>121</v>
      </c>
      <c r="C2138" s="3" t="s">
        <v>83</v>
      </c>
      <c r="D2138" s="4" t="s">
        <v>254</v>
      </c>
      <c r="E2138" s="4" t="s">
        <v>20</v>
      </c>
      <c r="F2138" s="4">
        <v>2011</v>
      </c>
      <c r="G2138" s="9"/>
      <c r="H2138" s="4" t="s">
        <v>20</v>
      </c>
      <c r="I2138" s="8">
        <v>-0.1</v>
      </c>
      <c r="J2138" s="3">
        <v>10662</v>
      </c>
      <c r="K2138" s="3">
        <v>50604</v>
      </c>
      <c r="L2138" s="17" t="str" cm="1">
        <f t="array" ref="L2138">_xlfn.IFS(MID(K2138,2,2)="01", "서울", MID(K2138,2,2)="02","경기",MID(K2138,2,2)="03","충청",MID(K2138,2,2)="04","충청",MID(K2138,2,2)="05","전라",MID(K2138,2,2)="06","전라",MID(K2138,2,2)="07","경북",MID(K2138,2,2)="08","경남",MID(K2138,2,2)="09","강원",MID(K2138,2,2)="10","제주",TRUE,"국외")</f>
        <v>전라</v>
      </c>
    </row>
    <row r="2139" spans="1:12" ht="17.25" thickBot="1">
      <c r="A2139" s="3" t="s">
        <v>2189</v>
      </c>
      <c r="B2139" s="3" t="s">
        <v>8</v>
      </c>
      <c r="C2139" s="3" t="s">
        <v>133</v>
      </c>
      <c r="D2139" s="4" t="s">
        <v>254</v>
      </c>
      <c r="E2139" s="4" t="s">
        <v>23</v>
      </c>
      <c r="F2139" s="4">
        <v>2008</v>
      </c>
      <c r="G2139" s="9"/>
      <c r="H2139" s="4" t="s">
        <v>3</v>
      </c>
      <c r="I2139" s="8">
        <v>0.7</v>
      </c>
      <c r="J2139" s="3">
        <v>10778</v>
      </c>
      <c r="K2139" s="3">
        <v>50116</v>
      </c>
      <c r="L2139" s="17" t="str" cm="1">
        <f t="array" ref="L2139">_xlfn.IFS(MID(K2139,2,2)="01", "서울", MID(K2139,2,2)="02","경기",MID(K2139,2,2)="03","충청",MID(K2139,2,2)="04","충청",MID(K2139,2,2)="05","전라",MID(K2139,2,2)="06","전라",MID(K2139,2,2)="07","경북",MID(K2139,2,2)="08","경남",MID(K2139,2,2)="09","강원",MID(K2139,2,2)="10","제주",TRUE,"국외")</f>
        <v>서울</v>
      </c>
    </row>
    <row r="2140" spans="1:12" ht="17.25" thickBot="1">
      <c r="A2140" s="3" t="s">
        <v>2190</v>
      </c>
      <c r="B2140" s="3" t="s">
        <v>107</v>
      </c>
      <c r="C2140" s="3" t="s">
        <v>45</v>
      </c>
      <c r="D2140" s="4" t="s">
        <v>1407</v>
      </c>
      <c r="E2140" s="4" t="s">
        <v>6</v>
      </c>
      <c r="F2140" s="4">
        <v>2007</v>
      </c>
      <c r="G2140" s="8">
        <v>1.9</v>
      </c>
      <c r="H2140" s="4" t="s">
        <v>6</v>
      </c>
      <c r="I2140" s="8">
        <v>14.8</v>
      </c>
      <c r="J2140" s="3">
        <v>10025</v>
      </c>
      <c r="K2140" s="3">
        <v>50602</v>
      </c>
      <c r="L2140" s="17" t="str" cm="1">
        <f t="array" ref="L2140">_xlfn.IFS(MID(K2140,2,2)="01", "서울", MID(K2140,2,2)="02","경기",MID(K2140,2,2)="03","충청",MID(K2140,2,2)="04","충청",MID(K2140,2,2)="05","전라",MID(K2140,2,2)="06","전라",MID(K2140,2,2)="07","경북",MID(K2140,2,2)="08","경남",MID(K2140,2,2)="09","강원",MID(K2140,2,2)="10","제주",TRUE,"국외")</f>
        <v>전라</v>
      </c>
    </row>
    <row r="2141" spans="1:12" ht="17.25" thickBot="1">
      <c r="A2141" s="3" t="s">
        <v>2191</v>
      </c>
      <c r="B2141" s="3" t="s">
        <v>2139</v>
      </c>
      <c r="C2141" s="3"/>
      <c r="D2141" s="4" t="s">
        <v>1407</v>
      </c>
      <c r="E2141" s="4" t="s">
        <v>20</v>
      </c>
      <c r="F2141" s="4">
        <v>2013</v>
      </c>
      <c r="G2141" s="9"/>
      <c r="H2141" s="4" t="s">
        <v>20</v>
      </c>
      <c r="I2141" s="8">
        <v>13.3</v>
      </c>
      <c r="J2141" s="3">
        <v>11090</v>
      </c>
      <c r="K2141" s="3">
        <v>50104</v>
      </c>
      <c r="L2141" s="17" t="str" cm="1">
        <f t="array" ref="L2141">_xlfn.IFS(MID(K2141,2,2)="01", "서울", MID(K2141,2,2)="02","경기",MID(K2141,2,2)="03","충청",MID(K2141,2,2)="04","충청",MID(K2141,2,2)="05","전라",MID(K2141,2,2)="06","전라",MID(K2141,2,2)="07","경북",MID(K2141,2,2)="08","경남",MID(K2141,2,2)="09","강원",MID(K2141,2,2)="10","제주",TRUE,"국외")</f>
        <v>서울</v>
      </c>
    </row>
    <row r="2142" spans="1:12" ht="17.25" thickBot="1">
      <c r="A2142" s="3" t="s">
        <v>2192</v>
      </c>
      <c r="B2142" s="3" t="s">
        <v>93</v>
      </c>
      <c r="C2142" s="3"/>
      <c r="D2142" s="4" t="s">
        <v>1407</v>
      </c>
      <c r="E2142" s="4" t="s">
        <v>607</v>
      </c>
      <c r="F2142" s="4">
        <v>2021</v>
      </c>
      <c r="G2142" s="9"/>
      <c r="H2142" s="4" t="s">
        <v>15</v>
      </c>
      <c r="I2142" s="8">
        <v>8.6</v>
      </c>
      <c r="J2142" s="3">
        <v>14888</v>
      </c>
      <c r="K2142" s="3">
        <v>50805</v>
      </c>
      <c r="L2142" s="17" t="str" cm="1">
        <f t="array" ref="L2142">_xlfn.IFS(MID(K2142,2,2)="01", "서울", MID(K2142,2,2)="02","경기",MID(K2142,2,2)="03","충청",MID(K2142,2,2)="04","충청",MID(K2142,2,2)="05","전라",MID(K2142,2,2)="06","전라",MID(K2142,2,2)="07","경북",MID(K2142,2,2)="08","경남",MID(K2142,2,2)="09","강원",MID(K2142,2,2)="10","제주",TRUE,"국외")</f>
        <v>경남</v>
      </c>
    </row>
    <row r="2143" spans="1:12" ht="17.25" thickBot="1">
      <c r="A2143" s="3" t="s">
        <v>2193</v>
      </c>
      <c r="B2143" s="3" t="s">
        <v>89</v>
      </c>
      <c r="C2143" s="3" t="s">
        <v>122</v>
      </c>
      <c r="D2143" s="4" t="s">
        <v>1407</v>
      </c>
      <c r="E2143" s="4" t="s">
        <v>26</v>
      </c>
      <c r="F2143" s="4">
        <v>2007</v>
      </c>
      <c r="G2143" s="8">
        <v>3.3</v>
      </c>
      <c r="H2143" s="4" t="s">
        <v>26</v>
      </c>
      <c r="I2143" s="8">
        <v>4</v>
      </c>
      <c r="J2143" s="3">
        <v>10216</v>
      </c>
      <c r="K2143" s="3">
        <v>50806</v>
      </c>
      <c r="L2143" s="17" t="str" cm="1">
        <f t="array" ref="L2143">_xlfn.IFS(MID(K2143,2,2)="01", "서울", MID(K2143,2,2)="02","경기",MID(K2143,2,2)="03","충청",MID(K2143,2,2)="04","충청",MID(K2143,2,2)="05","전라",MID(K2143,2,2)="06","전라",MID(K2143,2,2)="07","경북",MID(K2143,2,2)="08","경남",MID(K2143,2,2)="09","강원",MID(K2143,2,2)="10","제주",TRUE,"국외")</f>
        <v>경남</v>
      </c>
    </row>
    <row r="2144" spans="1:12" ht="17.25" thickBot="1">
      <c r="A2144" s="3" t="s">
        <v>2194</v>
      </c>
      <c r="B2144" s="3" t="s">
        <v>11</v>
      </c>
      <c r="C2144" s="3"/>
      <c r="D2144" s="4" t="s">
        <v>1407</v>
      </c>
      <c r="E2144" s="4" t="s">
        <v>9</v>
      </c>
      <c r="F2144" s="4">
        <v>2007</v>
      </c>
      <c r="G2144" s="8">
        <v>2.4</v>
      </c>
      <c r="H2144" s="4" t="s">
        <v>9</v>
      </c>
      <c r="I2144" s="8">
        <v>32</v>
      </c>
      <c r="J2144" s="3">
        <v>10285</v>
      </c>
      <c r="K2144" s="3">
        <v>50802</v>
      </c>
      <c r="L2144" s="17" t="str" cm="1">
        <f t="array" ref="L2144">_xlfn.IFS(MID(K2144,2,2)="01", "서울", MID(K2144,2,2)="02","경기",MID(K2144,2,2)="03","충청",MID(K2144,2,2)="04","충청",MID(K2144,2,2)="05","전라",MID(K2144,2,2)="06","전라",MID(K2144,2,2)="07","경북",MID(K2144,2,2)="08","경남",MID(K2144,2,2)="09","강원",MID(K2144,2,2)="10","제주",TRUE,"국외")</f>
        <v>경남</v>
      </c>
    </row>
    <row r="2145" spans="1:12" ht="17.25" thickBot="1">
      <c r="A2145" s="3" t="s">
        <v>2195</v>
      </c>
      <c r="B2145" s="3" t="s">
        <v>140</v>
      </c>
      <c r="C2145" s="3"/>
      <c r="D2145" s="4" t="s">
        <v>1407</v>
      </c>
      <c r="E2145" s="4" t="s">
        <v>23</v>
      </c>
      <c r="F2145" s="4">
        <v>2007</v>
      </c>
      <c r="G2145" s="8">
        <v>0</v>
      </c>
      <c r="H2145" s="4" t="s">
        <v>23</v>
      </c>
      <c r="I2145" s="8">
        <v>18.100000000000001</v>
      </c>
      <c r="J2145" s="3">
        <v>10331</v>
      </c>
      <c r="K2145" s="3">
        <v>50801</v>
      </c>
      <c r="L2145" s="17" t="str" cm="1">
        <f t="array" ref="L2145">_xlfn.IFS(MID(K2145,2,2)="01", "서울", MID(K2145,2,2)="02","경기",MID(K2145,2,2)="03","충청",MID(K2145,2,2)="04","충청",MID(K2145,2,2)="05","전라",MID(K2145,2,2)="06","전라",MID(K2145,2,2)="07","경북",MID(K2145,2,2)="08","경남",MID(K2145,2,2)="09","강원",MID(K2145,2,2)="10","제주",TRUE,"국외")</f>
        <v>경남</v>
      </c>
    </row>
    <row r="2146" spans="1:12" ht="17.25" thickBot="1">
      <c r="A2146" s="3" t="s">
        <v>1048</v>
      </c>
      <c r="B2146" s="3" t="s">
        <v>107</v>
      </c>
      <c r="C2146" s="3" t="s">
        <v>99</v>
      </c>
      <c r="D2146" s="4" t="s">
        <v>1407</v>
      </c>
      <c r="E2146" s="4" t="s">
        <v>2164</v>
      </c>
      <c r="F2146" s="4">
        <v>2012</v>
      </c>
      <c r="G2146" s="9"/>
      <c r="H2146" s="4" t="s">
        <v>6</v>
      </c>
      <c r="I2146" s="8">
        <v>1.4</v>
      </c>
      <c r="J2146" s="3">
        <v>10843</v>
      </c>
      <c r="K2146" s="3">
        <v>50602</v>
      </c>
      <c r="L2146" s="17" t="str" cm="1">
        <f t="array" ref="L2146">_xlfn.IFS(MID(K2146,2,2)="01", "서울", MID(K2146,2,2)="02","경기",MID(K2146,2,2)="03","충청",MID(K2146,2,2)="04","충청",MID(K2146,2,2)="05","전라",MID(K2146,2,2)="06","전라",MID(K2146,2,2)="07","경북",MID(K2146,2,2)="08","경남",MID(K2146,2,2)="09","강원",MID(K2146,2,2)="10","제주",TRUE,"국외")</f>
        <v>전라</v>
      </c>
    </row>
    <row r="2147" spans="1:12" ht="17.25" thickBot="1">
      <c r="A2147" s="3" t="s">
        <v>2196</v>
      </c>
      <c r="B2147" s="3"/>
      <c r="C2147" s="3"/>
      <c r="D2147" s="4" t="s">
        <v>181</v>
      </c>
      <c r="E2147" s="4" t="s">
        <v>6</v>
      </c>
      <c r="F2147" s="4">
        <v>2007</v>
      </c>
      <c r="G2147" s="8">
        <v>0.3</v>
      </c>
      <c r="H2147" s="4" t="s">
        <v>6</v>
      </c>
      <c r="I2147" s="8">
        <v>0.3</v>
      </c>
      <c r="J2147" s="3">
        <f>2414</f>
        <v>2414</v>
      </c>
      <c r="K2147" s="3"/>
      <c r="L2147" s="17" t="str" cm="1">
        <f t="array" ref="L2147">_xlfn.IFS(MID(K2147,2,2)="01", "서울", MID(K2147,2,2)="02","경기",MID(K2147,2,2)="03","충청",MID(K2147,2,2)="04","충청",MID(K2147,2,2)="05","전라",MID(K2147,2,2)="06","전라",MID(K2147,2,2)="07","경북",MID(K2147,2,2)="08","경남",MID(K2147,2,2)="09","강원",MID(K2147,2,2)="10","제주",TRUE,"국외")</f>
        <v>국외</v>
      </c>
    </row>
    <row r="2148" spans="1:12" ht="17.25" thickBot="1">
      <c r="A2148" s="3" t="s">
        <v>1661</v>
      </c>
      <c r="B2148" s="3"/>
      <c r="C2148" s="3"/>
      <c r="D2148" s="4" t="s">
        <v>181</v>
      </c>
      <c r="E2148" s="4" t="s">
        <v>6</v>
      </c>
      <c r="F2148" s="4">
        <v>2007</v>
      </c>
      <c r="G2148" s="8">
        <v>1.5</v>
      </c>
      <c r="H2148" s="4" t="s">
        <v>6</v>
      </c>
      <c r="I2148" s="8">
        <v>1.5</v>
      </c>
      <c r="J2148" s="3">
        <f>2413</f>
        <v>2413</v>
      </c>
      <c r="K2148" s="3"/>
      <c r="L2148" s="17" t="str" cm="1">
        <f t="array" ref="L2148">_xlfn.IFS(MID(K2148,2,2)="01", "서울", MID(K2148,2,2)="02","경기",MID(K2148,2,2)="03","충청",MID(K2148,2,2)="04","충청",MID(K2148,2,2)="05","전라",MID(K2148,2,2)="06","전라",MID(K2148,2,2)="07","경북",MID(K2148,2,2)="08","경남",MID(K2148,2,2)="09","강원",MID(K2148,2,2)="10","제주",TRUE,"국외")</f>
        <v>국외</v>
      </c>
    </row>
    <row r="2149" spans="1:12" ht="17.25" thickBot="1">
      <c r="A2149" s="3" t="s">
        <v>2197</v>
      </c>
      <c r="B2149" s="3"/>
      <c r="C2149" s="3"/>
      <c r="D2149" s="4" t="s">
        <v>181</v>
      </c>
      <c r="E2149" s="4" t="s">
        <v>6</v>
      </c>
      <c r="F2149" s="4">
        <v>2007</v>
      </c>
      <c r="G2149" s="8">
        <v>1.9</v>
      </c>
      <c r="H2149" s="4" t="s">
        <v>6</v>
      </c>
      <c r="I2149" s="8">
        <v>1.4</v>
      </c>
      <c r="J2149" s="3">
        <f>2409</f>
        <v>2409</v>
      </c>
      <c r="K2149" s="3"/>
      <c r="L2149" s="17" t="str" cm="1">
        <f t="array" ref="L2149">_xlfn.IFS(MID(K2149,2,2)="01", "서울", MID(K2149,2,2)="02","경기",MID(K2149,2,2)="03","충청",MID(K2149,2,2)="04","충청",MID(K2149,2,2)="05","전라",MID(K2149,2,2)="06","전라",MID(K2149,2,2)="07","경북",MID(K2149,2,2)="08","경남",MID(K2149,2,2)="09","강원",MID(K2149,2,2)="10","제주",TRUE,"국외")</f>
        <v>국외</v>
      </c>
    </row>
    <row r="2150" spans="1:12" ht="17.25" thickBot="1">
      <c r="A2150" s="3" t="s">
        <v>2198</v>
      </c>
      <c r="B2150" s="3"/>
      <c r="C2150" s="3"/>
      <c r="D2150" s="4" t="s">
        <v>181</v>
      </c>
      <c r="E2150" s="4" t="s">
        <v>20</v>
      </c>
      <c r="F2150" s="4">
        <v>2007</v>
      </c>
      <c r="G2150" s="8">
        <v>1.6</v>
      </c>
      <c r="H2150" s="4" t="s">
        <v>9</v>
      </c>
      <c r="I2150" s="8">
        <v>20.399999999999999</v>
      </c>
      <c r="J2150" s="3">
        <v>10521</v>
      </c>
      <c r="K2150" s="3"/>
      <c r="L2150" s="17" t="str" cm="1">
        <f t="array" ref="L2150">_xlfn.IFS(MID(K2150,2,2)="01", "서울", MID(K2150,2,2)="02","경기",MID(K2150,2,2)="03","충청",MID(K2150,2,2)="04","충청",MID(K2150,2,2)="05","전라",MID(K2150,2,2)="06","전라",MID(K2150,2,2)="07","경북",MID(K2150,2,2)="08","경남",MID(K2150,2,2)="09","강원",MID(K2150,2,2)="10","제주",TRUE,"국외")</f>
        <v>국외</v>
      </c>
    </row>
    <row r="2151" spans="1:12" ht="17.25" thickBot="1">
      <c r="A2151" s="3" t="s">
        <v>2199</v>
      </c>
      <c r="B2151" s="3"/>
      <c r="C2151" s="3"/>
      <c r="D2151" s="4" t="s">
        <v>181</v>
      </c>
      <c r="E2151" s="4" t="s">
        <v>607</v>
      </c>
      <c r="F2151" s="4">
        <v>2007</v>
      </c>
      <c r="G2151" s="8">
        <v>1.7</v>
      </c>
      <c r="H2151" s="4" t="s">
        <v>607</v>
      </c>
      <c r="I2151" s="8">
        <v>1.7</v>
      </c>
      <c r="J2151" s="3">
        <f>2396</f>
        <v>2396</v>
      </c>
      <c r="K2151" s="3"/>
      <c r="L2151" s="17" t="str" cm="1">
        <f t="array" ref="L2151">_xlfn.IFS(MID(K2151,2,2)="01", "서울", MID(K2151,2,2)="02","경기",MID(K2151,2,2)="03","충청",MID(K2151,2,2)="04","충청",MID(K2151,2,2)="05","전라",MID(K2151,2,2)="06","전라",MID(K2151,2,2)="07","경북",MID(K2151,2,2)="08","경남",MID(K2151,2,2)="09","강원",MID(K2151,2,2)="10","제주",TRUE,"국외")</f>
        <v>국외</v>
      </c>
    </row>
    <row r="2152" spans="1:12" ht="17.25" thickBot="1">
      <c r="A2152" s="3" t="s">
        <v>2200</v>
      </c>
      <c r="B2152" s="3"/>
      <c r="C2152" s="3"/>
      <c r="D2152" s="4" t="s">
        <v>181</v>
      </c>
      <c r="E2152" s="4" t="s">
        <v>607</v>
      </c>
      <c r="F2152" s="4">
        <v>2007</v>
      </c>
      <c r="G2152" s="8">
        <v>3.9</v>
      </c>
      <c r="H2152" s="4" t="s">
        <v>607</v>
      </c>
      <c r="I2152" s="8">
        <v>7.5</v>
      </c>
      <c r="J2152" s="3">
        <f>2398</f>
        <v>2398</v>
      </c>
      <c r="K2152" s="3"/>
      <c r="L2152" s="17" t="str" cm="1">
        <f t="array" ref="L2152">_xlfn.IFS(MID(K2152,2,2)="01", "서울", MID(K2152,2,2)="02","경기",MID(K2152,2,2)="03","충청",MID(K2152,2,2)="04","충청",MID(K2152,2,2)="05","전라",MID(K2152,2,2)="06","전라",MID(K2152,2,2)="07","경북",MID(K2152,2,2)="08","경남",MID(K2152,2,2)="09","강원",MID(K2152,2,2)="10","제주",TRUE,"국외")</f>
        <v>국외</v>
      </c>
    </row>
    <row r="2153" spans="1:12" ht="17.25" thickBot="1">
      <c r="A2153" s="3" t="s">
        <v>2201</v>
      </c>
      <c r="B2153" s="3"/>
      <c r="C2153" s="3"/>
      <c r="D2153" s="4" t="s">
        <v>181</v>
      </c>
      <c r="E2153" s="4" t="s">
        <v>9</v>
      </c>
      <c r="F2153" s="4">
        <v>2007</v>
      </c>
      <c r="G2153" s="8">
        <v>-0.4</v>
      </c>
      <c r="H2153" s="4" t="s">
        <v>9</v>
      </c>
      <c r="I2153" s="8">
        <v>-0.4</v>
      </c>
      <c r="J2153" s="3">
        <f>2406</f>
        <v>2406</v>
      </c>
      <c r="K2153" s="3"/>
      <c r="L2153" s="17" t="str" cm="1">
        <f t="array" ref="L2153">_xlfn.IFS(MID(K2153,2,2)="01", "서울", MID(K2153,2,2)="02","경기",MID(K2153,2,2)="03","충청",MID(K2153,2,2)="04","충청",MID(K2153,2,2)="05","전라",MID(K2153,2,2)="06","전라",MID(K2153,2,2)="07","경북",MID(K2153,2,2)="08","경남",MID(K2153,2,2)="09","강원",MID(K2153,2,2)="10","제주",TRUE,"국외")</f>
        <v>국외</v>
      </c>
    </row>
    <row r="2154" spans="1:12" ht="17.25" thickBot="1">
      <c r="A2154" s="3" t="s">
        <v>879</v>
      </c>
      <c r="B2154" s="3"/>
      <c r="C2154" s="3"/>
      <c r="D2154" s="4" t="s">
        <v>181</v>
      </c>
      <c r="E2154" s="4" t="s">
        <v>23</v>
      </c>
      <c r="F2154" s="4">
        <v>2007</v>
      </c>
      <c r="G2154" s="8">
        <v>0.4</v>
      </c>
      <c r="H2154" s="4" t="s">
        <v>23</v>
      </c>
      <c r="I2154" s="8">
        <v>0.4</v>
      </c>
      <c r="J2154" s="3">
        <f>2412</f>
        <v>2412</v>
      </c>
      <c r="K2154" s="3"/>
      <c r="L2154" s="17" t="str" cm="1">
        <f t="array" ref="L2154">_xlfn.IFS(MID(K2154,2,2)="01", "서울", MID(K2154,2,2)="02","경기",MID(K2154,2,2)="03","충청",MID(K2154,2,2)="04","충청",MID(K2154,2,2)="05","전라",MID(K2154,2,2)="06","전라",MID(K2154,2,2)="07","경북",MID(K2154,2,2)="08","경남",MID(K2154,2,2)="09","강원",MID(K2154,2,2)="10","제주",TRUE,"국외")</f>
        <v>국외</v>
      </c>
    </row>
    <row r="2155" spans="1:12" ht="17.25" thickBot="1">
      <c r="A2155" s="3" t="s">
        <v>2202</v>
      </c>
      <c r="B2155" s="3"/>
      <c r="C2155" s="3"/>
      <c r="D2155" s="4" t="s">
        <v>181</v>
      </c>
      <c r="E2155" s="4" t="s">
        <v>23</v>
      </c>
      <c r="F2155" s="4">
        <v>2007</v>
      </c>
      <c r="G2155" s="8">
        <v>1.3</v>
      </c>
      <c r="H2155" s="4" t="s">
        <v>23</v>
      </c>
      <c r="I2155" s="8">
        <v>1.3</v>
      </c>
      <c r="J2155" s="3">
        <f>2408</f>
        <v>2408</v>
      </c>
      <c r="K2155" s="3"/>
      <c r="L2155" s="17" t="str" cm="1">
        <f t="array" ref="L2155">_xlfn.IFS(MID(K2155,2,2)="01", "서울", MID(K2155,2,2)="02","경기",MID(K2155,2,2)="03","충청",MID(K2155,2,2)="04","충청",MID(K2155,2,2)="05","전라",MID(K2155,2,2)="06","전라",MID(K2155,2,2)="07","경북",MID(K2155,2,2)="08","경남",MID(K2155,2,2)="09","강원",MID(K2155,2,2)="10","제주",TRUE,"국외")</f>
        <v>국외</v>
      </c>
    </row>
    <row r="2156" spans="1:12" ht="17.25" thickBot="1">
      <c r="A2156" s="3" t="s">
        <v>2203</v>
      </c>
      <c r="B2156" s="3"/>
      <c r="C2156" s="3"/>
      <c r="D2156" s="4" t="s">
        <v>181</v>
      </c>
      <c r="E2156" s="4" t="s">
        <v>3</v>
      </c>
      <c r="F2156" s="4">
        <v>2007</v>
      </c>
      <c r="G2156" s="8">
        <v>5.0999999999999996</v>
      </c>
      <c r="H2156" s="4" t="s">
        <v>3</v>
      </c>
      <c r="I2156" s="8">
        <v>5.5</v>
      </c>
      <c r="J2156" s="3">
        <f>2395</f>
        <v>2395</v>
      </c>
      <c r="K2156" s="3"/>
      <c r="L2156" s="17" t="str" cm="1">
        <f t="array" ref="L2156">_xlfn.IFS(MID(K2156,2,2)="01", "서울", MID(K2156,2,2)="02","경기",MID(K2156,2,2)="03","충청",MID(K2156,2,2)="04","충청",MID(K2156,2,2)="05","전라",MID(K2156,2,2)="06","전라",MID(K2156,2,2)="07","경북",MID(K2156,2,2)="08","경남",MID(K2156,2,2)="09","강원",MID(K2156,2,2)="10","제주",TRUE,"국외")</f>
        <v>국외</v>
      </c>
    </row>
    <row r="2157" spans="1:12" ht="17.25" thickBot="1">
      <c r="A2157" s="3" t="s">
        <v>2204</v>
      </c>
      <c r="B2157" s="3"/>
      <c r="C2157" s="3"/>
      <c r="D2157" s="4" t="s">
        <v>181</v>
      </c>
      <c r="E2157" s="4" t="s">
        <v>3</v>
      </c>
      <c r="F2157" s="4">
        <v>2007</v>
      </c>
      <c r="G2157" s="8">
        <v>1.1000000000000001</v>
      </c>
      <c r="H2157" s="4" t="s">
        <v>3</v>
      </c>
      <c r="I2157" s="8">
        <v>1.1000000000000001</v>
      </c>
      <c r="J2157" s="3">
        <f>2410</f>
        <v>2410</v>
      </c>
      <c r="K2157" s="3"/>
      <c r="L2157" s="17" t="str" cm="1">
        <f t="array" ref="L2157">_xlfn.IFS(MID(K2157,2,2)="01", "서울", MID(K2157,2,2)="02","경기",MID(K2157,2,2)="03","충청",MID(K2157,2,2)="04","충청",MID(K2157,2,2)="05","전라",MID(K2157,2,2)="06","전라",MID(K2157,2,2)="07","경북",MID(K2157,2,2)="08","경남",MID(K2157,2,2)="09","강원",MID(K2157,2,2)="10","제주",TRUE,"국외")</f>
        <v>국외</v>
      </c>
    </row>
    <row r="2158" spans="1:12" ht="17.25" thickBot="1">
      <c r="A2158" s="3" t="s">
        <v>2205</v>
      </c>
      <c r="B2158" s="3" t="s">
        <v>25</v>
      </c>
      <c r="C2158" s="3" t="s">
        <v>172</v>
      </c>
      <c r="D2158" s="4" t="s">
        <v>1777</v>
      </c>
      <c r="E2158" s="4" t="s">
        <v>6</v>
      </c>
      <c r="F2158" s="4">
        <v>2007</v>
      </c>
      <c r="G2158" s="8">
        <v>-0.2</v>
      </c>
      <c r="H2158" s="4" t="s">
        <v>6</v>
      </c>
      <c r="I2158" s="8">
        <v>-0.2</v>
      </c>
      <c r="J2158" s="3">
        <f>2404</f>
        <v>2404</v>
      </c>
      <c r="K2158" s="3">
        <v>50403</v>
      </c>
      <c r="L2158" s="17" t="str" cm="1">
        <f t="array" ref="L2158">_xlfn.IFS(MID(K2158,2,2)="01", "서울", MID(K2158,2,2)="02","경기",MID(K2158,2,2)="03","충청",MID(K2158,2,2)="04","충청",MID(K2158,2,2)="05","전라",MID(K2158,2,2)="06","전라",MID(K2158,2,2)="07","경북",MID(K2158,2,2)="08","경남",MID(K2158,2,2)="09","강원",MID(K2158,2,2)="10","제주",TRUE,"국외")</f>
        <v>충청</v>
      </c>
    </row>
    <row r="2159" spans="1:12" ht="17.25" thickBot="1">
      <c r="A2159" s="3" t="s">
        <v>2206</v>
      </c>
      <c r="B2159" s="3" t="s">
        <v>34</v>
      </c>
      <c r="C2159" s="3" t="s">
        <v>122</v>
      </c>
      <c r="D2159" s="4" t="s">
        <v>1777</v>
      </c>
      <c r="E2159" s="4" t="s">
        <v>9</v>
      </c>
      <c r="F2159" s="4">
        <v>2008</v>
      </c>
      <c r="G2159" s="9"/>
      <c r="H2159" s="4" t="s">
        <v>9</v>
      </c>
      <c r="I2159" s="8">
        <v>0</v>
      </c>
      <c r="J2159" s="3">
        <v>10276</v>
      </c>
      <c r="K2159" s="3">
        <v>50701</v>
      </c>
      <c r="L2159" s="17" t="str" cm="1">
        <f t="array" ref="L2159">_xlfn.IFS(MID(K2159,2,2)="01", "서울", MID(K2159,2,2)="02","경기",MID(K2159,2,2)="03","충청",MID(K2159,2,2)="04","충청",MID(K2159,2,2)="05","전라",MID(K2159,2,2)="06","전라",MID(K2159,2,2)="07","경북",MID(K2159,2,2)="08","경남",MID(K2159,2,2)="09","강원",MID(K2159,2,2)="10","제주",TRUE,"국외")</f>
        <v>경북</v>
      </c>
    </row>
    <row r="2160" spans="1:12" ht="17.25" thickBot="1">
      <c r="A2160" s="3" t="s">
        <v>2207</v>
      </c>
      <c r="B2160" s="3" t="s">
        <v>66</v>
      </c>
      <c r="C2160" s="3"/>
      <c r="D2160" s="4" t="s">
        <v>205</v>
      </c>
      <c r="E2160" s="4" t="s">
        <v>6</v>
      </c>
      <c r="F2160" s="4">
        <v>2012</v>
      </c>
      <c r="G2160" s="9"/>
      <c r="H2160" s="4" t="s">
        <v>3</v>
      </c>
      <c r="I2160" s="8">
        <v>-0.8</v>
      </c>
      <c r="J2160" s="3">
        <v>10931</v>
      </c>
      <c r="K2160" s="3">
        <v>50110</v>
      </c>
      <c r="L2160" s="17" t="str" cm="1">
        <f t="array" ref="L2160">_xlfn.IFS(MID(K2160,2,2)="01", "서울", MID(K2160,2,2)="02","경기",MID(K2160,2,2)="03","충청",MID(K2160,2,2)="04","충청",MID(K2160,2,2)="05","전라",MID(K2160,2,2)="06","전라",MID(K2160,2,2)="07","경북",MID(K2160,2,2)="08","경남",MID(K2160,2,2)="09","강원",MID(K2160,2,2)="10","제주",TRUE,"국외")</f>
        <v>서울</v>
      </c>
    </row>
    <row r="2161" spans="1:12" ht="17.25" thickBot="1">
      <c r="A2161" s="3" t="s">
        <v>2208</v>
      </c>
      <c r="B2161" s="3" t="s">
        <v>1497</v>
      </c>
      <c r="C2161" s="3" t="s">
        <v>1942</v>
      </c>
      <c r="D2161" s="4" t="s">
        <v>205</v>
      </c>
      <c r="E2161" s="4" t="s">
        <v>23</v>
      </c>
      <c r="F2161" s="4">
        <v>2013</v>
      </c>
      <c r="G2161" s="9"/>
      <c r="H2161" s="4" t="s">
        <v>3</v>
      </c>
      <c r="I2161" s="8">
        <v>-2.2999999999999998</v>
      </c>
      <c r="J2161" s="3">
        <v>10326</v>
      </c>
      <c r="K2161" s="3">
        <v>50112</v>
      </c>
      <c r="L2161" s="17" t="str" cm="1">
        <f t="array" ref="L2161">_xlfn.IFS(MID(K2161,2,2)="01", "서울", MID(K2161,2,2)="02","경기",MID(K2161,2,2)="03","충청",MID(K2161,2,2)="04","충청",MID(K2161,2,2)="05","전라",MID(K2161,2,2)="06","전라",MID(K2161,2,2)="07","경북",MID(K2161,2,2)="08","경남",MID(K2161,2,2)="09","강원",MID(K2161,2,2)="10","제주",TRUE,"국외")</f>
        <v>서울</v>
      </c>
    </row>
    <row r="2162" spans="1:12" ht="17.25" thickBot="1">
      <c r="A2162" s="3" t="s">
        <v>2209</v>
      </c>
      <c r="B2162" s="3" t="s">
        <v>36</v>
      </c>
      <c r="C2162" s="3" t="s">
        <v>218</v>
      </c>
      <c r="D2162" s="4" t="s">
        <v>205</v>
      </c>
      <c r="E2162" s="4" t="s">
        <v>3</v>
      </c>
      <c r="F2162" s="4">
        <v>2008</v>
      </c>
      <c r="G2162" s="9"/>
      <c r="H2162" s="4" t="s">
        <v>3</v>
      </c>
      <c r="I2162" s="8">
        <v>0.9</v>
      </c>
      <c r="J2162" s="3">
        <v>10576</v>
      </c>
      <c r="K2162" s="3">
        <v>50402</v>
      </c>
      <c r="L2162" s="17" t="str" cm="1">
        <f t="array" ref="L2162">_xlfn.IFS(MID(K2162,2,2)="01", "서울", MID(K2162,2,2)="02","경기",MID(K2162,2,2)="03","충청",MID(K2162,2,2)="04","충청",MID(K2162,2,2)="05","전라",MID(K2162,2,2)="06","전라",MID(K2162,2,2)="07","경북",MID(K2162,2,2)="08","경남",MID(K2162,2,2)="09","강원",MID(K2162,2,2)="10","제주",TRUE,"국외")</f>
        <v>충청</v>
      </c>
    </row>
    <row r="2163" spans="1:12" ht="17.25" thickBot="1">
      <c r="A2163" s="3" t="s">
        <v>2210</v>
      </c>
      <c r="B2163" s="3" t="s">
        <v>50</v>
      </c>
      <c r="C2163" s="3"/>
      <c r="D2163" s="4" t="s">
        <v>205</v>
      </c>
      <c r="E2163" s="4" t="s">
        <v>3</v>
      </c>
      <c r="F2163" s="4">
        <v>2015</v>
      </c>
      <c r="G2163" s="9"/>
      <c r="H2163" s="4" t="s">
        <v>28</v>
      </c>
      <c r="I2163" s="8">
        <v>-1.6</v>
      </c>
      <c r="J2163" s="3">
        <v>10551</v>
      </c>
      <c r="K2163" s="3">
        <v>50301</v>
      </c>
      <c r="L2163" s="17" t="str" cm="1">
        <f t="array" ref="L2163">_xlfn.IFS(MID(K2163,2,2)="01", "서울", MID(K2163,2,2)="02","경기",MID(K2163,2,2)="03","충청",MID(K2163,2,2)="04","충청",MID(K2163,2,2)="05","전라",MID(K2163,2,2)="06","전라",MID(K2163,2,2)="07","경북",MID(K2163,2,2)="08","경남",MID(K2163,2,2)="09","강원",MID(K2163,2,2)="10","제주",TRUE,"국외")</f>
        <v>충청</v>
      </c>
    </row>
    <row r="2164" spans="1:12" ht="17.25" thickBot="1">
      <c r="A2164" s="3" t="s">
        <v>2211</v>
      </c>
      <c r="B2164" s="3" t="s">
        <v>101</v>
      </c>
      <c r="C2164" s="3"/>
      <c r="D2164" s="4" t="s">
        <v>205</v>
      </c>
      <c r="E2164" s="4" t="s">
        <v>2164</v>
      </c>
      <c r="F2164" s="4">
        <v>2007</v>
      </c>
      <c r="G2164" s="8">
        <v>0.1</v>
      </c>
      <c r="H2164" s="4" t="s">
        <v>2164</v>
      </c>
      <c r="I2164" s="8">
        <v>0.1</v>
      </c>
      <c r="J2164" s="3">
        <v>10759</v>
      </c>
      <c r="K2164" s="3">
        <v>50207</v>
      </c>
      <c r="L2164" s="17" t="str" cm="1">
        <f t="array" ref="L2164">_xlfn.IFS(MID(K2164,2,2)="01", "서울", MID(K2164,2,2)="02","경기",MID(K2164,2,2)="03","충청",MID(K2164,2,2)="04","충청",MID(K2164,2,2)="05","전라",MID(K2164,2,2)="06","전라",MID(K2164,2,2)="07","경북",MID(K2164,2,2)="08","경남",MID(K2164,2,2)="09","강원",MID(K2164,2,2)="10","제주",TRUE,"국외")</f>
        <v>경기</v>
      </c>
    </row>
    <row r="2165" spans="1:12" ht="17.25" thickBot="1">
      <c r="A2165" s="3" t="s">
        <v>2212</v>
      </c>
      <c r="B2165" s="3" t="s">
        <v>96</v>
      </c>
      <c r="C2165" s="3" t="s">
        <v>2213</v>
      </c>
      <c r="D2165" s="4" t="s">
        <v>243</v>
      </c>
      <c r="E2165" s="4" t="s">
        <v>6</v>
      </c>
      <c r="F2165" s="4">
        <v>2006</v>
      </c>
      <c r="G2165" s="8">
        <v>2.5</v>
      </c>
      <c r="H2165" s="4" t="s">
        <v>6</v>
      </c>
      <c r="I2165" s="8">
        <v>15.1</v>
      </c>
      <c r="J2165" s="3">
        <v>10077</v>
      </c>
      <c r="K2165" s="3">
        <v>50601</v>
      </c>
      <c r="L2165" s="17" t="str" cm="1">
        <f t="array" ref="L2165">_xlfn.IFS(MID(K2165,2,2)="01", "서울", MID(K2165,2,2)="02","경기",MID(K2165,2,2)="03","충청",MID(K2165,2,2)="04","충청",MID(K2165,2,2)="05","전라",MID(K2165,2,2)="06","전라",MID(K2165,2,2)="07","경북",MID(K2165,2,2)="08","경남",MID(K2165,2,2)="09","강원",MID(K2165,2,2)="10","제주",TRUE,"국외")</f>
        <v>전라</v>
      </c>
    </row>
    <row r="2166" spans="1:12" ht="17.25" thickBot="1">
      <c r="A2166" s="3" t="s">
        <v>2214</v>
      </c>
      <c r="B2166" s="3" t="s">
        <v>68</v>
      </c>
      <c r="C2166" s="3" t="s">
        <v>329</v>
      </c>
      <c r="D2166" s="4" t="s">
        <v>243</v>
      </c>
      <c r="E2166" s="4" t="s">
        <v>20</v>
      </c>
      <c r="F2166" s="4">
        <v>2006</v>
      </c>
      <c r="G2166" s="8">
        <v>0.4</v>
      </c>
      <c r="H2166" s="4" t="s">
        <v>20</v>
      </c>
      <c r="I2166" s="8">
        <v>2</v>
      </c>
      <c r="J2166" s="3">
        <v>10503</v>
      </c>
      <c r="K2166" s="3">
        <v>50101</v>
      </c>
      <c r="L2166" s="17" t="str" cm="1">
        <f t="array" ref="L2166">_xlfn.IFS(MID(K2166,2,2)="01", "서울", MID(K2166,2,2)="02","경기",MID(K2166,2,2)="03","충청",MID(K2166,2,2)="04","충청",MID(K2166,2,2)="05","전라",MID(K2166,2,2)="06","전라",MID(K2166,2,2)="07","경북",MID(K2166,2,2)="08","경남",MID(K2166,2,2)="09","강원",MID(K2166,2,2)="10","제주",TRUE,"국외")</f>
        <v>서울</v>
      </c>
    </row>
    <row r="2167" spans="1:12" ht="17.25" thickBot="1">
      <c r="A2167" s="3" t="s">
        <v>923</v>
      </c>
      <c r="B2167" s="3" t="s">
        <v>22</v>
      </c>
      <c r="C2167" s="3"/>
      <c r="D2167" s="4" t="s">
        <v>243</v>
      </c>
      <c r="E2167" s="4" t="s">
        <v>607</v>
      </c>
      <c r="F2167" s="4">
        <v>2006</v>
      </c>
      <c r="G2167" s="8">
        <v>0.2</v>
      </c>
      <c r="H2167" s="4" t="s">
        <v>607</v>
      </c>
      <c r="I2167" s="8">
        <v>15</v>
      </c>
      <c r="J2167" s="3">
        <v>10082</v>
      </c>
      <c r="K2167" s="3">
        <v>50209</v>
      </c>
      <c r="L2167" s="17" t="str" cm="1">
        <f t="array" ref="L2167">_xlfn.IFS(MID(K2167,2,2)="01", "서울", MID(K2167,2,2)="02","경기",MID(K2167,2,2)="03","충청",MID(K2167,2,2)="04","충청",MID(K2167,2,2)="05","전라",MID(K2167,2,2)="06","전라",MID(K2167,2,2)="07","경북",MID(K2167,2,2)="08","경남",MID(K2167,2,2)="09","강원",MID(K2167,2,2)="10","제주",TRUE,"국외")</f>
        <v>경기</v>
      </c>
    </row>
    <row r="2168" spans="1:12" ht="17.25" thickBot="1">
      <c r="A2168" s="3" t="s">
        <v>2215</v>
      </c>
      <c r="B2168" s="3" t="s">
        <v>93</v>
      </c>
      <c r="C2168" s="3"/>
      <c r="D2168" s="4" t="s">
        <v>243</v>
      </c>
      <c r="E2168" s="4" t="s">
        <v>9</v>
      </c>
      <c r="F2168" s="4">
        <v>2006</v>
      </c>
      <c r="G2168" s="8">
        <v>0</v>
      </c>
      <c r="H2168" s="4" t="s">
        <v>9</v>
      </c>
      <c r="I2168" s="8">
        <v>0.3</v>
      </c>
      <c r="J2168" s="3">
        <v>10247</v>
      </c>
      <c r="K2168" s="3">
        <v>50805</v>
      </c>
      <c r="L2168" s="17" t="str" cm="1">
        <f t="array" ref="L2168">_xlfn.IFS(MID(K2168,2,2)="01", "서울", MID(K2168,2,2)="02","경기",MID(K2168,2,2)="03","충청",MID(K2168,2,2)="04","충청",MID(K2168,2,2)="05","전라",MID(K2168,2,2)="06","전라",MID(K2168,2,2)="07","경북",MID(K2168,2,2)="08","경남",MID(K2168,2,2)="09","강원",MID(K2168,2,2)="10","제주",TRUE,"국외")</f>
        <v>경남</v>
      </c>
    </row>
    <row r="2169" spans="1:12" ht="17.25" thickBot="1">
      <c r="A2169" s="3" t="s">
        <v>2216</v>
      </c>
      <c r="B2169" s="3" t="s">
        <v>228</v>
      </c>
      <c r="C2169" s="3" t="s">
        <v>208</v>
      </c>
      <c r="D2169" s="4" t="s">
        <v>243</v>
      </c>
      <c r="E2169" s="4" t="s">
        <v>23</v>
      </c>
      <c r="F2169" s="4">
        <v>2006</v>
      </c>
      <c r="G2169" s="8">
        <v>-0.6</v>
      </c>
      <c r="H2169" s="4" t="s">
        <v>23</v>
      </c>
      <c r="I2169" s="8">
        <v>1.7</v>
      </c>
      <c r="J2169" s="3">
        <v>10359</v>
      </c>
      <c r="K2169" s="3">
        <v>50702</v>
      </c>
      <c r="L2169" s="17" t="str" cm="1">
        <f t="array" ref="L2169">_xlfn.IFS(MID(K2169,2,2)="01", "서울", MID(K2169,2,2)="02","경기",MID(K2169,2,2)="03","충청",MID(K2169,2,2)="04","충청",MID(K2169,2,2)="05","전라",MID(K2169,2,2)="06","전라",MID(K2169,2,2)="07","경북",MID(K2169,2,2)="08","경남",MID(K2169,2,2)="09","강원",MID(K2169,2,2)="10","제주",TRUE,"국외")</f>
        <v>경북</v>
      </c>
    </row>
    <row r="2170" spans="1:12" ht="17.25" thickBot="1">
      <c r="A2170" s="3" t="s">
        <v>2217</v>
      </c>
      <c r="B2170" s="3" t="s">
        <v>25</v>
      </c>
      <c r="C2170" s="3"/>
      <c r="D2170" s="4" t="s">
        <v>243</v>
      </c>
      <c r="E2170" s="4" t="s">
        <v>3</v>
      </c>
      <c r="F2170" s="4">
        <v>2007</v>
      </c>
      <c r="G2170" s="9"/>
      <c r="H2170" s="4" t="s">
        <v>20</v>
      </c>
      <c r="I2170" s="8">
        <v>6.7</v>
      </c>
      <c r="J2170" s="3">
        <v>10604</v>
      </c>
      <c r="K2170" s="3">
        <v>50403</v>
      </c>
      <c r="L2170" s="17" t="str" cm="1">
        <f t="array" ref="L2170">_xlfn.IFS(MID(K2170,2,2)="01", "서울", MID(K2170,2,2)="02","경기",MID(K2170,2,2)="03","충청",MID(K2170,2,2)="04","충청",MID(K2170,2,2)="05","전라",MID(K2170,2,2)="06","전라",MID(K2170,2,2)="07","경북",MID(K2170,2,2)="08","경남",MID(K2170,2,2)="09","강원",MID(K2170,2,2)="10","제주",TRUE,"국외")</f>
        <v>충청</v>
      </c>
    </row>
    <row r="2171" spans="1:12" ht="17.25" thickBot="1">
      <c r="A2171" s="3" t="s">
        <v>2218</v>
      </c>
      <c r="B2171" s="3" t="s">
        <v>74</v>
      </c>
      <c r="C2171" s="3"/>
      <c r="D2171" s="4" t="s">
        <v>254</v>
      </c>
      <c r="E2171" s="4" t="s">
        <v>20</v>
      </c>
      <c r="F2171" s="4">
        <v>2006</v>
      </c>
      <c r="G2171" s="8">
        <v>-0.5</v>
      </c>
      <c r="H2171" s="4" t="s">
        <v>6</v>
      </c>
      <c r="I2171" s="8">
        <v>-1.3</v>
      </c>
      <c r="J2171" s="3">
        <v>10793</v>
      </c>
      <c r="K2171" s="3">
        <v>50102</v>
      </c>
      <c r="L2171" s="17" t="str" cm="1">
        <f t="array" ref="L2171">_xlfn.IFS(MID(K2171,2,2)="01", "서울", MID(K2171,2,2)="02","경기",MID(K2171,2,2)="03","충청",MID(K2171,2,2)="04","충청",MID(K2171,2,2)="05","전라",MID(K2171,2,2)="06","전라",MID(K2171,2,2)="07","경북",MID(K2171,2,2)="08","경남",MID(K2171,2,2)="09","강원",MID(K2171,2,2)="10","제주",TRUE,"국외")</f>
        <v>서울</v>
      </c>
    </row>
    <row r="2172" spans="1:12" ht="17.25" thickBot="1">
      <c r="A2172" s="3" t="s">
        <v>2219</v>
      </c>
      <c r="B2172" s="3" t="s">
        <v>107</v>
      </c>
      <c r="C2172" s="3" t="s">
        <v>1796</v>
      </c>
      <c r="D2172" s="4" t="s">
        <v>254</v>
      </c>
      <c r="E2172" s="4" t="s">
        <v>9</v>
      </c>
      <c r="F2172" s="4">
        <v>2006</v>
      </c>
      <c r="G2172" s="8">
        <v>1.4</v>
      </c>
      <c r="H2172" s="4" t="s">
        <v>9</v>
      </c>
      <c r="I2172" s="8">
        <v>1.5</v>
      </c>
      <c r="J2172" s="3">
        <v>10279</v>
      </c>
      <c r="K2172" s="3">
        <v>50602</v>
      </c>
      <c r="L2172" s="17" t="str" cm="1">
        <f t="array" ref="L2172">_xlfn.IFS(MID(K2172,2,2)="01", "서울", MID(K2172,2,2)="02","경기",MID(K2172,2,2)="03","충청",MID(K2172,2,2)="04","충청",MID(K2172,2,2)="05","전라",MID(K2172,2,2)="06","전라",MID(K2172,2,2)="07","경북",MID(K2172,2,2)="08","경남",MID(K2172,2,2)="09","강원",MID(K2172,2,2)="10","제주",TRUE,"국외")</f>
        <v>전라</v>
      </c>
    </row>
    <row r="2173" spans="1:12" ht="17.25" thickBot="1">
      <c r="A2173" s="3" t="s">
        <v>2220</v>
      </c>
      <c r="B2173" s="3" t="s">
        <v>241</v>
      </c>
      <c r="C2173" s="3" t="s">
        <v>2221</v>
      </c>
      <c r="D2173" s="4" t="s">
        <v>254</v>
      </c>
      <c r="E2173" s="4" t="s">
        <v>3</v>
      </c>
      <c r="F2173" s="4">
        <v>2006</v>
      </c>
      <c r="G2173" s="8">
        <v>7</v>
      </c>
      <c r="H2173" s="4" t="s">
        <v>3</v>
      </c>
      <c r="I2173" s="8">
        <v>38.1</v>
      </c>
      <c r="J2173" s="3">
        <v>10590</v>
      </c>
      <c r="K2173" s="3">
        <v>50202</v>
      </c>
      <c r="L2173" s="17" t="str" cm="1">
        <f t="array" ref="L2173">_xlfn.IFS(MID(K2173,2,2)="01", "서울", MID(K2173,2,2)="02","경기",MID(K2173,2,2)="03","충청",MID(K2173,2,2)="04","충청",MID(K2173,2,2)="05","전라",MID(K2173,2,2)="06","전라",MID(K2173,2,2)="07","경북",MID(K2173,2,2)="08","경남",MID(K2173,2,2)="09","강원",MID(K2173,2,2)="10","제주",TRUE,"국외")</f>
        <v>경기</v>
      </c>
    </row>
    <row r="2174" spans="1:12" ht="17.25" thickBot="1">
      <c r="A2174" s="3" t="s">
        <v>888</v>
      </c>
      <c r="B2174" s="3" t="s">
        <v>22</v>
      </c>
      <c r="C2174" s="3"/>
      <c r="D2174" s="4" t="s">
        <v>254</v>
      </c>
      <c r="E2174" s="4" t="s">
        <v>607</v>
      </c>
      <c r="F2174" s="4">
        <v>2006</v>
      </c>
      <c r="G2174" s="8">
        <v>0.2</v>
      </c>
      <c r="H2174" s="4" t="s">
        <v>607</v>
      </c>
      <c r="I2174" s="8">
        <v>0.2</v>
      </c>
      <c r="J2174" s="3">
        <v>10876</v>
      </c>
      <c r="K2174" s="3">
        <v>50209</v>
      </c>
      <c r="L2174" s="17" t="str" cm="1">
        <f t="array" ref="L2174">_xlfn.IFS(MID(K2174,2,2)="01", "서울", MID(K2174,2,2)="02","경기",MID(K2174,2,2)="03","충청",MID(K2174,2,2)="04","충청",MID(K2174,2,2)="05","전라",MID(K2174,2,2)="06","전라",MID(K2174,2,2)="07","경북",MID(K2174,2,2)="08","경남",MID(K2174,2,2)="09","강원",MID(K2174,2,2)="10","제주",TRUE,"국외")</f>
        <v>경기</v>
      </c>
    </row>
    <row r="2175" spans="1:12" ht="17.25" thickBot="1">
      <c r="A2175" s="3" t="s">
        <v>2222</v>
      </c>
      <c r="B2175" s="3" t="s">
        <v>1791</v>
      </c>
      <c r="C2175" s="3"/>
      <c r="D2175" s="4" t="s">
        <v>254</v>
      </c>
      <c r="E2175" s="4" t="s">
        <v>6</v>
      </c>
      <c r="F2175" s="4">
        <v>2006</v>
      </c>
      <c r="G2175" s="8">
        <v>0.4</v>
      </c>
      <c r="H2175" s="4" t="s">
        <v>6</v>
      </c>
      <c r="I2175" s="8">
        <v>12.7</v>
      </c>
      <c r="J2175" s="3">
        <v>10054</v>
      </c>
      <c r="K2175" s="3">
        <v>50303</v>
      </c>
      <c r="L2175" s="17" t="str" cm="1">
        <f t="array" ref="L2175">_xlfn.IFS(MID(K2175,2,2)="01", "서울", MID(K2175,2,2)="02","경기",MID(K2175,2,2)="03","충청",MID(K2175,2,2)="04","충청",MID(K2175,2,2)="05","전라",MID(K2175,2,2)="06","전라",MID(K2175,2,2)="07","경북",MID(K2175,2,2)="08","경남",MID(K2175,2,2)="09","강원",MID(K2175,2,2)="10","제주",TRUE,"국외")</f>
        <v>충청</v>
      </c>
    </row>
    <row r="2176" spans="1:12" ht="17.25" thickBot="1">
      <c r="A2176" s="3" t="s">
        <v>2223</v>
      </c>
      <c r="B2176" s="3" t="s">
        <v>2139</v>
      </c>
      <c r="C2176" s="3"/>
      <c r="D2176" s="4" t="s">
        <v>254</v>
      </c>
      <c r="E2176" s="4" t="s">
        <v>26</v>
      </c>
      <c r="F2176" s="4">
        <v>2007</v>
      </c>
      <c r="G2176" s="9"/>
      <c r="H2176" s="4" t="s">
        <v>9</v>
      </c>
      <c r="I2176" s="8">
        <v>1.9</v>
      </c>
      <c r="J2176" s="3">
        <v>12944</v>
      </c>
      <c r="K2176" s="3">
        <v>50104</v>
      </c>
      <c r="L2176" s="17" t="str" cm="1">
        <f t="array" ref="L2176">_xlfn.IFS(MID(K2176,2,2)="01", "서울", MID(K2176,2,2)="02","경기",MID(K2176,2,2)="03","충청",MID(K2176,2,2)="04","충청",MID(K2176,2,2)="05","전라",MID(K2176,2,2)="06","전라",MID(K2176,2,2)="07","경북",MID(K2176,2,2)="08","경남",MID(K2176,2,2)="09","강원",MID(K2176,2,2)="10","제주",TRUE,"국외")</f>
        <v>서울</v>
      </c>
    </row>
    <row r="2177" spans="1:12" ht="17.25" thickBot="1">
      <c r="A2177" s="3" t="s">
        <v>2224</v>
      </c>
      <c r="B2177" s="3" t="s">
        <v>158</v>
      </c>
      <c r="C2177" s="3" t="s">
        <v>1479</v>
      </c>
      <c r="D2177" s="4" t="s">
        <v>254</v>
      </c>
      <c r="E2177" s="4" t="s">
        <v>23</v>
      </c>
      <c r="F2177" s="4">
        <v>2006</v>
      </c>
      <c r="G2177" s="8">
        <v>-0.2</v>
      </c>
      <c r="H2177" s="4" t="s">
        <v>23</v>
      </c>
      <c r="I2177" s="8">
        <v>25.3</v>
      </c>
      <c r="J2177" s="3">
        <v>10381</v>
      </c>
      <c r="K2177" s="3">
        <v>50501</v>
      </c>
      <c r="L2177" s="17" t="str" cm="1">
        <f t="array" ref="L2177">_xlfn.IFS(MID(K2177,2,2)="01", "서울", MID(K2177,2,2)="02","경기",MID(K2177,2,2)="03","충청",MID(K2177,2,2)="04","충청",MID(K2177,2,2)="05","전라",MID(K2177,2,2)="06","전라",MID(K2177,2,2)="07","경북",MID(K2177,2,2)="08","경남",MID(K2177,2,2)="09","강원",MID(K2177,2,2)="10","제주",TRUE,"국외")</f>
        <v>전라</v>
      </c>
    </row>
    <row r="2178" spans="1:12" ht="17.25" thickBot="1">
      <c r="A2178" s="3" t="s">
        <v>2225</v>
      </c>
      <c r="B2178" s="3" t="s">
        <v>107</v>
      </c>
      <c r="C2178" s="3"/>
      <c r="D2178" s="4" t="s">
        <v>254</v>
      </c>
      <c r="E2178" s="4" t="s">
        <v>2164</v>
      </c>
      <c r="F2178" s="4">
        <v>2006</v>
      </c>
      <c r="G2178" s="8">
        <v>-0.3</v>
      </c>
      <c r="H2178" s="4" t="s">
        <v>18</v>
      </c>
      <c r="I2178" s="8">
        <v>34.1</v>
      </c>
      <c r="J2178" s="3">
        <v>10394</v>
      </c>
      <c r="K2178" s="3">
        <v>50602</v>
      </c>
      <c r="L2178" s="17" t="str" cm="1">
        <f t="array" ref="L2178">_xlfn.IFS(MID(K2178,2,2)="01", "서울", MID(K2178,2,2)="02","경기",MID(K2178,2,2)="03","충청",MID(K2178,2,2)="04","충청",MID(K2178,2,2)="05","전라",MID(K2178,2,2)="06","전라",MID(K2178,2,2)="07","경북",MID(K2178,2,2)="08","경남",MID(K2178,2,2)="09","강원",MID(K2178,2,2)="10","제주",TRUE,"국외")</f>
        <v>전라</v>
      </c>
    </row>
    <row r="2179" spans="1:12" ht="17.25" thickBot="1">
      <c r="A2179" s="3" t="s">
        <v>2226</v>
      </c>
      <c r="B2179" s="3" t="s">
        <v>241</v>
      </c>
      <c r="C2179" s="3" t="s">
        <v>549</v>
      </c>
      <c r="D2179" s="4" t="s">
        <v>254</v>
      </c>
      <c r="E2179" s="4" t="s">
        <v>9</v>
      </c>
      <c r="F2179" s="4">
        <v>2006</v>
      </c>
      <c r="G2179" s="8">
        <v>-1.1000000000000001</v>
      </c>
      <c r="H2179" s="4" t="s">
        <v>9</v>
      </c>
      <c r="I2179" s="8">
        <v>-0.6</v>
      </c>
      <c r="J2179" s="3">
        <f>2383</f>
        <v>2383</v>
      </c>
      <c r="K2179" s="3">
        <v>50202</v>
      </c>
      <c r="L2179" s="17" t="str" cm="1">
        <f t="array" ref="L2179">_xlfn.IFS(MID(K2179,2,2)="01", "서울", MID(K2179,2,2)="02","경기",MID(K2179,2,2)="03","충청",MID(K2179,2,2)="04","충청",MID(K2179,2,2)="05","전라",MID(K2179,2,2)="06","전라",MID(K2179,2,2)="07","경북",MID(K2179,2,2)="08","경남",MID(K2179,2,2)="09","강원",MID(K2179,2,2)="10","제주",TRUE,"국외")</f>
        <v>경기</v>
      </c>
    </row>
    <row r="2180" spans="1:12" ht="17.25" thickBot="1">
      <c r="A2180" s="3" t="s">
        <v>2227</v>
      </c>
      <c r="B2180" s="3" t="s">
        <v>1834</v>
      </c>
      <c r="C2180" s="3" t="s">
        <v>1796</v>
      </c>
      <c r="D2180" s="4" t="s">
        <v>254</v>
      </c>
      <c r="E2180" s="4" t="s">
        <v>3</v>
      </c>
      <c r="F2180" s="4">
        <v>2008</v>
      </c>
      <c r="G2180" s="9"/>
      <c r="H2180" s="4" t="s">
        <v>3</v>
      </c>
      <c r="I2180" s="8">
        <v>-0.8</v>
      </c>
      <c r="J2180" s="3">
        <v>10601</v>
      </c>
      <c r="K2180" s="3">
        <v>50904</v>
      </c>
      <c r="L2180" s="17" t="str" cm="1">
        <f t="array" ref="L2180">_xlfn.IFS(MID(K2180,2,2)="01", "서울", MID(K2180,2,2)="02","경기",MID(K2180,2,2)="03","충청",MID(K2180,2,2)="04","충청",MID(K2180,2,2)="05","전라",MID(K2180,2,2)="06","전라",MID(K2180,2,2)="07","경북",MID(K2180,2,2)="08","경남",MID(K2180,2,2)="09","강원",MID(K2180,2,2)="10","제주",TRUE,"국외")</f>
        <v>강원</v>
      </c>
    </row>
    <row r="2181" spans="1:12" ht="17.25" thickBot="1">
      <c r="A2181" s="3" t="s">
        <v>2228</v>
      </c>
      <c r="B2181" s="3" t="s">
        <v>158</v>
      </c>
      <c r="C2181" s="3"/>
      <c r="D2181" s="4" t="s">
        <v>254</v>
      </c>
      <c r="E2181" s="4" t="s">
        <v>20</v>
      </c>
      <c r="F2181" s="4">
        <v>2014</v>
      </c>
      <c r="G2181" s="9"/>
      <c r="H2181" s="4" t="s">
        <v>12</v>
      </c>
      <c r="I2181" s="8">
        <v>5.7</v>
      </c>
      <c r="J2181" s="3">
        <v>11161</v>
      </c>
      <c r="K2181" s="3">
        <v>50501</v>
      </c>
      <c r="L2181" s="17" t="str" cm="1">
        <f t="array" ref="L2181">_xlfn.IFS(MID(K2181,2,2)="01", "서울", MID(K2181,2,2)="02","경기",MID(K2181,2,2)="03","충청",MID(K2181,2,2)="04","충청",MID(K2181,2,2)="05","전라",MID(K2181,2,2)="06","전라",MID(K2181,2,2)="07","경북",MID(K2181,2,2)="08","경남",MID(K2181,2,2)="09","강원",MID(K2181,2,2)="10","제주",TRUE,"국외")</f>
        <v>전라</v>
      </c>
    </row>
    <row r="2182" spans="1:12" ht="17.25" thickBot="1">
      <c r="A2182" s="3" t="s">
        <v>2229</v>
      </c>
      <c r="B2182" s="3" t="s">
        <v>1791</v>
      </c>
      <c r="C2182" s="3" t="s">
        <v>218</v>
      </c>
      <c r="D2182" s="4" t="s">
        <v>254</v>
      </c>
      <c r="E2182" s="4" t="s">
        <v>6</v>
      </c>
      <c r="F2182" s="4">
        <v>2007</v>
      </c>
      <c r="G2182" s="9"/>
      <c r="H2182" s="4" t="s">
        <v>6</v>
      </c>
      <c r="I2182" s="8">
        <v>-0.2</v>
      </c>
      <c r="J2182" s="3">
        <v>10052</v>
      </c>
      <c r="K2182" s="3">
        <v>50303</v>
      </c>
      <c r="L2182" s="17" t="str" cm="1">
        <f t="array" ref="L2182">_xlfn.IFS(MID(K2182,2,2)="01", "서울", MID(K2182,2,2)="02","경기",MID(K2182,2,2)="03","충청",MID(K2182,2,2)="04","충청",MID(K2182,2,2)="05","전라",MID(K2182,2,2)="06","전라",MID(K2182,2,2)="07","경북",MID(K2182,2,2)="08","경남",MID(K2182,2,2)="09","강원",MID(K2182,2,2)="10","제주",TRUE,"국외")</f>
        <v>충청</v>
      </c>
    </row>
    <row r="2183" spans="1:12" ht="17.25" thickBot="1">
      <c r="A2183" s="3" t="s">
        <v>2230</v>
      </c>
      <c r="B2183" s="3" t="s">
        <v>1950</v>
      </c>
      <c r="C2183" s="3"/>
      <c r="D2183" s="4" t="s">
        <v>254</v>
      </c>
      <c r="E2183" s="4" t="s">
        <v>607</v>
      </c>
      <c r="F2183" s="4">
        <v>2006</v>
      </c>
      <c r="G2183" s="8">
        <v>0</v>
      </c>
      <c r="H2183" s="4" t="s">
        <v>607</v>
      </c>
      <c r="I2183" s="8">
        <v>-0.6</v>
      </c>
      <c r="J2183" s="3">
        <v>10716</v>
      </c>
      <c r="K2183" s="3">
        <v>50115</v>
      </c>
      <c r="L2183" s="17" t="str" cm="1">
        <f t="array" ref="L2183">_xlfn.IFS(MID(K2183,2,2)="01", "서울", MID(K2183,2,2)="02","경기",MID(K2183,2,2)="03","충청",MID(K2183,2,2)="04","충청",MID(K2183,2,2)="05","전라",MID(K2183,2,2)="06","전라",MID(K2183,2,2)="07","경북",MID(K2183,2,2)="08","경남",MID(K2183,2,2)="09","강원",MID(K2183,2,2)="10","제주",TRUE,"국외")</f>
        <v>서울</v>
      </c>
    </row>
    <row r="2184" spans="1:12" ht="17.25" thickBot="1">
      <c r="A2184" s="3" t="s">
        <v>2231</v>
      </c>
      <c r="B2184" s="3" t="s">
        <v>2139</v>
      </c>
      <c r="C2184" s="3"/>
      <c r="D2184" s="4" t="s">
        <v>254</v>
      </c>
      <c r="E2184" s="4" t="s">
        <v>26</v>
      </c>
      <c r="F2184" s="4">
        <v>2006</v>
      </c>
      <c r="G2184" s="8">
        <v>-0.3</v>
      </c>
      <c r="H2184" s="4" t="s">
        <v>26</v>
      </c>
      <c r="I2184" s="8">
        <v>20.2</v>
      </c>
      <c r="J2184" s="3">
        <v>10188</v>
      </c>
      <c r="K2184" s="3">
        <v>50104</v>
      </c>
      <c r="L2184" s="17" t="str" cm="1">
        <f t="array" ref="L2184">_xlfn.IFS(MID(K2184,2,2)="01", "서울", MID(K2184,2,2)="02","경기",MID(K2184,2,2)="03","충청",MID(K2184,2,2)="04","충청",MID(K2184,2,2)="05","전라",MID(K2184,2,2)="06","전라",MID(K2184,2,2)="07","경북",MID(K2184,2,2)="08","경남",MID(K2184,2,2)="09","강원",MID(K2184,2,2)="10","제주",TRUE,"국외")</f>
        <v>서울</v>
      </c>
    </row>
    <row r="2185" spans="1:12" ht="17.25" thickBot="1">
      <c r="A2185" s="3" t="s">
        <v>1985</v>
      </c>
      <c r="B2185" s="3" t="s">
        <v>66</v>
      </c>
      <c r="C2185" s="3"/>
      <c r="D2185" s="4" t="s">
        <v>254</v>
      </c>
      <c r="E2185" s="4" t="s">
        <v>23</v>
      </c>
      <c r="F2185" s="4">
        <v>2008</v>
      </c>
      <c r="G2185" s="9"/>
      <c r="H2185" s="4" t="s">
        <v>18</v>
      </c>
      <c r="I2185" s="8">
        <v>2.5</v>
      </c>
      <c r="J2185" s="3">
        <v>10427</v>
      </c>
      <c r="K2185" s="3">
        <v>50110</v>
      </c>
      <c r="L2185" s="17" t="str" cm="1">
        <f t="array" ref="L2185">_xlfn.IFS(MID(K2185,2,2)="01", "서울", MID(K2185,2,2)="02","경기",MID(K2185,2,2)="03","충청",MID(K2185,2,2)="04","충청",MID(K2185,2,2)="05","전라",MID(K2185,2,2)="06","전라",MID(K2185,2,2)="07","경북",MID(K2185,2,2)="08","경남",MID(K2185,2,2)="09","강원",MID(K2185,2,2)="10","제주",TRUE,"국외")</f>
        <v>서울</v>
      </c>
    </row>
    <row r="2186" spans="1:12" ht="17.25" thickBot="1">
      <c r="A2186" s="3" t="s">
        <v>2232</v>
      </c>
      <c r="B2186" s="3" t="s">
        <v>2139</v>
      </c>
      <c r="C2186" s="3"/>
      <c r="D2186" s="4" t="s">
        <v>254</v>
      </c>
      <c r="E2186" s="4" t="s">
        <v>2164</v>
      </c>
      <c r="F2186" s="4">
        <v>2007</v>
      </c>
      <c r="G2186" s="9"/>
      <c r="H2186" s="4" t="s">
        <v>18</v>
      </c>
      <c r="I2186" s="8">
        <v>3.1</v>
      </c>
      <c r="J2186" s="3">
        <v>10431</v>
      </c>
      <c r="K2186" s="3">
        <v>50104</v>
      </c>
      <c r="L2186" s="17" t="str" cm="1">
        <f t="array" ref="L2186">_xlfn.IFS(MID(K2186,2,2)="01", "서울", MID(K2186,2,2)="02","경기",MID(K2186,2,2)="03","충청",MID(K2186,2,2)="04","충청",MID(K2186,2,2)="05","전라",MID(K2186,2,2)="06","전라",MID(K2186,2,2)="07","경북",MID(K2186,2,2)="08","경남",MID(K2186,2,2)="09","강원",MID(K2186,2,2)="10","제주",TRUE,"국외")</f>
        <v>서울</v>
      </c>
    </row>
    <row r="2187" spans="1:12" ht="17.25" thickBot="1">
      <c r="A2187" s="3" t="s">
        <v>2233</v>
      </c>
      <c r="B2187" s="3" t="s">
        <v>2139</v>
      </c>
      <c r="C2187" s="3"/>
      <c r="D2187" s="4" t="s">
        <v>254</v>
      </c>
      <c r="E2187" s="4" t="s">
        <v>9</v>
      </c>
      <c r="F2187" s="4">
        <v>2006</v>
      </c>
      <c r="G2187" s="8">
        <v>0.1</v>
      </c>
      <c r="H2187" s="4" t="s">
        <v>9</v>
      </c>
      <c r="I2187" s="8">
        <v>2.2000000000000002</v>
      </c>
      <c r="J2187" s="3">
        <v>10648</v>
      </c>
      <c r="K2187" s="3">
        <v>50104</v>
      </c>
      <c r="L2187" s="17" t="str" cm="1">
        <f t="array" ref="L2187">_xlfn.IFS(MID(K2187,2,2)="01", "서울", MID(K2187,2,2)="02","경기",MID(K2187,2,2)="03","충청",MID(K2187,2,2)="04","충청",MID(K2187,2,2)="05","전라",MID(K2187,2,2)="06","전라",MID(K2187,2,2)="07","경북",MID(K2187,2,2)="08","경남",MID(K2187,2,2)="09","강원",MID(K2187,2,2)="10","제주",TRUE,"국외")</f>
        <v>서울</v>
      </c>
    </row>
    <row r="2188" spans="1:12" ht="17.25" thickBot="1">
      <c r="A2188" s="3" t="s">
        <v>2234</v>
      </c>
      <c r="B2188" s="3" t="s">
        <v>1791</v>
      </c>
      <c r="C2188" s="3" t="s">
        <v>1796</v>
      </c>
      <c r="D2188" s="4" t="s">
        <v>254</v>
      </c>
      <c r="E2188" s="4" t="s">
        <v>3</v>
      </c>
      <c r="F2188" s="4">
        <v>2006</v>
      </c>
      <c r="G2188" s="8">
        <v>0</v>
      </c>
      <c r="H2188" s="4" t="s">
        <v>3</v>
      </c>
      <c r="I2188" s="8">
        <v>0</v>
      </c>
      <c r="J2188" s="3">
        <v>10772</v>
      </c>
      <c r="K2188" s="3">
        <v>50303</v>
      </c>
      <c r="L2188" s="17" t="str" cm="1">
        <f t="array" ref="L2188">_xlfn.IFS(MID(K2188,2,2)="01", "서울", MID(K2188,2,2)="02","경기",MID(K2188,2,2)="03","충청",MID(K2188,2,2)="04","충청",MID(K2188,2,2)="05","전라",MID(K2188,2,2)="06","전라",MID(K2188,2,2)="07","경북",MID(K2188,2,2)="08","경남",MID(K2188,2,2)="09","강원",MID(K2188,2,2)="10","제주",TRUE,"국외")</f>
        <v>충청</v>
      </c>
    </row>
    <row r="2189" spans="1:12" ht="17.25" thickBot="1">
      <c r="A2189" s="3" t="s">
        <v>2235</v>
      </c>
      <c r="B2189" s="3" t="s">
        <v>358</v>
      </c>
      <c r="C2189" s="3"/>
      <c r="D2189" s="4" t="s">
        <v>254</v>
      </c>
      <c r="E2189" s="4" t="s">
        <v>20</v>
      </c>
      <c r="F2189" s="4">
        <v>2006</v>
      </c>
      <c r="G2189" s="8">
        <v>-0.2</v>
      </c>
      <c r="H2189" s="4" t="s">
        <v>20</v>
      </c>
      <c r="I2189" s="8">
        <v>-0.2</v>
      </c>
      <c r="J2189" s="3">
        <f>2390</f>
        <v>2390</v>
      </c>
      <c r="K2189" s="3">
        <v>50902</v>
      </c>
      <c r="L2189" s="17" t="str" cm="1">
        <f t="array" ref="L2189">_xlfn.IFS(MID(K2189,2,2)="01", "서울", MID(K2189,2,2)="02","경기",MID(K2189,2,2)="03","충청",MID(K2189,2,2)="04","충청",MID(K2189,2,2)="05","전라",MID(K2189,2,2)="06","전라",MID(K2189,2,2)="07","경북",MID(K2189,2,2)="08","경남",MID(K2189,2,2)="09","강원",MID(K2189,2,2)="10","제주",TRUE,"국외")</f>
        <v>강원</v>
      </c>
    </row>
    <row r="2190" spans="1:12" ht="17.25" thickBot="1">
      <c r="A2190" s="3" t="s">
        <v>1238</v>
      </c>
      <c r="B2190" s="3" t="s">
        <v>107</v>
      </c>
      <c r="C2190" s="3"/>
      <c r="D2190" s="4" t="s">
        <v>254</v>
      </c>
      <c r="E2190" s="4" t="s">
        <v>607</v>
      </c>
      <c r="F2190" s="4">
        <v>2006</v>
      </c>
      <c r="G2190" s="8">
        <v>0.1</v>
      </c>
      <c r="H2190" s="4" t="s">
        <v>607</v>
      </c>
      <c r="I2190" s="8">
        <v>14.4</v>
      </c>
      <c r="J2190" s="3">
        <v>10636</v>
      </c>
      <c r="K2190" s="3">
        <v>50602</v>
      </c>
      <c r="L2190" s="17" t="str" cm="1">
        <f t="array" ref="L2190">_xlfn.IFS(MID(K2190,2,2)="01", "서울", MID(K2190,2,2)="02","경기",MID(K2190,2,2)="03","충청",MID(K2190,2,2)="04","충청",MID(K2190,2,2)="05","전라",MID(K2190,2,2)="06","전라",MID(K2190,2,2)="07","경북",MID(K2190,2,2)="08","경남",MID(K2190,2,2)="09","강원",MID(K2190,2,2)="10","제주",TRUE,"국외")</f>
        <v>전라</v>
      </c>
    </row>
    <row r="2191" spans="1:12" ht="17.25" thickBot="1">
      <c r="A2191" s="3" t="s">
        <v>2236</v>
      </c>
      <c r="B2191" s="3" t="s">
        <v>241</v>
      </c>
      <c r="C2191" s="3"/>
      <c r="D2191" s="4" t="s">
        <v>254</v>
      </c>
      <c r="E2191" s="4" t="s">
        <v>6</v>
      </c>
      <c r="F2191" s="4">
        <v>2008</v>
      </c>
      <c r="G2191" s="9"/>
      <c r="H2191" s="4" t="s">
        <v>6</v>
      </c>
      <c r="I2191" s="8">
        <v>-4.5999999999999996</v>
      </c>
      <c r="J2191" s="3">
        <v>10050</v>
      </c>
      <c r="K2191" s="3">
        <v>50202</v>
      </c>
      <c r="L2191" s="17" t="str" cm="1">
        <f t="array" ref="L2191">_xlfn.IFS(MID(K2191,2,2)="01", "서울", MID(K2191,2,2)="02","경기",MID(K2191,2,2)="03","충청",MID(K2191,2,2)="04","충청",MID(K2191,2,2)="05","전라",MID(K2191,2,2)="06","전라",MID(K2191,2,2)="07","경북",MID(K2191,2,2)="08","경남",MID(K2191,2,2)="09","강원",MID(K2191,2,2)="10","제주",TRUE,"국외")</f>
        <v>경기</v>
      </c>
    </row>
    <row r="2192" spans="1:12" ht="17.25" thickBot="1">
      <c r="A2192" s="3" t="s">
        <v>2237</v>
      </c>
      <c r="B2192" s="3" t="s">
        <v>241</v>
      </c>
      <c r="C2192" s="3"/>
      <c r="D2192" s="4" t="s">
        <v>254</v>
      </c>
      <c r="E2192" s="4" t="s">
        <v>23</v>
      </c>
      <c r="F2192" s="4">
        <v>2006</v>
      </c>
      <c r="G2192" s="8">
        <v>-0.3</v>
      </c>
      <c r="H2192" s="4" t="s">
        <v>23</v>
      </c>
      <c r="I2192" s="8">
        <v>-0.9</v>
      </c>
      <c r="J2192" s="3">
        <v>10718</v>
      </c>
      <c r="K2192" s="3">
        <v>50202</v>
      </c>
      <c r="L2192" s="17" t="str" cm="1">
        <f t="array" ref="L2192">_xlfn.IFS(MID(K2192,2,2)="01", "서울", MID(K2192,2,2)="02","경기",MID(K2192,2,2)="03","충청",MID(K2192,2,2)="04","충청",MID(K2192,2,2)="05","전라",MID(K2192,2,2)="06","전라",MID(K2192,2,2)="07","경북",MID(K2192,2,2)="08","경남",MID(K2192,2,2)="09","강원",MID(K2192,2,2)="10","제주",TRUE,"국외")</f>
        <v>경기</v>
      </c>
    </row>
    <row r="2193" spans="1:12" ht="17.25" thickBot="1">
      <c r="A2193" s="3" t="s">
        <v>2238</v>
      </c>
      <c r="B2193" s="3" t="s">
        <v>68</v>
      </c>
      <c r="C2193" s="3" t="s">
        <v>1796</v>
      </c>
      <c r="D2193" s="4" t="s">
        <v>254</v>
      </c>
      <c r="E2193" s="4" t="s">
        <v>2164</v>
      </c>
      <c r="F2193" s="4">
        <v>2007</v>
      </c>
      <c r="G2193" s="9"/>
      <c r="H2193" s="4" t="s">
        <v>9</v>
      </c>
      <c r="I2193" s="8">
        <v>46.5</v>
      </c>
      <c r="J2193" s="3">
        <v>10407</v>
      </c>
      <c r="K2193" s="3">
        <v>50101</v>
      </c>
      <c r="L2193" s="17" t="str" cm="1">
        <f t="array" ref="L2193">_xlfn.IFS(MID(K2193,2,2)="01", "서울", MID(K2193,2,2)="02","경기",MID(K2193,2,2)="03","충청",MID(K2193,2,2)="04","충청",MID(K2193,2,2)="05","전라",MID(K2193,2,2)="06","전라",MID(K2193,2,2)="07","경북",MID(K2193,2,2)="08","경남",MID(K2193,2,2)="09","강원",MID(K2193,2,2)="10","제주",TRUE,"국외")</f>
        <v>서울</v>
      </c>
    </row>
    <row r="2194" spans="1:12" ht="17.25" thickBot="1">
      <c r="A2194" s="3" t="s">
        <v>2239</v>
      </c>
      <c r="B2194" s="3" t="s">
        <v>147</v>
      </c>
      <c r="C2194" s="3" t="s">
        <v>1796</v>
      </c>
      <c r="D2194" s="4" t="s">
        <v>254</v>
      </c>
      <c r="E2194" s="4" t="s">
        <v>9</v>
      </c>
      <c r="F2194" s="4">
        <v>2006</v>
      </c>
      <c r="G2194" s="8">
        <v>-0.3</v>
      </c>
      <c r="H2194" s="4" t="s">
        <v>9</v>
      </c>
      <c r="I2194" s="8">
        <v>7.9</v>
      </c>
      <c r="J2194" s="3">
        <v>10281</v>
      </c>
      <c r="K2194" s="3">
        <v>50208</v>
      </c>
      <c r="L2194" s="17" t="str" cm="1">
        <f t="array" ref="L2194">_xlfn.IFS(MID(K2194,2,2)="01", "서울", MID(K2194,2,2)="02","경기",MID(K2194,2,2)="03","충청",MID(K2194,2,2)="04","충청",MID(K2194,2,2)="05","전라",MID(K2194,2,2)="06","전라",MID(K2194,2,2)="07","경북",MID(K2194,2,2)="08","경남",MID(K2194,2,2)="09","강원",MID(K2194,2,2)="10","제주",TRUE,"국외")</f>
        <v>경기</v>
      </c>
    </row>
    <row r="2195" spans="1:12" ht="17.25" thickBot="1">
      <c r="A2195" s="3" t="s">
        <v>2240</v>
      </c>
      <c r="B2195" s="3" t="s">
        <v>82</v>
      </c>
      <c r="C2195" s="3"/>
      <c r="D2195" s="4" t="s">
        <v>254</v>
      </c>
      <c r="E2195" s="4" t="s">
        <v>3</v>
      </c>
      <c r="F2195" s="4">
        <v>2010</v>
      </c>
      <c r="G2195" s="9"/>
      <c r="H2195" s="4" t="s">
        <v>3</v>
      </c>
      <c r="I2195" s="8">
        <v>0.4</v>
      </c>
      <c r="J2195" s="3">
        <v>10770</v>
      </c>
      <c r="K2195" s="3">
        <v>50605</v>
      </c>
      <c r="L2195" s="17" t="str" cm="1">
        <f t="array" ref="L2195">_xlfn.IFS(MID(K2195,2,2)="01", "서울", MID(K2195,2,2)="02","경기",MID(K2195,2,2)="03","충청",MID(K2195,2,2)="04","충청",MID(K2195,2,2)="05","전라",MID(K2195,2,2)="06","전라",MID(K2195,2,2)="07","경북",MID(K2195,2,2)="08","경남",MID(K2195,2,2)="09","강원",MID(K2195,2,2)="10","제주",TRUE,"국외")</f>
        <v>전라</v>
      </c>
    </row>
    <row r="2196" spans="1:12" ht="17.25" thickBot="1">
      <c r="A2196" s="3" t="s">
        <v>2241</v>
      </c>
      <c r="B2196" s="3" t="s">
        <v>158</v>
      </c>
      <c r="C2196" s="3"/>
      <c r="D2196" s="4" t="s">
        <v>254</v>
      </c>
      <c r="E2196" s="4" t="s">
        <v>20</v>
      </c>
      <c r="F2196" s="4">
        <v>2006</v>
      </c>
      <c r="G2196" s="8">
        <v>-0.1</v>
      </c>
      <c r="H2196" s="4" t="s">
        <v>20</v>
      </c>
      <c r="I2196" s="8">
        <v>-0.5</v>
      </c>
      <c r="J2196" s="3">
        <v>10758</v>
      </c>
      <c r="K2196" s="3">
        <v>50501</v>
      </c>
      <c r="L2196" s="17" t="str" cm="1">
        <f t="array" ref="L2196">_xlfn.IFS(MID(K2196,2,2)="01", "서울", MID(K2196,2,2)="02","경기",MID(K2196,2,2)="03","충청",MID(K2196,2,2)="04","충청",MID(K2196,2,2)="05","전라",MID(K2196,2,2)="06","전라",MID(K2196,2,2)="07","경북",MID(K2196,2,2)="08","경남",MID(K2196,2,2)="09","강원",MID(K2196,2,2)="10","제주",TRUE,"국외")</f>
        <v>전라</v>
      </c>
    </row>
    <row r="2197" spans="1:12" ht="17.25" thickBot="1">
      <c r="A2197" s="3" t="s">
        <v>2242</v>
      </c>
      <c r="B2197" s="3" t="s">
        <v>40</v>
      </c>
      <c r="C2197" s="3"/>
      <c r="D2197" s="4" t="s">
        <v>254</v>
      </c>
      <c r="E2197" s="4" t="s">
        <v>2164</v>
      </c>
      <c r="F2197" s="4">
        <v>2007</v>
      </c>
      <c r="G2197" s="9"/>
      <c r="H2197" s="4" t="s">
        <v>18</v>
      </c>
      <c r="I2197" s="8">
        <v>5.4</v>
      </c>
      <c r="J2197" s="3">
        <v>10456</v>
      </c>
      <c r="K2197" s="3">
        <v>50108</v>
      </c>
      <c r="L2197" s="17" t="str" cm="1">
        <f t="array" ref="L2197">_xlfn.IFS(MID(K2197,2,2)="01", "서울", MID(K2197,2,2)="02","경기",MID(K2197,2,2)="03","충청",MID(K2197,2,2)="04","충청",MID(K2197,2,2)="05","전라",MID(K2197,2,2)="06","전라",MID(K2197,2,2)="07","경북",MID(K2197,2,2)="08","경남",MID(K2197,2,2)="09","강원",MID(K2197,2,2)="10","제주",TRUE,"국외")</f>
        <v>서울</v>
      </c>
    </row>
    <row r="2198" spans="1:12" ht="17.25" thickBot="1">
      <c r="A2198" s="3" t="s">
        <v>911</v>
      </c>
      <c r="B2198" s="3" t="s">
        <v>11</v>
      </c>
      <c r="C2198" s="3" t="s">
        <v>1796</v>
      </c>
      <c r="D2198" s="4" t="s">
        <v>254</v>
      </c>
      <c r="E2198" s="4" t="s">
        <v>9</v>
      </c>
      <c r="F2198" s="4">
        <v>2006</v>
      </c>
      <c r="G2198" s="8">
        <v>-0.1</v>
      </c>
      <c r="H2198" s="4" t="s">
        <v>9</v>
      </c>
      <c r="I2198" s="8">
        <v>0.3</v>
      </c>
      <c r="J2198" s="3">
        <v>10274</v>
      </c>
      <c r="K2198" s="3">
        <v>50802</v>
      </c>
      <c r="L2198" s="17" t="str" cm="1">
        <f t="array" ref="L2198">_xlfn.IFS(MID(K2198,2,2)="01", "서울", MID(K2198,2,2)="02","경기",MID(K2198,2,2)="03","충청",MID(K2198,2,2)="04","충청",MID(K2198,2,2)="05","전라",MID(K2198,2,2)="06","전라",MID(K2198,2,2)="07","경북",MID(K2198,2,2)="08","경남",MID(K2198,2,2)="09","강원",MID(K2198,2,2)="10","제주",TRUE,"국외")</f>
        <v>경남</v>
      </c>
    </row>
    <row r="2199" spans="1:12" ht="17.25" thickBot="1">
      <c r="A2199" s="3" t="s">
        <v>155</v>
      </c>
      <c r="B2199" s="3" t="s">
        <v>17</v>
      </c>
      <c r="C2199" s="3"/>
      <c r="D2199" s="4" t="s">
        <v>254</v>
      </c>
      <c r="E2199" s="4" t="s">
        <v>607</v>
      </c>
      <c r="F2199" s="4">
        <v>2007</v>
      </c>
      <c r="G2199" s="9"/>
      <c r="H2199" s="4" t="s">
        <v>607</v>
      </c>
      <c r="I2199" s="8">
        <v>1.7</v>
      </c>
      <c r="J2199" s="3">
        <v>10111</v>
      </c>
      <c r="K2199" s="3">
        <v>50903</v>
      </c>
      <c r="L2199" s="17" t="str" cm="1">
        <f t="array" ref="L2199">_xlfn.IFS(MID(K2199,2,2)="01", "서울", MID(K2199,2,2)="02","경기",MID(K2199,2,2)="03","충청",MID(K2199,2,2)="04","충청",MID(K2199,2,2)="05","전라",MID(K2199,2,2)="06","전라",MID(K2199,2,2)="07","경북",MID(K2199,2,2)="08","경남",MID(K2199,2,2)="09","강원",MID(K2199,2,2)="10","제주",TRUE,"국외")</f>
        <v>강원</v>
      </c>
    </row>
    <row r="2200" spans="1:12" ht="17.25" thickBot="1">
      <c r="A2200" s="3" t="s">
        <v>2243</v>
      </c>
      <c r="B2200" s="3" t="s">
        <v>147</v>
      </c>
      <c r="C2200" s="3"/>
      <c r="D2200" s="4" t="s">
        <v>254</v>
      </c>
      <c r="E2200" s="4" t="s">
        <v>2164</v>
      </c>
      <c r="F2200" s="4">
        <v>2011</v>
      </c>
      <c r="G2200" s="9"/>
      <c r="H2200" s="4" t="s">
        <v>607</v>
      </c>
      <c r="I2200" s="8">
        <v>-0.5</v>
      </c>
      <c r="J2200" s="3">
        <v>10763</v>
      </c>
      <c r="K2200" s="3">
        <v>50208</v>
      </c>
      <c r="L2200" s="17" t="str" cm="1">
        <f t="array" ref="L2200">_xlfn.IFS(MID(K2200,2,2)="01", "서울", MID(K2200,2,2)="02","경기",MID(K2200,2,2)="03","충청",MID(K2200,2,2)="04","충청",MID(K2200,2,2)="05","전라",MID(K2200,2,2)="06","전라",MID(K2200,2,2)="07","경북",MID(K2200,2,2)="08","경남",MID(K2200,2,2)="09","강원",MID(K2200,2,2)="10","제주",TRUE,"국외")</f>
        <v>경기</v>
      </c>
    </row>
    <row r="2201" spans="1:12" ht="17.25" thickBot="1">
      <c r="A2201" s="3" t="s">
        <v>2244</v>
      </c>
      <c r="B2201" s="3" t="s">
        <v>93</v>
      </c>
      <c r="C2201" s="3" t="s">
        <v>99</v>
      </c>
      <c r="D2201" s="4" t="s">
        <v>254</v>
      </c>
      <c r="E2201" s="4" t="s">
        <v>9</v>
      </c>
      <c r="F2201" s="4">
        <v>2006</v>
      </c>
      <c r="G2201" s="8">
        <v>0.4</v>
      </c>
      <c r="H2201" s="4" t="s">
        <v>9</v>
      </c>
      <c r="I2201" s="8">
        <v>-1.3</v>
      </c>
      <c r="J2201" s="3">
        <v>10267</v>
      </c>
      <c r="K2201" s="3">
        <v>50805</v>
      </c>
      <c r="L2201" s="17" t="str" cm="1">
        <f t="array" ref="L2201">_xlfn.IFS(MID(K2201,2,2)="01", "서울", MID(K2201,2,2)="02","경기",MID(K2201,2,2)="03","충청",MID(K2201,2,2)="04","충청",MID(K2201,2,2)="05","전라",MID(K2201,2,2)="06","전라",MID(K2201,2,2)="07","경북",MID(K2201,2,2)="08","경남",MID(K2201,2,2)="09","강원",MID(K2201,2,2)="10","제주",TRUE,"국외")</f>
        <v>경남</v>
      </c>
    </row>
    <row r="2202" spans="1:12" ht="17.25" thickBot="1">
      <c r="A2202" s="3" t="s">
        <v>2245</v>
      </c>
      <c r="B2202" s="3" t="s">
        <v>63</v>
      </c>
      <c r="C2202" s="3"/>
      <c r="D2202" s="4" t="s">
        <v>254</v>
      </c>
      <c r="E2202" s="4" t="s">
        <v>6</v>
      </c>
      <c r="F2202" s="4"/>
      <c r="G2202" s="9"/>
      <c r="H2202" s="4"/>
      <c r="I2202" s="9"/>
      <c r="J2202" s="3">
        <v>10791</v>
      </c>
      <c r="K2202" s="3">
        <v>50807</v>
      </c>
      <c r="L2202" s="17" t="str" cm="1">
        <f t="array" ref="L2202">_xlfn.IFS(MID(K2202,2,2)="01", "서울", MID(K2202,2,2)="02","경기",MID(K2202,2,2)="03","충청",MID(K2202,2,2)="04","충청",MID(K2202,2,2)="05","전라",MID(K2202,2,2)="06","전라",MID(K2202,2,2)="07","경북",MID(K2202,2,2)="08","경남",MID(K2202,2,2)="09","강원",MID(K2202,2,2)="10","제주",TRUE,"국외")</f>
        <v>경남</v>
      </c>
    </row>
    <row r="2203" spans="1:12" ht="17.25" thickBot="1">
      <c r="A2203" s="3" t="s">
        <v>2246</v>
      </c>
      <c r="B2203" s="3" t="s">
        <v>96</v>
      </c>
      <c r="C2203" s="3"/>
      <c r="D2203" s="4" t="s">
        <v>254</v>
      </c>
      <c r="E2203" s="4" t="s">
        <v>26</v>
      </c>
      <c r="F2203" s="4">
        <v>2006</v>
      </c>
      <c r="G2203" s="8">
        <v>-0.1</v>
      </c>
      <c r="H2203" s="4" t="s">
        <v>26</v>
      </c>
      <c r="I2203" s="8">
        <v>22.4</v>
      </c>
      <c r="J2203" s="3">
        <v>10182</v>
      </c>
      <c r="K2203" s="3">
        <v>50601</v>
      </c>
      <c r="L2203" s="17" t="str" cm="1">
        <f t="array" ref="L2203">_xlfn.IFS(MID(K2203,2,2)="01", "서울", MID(K2203,2,2)="02","경기",MID(K2203,2,2)="03","충청",MID(K2203,2,2)="04","충청",MID(K2203,2,2)="05","전라",MID(K2203,2,2)="06","전라",MID(K2203,2,2)="07","경북",MID(K2203,2,2)="08","경남",MID(K2203,2,2)="09","강원",MID(K2203,2,2)="10","제주",TRUE,"국외")</f>
        <v>전라</v>
      </c>
    </row>
    <row r="2204" spans="1:12" ht="17.25" thickBot="1">
      <c r="A2204" s="3" t="s">
        <v>2247</v>
      </c>
      <c r="B2204" s="3" t="s">
        <v>66</v>
      </c>
      <c r="C2204" s="3"/>
      <c r="D2204" s="4" t="s">
        <v>254</v>
      </c>
      <c r="E2204" s="4" t="s">
        <v>23</v>
      </c>
      <c r="F2204" s="4">
        <v>2008</v>
      </c>
      <c r="G2204" s="9"/>
      <c r="H2204" s="4" t="s">
        <v>23</v>
      </c>
      <c r="I2204" s="8">
        <v>-0.8</v>
      </c>
      <c r="J2204" s="3">
        <v>10694</v>
      </c>
      <c r="K2204" s="3">
        <v>50110</v>
      </c>
      <c r="L2204" s="17" t="str" cm="1">
        <f t="array" ref="L2204">_xlfn.IFS(MID(K2204,2,2)="01", "서울", MID(K2204,2,2)="02","경기",MID(K2204,2,2)="03","충청",MID(K2204,2,2)="04","충청",MID(K2204,2,2)="05","전라",MID(K2204,2,2)="06","전라",MID(K2204,2,2)="07","경북",MID(K2204,2,2)="08","경남",MID(K2204,2,2)="09","강원",MID(K2204,2,2)="10","제주",TRUE,"국외")</f>
        <v>서울</v>
      </c>
    </row>
    <row r="2205" spans="1:12" ht="17.25" thickBot="1">
      <c r="A2205" s="3" t="s">
        <v>2248</v>
      </c>
      <c r="B2205" s="3" t="s">
        <v>332</v>
      </c>
      <c r="C2205" s="3"/>
      <c r="D2205" s="4" t="s">
        <v>254</v>
      </c>
      <c r="E2205" s="4" t="s">
        <v>2164</v>
      </c>
      <c r="F2205" s="4">
        <v>2007</v>
      </c>
      <c r="G2205" s="9"/>
      <c r="H2205" s="4" t="s">
        <v>18</v>
      </c>
      <c r="I2205" s="8">
        <v>-0.2</v>
      </c>
      <c r="J2205" s="3">
        <v>10390</v>
      </c>
      <c r="K2205" s="3">
        <v>50705</v>
      </c>
      <c r="L2205" s="17" t="str" cm="1">
        <f t="array" ref="L2205">_xlfn.IFS(MID(K2205,2,2)="01", "서울", MID(K2205,2,2)="02","경기",MID(K2205,2,2)="03","충청",MID(K2205,2,2)="04","충청",MID(K2205,2,2)="05","전라",MID(K2205,2,2)="06","전라",MID(K2205,2,2)="07","경북",MID(K2205,2,2)="08","경남",MID(K2205,2,2)="09","강원",MID(K2205,2,2)="10","제주",TRUE,"국외")</f>
        <v>경북</v>
      </c>
    </row>
    <row r="2206" spans="1:12" ht="17.25" thickBot="1">
      <c r="A2206" s="3" t="s">
        <v>2249</v>
      </c>
      <c r="B2206" s="3" t="s">
        <v>241</v>
      </c>
      <c r="C2206" s="3"/>
      <c r="D2206" s="4" t="s">
        <v>254</v>
      </c>
      <c r="E2206" s="4" t="s">
        <v>20</v>
      </c>
      <c r="F2206" s="4">
        <v>2006</v>
      </c>
      <c r="G2206" s="8">
        <v>0</v>
      </c>
      <c r="H2206" s="4" t="s">
        <v>607</v>
      </c>
      <c r="I2206" s="8">
        <v>0.5</v>
      </c>
      <c r="J2206" s="3">
        <v>11092</v>
      </c>
      <c r="K2206" s="3">
        <v>50202</v>
      </c>
      <c r="L2206" s="17" t="str" cm="1">
        <f t="array" ref="L2206">_xlfn.IFS(MID(K2206,2,2)="01", "서울", MID(K2206,2,2)="02","경기",MID(K2206,2,2)="03","충청",MID(K2206,2,2)="04","충청",MID(K2206,2,2)="05","전라",MID(K2206,2,2)="06","전라",MID(K2206,2,2)="07","경북",MID(K2206,2,2)="08","경남",MID(K2206,2,2)="09","강원",MID(K2206,2,2)="10","제주",TRUE,"국외")</f>
        <v>경기</v>
      </c>
    </row>
    <row r="2207" spans="1:12" ht="17.25" thickBot="1">
      <c r="A2207" s="3" t="s">
        <v>2250</v>
      </c>
      <c r="B2207" s="3" t="s">
        <v>25</v>
      </c>
      <c r="C2207" s="3"/>
      <c r="D2207" s="4" t="s">
        <v>254</v>
      </c>
      <c r="E2207" s="4" t="s">
        <v>2164</v>
      </c>
      <c r="F2207" s="4">
        <v>2008</v>
      </c>
      <c r="G2207" s="9"/>
      <c r="H2207" s="4" t="s">
        <v>18</v>
      </c>
      <c r="I2207" s="8">
        <v>0.6</v>
      </c>
      <c r="J2207" s="3">
        <v>10401</v>
      </c>
      <c r="K2207" s="3">
        <v>50403</v>
      </c>
      <c r="L2207" s="17" t="str" cm="1">
        <f t="array" ref="L2207">_xlfn.IFS(MID(K2207,2,2)="01", "서울", MID(K2207,2,2)="02","경기",MID(K2207,2,2)="03","충청",MID(K2207,2,2)="04","충청",MID(K2207,2,2)="05","전라",MID(K2207,2,2)="06","전라",MID(K2207,2,2)="07","경북",MID(K2207,2,2)="08","경남",MID(K2207,2,2)="09","강원",MID(K2207,2,2)="10","제주",TRUE,"국외")</f>
        <v>충청</v>
      </c>
    </row>
    <row r="2208" spans="1:12" ht="17.25" thickBot="1">
      <c r="A2208" s="3" t="s">
        <v>2251</v>
      </c>
      <c r="B2208" s="3" t="s">
        <v>121</v>
      </c>
      <c r="C2208" s="3"/>
      <c r="D2208" s="4" t="s">
        <v>254</v>
      </c>
      <c r="E2208" s="4" t="s">
        <v>26</v>
      </c>
      <c r="F2208" s="4">
        <v>2007</v>
      </c>
      <c r="G2208" s="9"/>
      <c r="H2208" s="4" t="s">
        <v>26</v>
      </c>
      <c r="I2208" s="8">
        <v>69.2</v>
      </c>
      <c r="J2208" s="3">
        <v>10165</v>
      </c>
      <c r="K2208" s="3">
        <v>50604</v>
      </c>
      <c r="L2208" s="17" t="str" cm="1">
        <f t="array" ref="L2208">_xlfn.IFS(MID(K2208,2,2)="01", "서울", MID(K2208,2,2)="02","경기",MID(K2208,2,2)="03","충청",MID(K2208,2,2)="04","충청",MID(K2208,2,2)="05","전라",MID(K2208,2,2)="06","전라",MID(K2208,2,2)="07","경북",MID(K2208,2,2)="08","경남",MID(K2208,2,2)="09","강원",MID(K2208,2,2)="10","제주",TRUE,"국외")</f>
        <v>전라</v>
      </c>
    </row>
    <row r="2209" spans="1:12" ht="17.25" thickBot="1">
      <c r="A2209" s="3" t="s">
        <v>810</v>
      </c>
      <c r="B2209" s="3" t="s">
        <v>22</v>
      </c>
      <c r="C2209" s="3"/>
      <c r="D2209" s="4" t="s">
        <v>254</v>
      </c>
      <c r="E2209" s="4" t="s">
        <v>607</v>
      </c>
      <c r="F2209" s="4">
        <v>2008</v>
      </c>
      <c r="G2209" s="9"/>
      <c r="H2209" s="4" t="s">
        <v>607</v>
      </c>
      <c r="I2209" s="8">
        <v>17.600000000000001</v>
      </c>
      <c r="J2209" s="3">
        <v>10119</v>
      </c>
      <c r="K2209" s="3">
        <v>50209</v>
      </c>
      <c r="L2209" s="17" t="str" cm="1">
        <f t="array" ref="L2209">_xlfn.IFS(MID(K2209,2,2)="01", "서울", MID(K2209,2,2)="02","경기",MID(K2209,2,2)="03","충청",MID(K2209,2,2)="04","충청",MID(K2209,2,2)="05","전라",MID(K2209,2,2)="06","전라",MID(K2209,2,2)="07","경북",MID(K2209,2,2)="08","경남",MID(K2209,2,2)="09","강원",MID(K2209,2,2)="10","제주",TRUE,"국외")</f>
        <v>경기</v>
      </c>
    </row>
    <row r="2210" spans="1:12" ht="17.25" thickBot="1">
      <c r="A2210" s="3" t="s">
        <v>2252</v>
      </c>
      <c r="B2210" s="3" t="s">
        <v>2139</v>
      </c>
      <c r="C2210" s="3" t="s">
        <v>208</v>
      </c>
      <c r="D2210" s="4" t="s">
        <v>254</v>
      </c>
      <c r="E2210" s="4" t="s">
        <v>9</v>
      </c>
      <c r="F2210" s="4">
        <v>2007</v>
      </c>
      <c r="G2210" s="9"/>
      <c r="H2210" s="4" t="s">
        <v>9</v>
      </c>
      <c r="I2210" s="8">
        <v>0</v>
      </c>
      <c r="J2210" s="3">
        <f>2399</f>
        <v>2399</v>
      </c>
      <c r="K2210" s="3">
        <v>50104</v>
      </c>
      <c r="L2210" s="17" t="str" cm="1">
        <f t="array" ref="L2210">_xlfn.IFS(MID(K2210,2,2)="01", "서울", MID(K2210,2,2)="02","경기",MID(K2210,2,2)="03","충청",MID(K2210,2,2)="04","충청",MID(K2210,2,2)="05","전라",MID(K2210,2,2)="06","전라",MID(K2210,2,2)="07","경북",MID(K2210,2,2)="08","경남",MID(K2210,2,2)="09","강원",MID(K2210,2,2)="10","제주",TRUE,"국외")</f>
        <v>서울</v>
      </c>
    </row>
    <row r="2211" spans="1:12" ht="17.25" thickBot="1">
      <c r="A2211" s="3" t="s">
        <v>2253</v>
      </c>
      <c r="B2211" s="3" t="s">
        <v>66</v>
      </c>
      <c r="C2211" s="3"/>
      <c r="D2211" s="4" t="s">
        <v>254</v>
      </c>
      <c r="E2211" s="4" t="s">
        <v>26</v>
      </c>
      <c r="F2211" s="4">
        <v>2011</v>
      </c>
      <c r="G2211" s="9"/>
      <c r="H2211" s="4" t="s">
        <v>607</v>
      </c>
      <c r="I2211" s="8">
        <v>-0.2</v>
      </c>
      <c r="J2211" s="3">
        <v>10114</v>
      </c>
      <c r="K2211" s="3">
        <v>50110</v>
      </c>
      <c r="L2211" s="17" t="str" cm="1">
        <f t="array" ref="L2211">_xlfn.IFS(MID(K2211,2,2)="01", "서울", MID(K2211,2,2)="02","경기",MID(K2211,2,2)="03","충청",MID(K2211,2,2)="04","충청",MID(K2211,2,2)="05","전라",MID(K2211,2,2)="06","전라",MID(K2211,2,2)="07","경북",MID(K2211,2,2)="08","경남",MID(K2211,2,2)="09","강원",MID(K2211,2,2)="10","제주",TRUE,"국외")</f>
        <v>서울</v>
      </c>
    </row>
    <row r="2212" spans="1:12" ht="17.25" thickBot="1">
      <c r="A2212" s="3" t="s">
        <v>2254</v>
      </c>
      <c r="B2212" s="3"/>
      <c r="C2212" s="3"/>
      <c r="D2212" s="4" t="s">
        <v>181</v>
      </c>
      <c r="E2212" s="4" t="s">
        <v>6</v>
      </c>
      <c r="F2212" s="4">
        <v>2006</v>
      </c>
      <c r="G2212" s="8">
        <v>0.3</v>
      </c>
      <c r="H2212" s="4" t="s">
        <v>6</v>
      </c>
      <c r="I2212" s="8">
        <v>0.3</v>
      </c>
      <c r="J2212" s="3">
        <f>2375</f>
        <v>2375</v>
      </c>
      <c r="K2212" s="3"/>
      <c r="L2212" s="17" t="str" cm="1">
        <f t="array" ref="L2212">_xlfn.IFS(MID(K2212,2,2)="01", "서울", MID(K2212,2,2)="02","경기",MID(K2212,2,2)="03","충청",MID(K2212,2,2)="04","충청",MID(K2212,2,2)="05","전라",MID(K2212,2,2)="06","전라",MID(K2212,2,2)="07","경북",MID(K2212,2,2)="08","경남",MID(K2212,2,2)="09","강원",MID(K2212,2,2)="10","제주",TRUE,"국외")</f>
        <v>국외</v>
      </c>
    </row>
    <row r="2213" spans="1:12" ht="17.25" thickBot="1">
      <c r="A2213" s="3" t="s">
        <v>1550</v>
      </c>
      <c r="B2213" s="3"/>
      <c r="C2213" s="3"/>
      <c r="D2213" s="4" t="s">
        <v>181</v>
      </c>
      <c r="E2213" s="4" t="s">
        <v>6</v>
      </c>
      <c r="F2213" s="4">
        <v>2006</v>
      </c>
      <c r="G2213" s="8">
        <v>-0.6</v>
      </c>
      <c r="H2213" s="4" t="s">
        <v>6</v>
      </c>
      <c r="I2213" s="8">
        <v>-0.6</v>
      </c>
      <c r="J2213" s="3">
        <f>2377</f>
        <v>2377</v>
      </c>
      <c r="K2213" s="3"/>
      <c r="L2213" s="17" t="str" cm="1">
        <f t="array" ref="L2213">_xlfn.IFS(MID(K2213,2,2)="01", "서울", MID(K2213,2,2)="02","경기",MID(K2213,2,2)="03","충청",MID(K2213,2,2)="04","충청",MID(K2213,2,2)="05","전라",MID(K2213,2,2)="06","전라",MID(K2213,2,2)="07","경북",MID(K2213,2,2)="08","경남",MID(K2213,2,2)="09","강원",MID(K2213,2,2)="10","제주",TRUE,"국외")</f>
        <v>국외</v>
      </c>
    </row>
    <row r="2214" spans="1:12" ht="17.25" thickBot="1">
      <c r="A2214" s="3" t="s">
        <v>2255</v>
      </c>
      <c r="B2214" s="3"/>
      <c r="C2214" s="3"/>
      <c r="D2214" s="4" t="s">
        <v>181</v>
      </c>
      <c r="E2214" s="4" t="s">
        <v>20</v>
      </c>
      <c r="F2214" s="4">
        <v>2006</v>
      </c>
      <c r="G2214" s="8">
        <v>-0.2</v>
      </c>
      <c r="H2214" s="4" t="s">
        <v>20</v>
      </c>
      <c r="I2214" s="8">
        <v>-0.2</v>
      </c>
      <c r="J2214" s="3">
        <f>2394</f>
        <v>2394</v>
      </c>
      <c r="K2214" s="3"/>
      <c r="L2214" s="17" t="str" cm="1">
        <f t="array" ref="L2214">_xlfn.IFS(MID(K2214,2,2)="01", "서울", MID(K2214,2,2)="02","경기",MID(K2214,2,2)="03","충청",MID(K2214,2,2)="04","충청",MID(K2214,2,2)="05","전라",MID(K2214,2,2)="06","전라",MID(K2214,2,2)="07","경북",MID(K2214,2,2)="08","경남",MID(K2214,2,2)="09","강원",MID(K2214,2,2)="10","제주",TRUE,"국외")</f>
        <v>국외</v>
      </c>
    </row>
    <row r="2215" spans="1:12" ht="17.25" thickBot="1">
      <c r="A2215" s="3" t="s">
        <v>2256</v>
      </c>
      <c r="B2215" s="3"/>
      <c r="C2215" s="3"/>
      <c r="D2215" s="4" t="s">
        <v>181</v>
      </c>
      <c r="E2215" s="4" t="s">
        <v>20</v>
      </c>
      <c r="F2215" s="4">
        <v>2006</v>
      </c>
      <c r="G2215" s="8">
        <v>1.1000000000000001</v>
      </c>
      <c r="H2215" s="4" t="s">
        <v>20</v>
      </c>
      <c r="I2215" s="8">
        <v>1.1000000000000001</v>
      </c>
      <c r="J2215" s="3">
        <f>2393</f>
        <v>2393</v>
      </c>
      <c r="K2215" s="3"/>
      <c r="L2215" s="17" t="str" cm="1">
        <f t="array" ref="L2215">_xlfn.IFS(MID(K2215,2,2)="01", "서울", MID(K2215,2,2)="02","경기",MID(K2215,2,2)="03","충청",MID(K2215,2,2)="04","충청",MID(K2215,2,2)="05","전라",MID(K2215,2,2)="06","전라",MID(K2215,2,2)="07","경북",MID(K2215,2,2)="08","경남",MID(K2215,2,2)="09","강원",MID(K2215,2,2)="10","제주",TRUE,"국외")</f>
        <v>국외</v>
      </c>
    </row>
    <row r="2216" spans="1:12" ht="17.25" thickBot="1">
      <c r="A2216" s="3" t="s">
        <v>2257</v>
      </c>
      <c r="B2216" s="3"/>
      <c r="C2216" s="3"/>
      <c r="D2216" s="4" t="s">
        <v>181</v>
      </c>
      <c r="E2216" s="4" t="s">
        <v>20</v>
      </c>
      <c r="F2216" s="4">
        <v>2006</v>
      </c>
      <c r="G2216" s="8">
        <v>0.3</v>
      </c>
      <c r="H2216" s="4" t="s">
        <v>20</v>
      </c>
      <c r="I2216" s="8">
        <v>0.3</v>
      </c>
      <c r="J2216" s="3">
        <f>2386</f>
        <v>2386</v>
      </c>
      <c r="K2216" s="3"/>
      <c r="L2216" s="17" t="str" cm="1">
        <f t="array" ref="L2216">_xlfn.IFS(MID(K2216,2,2)="01", "서울", MID(K2216,2,2)="02","경기",MID(K2216,2,2)="03","충청",MID(K2216,2,2)="04","충청",MID(K2216,2,2)="05","전라",MID(K2216,2,2)="06","전라",MID(K2216,2,2)="07","경북",MID(K2216,2,2)="08","경남",MID(K2216,2,2)="09","강원",MID(K2216,2,2)="10","제주",TRUE,"국외")</f>
        <v>국외</v>
      </c>
    </row>
    <row r="2217" spans="1:12" ht="17.25" thickBot="1">
      <c r="A2217" s="3" t="s">
        <v>2258</v>
      </c>
      <c r="B2217" s="3"/>
      <c r="C2217" s="3"/>
      <c r="D2217" s="4" t="s">
        <v>181</v>
      </c>
      <c r="E2217" s="4" t="s">
        <v>607</v>
      </c>
      <c r="F2217" s="4">
        <v>2006</v>
      </c>
      <c r="G2217" s="8">
        <v>1.9</v>
      </c>
      <c r="H2217" s="4" t="s">
        <v>607</v>
      </c>
      <c r="I2217" s="8">
        <v>1.9</v>
      </c>
      <c r="J2217" s="3">
        <f>2381</f>
        <v>2381</v>
      </c>
      <c r="K2217" s="3"/>
      <c r="L2217" s="17" t="str" cm="1">
        <f t="array" ref="L2217">_xlfn.IFS(MID(K2217,2,2)="01", "서울", MID(K2217,2,2)="02","경기",MID(K2217,2,2)="03","충청",MID(K2217,2,2)="04","충청",MID(K2217,2,2)="05","전라",MID(K2217,2,2)="06","전라",MID(K2217,2,2)="07","경북",MID(K2217,2,2)="08","경남",MID(K2217,2,2)="09","강원",MID(K2217,2,2)="10","제주",TRUE,"국외")</f>
        <v>국외</v>
      </c>
    </row>
    <row r="2218" spans="1:12" ht="17.25" thickBot="1">
      <c r="A2218" s="3" t="s">
        <v>2259</v>
      </c>
      <c r="B2218" s="3"/>
      <c r="C2218" s="3"/>
      <c r="D2218" s="4" t="s">
        <v>181</v>
      </c>
      <c r="E2218" s="4" t="s">
        <v>607</v>
      </c>
      <c r="F2218" s="4">
        <v>2006</v>
      </c>
      <c r="G2218" s="8">
        <v>0.7</v>
      </c>
      <c r="H2218" s="4" t="s">
        <v>607</v>
      </c>
      <c r="I2218" s="8">
        <v>0.7</v>
      </c>
      <c r="J2218" s="3">
        <f>2378</f>
        <v>2378</v>
      </c>
      <c r="K2218" s="3"/>
      <c r="L2218" s="17" t="str" cm="1">
        <f t="array" ref="L2218">_xlfn.IFS(MID(K2218,2,2)="01", "서울", MID(K2218,2,2)="02","경기",MID(K2218,2,2)="03","충청",MID(K2218,2,2)="04","충청",MID(K2218,2,2)="05","전라",MID(K2218,2,2)="06","전라",MID(K2218,2,2)="07","경북",MID(K2218,2,2)="08","경남",MID(K2218,2,2)="09","강원",MID(K2218,2,2)="10","제주",TRUE,"국외")</f>
        <v>국외</v>
      </c>
    </row>
    <row r="2219" spans="1:12" ht="17.25" thickBot="1">
      <c r="A2219" s="3" t="s">
        <v>2260</v>
      </c>
      <c r="B2219" s="3"/>
      <c r="C2219" s="3"/>
      <c r="D2219" s="4" t="s">
        <v>181</v>
      </c>
      <c r="E2219" s="4" t="s">
        <v>607</v>
      </c>
      <c r="F2219" s="4">
        <v>2006</v>
      </c>
      <c r="G2219" s="8">
        <v>0.6</v>
      </c>
      <c r="H2219" s="4" t="s">
        <v>607</v>
      </c>
      <c r="I2219" s="8">
        <v>0.6</v>
      </c>
      <c r="J2219" s="3">
        <f>2388</f>
        <v>2388</v>
      </c>
      <c r="K2219" s="3"/>
      <c r="L2219" s="17" t="str" cm="1">
        <f t="array" ref="L2219">_xlfn.IFS(MID(K2219,2,2)="01", "서울", MID(K2219,2,2)="02","경기",MID(K2219,2,2)="03","충청",MID(K2219,2,2)="04","충청",MID(K2219,2,2)="05","전라",MID(K2219,2,2)="06","전라",MID(K2219,2,2)="07","경북",MID(K2219,2,2)="08","경남",MID(K2219,2,2)="09","강원",MID(K2219,2,2)="10","제주",TRUE,"국외")</f>
        <v>국외</v>
      </c>
    </row>
    <row r="2220" spans="1:12" ht="17.25" thickBot="1">
      <c r="A2220" s="3" t="s">
        <v>2261</v>
      </c>
      <c r="B2220" s="3"/>
      <c r="C2220" s="3"/>
      <c r="D2220" s="4" t="s">
        <v>181</v>
      </c>
      <c r="E2220" s="4" t="s">
        <v>9</v>
      </c>
      <c r="F2220" s="4">
        <v>2006</v>
      </c>
      <c r="G2220" s="8">
        <v>-0.3</v>
      </c>
      <c r="H2220" s="4" t="s">
        <v>9</v>
      </c>
      <c r="I2220" s="8">
        <v>-0.3</v>
      </c>
      <c r="J2220" s="3">
        <f>2380</f>
        <v>2380</v>
      </c>
      <c r="K2220" s="3"/>
      <c r="L2220" s="17" t="str" cm="1">
        <f t="array" ref="L2220">_xlfn.IFS(MID(K2220,2,2)="01", "서울", MID(K2220,2,2)="02","경기",MID(K2220,2,2)="03","충청",MID(K2220,2,2)="04","충청",MID(K2220,2,2)="05","전라",MID(K2220,2,2)="06","전라",MID(K2220,2,2)="07","경북",MID(K2220,2,2)="08","경남",MID(K2220,2,2)="09","강원",MID(K2220,2,2)="10","제주",TRUE,"국외")</f>
        <v>국외</v>
      </c>
    </row>
    <row r="2221" spans="1:12" ht="17.25" thickBot="1">
      <c r="A2221" s="3" t="s">
        <v>2262</v>
      </c>
      <c r="B2221" s="3"/>
      <c r="C2221" s="3"/>
      <c r="D2221" s="4" t="s">
        <v>181</v>
      </c>
      <c r="E2221" s="4" t="s">
        <v>9</v>
      </c>
      <c r="F2221" s="4">
        <v>2006</v>
      </c>
      <c r="G2221" s="8">
        <v>2.7</v>
      </c>
      <c r="H2221" s="4" t="s">
        <v>9</v>
      </c>
      <c r="I2221" s="8">
        <v>2.7</v>
      </c>
      <c r="J2221" s="3">
        <f>2373</f>
        <v>2373</v>
      </c>
      <c r="K2221" s="3"/>
      <c r="L2221" s="17" t="str" cm="1">
        <f t="array" ref="L2221">_xlfn.IFS(MID(K2221,2,2)="01", "서울", MID(K2221,2,2)="02","경기",MID(K2221,2,2)="03","충청",MID(K2221,2,2)="04","충청",MID(K2221,2,2)="05","전라",MID(K2221,2,2)="06","전라",MID(K2221,2,2)="07","경북",MID(K2221,2,2)="08","경남",MID(K2221,2,2)="09","강원",MID(K2221,2,2)="10","제주",TRUE,"국외")</f>
        <v>국외</v>
      </c>
    </row>
    <row r="2222" spans="1:12" ht="17.25" thickBot="1">
      <c r="A2222" s="3" t="s">
        <v>1419</v>
      </c>
      <c r="B2222" s="3"/>
      <c r="C2222" s="3"/>
      <c r="D2222" s="4" t="s">
        <v>181</v>
      </c>
      <c r="E2222" s="4" t="s">
        <v>23</v>
      </c>
      <c r="F2222" s="4">
        <v>2006</v>
      </c>
      <c r="G2222" s="8">
        <v>4</v>
      </c>
      <c r="H2222" s="4" t="s">
        <v>23</v>
      </c>
      <c r="I2222" s="8">
        <v>6.5</v>
      </c>
      <c r="J2222" s="3">
        <f>2387</f>
        <v>2387</v>
      </c>
      <c r="K2222" s="3"/>
      <c r="L2222" s="17" t="str" cm="1">
        <f t="array" ref="L2222">_xlfn.IFS(MID(K2222,2,2)="01", "서울", MID(K2222,2,2)="02","경기",MID(K2222,2,2)="03","충청",MID(K2222,2,2)="04","충청",MID(K2222,2,2)="05","전라",MID(K2222,2,2)="06","전라",MID(K2222,2,2)="07","경북",MID(K2222,2,2)="08","경남",MID(K2222,2,2)="09","강원",MID(K2222,2,2)="10","제주",TRUE,"국외")</f>
        <v>국외</v>
      </c>
    </row>
    <row r="2223" spans="1:12" ht="17.25" thickBot="1">
      <c r="A2223" s="3" t="s">
        <v>2263</v>
      </c>
      <c r="B2223" s="3" t="s">
        <v>40</v>
      </c>
      <c r="C2223" s="3"/>
      <c r="D2223" s="4" t="s">
        <v>1777</v>
      </c>
      <c r="E2223" s="4" t="s">
        <v>20</v>
      </c>
      <c r="F2223" s="4">
        <v>2006</v>
      </c>
      <c r="G2223" s="8">
        <v>0</v>
      </c>
      <c r="H2223" s="4" t="s">
        <v>20</v>
      </c>
      <c r="I2223" s="8">
        <v>0</v>
      </c>
      <c r="J2223" s="3">
        <f>2374</f>
        <v>2374</v>
      </c>
      <c r="K2223" s="3">
        <v>50108</v>
      </c>
      <c r="L2223" s="17" t="str" cm="1">
        <f t="array" ref="L2223">_xlfn.IFS(MID(K2223,2,2)="01", "서울", MID(K2223,2,2)="02","경기",MID(K2223,2,2)="03","충청",MID(K2223,2,2)="04","충청",MID(K2223,2,2)="05","전라",MID(K2223,2,2)="06","전라",MID(K2223,2,2)="07","경북",MID(K2223,2,2)="08","경남",MID(K2223,2,2)="09","강원",MID(K2223,2,2)="10","제주",TRUE,"국외")</f>
        <v>서울</v>
      </c>
    </row>
    <row r="2224" spans="1:12" ht="17.25" thickBot="1">
      <c r="A2224" s="3" t="s">
        <v>2264</v>
      </c>
      <c r="B2224" s="3" t="s">
        <v>68</v>
      </c>
      <c r="C2224" s="3" t="s">
        <v>174</v>
      </c>
      <c r="D2224" s="4" t="s">
        <v>1777</v>
      </c>
      <c r="E2224" s="4" t="s">
        <v>23</v>
      </c>
      <c r="F2224" s="4"/>
      <c r="G2224" s="9"/>
      <c r="H2224" s="4"/>
      <c r="I2224" s="9"/>
      <c r="J2224" s="3">
        <v>10346</v>
      </c>
      <c r="K2224" s="3">
        <v>50101</v>
      </c>
      <c r="L2224" s="17" t="str" cm="1">
        <f t="array" ref="L2224">_xlfn.IFS(MID(K2224,2,2)="01", "서울", MID(K2224,2,2)="02","경기",MID(K2224,2,2)="03","충청",MID(K2224,2,2)="04","충청",MID(K2224,2,2)="05","전라",MID(K2224,2,2)="06","전라",MID(K2224,2,2)="07","경북",MID(K2224,2,2)="08","경남",MID(K2224,2,2)="09","강원",MID(K2224,2,2)="10","제주",TRUE,"국외")</f>
        <v>서울</v>
      </c>
    </row>
    <row r="2225" spans="1:12" ht="17.25" thickBot="1">
      <c r="A2225" s="3" t="s">
        <v>2265</v>
      </c>
      <c r="B2225" s="3" t="s">
        <v>112</v>
      </c>
      <c r="C2225" s="3" t="s">
        <v>174</v>
      </c>
      <c r="D2225" s="4" t="s">
        <v>1777</v>
      </c>
      <c r="E2225" s="4" t="s">
        <v>23</v>
      </c>
      <c r="F2225" s="4">
        <v>2006</v>
      </c>
      <c r="G2225" s="8">
        <v>0</v>
      </c>
      <c r="H2225" s="4" t="s">
        <v>20</v>
      </c>
      <c r="I2225" s="8">
        <v>-0.1</v>
      </c>
      <c r="J2225" s="3">
        <v>10656</v>
      </c>
      <c r="K2225" s="3">
        <v>50113</v>
      </c>
      <c r="L2225" s="17" t="str" cm="1">
        <f t="array" ref="L2225">_xlfn.IFS(MID(K2225,2,2)="01", "서울", MID(K2225,2,2)="02","경기",MID(K2225,2,2)="03","충청",MID(K2225,2,2)="04","충청",MID(K2225,2,2)="05","전라",MID(K2225,2,2)="06","전라",MID(K2225,2,2)="07","경북",MID(K2225,2,2)="08","경남",MID(K2225,2,2)="09","강원",MID(K2225,2,2)="10","제주",TRUE,"국외")</f>
        <v>서울</v>
      </c>
    </row>
    <row r="2226" spans="1:12" ht="17.25" thickBot="1">
      <c r="A2226" s="3" t="s">
        <v>2266</v>
      </c>
      <c r="B2226" s="3" t="s">
        <v>112</v>
      </c>
      <c r="C2226" s="3" t="s">
        <v>1347</v>
      </c>
      <c r="D2226" s="4" t="s">
        <v>205</v>
      </c>
      <c r="E2226" s="4" t="s">
        <v>26</v>
      </c>
      <c r="F2226" s="4">
        <v>2006</v>
      </c>
      <c r="G2226" s="8">
        <v>-0.8</v>
      </c>
      <c r="H2226" s="4" t="s">
        <v>26</v>
      </c>
      <c r="I2226" s="8">
        <v>0</v>
      </c>
      <c r="J2226" s="3">
        <v>10212</v>
      </c>
      <c r="K2226" s="3">
        <v>50113</v>
      </c>
      <c r="L2226" s="17" t="str" cm="1">
        <f t="array" ref="L2226">_xlfn.IFS(MID(K2226,2,2)="01", "서울", MID(K2226,2,2)="02","경기",MID(K2226,2,2)="03","충청",MID(K2226,2,2)="04","충청",MID(K2226,2,2)="05","전라",MID(K2226,2,2)="06","전라",MID(K2226,2,2)="07","경북",MID(K2226,2,2)="08","경남",MID(K2226,2,2)="09","강원",MID(K2226,2,2)="10","제주",TRUE,"국외")</f>
        <v>서울</v>
      </c>
    </row>
    <row r="2227" spans="1:12" ht="17.25" thickBot="1">
      <c r="A2227" s="3" t="s">
        <v>2267</v>
      </c>
      <c r="B2227" s="3" t="s">
        <v>11</v>
      </c>
      <c r="C2227" s="3" t="s">
        <v>122</v>
      </c>
      <c r="D2227" s="4" t="s">
        <v>205</v>
      </c>
      <c r="E2227" s="4" t="s">
        <v>6</v>
      </c>
      <c r="F2227" s="4">
        <v>2006</v>
      </c>
      <c r="G2227" s="8">
        <v>0</v>
      </c>
      <c r="H2227" s="4" t="s">
        <v>6</v>
      </c>
      <c r="I2227" s="8">
        <v>0.4</v>
      </c>
      <c r="J2227" s="3">
        <v>10701</v>
      </c>
      <c r="K2227" s="3">
        <v>50802</v>
      </c>
      <c r="L2227" s="17" t="str" cm="1">
        <f t="array" ref="L2227">_xlfn.IFS(MID(K2227,2,2)="01", "서울", MID(K2227,2,2)="02","경기",MID(K2227,2,2)="03","충청",MID(K2227,2,2)="04","충청",MID(K2227,2,2)="05","전라",MID(K2227,2,2)="06","전라",MID(K2227,2,2)="07","경북",MID(K2227,2,2)="08","경남",MID(K2227,2,2)="09","강원",MID(K2227,2,2)="10","제주",TRUE,"국외")</f>
        <v>경남</v>
      </c>
    </row>
    <row r="2228" spans="1:12" ht="17.25" thickBot="1">
      <c r="A2228" s="3" t="s">
        <v>1112</v>
      </c>
      <c r="B2228" s="3" t="s">
        <v>34</v>
      </c>
      <c r="C2228" s="3" t="s">
        <v>739</v>
      </c>
      <c r="D2228" s="4" t="s">
        <v>205</v>
      </c>
      <c r="E2228" s="4" t="s">
        <v>20</v>
      </c>
      <c r="F2228" s="4">
        <v>2006</v>
      </c>
      <c r="G2228" s="8">
        <v>-0.2</v>
      </c>
      <c r="H2228" s="4" t="s">
        <v>20</v>
      </c>
      <c r="I2228" s="8">
        <v>16.7</v>
      </c>
      <c r="J2228" s="3">
        <v>10477</v>
      </c>
      <c r="K2228" s="3">
        <v>50701</v>
      </c>
      <c r="L2228" s="17" t="str" cm="1">
        <f t="array" ref="L2228">_xlfn.IFS(MID(K2228,2,2)="01", "서울", MID(K2228,2,2)="02","경기",MID(K2228,2,2)="03","충청",MID(K2228,2,2)="04","충청",MID(K2228,2,2)="05","전라",MID(K2228,2,2)="06","전라",MID(K2228,2,2)="07","경북",MID(K2228,2,2)="08","경남",MID(K2228,2,2)="09","강원",MID(K2228,2,2)="10","제주",TRUE,"국외")</f>
        <v>경북</v>
      </c>
    </row>
    <row r="2229" spans="1:12" ht="17.25" thickBot="1">
      <c r="A2229" s="3" t="s">
        <v>796</v>
      </c>
      <c r="B2229" s="3" t="s">
        <v>66</v>
      </c>
      <c r="C2229" s="3"/>
      <c r="D2229" s="4" t="s">
        <v>205</v>
      </c>
      <c r="E2229" s="4" t="s">
        <v>26</v>
      </c>
      <c r="F2229" s="4">
        <v>2006</v>
      </c>
      <c r="G2229" s="8">
        <v>0</v>
      </c>
      <c r="H2229" s="4" t="s">
        <v>26</v>
      </c>
      <c r="I2229" s="8">
        <v>66.099999999999994</v>
      </c>
      <c r="J2229" s="3">
        <v>10187</v>
      </c>
      <c r="K2229" s="3">
        <v>50110</v>
      </c>
      <c r="L2229" s="17" t="str" cm="1">
        <f t="array" ref="L2229">_xlfn.IFS(MID(K2229,2,2)="01", "서울", MID(K2229,2,2)="02","경기",MID(K2229,2,2)="03","충청",MID(K2229,2,2)="04","충청",MID(K2229,2,2)="05","전라",MID(K2229,2,2)="06","전라",MID(K2229,2,2)="07","경북",MID(K2229,2,2)="08","경남",MID(K2229,2,2)="09","강원",MID(K2229,2,2)="10","제주",TRUE,"국외")</f>
        <v>서울</v>
      </c>
    </row>
    <row r="2230" spans="1:12" ht="17.25" thickBot="1">
      <c r="A2230" s="3" t="s">
        <v>2268</v>
      </c>
      <c r="B2230" s="3" t="s">
        <v>89</v>
      </c>
      <c r="C2230" s="3" t="s">
        <v>133</v>
      </c>
      <c r="D2230" s="4" t="s">
        <v>205</v>
      </c>
      <c r="E2230" s="4" t="s">
        <v>23</v>
      </c>
      <c r="F2230" s="4">
        <v>2007</v>
      </c>
      <c r="G2230" s="9"/>
      <c r="H2230" s="4" t="s">
        <v>3</v>
      </c>
      <c r="I2230" s="8">
        <v>0</v>
      </c>
      <c r="J2230" s="3">
        <v>10560</v>
      </c>
      <c r="K2230" s="3">
        <v>50806</v>
      </c>
      <c r="L2230" s="17" t="str" cm="1">
        <f t="array" ref="L2230">_xlfn.IFS(MID(K2230,2,2)="01", "서울", MID(K2230,2,2)="02","경기",MID(K2230,2,2)="03","충청",MID(K2230,2,2)="04","충청",MID(K2230,2,2)="05","전라",MID(K2230,2,2)="06","전라",MID(K2230,2,2)="07","경북",MID(K2230,2,2)="08","경남",MID(K2230,2,2)="09","강원",MID(K2230,2,2)="10","제주",TRUE,"국외")</f>
        <v>경남</v>
      </c>
    </row>
    <row r="2231" spans="1:12" ht="17.25" thickBot="1">
      <c r="A2231" s="3" t="s">
        <v>2269</v>
      </c>
      <c r="B2231" s="3" t="s">
        <v>63</v>
      </c>
      <c r="C2231" s="3"/>
      <c r="D2231" s="4" t="s">
        <v>205</v>
      </c>
      <c r="E2231" s="4" t="s">
        <v>2164</v>
      </c>
      <c r="F2231" s="4">
        <v>2010</v>
      </c>
      <c r="G2231" s="9"/>
      <c r="H2231" s="4" t="s">
        <v>9</v>
      </c>
      <c r="I2231" s="8">
        <v>14.3</v>
      </c>
      <c r="J2231" s="3">
        <v>10253</v>
      </c>
      <c r="K2231" s="3">
        <v>50807</v>
      </c>
      <c r="L2231" s="17" t="str" cm="1">
        <f t="array" ref="L2231">_xlfn.IFS(MID(K2231,2,2)="01", "서울", MID(K2231,2,2)="02","경기",MID(K2231,2,2)="03","충청",MID(K2231,2,2)="04","충청",MID(K2231,2,2)="05","전라",MID(K2231,2,2)="06","전라",MID(K2231,2,2)="07","경북",MID(K2231,2,2)="08","경남",MID(K2231,2,2)="09","강원",MID(K2231,2,2)="10","제주",TRUE,"국외")</f>
        <v>경남</v>
      </c>
    </row>
    <row r="2232" spans="1:12" ht="17.25" thickBot="1">
      <c r="A2232" s="3" t="s">
        <v>2270</v>
      </c>
      <c r="B2232" s="3" t="s">
        <v>107</v>
      </c>
      <c r="C2232" s="3"/>
      <c r="D2232" s="4" t="s">
        <v>243</v>
      </c>
      <c r="E2232" s="4" t="s">
        <v>6</v>
      </c>
      <c r="F2232" s="4">
        <v>2007</v>
      </c>
      <c r="G2232" s="9"/>
      <c r="H2232" s="4" t="s">
        <v>6</v>
      </c>
      <c r="I2232" s="8">
        <v>0</v>
      </c>
      <c r="J2232" s="3">
        <v>10043</v>
      </c>
      <c r="K2232" s="3">
        <v>50602</v>
      </c>
      <c r="L2232" s="17" t="str" cm="1">
        <f t="array" ref="L2232">_xlfn.IFS(MID(K2232,2,2)="01", "서울", MID(K2232,2,2)="02","경기",MID(K2232,2,2)="03","충청",MID(K2232,2,2)="04","충청",MID(K2232,2,2)="05","전라",MID(K2232,2,2)="06","전라",MID(K2232,2,2)="07","경북",MID(K2232,2,2)="08","경남",MID(K2232,2,2)="09","강원",MID(K2232,2,2)="10","제주",TRUE,"국외")</f>
        <v>전라</v>
      </c>
    </row>
    <row r="2233" spans="1:12" ht="17.25" thickBot="1">
      <c r="A2233" s="3" t="s">
        <v>2271</v>
      </c>
      <c r="B2233" s="3" t="s">
        <v>40</v>
      </c>
      <c r="C2233" s="3"/>
      <c r="D2233" s="4" t="s">
        <v>243</v>
      </c>
      <c r="E2233" s="4" t="s">
        <v>20</v>
      </c>
      <c r="F2233" s="4">
        <v>2005</v>
      </c>
      <c r="G2233" s="8">
        <v>0</v>
      </c>
      <c r="H2233" s="4" t="s">
        <v>18</v>
      </c>
      <c r="I2233" s="8">
        <v>55.6</v>
      </c>
      <c r="J2233" s="3">
        <v>10470</v>
      </c>
      <c r="K2233" s="3">
        <v>50108</v>
      </c>
      <c r="L2233" s="17" t="str" cm="1">
        <f t="array" ref="L2233">_xlfn.IFS(MID(K2233,2,2)="01", "서울", MID(K2233,2,2)="02","경기",MID(K2233,2,2)="03","충청",MID(K2233,2,2)="04","충청",MID(K2233,2,2)="05","전라",MID(K2233,2,2)="06","전라",MID(K2233,2,2)="07","경북",MID(K2233,2,2)="08","경남",MID(K2233,2,2)="09","강원",MID(K2233,2,2)="10","제주",TRUE,"국외")</f>
        <v>서울</v>
      </c>
    </row>
    <row r="2234" spans="1:12" ht="17.25" thickBot="1">
      <c r="A2234" s="3" t="s">
        <v>2272</v>
      </c>
      <c r="B2234" s="3" t="s">
        <v>147</v>
      </c>
      <c r="C2234" s="3"/>
      <c r="D2234" s="4" t="s">
        <v>243</v>
      </c>
      <c r="E2234" s="4" t="s">
        <v>607</v>
      </c>
      <c r="F2234" s="4">
        <v>2005</v>
      </c>
      <c r="G2234" s="8">
        <v>0</v>
      </c>
      <c r="H2234" s="4" t="s">
        <v>607</v>
      </c>
      <c r="I2234" s="8">
        <v>85.7</v>
      </c>
      <c r="J2234" s="3">
        <v>10106</v>
      </c>
      <c r="K2234" s="3">
        <v>50208</v>
      </c>
      <c r="L2234" s="17" t="str" cm="1">
        <f t="array" ref="L2234">_xlfn.IFS(MID(K2234,2,2)="01", "서울", MID(K2234,2,2)="02","경기",MID(K2234,2,2)="03","충청",MID(K2234,2,2)="04","충청",MID(K2234,2,2)="05","전라",MID(K2234,2,2)="06","전라",MID(K2234,2,2)="07","경북",MID(K2234,2,2)="08","경남",MID(K2234,2,2)="09","강원",MID(K2234,2,2)="10","제주",TRUE,"국외")</f>
        <v>경기</v>
      </c>
    </row>
    <row r="2235" spans="1:12" ht="17.25" thickBot="1">
      <c r="A2235" s="3" t="s">
        <v>2273</v>
      </c>
      <c r="B2235" s="3" t="s">
        <v>8</v>
      </c>
      <c r="C2235" s="3"/>
      <c r="D2235" s="4" t="s">
        <v>243</v>
      </c>
      <c r="E2235" s="4" t="s">
        <v>26</v>
      </c>
      <c r="F2235" s="4">
        <v>2005</v>
      </c>
      <c r="G2235" s="8">
        <v>1.4</v>
      </c>
      <c r="H2235" s="4" t="s">
        <v>26</v>
      </c>
      <c r="I2235" s="8">
        <v>3.5</v>
      </c>
      <c r="J2235" s="3">
        <v>10197</v>
      </c>
      <c r="K2235" s="3">
        <v>50116</v>
      </c>
      <c r="L2235" s="17" t="str" cm="1">
        <f t="array" ref="L2235">_xlfn.IFS(MID(K2235,2,2)="01", "서울", MID(K2235,2,2)="02","경기",MID(K2235,2,2)="03","충청",MID(K2235,2,2)="04","충청",MID(K2235,2,2)="05","전라",MID(K2235,2,2)="06","전라",MID(K2235,2,2)="07","경북",MID(K2235,2,2)="08","경남",MID(K2235,2,2)="09","강원",MID(K2235,2,2)="10","제주",TRUE,"국외")</f>
        <v>서울</v>
      </c>
    </row>
    <row r="2236" spans="1:12" ht="17.25" thickBot="1">
      <c r="A2236" s="3" t="s">
        <v>2274</v>
      </c>
      <c r="B2236" s="3" t="s">
        <v>93</v>
      </c>
      <c r="C2236" s="3" t="s">
        <v>1796</v>
      </c>
      <c r="D2236" s="4" t="s">
        <v>243</v>
      </c>
      <c r="E2236" s="4" t="s">
        <v>9</v>
      </c>
      <c r="F2236" s="4">
        <v>2005</v>
      </c>
      <c r="G2236" s="8">
        <v>1.8</v>
      </c>
      <c r="H2236" s="4" t="s">
        <v>9</v>
      </c>
      <c r="I2236" s="8">
        <v>2</v>
      </c>
      <c r="J2236" s="3">
        <v>10740</v>
      </c>
      <c r="K2236" s="3">
        <v>50805</v>
      </c>
      <c r="L2236" s="17" t="str" cm="1">
        <f t="array" ref="L2236">_xlfn.IFS(MID(K2236,2,2)="01", "서울", MID(K2236,2,2)="02","경기",MID(K2236,2,2)="03","충청",MID(K2236,2,2)="04","충청",MID(K2236,2,2)="05","전라",MID(K2236,2,2)="06","전라",MID(K2236,2,2)="07","경북",MID(K2236,2,2)="08","경남",MID(K2236,2,2)="09","강원",MID(K2236,2,2)="10","제주",TRUE,"국외")</f>
        <v>경남</v>
      </c>
    </row>
    <row r="2237" spans="1:12" ht="17.25" thickBot="1">
      <c r="A2237" s="3" t="s">
        <v>2275</v>
      </c>
      <c r="B2237" s="3" t="s">
        <v>34</v>
      </c>
      <c r="C2237" s="3" t="s">
        <v>538</v>
      </c>
      <c r="D2237" s="4" t="s">
        <v>243</v>
      </c>
      <c r="E2237" s="4" t="s">
        <v>23</v>
      </c>
      <c r="F2237" s="4">
        <v>2006</v>
      </c>
      <c r="G2237" s="9"/>
      <c r="H2237" s="4" t="s">
        <v>23</v>
      </c>
      <c r="I2237" s="8">
        <v>0.7</v>
      </c>
      <c r="J2237" s="3">
        <f>2385</f>
        <v>2385</v>
      </c>
      <c r="K2237" s="3">
        <v>50701</v>
      </c>
      <c r="L2237" s="17" t="str" cm="1">
        <f t="array" ref="L2237">_xlfn.IFS(MID(K2237,2,2)="01", "서울", MID(K2237,2,2)="02","경기",MID(K2237,2,2)="03","충청",MID(K2237,2,2)="04","충청",MID(K2237,2,2)="05","전라",MID(K2237,2,2)="06","전라",MID(K2237,2,2)="07","경북",MID(K2237,2,2)="08","경남",MID(K2237,2,2)="09","강원",MID(K2237,2,2)="10","제주",TRUE,"국외")</f>
        <v>경북</v>
      </c>
    </row>
    <row r="2238" spans="1:12" ht="17.25" thickBot="1">
      <c r="A2238" s="3" t="s">
        <v>2276</v>
      </c>
      <c r="B2238" s="3" t="s">
        <v>36</v>
      </c>
      <c r="C2238" s="3"/>
      <c r="D2238" s="4" t="s">
        <v>243</v>
      </c>
      <c r="E2238" s="4" t="s">
        <v>3</v>
      </c>
      <c r="F2238" s="4">
        <v>2005</v>
      </c>
      <c r="G2238" s="8">
        <v>-0.8</v>
      </c>
      <c r="H2238" s="4" t="s">
        <v>3</v>
      </c>
      <c r="I2238" s="8">
        <v>-0.9</v>
      </c>
      <c r="J2238" s="3">
        <v>10607</v>
      </c>
      <c r="K2238" s="3">
        <v>50402</v>
      </c>
      <c r="L2238" s="17" t="str" cm="1">
        <f t="array" ref="L2238">_xlfn.IFS(MID(K2238,2,2)="01", "서울", MID(K2238,2,2)="02","경기",MID(K2238,2,2)="03","충청",MID(K2238,2,2)="04","충청",MID(K2238,2,2)="05","전라",MID(K2238,2,2)="06","전라",MID(K2238,2,2)="07","경북",MID(K2238,2,2)="08","경남",MID(K2238,2,2)="09","강원",MID(K2238,2,2)="10","제주",TRUE,"국외")</f>
        <v>충청</v>
      </c>
    </row>
    <row r="2239" spans="1:12" ht="17.25" thickBot="1">
      <c r="A2239" s="3" t="s">
        <v>2277</v>
      </c>
      <c r="B2239" s="3" t="s">
        <v>63</v>
      </c>
      <c r="C2239" s="3" t="s">
        <v>1796</v>
      </c>
      <c r="D2239" s="4" t="s">
        <v>254</v>
      </c>
      <c r="E2239" s="4" t="s">
        <v>9</v>
      </c>
      <c r="F2239" s="4">
        <v>2005</v>
      </c>
      <c r="G2239" s="8">
        <v>-1.5</v>
      </c>
      <c r="H2239" s="4" t="s">
        <v>9</v>
      </c>
      <c r="I2239" s="8">
        <v>5.7</v>
      </c>
      <c r="J2239" s="3">
        <v>10300</v>
      </c>
      <c r="K2239" s="3">
        <v>50807</v>
      </c>
      <c r="L2239" s="17" t="str" cm="1">
        <f t="array" ref="L2239">_xlfn.IFS(MID(K2239,2,2)="01", "서울", MID(K2239,2,2)="02","경기",MID(K2239,2,2)="03","충청",MID(K2239,2,2)="04","충청",MID(K2239,2,2)="05","전라",MID(K2239,2,2)="06","전라",MID(K2239,2,2)="07","경북",MID(K2239,2,2)="08","경남",MID(K2239,2,2)="09","강원",MID(K2239,2,2)="10","제주",TRUE,"국외")</f>
        <v>경남</v>
      </c>
    </row>
    <row r="2240" spans="1:12" ht="17.25" thickBot="1">
      <c r="A2240" s="3" t="s">
        <v>2278</v>
      </c>
      <c r="B2240" s="3" t="s">
        <v>66</v>
      </c>
      <c r="C2240" s="3"/>
      <c r="D2240" s="4" t="s">
        <v>254</v>
      </c>
      <c r="E2240" s="4" t="s">
        <v>26</v>
      </c>
      <c r="F2240" s="4">
        <v>2005</v>
      </c>
      <c r="G2240" s="8">
        <v>-0.3</v>
      </c>
      <c r="H2240" s="4" t="s">
        <v>26</v>
      </c>
      <c r="I2240" s="8">
        <v>-1.2</v>
      </c>
      <c r="J2240" s="3">
        <v>10207</v>
      </c>
      <c r="K2240" s="3">
        <v>50110</v>
      </c>
      <c r="L2240" s="17" t="str" cm="1">
        <f t="array" ref="L2240">_xlfn.IFS(MID(K2240,2,2)="01", "서울", MID(K2240,2,2)="02","경기",MID(K2240,2,2)="03","충청",MID(K2240,2,2)="04","충청",MID(K2240,2,2)="05","전라",MID(K2240,2,2)="06","전라",MID(K2240,2,2)="07","경북",MID(K2240,2,2)="08","경남",MID(K2240,2,2)="09","강원",MID(K2240,2,2)="10","제주",TRUE,"국외")</f>
        <v>서울</v>
      </c>
    </row>
    <row r="2241" spans="1:12" ht="17.25" thickBot="1">
      <c r="A2241" s="3" t="s">
        <v>2279</v>
      </c>
      <c r="B2241" s="3" t="s">
        <v>93</v>
      </c>
      <c r="C2241" s="3"/>
      <c r="D2241" s="4" t="s">
        <v>254</v>
      </c>
      <c r="E2241" s="4" t="s">
        <v>20</v>
      </c>
      <c r="F2241" s="4">
        <v>2005</v>
      </c>
      <c r="G2241" s="8">
        <v>-0.1</v>
      </c>
      <c r="H2241" s="4" t="s">
        <v>20</v>
      </c>
      <c r="I2241" s="8">
        <v>6.3</v>
      </c>
      <c r="J2241" s="3">
        <v>10655</v>
      </c>
      <c r="K2241" s="3">
        <v>50805</v>
      </c>
      <c r="L2241" s="17" t="str" cm="1">
        <f t="array" ref="L2241">_xlfn.IFS(MID(K2241,2,2)="01", "서울", MID(K2241,2,2)="02","경기",MID(K2241,2,2)="03","충청",MID(K2241,2,2)="04","충청",MID(K2241,2,2)="05","전라",MID(K2241,2,2)="06","전라",MID(K2241,2,2)="07","경북",MID(K2241,2,2)="08","경남",MID(K2241,2,2)="09","강원",MID(K2241,2,2)="10","제주",TRUE,"국외")</f>
        <v>경남</v>
      </c>
    </row>
    <row r="2242" spans="1:12" ht="17.25" thickBot="1">
      <c r="A2242" s="3" t="s">
        <v>2280</v>
      </c>
      <c r="B2242" s="3" t="s">
        <v>358</v>
      </c>
      <c r="C2242" s="3" t="s">
        <v>1796</v>
      </c>
      <c r="D2242" s="4" t="s">
        <v>254</v>
      </c>
      <c r="E2242" s="4" t="s">
        <v>3</v>
      </c>
      <c r="F2242" s="4">
        <v>2005</v>
      </c>
      <c r="G2242" s="8">
        <v>0.1</v>
      </c>
      <c r="H2242" s="4" t="s">
        <v>3</v>
      </c>
      <c r="I2242" s="8">
        <v>3.5</v>
      </c>
      <c r="J2242" s="3">
        <v>10602</v>
      </c>
      <c r="K2242" s="3">
        <v>50902</v>
      </c>
      <c r="L2242" s="17" t="str" cm="1">
        <f t="array" ref="L2242">_xlfn.IFS(MID(K2242,2,2)="01", "서울", MID(K2242,2,2)="02","경기",MID(K2242,2,2)="03","충청",MID(K2242,2,2)="04","충청",MID(K2242,2,2)="05","전라",MID(K2242,2,2)="06","전라",MID(K2242,2,2)="07","경북",MID(K2242,2,2)="08","경남",MID(K2242,2,2)="09","강원",MID(K2242,2,2)="10","제주",TRUE,"국외")</f>
        <v>강원</v>
      </c>
    </row>
    <row r="2243" spans="1:12" ht="17.25" thickBot="1">
      <c r="A2243" s="3" t="s">
        <v>2281</v>
      </c>
      <c r="B2243" s="3" t="s">
        <v>68</v>
      </c>
      <c r="C2243" s="3" t="s">
        <v>122</v>
      </c>
      <c r="D2243" s="4" t="s">
        <v>254</v>
      </c>
      <c r="E2243" s="4" t="s">
        <v>23</v>
      </c>
      <c r="F2243" s="4">
        <v>2005</v>
      </c>
      <c r="G2243" s="8">
        <v>14.4</v>
      </c>
      <c r="H2243" s="4" t="s">
        <v>23</v>
      </c>
      <c r="I2243" s="8">
        <v>61</v>
      </c>
      <c r="J2243" s="3">
        <v>10367</v>
      </c>
      <c r="K2243" s="3">
        <v>50101</v>
      </c>
      <c r="L2243" s="17" t="str" cm="1">
        <f t="array" ref="L2243">_xlfn.IFS(MID(K2243,2,2)="01", "서울", MID(K2243,2,2)="02","경기",MID(K2243,2,2)="03","충청",MID(K2243,2,2)="04","충청",MID(K2243,2,2)="05","전라",MID(K2243,2,2)="06","전라",MID(K2243,2,2)="07","경북",MID(K2243,2,2)="08","경남",MID(K2243,2,2)="09","강원",MID(K2243,2,2)="10","제주",TRUE,"국외")</f>
        <v>서울</v>
      </c>
    </row>
    <row r="2244" spans="1:12" ht="17.25" thickBot="1">
      <c r="A2244" s="3" t="s">
        <v>2282</v>
      </c>
      <c r="B2244" s="3" t="s">
        <v>101</v>
      </c>
      <c r="C2244" s="3"/>
      <c r="D2244" s="4" t="s">
        <v>254</v>
      </c>
      <c r="E2244" s="4" t="s">
        <v>6</v>
      </c>
      <c r="F2244" s="4">
        <v>2005</v>
      </c>
      <c r="G2244" s="8">
        <v>0.3</v>
      </c>
      <c r="H2244" s="4" t="s">
        <v>6</v>
      </c>
      <c r="I2244" s="8">
        <v>33.4</v>
      </c>
      <c r="J2244" s="3">
        <v>10061</v>
      </c>
      <c r="K2244" s="3">
        <v>50207</v>
      </c>
      <c r="L2244" s="17" t="str" cm="1">
        <f t="array" ref="L2244">_xlfn.IFS(MID(K2244,2,2)="01", "서울", MID(K2244,2,2)="02","경기",MID(K2244,2,2)="03","충청",MID(K2244,2,2)="04","충청",MID(K2244,2,2)="05","전라",MID(K2244,2,2)="06","전라",MID(K2244,2,2)="07","경북",MID(K2244,2,2)="08","경남",MID(K2244,2,2)="09","강원",MID(K2244,2,2)="10","제주",TRUE,"국외")</f>
        <v>경기</v>
      </c>
    </row>
    <row r="2245" spans="1:12" ht="17.25" thickBot="1">
      <c r="A2245" s="3" t="s">
        <v>2283</v>
      </c>
      <c r="B2245" s="3" t="s">
        <v>93</v>
      </c>
      <c r="C2245" s="3" t="s">
        <v>45</v>
      </c>
      <c r="D2245" s="4" t="s">
        <v>254</v>
      </c>
      <c r="E2245" s="4" t="s">
        <v>607</v>
      </c>
      <c r="F2245" s="4">
        <v>2005</v>
      </c>
      <c r="G2245" s="8">
        <v>-0.7</v>
      </c>
      <c r="H2245" s="4" t="s">
        <v>607</v>
      </c>
      <c r="I2245" s="8">
        <v>53.7</v>
      </c>
      <c r="J2245" s="3">
        <v>10103</v>
      </c>
      <c r="K2245" s="3">
        <v>50805</v>
      </c>
      <c r="L2245" s="17" t="str" cm="1">
        <f t="array" ref="L2245">_xlfn.IFS(MID(K2245,2,2)="01", "서울", MID(K2245,2,2)="02","경기",MID(K2245,2,2)="03","충청",MID(K2245,2,2)="04","충청",MID(K2245,2,2)="05","전라",MID(K2245,2,2)="06","전라",MID(K2245,2,2)="07","경북",MID(K2245,2,2)="08","경남",MID(K2245,2,2)="09","강원",MID(K2245,2,2)="10","제주",TRUE,"국외")</f>
        <v>경남</v>
      </c>
    </row>
    <row r="2246" spans="1:12" ht="17.25" thickBot="1">
      <c r="A2246" s="3" t="s">
        <v>2284</v>
      </c>
      <c r="B2246" s="3" t="s">
        <v>228</v>
      </c>
      <c r="C2246" s="3"/>
      <c r="D2246" s="4" t="s">
        <v>254</v>
      </c>
      <c r="E2246" s="4" t="s">
        <v>2164</v>
      </c>
      <c r="F2246" s="4">
        <v>2005</v>
      </c>
      <c r="G2246" s="8">
        <v>-0.1</v>
      </c>
      <c r="H2246" s="4" t="s">
        <v>2164</v>
      </c>
      <c r="I2246" s="8">
        <v>0.4</v>
      </c>
      <c r="J2246" s="3">
        <v>10852</v>
      </c>
      <c r="K2246" s="3">
        <v>50702</v>
      </c>
      <c r="L2246" s="17" t="str" cm="1">
        <f t="array" ref="L2246">_xlfn.IFS(MID(K2246,2,2)="01", "서울", MID(K2246,2,2)="02","경기",MID(K2246,2,2)="03","충청",MID(K2246,2,2)="04","충청",MID(K2246,2,2)="05","전라",MID(K2246,2,2)="06","전라",MID(K2246,2,2)="07","경북",MID(K2246,2,2)="08","경남",MID(K2246,2,2)="09","강원",MID(K2246,2,2)="10","제주",TRUE,"국외")</f>
        <v>경북</v>
      </c>
    </row>
    <row r="2247" spans="1:12" ht="17.25" thickBot="1">
      <c r="A2247" s="3" t="s">
        <v>947</v>
      </c>
      <c r="B2247" s="3" t="s">
        <v>96</v>
      </c>
      <c r="C2247" s="3"/>
      <c r="D2247" s="4" t="s">
        <v>254</v>
      </c>
      <c r="E2247" s="4" t="s">
        <v>9</v>
      </c>
      <c r="F2247" s="4">
        <v>2005</v>
      </c>
      <c r="G2247" s="8">
        <v>0.1</v>
      </c>
      <c r="H2247" s="4" t="s">
        <v>23</v>
      </c>
      <c r="I2247" s="8">
        <v>14.2</v>
      </c>
      <c r="J2247" s="3">
        <v>10180</v>
      </c>
      <c r="K2247" s="3">
        <v>50601</v>
      </c>
      <c r="L2247" s="17" t="str" cm="1">
        <f t="array" ref="L2247">_xlfn.IFS(MID(K2247,2,2)="01", "서울", MID(K2247,2,2)="02","경기",MID(K2247,2,2)="03","충청",MID(K2247,2,2)="04","충청",MID(K2247,2,2)="05","전라",MID(K2247,2,2)="06","전라",MID(K2247,2,2)="07","경북",MID(K2247,2,2)="08","경남",MID(K2247,2,2)="09","강원",MID(K2247,2,2)="10","제주",TRUE,"국외")</f>
        <v>전라</v>
      </c>
    </row>
    <row r="2248" spans="1:12" ht="17.25" thickBot="1">
      <c r="A2248" s="3" t="s">
        <v>2285</v>
      </c>
      <c r="B2248" s="3" t="s">
        <v>332</v>
      </c>
      <c r="C2248" s="3"/>
      <c r="D2248" s="4" t="s">
        <v>254</v>
      </c>
      <c r="E2248" s="4" t="s">
        <v>26</v>
      </c>
      <c r="F2248" s="4">
        <v>2005</v>
      </c>
      <c r="G2248" s="8">
        <v>1.2</v>
      </c>
      <c r="H2248" s="4" t="s">
        <v>23</v>
      </c>
      <c r="I2248" s="8">
        <v>4.8</v>
      </c>
      <c r="J2248" s="3">
        <v>10380</v>
      </c>
      <c r="K2248" s="3">
        <v>50705</v>
      </c>
      <c r="L2248" s="17" t="str" cm="1">
        <f t="array" ref="L2248">_xlfn.IFS(MID(K2248,2,2)="01", "서울", MID(K2248,2,2)="02","경기",MID(K2248,2,2)="03","충청",MID(K2248,2,2)="04","충청",MID(K2248,2,2)="05","전라",MID(K2248,2,2)="06","전라",MID(K2248,2,2)="07","경북",MID(K2248,2,2)="08","경남",MID(K2248,2,2)="09","강원",MID(K2248,2,2)="10","제주",TRUE,"국외")</f>
        <v>경북</v>
      </c>
    </row>
    <row r="2249" spans="1:12" ht="17.25" thickBot="1">
      <c r="A2249" s="3" t="s">
        <v>2286</v>
      </c>
      <c r="B2249" s="3" t="s">
        <v>50</v>
      </c>
      <c r="C2249" s="3" t="s">
        <v>172</v>
      </c>
      <c r="D2249" s="4" t="s">
        <v>254</v>
      </c>
      <c r="E2249" s="4" t="s">
        <v>20</v>
      </c>
      <c r="F2249" s="4">
        <v>2005</v>
      </c>
      <c r="G2249" s="8">
        <v>0.5</v>
      </c>
      <c r="H2249" s="4" t="s">
        <v>20</v>
      </c>
      <c r="I2249" s="8">
        <v>0.5</v>
      </c>
      <c r="J2249" s="3">
        <f>2361</f>
        <v>2361</v>
      </c>
      <c r="K2249" s="3">
        <v>50301</v>
      </c>
      <c r="L2249" s="17" t="str" cm="1">
        <f t="array" ref="L2249">_xlfn.IFS(MID(K2249,2,2)="01", "서울", MID(K2249,2,2)="02","경기",MID(K2249,2,2)="03","충청",MID(K2249,2,2)="04","충청",MID(K2249,2,2)="05","전라",MID(K2249,2,2)="06","전라",MID(K2249,2,2)="07","경북",MID(K2249,2,2)="08","경남",MID(K2249,2,2)="09","강원",MID(K2249,2,2)="10","제주",TRUE,"국외")</f>
        <v>충청</v>
      </c>
    </row>
    <row r="2250" spans="1:12" ht="17.25" thickBot="1">
      <c r="A2250" s="3" t="s">
        <v>2287</v>
      </c>
      <c r="B2250" s="3" t="s">
        <v>93</v>
      </c>
      <c r="C2250" s="3"/>
      <c r="D2250" s="4" t="s">
        <v>254</v>
      </c>
      <c r="E2250" s="4" t="s">
        <v>3</v>
      </c>
      <c r="F2250" s="4">
        <v>2005</v>
      </c>
      <c r="G2250" s="8">
        <v>-0.1</v>
      </c>
      <c r="H2250" s="4" t="s">
        <v>3</v>
      </c>
      <c r="I2250" s="8">
        <v>0.3</v>
      </c>
      <c r="J2250" s="3">
        <v>10561</v>
      </c>
      <c r="K2250" s="3">
        <v>50805</v>
      </c>
      <c r="L2250" s="17" t="str" cm="1">
        <f t="array" ref="L2250">_xlfn.IFS(MID(K2250,2,2)="01", "서울", MID(K2250,2,2)="02","경기",MID(K2250,2,2)="03","충청",MID(K2250,2,2)="04","충청",MID(K2250,2,2)="05","전라",MID(K2250,2,2)="06","전라",MID(K2250,2,2)="07","경북",MID(K2250,2,2)="08","경남",MID(K2250,2,2)="09","강원",MID(K2250,2,2)="10","제주",TRUE,"국외")</f>
        <v>경남</v>
      </c>
    </row>
    <row r="2251" spans="1:12" ht="17.25" thickBot="1">
      <c r="A2251" s="3" t="s">
        <v>2288</v>
      </c>
      <c r="B2251" s="3" t="s">
        <v>1791</v>
      </c>
      <c r="C2251" s="3"/>
      <c r="D2251" s="4" t="s">
        <v>254</v>
      </c>
      <c r="E2251" s="4" t="s">
        <v>6</v>
      </c>
      <c r="F2251" s="4">
        <v>2005</v>
      </c>
      <c r="G2251" s="8">
        <v>-1</v>
      </c>
      <c r="H2251" s="4" t="s">
        <v>6</v>
      </c>
      <c r="I2251" s="8">
        <v>0.9</v>
      </c>
      <c r="J2251" s="3">
        <v>10067</v>
      </c>
      <c r="K2251" s="3">
        <v>50303</v>
      </c>
      <c r="L2251" s="17" t="str" cm="1">
        <f t="array" ref="L2251">_xlfn.IFS(MID(K2251,2,2)="01", "서울", MID(K2251,2,2)="02","경기",MID(K2251,2,2)="03","충청",MID(K2251,2,2)="04","충청",MID(K2251,2,2)="05","전라",MID(K2251,2,2)="06","전라",MID(K2251,2,2)="07","경북",MID(K2251,2,2)="08","경남",MID(K2251,2,2)="09","강원",MID(K2251,2,2)="10","제주",TRUE,"국외")</f>
        <v>충청</v>
      </c>
    </row>
    <row r="2252" spans="1:12" ht="17.25" thickBot="1">
      <c r="A2252" s="3" t="s">
        <v>2289</v>
      </c>
      <c r="B2252" s="3" t="s">
        <v>1950</v>
      </c>
      <c r="C2252" s="3"/>
      <c r="D2252" s="4" t="s">
        <v>254</v>
      </c>
      <c r="E2252" s="4" t="s">
        <v>607</v>
      </c>
      <c r="F2252" s="4">
        <v>2007</v>
      </c>
      <c r="G2252" s="9"/>
      <c r="H2252" s="4" t="s">
        <v>607</v>
      </c>
      <c r="I2252" s="8">
        <v>0.3</v>
      </c>
      <c r="J2252" s="3">
        <f>2411</f>
        <v>2411</v>
      </c>
      <c r="K2252" s="3">
        <v>50115</v>
      </c>
      <c r="L2252" s="17" t="str" cm="1">
        <f t="array" ref="L2252">_xlfn.IFS(MID(K2252,2,2)="01", "서울", MID(K2252,2,2)="02","경기",MID(K2252,2,2)="03","충청",MID(K2252,2,2)="04","충청",MID(K2252,2,2)="05","전라",MID(K2252,2,2)="06","전라",MID(K2252,2,2)="07","경북",MID(K2252,2,2)="08","경남",MID(K2252,2,2)="09","강원",MID(K2252,2,2)="10","제주",TRUE,"국외")</f>
        <v>서울</v>
      </c>
    </row>
    <row r="2253" spans="1:12" ht="17.25" thickBot="1">
      <c r="A2253" s="3" t="s">
        <v>2290</v>
      </c>
      <c r="B2253" s="3" t="s">
        <v>74</v>
      </c>
      <c r="C2253" s="3" t="s">
        <v>1796</v>
      </c>
      <c r="D2253" s="4" t="s">
        <v>254</v>
      </c>
      <c r="E2253" s="4" t="s">
        <v>9</v>
      </c>
      <c r="F2253" s="4">
        <v>2005</v>
      </c>
      <c r="G2253" s="8">
        <v>0.1</v>
      </c>
      <c r="H2253" s="4" t="s">
        <v>9</v>
      </c>
      <c r="I2253" s="8">
        <v>0.1</v>
      </c>
      <c r="J2253" s="3">
        <v>10303</v>
      </c>
      <c r="K2253" s="3">
        <v>50102</v>
      </c>
      <c r="L2253" s="17" t="str" cm="1">
        <f t="array" ref="L2253">_xlfn.IFS(MID(K2253,2,2)="01", "서울", MID(K2253,2,2)="02","경기",MID(K2253,2,2)="03","충청",MID(K2253,2,2)="04","충청",MID(K2253,2,2)="05","전라",MID(K2253,2,2)="06","전라",MID(K2253,2,2)="07","경북",MID(K2253,2,2)="08","경남",MID(K2253,2,2)="09","강원",MID(K2253,2,2)="10","제주",TRUE,"국외")</f>
        <v>서울</v>
      </c>
    </row>
    <row r="2254" spans="1:12" ht="17.25" thickBot="1">
      <c r="A2254" s="3" t="s">
        <v>21</v>
      </c>
      <c r="B2254" s="3" t="s">
        <v>8</v>
      </c>
      <c r="C2254" s="3"/>
      <c r="D2254" s="4" t="s">
        <v>254</v>
      </c>
      <c r="E2254" s="4" t="s">
        <v>26</v>
      </c>
      <c r="F2254" s="4">
        <v>2006</v>
      </c>
      <c r="G2254" s="9"/>
      <c r="H2254" s="4" t="s">
        <v>26</v>
      </c>
      <c r="I2254" s="8">
        <v>0</v>
      </c>
      <c r="J2254" s="3">
        <v>14894</v>
      </c>
      <c r="K2254" s="3">
        <v>50116</v>
      </c>
      <c r="L2254" s="17" t="str" cm="1">
        <f t="array" ref="L2254">_xlfn.IFS(MID(K2254,2,2)="01", "서울", MID(K2254,2,2)="02","경기",MID(K2254,2,2)="03","충청",MID(K2254,2,2)="04","충청",MID(K2254,2,2)="05","전라",MID(K2254,2,2)="06","전라",MID(K2254,2,2)="07","경북",MID(K2254,2,2)="08","경남",MID(K2254,2,2)="09","강원",MID(K2254,2,2)="10","제주",TRUE,"국외")</f>
        <v>서울</v>
      </c>
    </row>
    <row r="2255" spans="1:12" ht="17.25" thickBot="1">
      <c r="A2255" s="3" t="s">
        <v>2291</v>
      </c>
      <c r="B2255" s="3" t="s">
        <v>52</v>
      </c>
      <c r="C2255" s="3" t="s">
        <v>90</v>
      </c>
      <c r="D2255" s="4" t="s">
        <v>254</v>
      </c>
      <c r="E2255" s="4" t="s">
        <v>20</v>
      </c>
      <c r="F2255" s="4">
        <v>2005</v>
      </c>
      <c r="G2255" s="8">
        <v>-0.7</v>
      </c>
      <c r="H2255" s="4" t="s">
        <v>607</v>
      </c>
      <c r="I2255" s="8">
        <v>7.4</v>
      </c>
      <c r="J2255" s="3">
        <v>10921</v>
      </c>
      <c r="K2255" s="3">
        <v>50803</v>
      </c>
      <c r="L2255" s="17" t="str" cm="1">
        <f t="array" ref="L2255">_xlfn.IFS(MID(K2255,2,2)="01", "서울", MID(K2255,2,2)="02","경기",MID(K2255,2,2)="03","충청",MID(K2255,2,2)="04","충청",MID(K2255,2,2)="05","전라",MID(K2255,2,2)="06","전라",MID(K2255,2,2)="07","경북",MID(K2255,2,2)="08","경남",MID(K2255,2,2)="09","강원",MID(K2255,2,2)="10","제주",TRUE,"국외")</f>
        <v>경남</v>
      </c>
    </row>
    <row r="2256" spans="1:12" ht="17.25" thickBot="1">
      <c r="A2256" s="3" t="s">
        <v>2292</v>
      </c>
      <c r="B2256" s="3" t="s">
        <v>351</v>
      </c>
      <c r="C2256" s="3" t="s">
        <v>122</v>
      </c>
      <c r="D2256" s="4" t="s">
        <v>254</v>
      </c>
      <c r="E2256" s="4" t="s">
        <v>6</v>
      </c>
      <c r="F2256" s="4">
        <v>2005</v>
      </c>
      <c r="G2256" s="8">
        <v>-0.4</v>
      </c>
      <c r="H2256" s="4" t="s">
        <v>6</v>
      </c>
      <c r="I2256" s="8">
        <v>-1.1000000000000001</v>
      </c>
      <c r="J2256" s="3">
        <v>10040</v>
      </c>
      <c r="K2256" s="3">
        <v>50203</v>
      </c>
      <c r="L2256" s="17" t="str" cm="1">
        <f t="array" ref="L2256">_xlfn.IFS(MID(K2256,2,2)="01", "서울", MID(K2256,2,2)="02","경기",MID(K2256,2,2)="03","충청",MID(K2256,2,2)="04","충청",MID(K2256,2,2)="05","전라",MID(K2256,2,2)="06","전라",MID(K2256,2,2)="07","경북",MID(K2256,2,2)="08","경남",MID(K2256,2,2)="09","강원",MID(K2256,2,2)="10","제주",TRUE,"국외")</f>
        <v>경기</v>
      </c>
    </row>
    <row r="2257" spans="1:12" ht="17.25" thickBot="1">
      <c r="A2257" s="3" t="s">
        <v>2293</v>
      </c>
      <c r="B2257" s="3" t="s">
        <v>101</v>
      </c>
      <c r="C2257" s="3"/>
      <c r="D2257" s="4" t="s">
        <v>254</v>
      </c>
      <c r="E2257" s="4" t="s">
        <v>2164</v>
      </c>
      <c r="F2257" s="4">
        <v>2005</v>
      </c>
      <c r="G2257" s="8">
        <v>0</v>
      </c>
      <c r="H2257" s="4" t="s">
        <v>26</v>
      </c>
      <c r="I2257" s="8">
        <v>30.1</v>
      </c>
      <c r="J2257" s="3">
        <v>10400</v>
      </c>
      <c r="K2257" s="3">
        <v>50207</v>
      </c>
      <c r="L2257" s="17" t="str" cm="1">
        <f t="array" ref="L2257">_xlfn.IFS(MID(K2257,2,2)="01", "서울", MID(K2257,2,2)="02","경기",MID(K2257,2,2)="03","충청",MID(K2257,2,2)="04","충청",MID(K2257,2,2)="05","전라",MID(K2257,2,2)="06","전라",MID(K2257,2,2)="07","경북",MID(K2257,2,2)="08","경남",MID(K2257,2,2)="09","강원",MID(K2257,2,2)="10","제주",TRUE,"국외")</f>
        <v>경기</v>
      </c>
    </row>
    <row r="2258" spans="1:12" ht="17.25" thickBot="1">
      <c r="A2258" s="3" t="s">
        <v>2294</v>
      </c>
      <c r="B2258" s="3" t="s">
        <v>241</v>
      </c>
      <c r="C2258" s="3" t="s">
        <v>2295</v>
      </c>
      <c r="D2258" s="4" t="s">
        <v>254</v>
      </c>
      <c r="E2258" s="4" t="s">
        <v>26</v>
      </c>
      <c r="F2258" s="4">
        <v>2005</v>
      </c>
      <c r="G2258" s="8">
        <v>0.5</v>
      </c>
      <c r="H2258" s="4" t="s">
        <v>26</v>
      </c>
      <c r="I2258" s="8">
        <v>12.3</v>
      </c>
      <c r="J2258" s="3">
        <v>10425</v>
      </c>
      <c r="K2258" s="3">
        <v>50202</v>
      </c>
      <c r="L2258" s="17" t="str" cm="1">
        <f t="array" ref="L2258">_xlfn.IFS(MID(K2258,2,2)="01", "서울", MID(K2258,2,2)="02","경기",MID(K2258,2,2)="03","충청",MID(K2258,2,2)="04","충청",MID(K2258,2,2)="05","전라",MID(K2258,2,2)="06","전라",MID(K2258,2,2)="07","경북",MID(K2258,2,2)="08","경남",MID(K2258,2,2)="09","강원",MID(K2258,2,2)="10","제주",TRUE,"국외")</f>
        <v>경기</v>
      </c>
    </row>
    <row r="2259" spans="1:12" ht="17.25" thickBot="1">
      <c r="A2259" s="3" t="s">
        <v>1645</v>
      </c>
      <c r="B2259" s="3" t="s">
        <v>1784</v>
      </c>
      <c r="C2259" s="3"/>
      <c r="D2259" s="4" t="s">
        <v>254</v>
      </c>
      <c r="E2259" s="4" t="s">
        <v>3</v>
      </c>
      <c r="F2259" s="4">
        <v>2007</v>
      </c>
      <c r="G2259" s="9"/>
      <c r="H2259" s="4" t="s">
        <v>3</v>
      </c>
      <c r="I2259" s="8">
        <v>-0.2</v>
      </c>
      <c r="J2259" s="3">
        <v>10565</v>
      </c>
      <c r="K2259" s="3">
        <v>50812</v>
      </c>
      <c r="L2259" s="17" t="str" cm="1">
        <f t="array" ref="L2259">_xlfn.IFS(MID(K2259,2,2)="01", "서울", MID(K2259,2,2)="02","경기",MID(K2259,2,2)="03","충청",MID(K2259,2,2)="04","충청",MID(K2259,2,2)="05","전라",MID(K2259,2,2)="06","전라",MID(K2259,2,2)="07","경북",MID(K2259,2,2)="08","경남",MID(K2259,2,2)="09","강원",MID(K2259,2,2)="10","제주",TRUE,"국외")</f>
        <v>경남</v>
      </c>
    </row>
    <row r="2260" spans="1:12" ht="17.25" thickBot="1">
      <c r="A2260" s="3" t="s">
        <v>2296</v>
      </c>
      <c r="B2260" s="3" t="s">
        <v>128</v>
      </c>
      <c r="C2260" s="3"/>
      <c r="D2260" s="4" t="s">
        <v>254</v>
      </c>
      <c r="E2260" s="4" t="s">
        <v>23</v>
      </c>
      <c r="F2260" s="4">
        <v>2007</v>
      </c>
      <c r="G2260" s="9"/>
      <c r="H2260" s="4" t="s">
        <v>6</v>
      </c>
      <c r="I2260" s="8">
        <v>-0.1</v>
      </c>
      <c r="J2260" s="3">
        <f>2400</f>
        <v>2400</v>
      </c>
      <c r="K2260" s="3">
        <v>50901</v>
      </c>
      <c r="L2260" s="17" t="str" cm="1">
        <f t="array" ref="L2260">_xlfn.IFS(MID(K2260,2,2)="01", "서울", MID(K2260,2,2)="02","경기",MID(K2260,2,2)="03","충청",MID(K2260,2,2)="04","충청",MID(K2260,2,2)="05","전라",MID(K2260,2,2)="06","전라",MID(K2260,2,2)="07","경북",MID(K2260,2,2)="08","경남",MID(K2260,2,2)="09","강원",MID(K2260,2,2)="10","제주",TRUE,"국외")</f>
        <v>강원</v>
      </c>
    </row>
    <row r="2261" spans="1:12" ht="17.25" thickBot="1">
      <c r="A2261" s="3" t="s">
        <v>2297</v>
      </c>
      <c r="B2261" s="3" t="s">
        <v>112</v>
      </c>
      <c r="C2261" s="3"/>
      <c r="D2261" s="4" t="s">
        <v>254</v>
      </c>
      <c r="E2261" s="4" t="s">
        <v>6</v>
      </c>
      <c r="F2261" s="4">
        <v>2007</v>
      </c>
      <c r="G2261" s="9"/>
      <c r="H2261" s="4" t="s">
        <v>6</v>
      </c>
      <c r="I2261" s="8">
        <v>0.1</v>
      </c>
      <c r="J2261" s="3">
        <f>2401</f>
        <v>2401</v>
      </c>
      <c r="K2261" s="3">
        <v>50113</v>
      </c>
      <c r="L2261" s="17" t="str" cm="1">
        <f t="array" ref="L2261">_xlfn.IFS(MID(K2261,2,2)="01", "서울", MID(K2261,2,2)="02","경기",MID(K2261,2,2)="03","충청",MID(K2261,2,2)="04","충청",MID(K2261,2,2)="05","전라",MID(K2261,2,2)="06","전라",MID(K2261,2,2)="07","경북",MID(K2261,2,2)="08","경남",MID(K2261,2,2)="09","강원",MID(K2261,2,2)="10","제주",TRUE,"국외")</f>
        <v>서울</v>
      </c>
    </row>
    <row r="2262" spans="1:12" ht="17.25" thickBot="1">
      <c r="A2262" s="3" t="s">
        <v>2298</v>
      </c>
      <c r="B2262" s="3" t="s">
        <v>169</v>
      </c>
      <c r="C2262" s="3"/>
      <c r="D2262" s="4" t="s">
        <v>254</v>
      </c>
      <c r="E2262" s="4" t="s">
        <v>607</v>
      </c>
      <c r="F2262" s="4">
        <v>2005</v>
      </c>
      <c r="G2262" s="8">
        <v>-0.2</v>
      </c>
      <c r="H2262" s="4" t="s">
        <v>20</v>
      </c>
      <c r="I2262" s="8">
        <v>0.6</v>
      </c>
      <c r="J2262" s="3">
        <v>10128</v>
      </c>
      <c r="K2262" s="3">
        <v>50606</v>
      </c>
      <c r="L2262" s="17" t="str" cm="1">
        <f t="array" ref="L2262">_xlfn.IFS(MID(K2262,2,2)="01", "서울", MID(K2262,2,2)="02","경기",MID(K2262,2,2)="03","충청",MID(K2262,2,2)="04","충청",MID(K2262,2,2)="05","전라",MID(K2262,2,2)="06","전라",MID(K2262,2,2)="07","경북",MID(K2262,2,2)="08","경남",MID(K2262,2,2)="09","강원",MID(K2262,2,2)="10","제주",TRUE,"국외")</f>
        <v>전라</v>
      </c>
    </row>
    <row r="2263" spans="1:12" ht="17.25" thickBot="1">
      <c r="A2263" s="3" t="s">
        <v>434</v>
      </c>
      <c r="B2263" s="3" t="s">
        <v>44</v>
      </c>
      <c r="C2263" s="3"/>
      <c r="D2263" s="4" t="s">
        <v>254</v>
      </c>
      <c r="E2263" s="4" t="s">
        <v>2164</v>
      </c>
      <c r="F2263" s="4">
        <v>2007</v>
      </c>
      <c r="G2263" s="9"/>
      <c r="H2263" s="4" t="s">
        <v>607</v>
      </c>
      <c r="I2263" s="8">
        <v>0.4</v>
      </c>
      <c r="J2263" s="3">
        <v>10709</v>
      </c>
      <c r="K2263" s="3">
        <v>50809</v>
      </c>
      <c r="L2263" s="17" t="str" cm="1">
        <f t="array" ref="L2263">_xlfn.IFS(MID(K2263,2,2)="01", "서울", MID(K2263,2,2)="02","경기",MID(K2263,2,2)="03","충청",MID(K2263,2,2)="04","충청",MID(K2263,2,2)="05","전라",MID(K2263,2,2)="06","전라",MID(K2263,2,2)="07","경북",MID(K2263,2,2)="08","경남",MID(K2263,2,2)="09","강원",MID(K2263,2,2)="10","제주",TRUE,"국외")</f>
        <v>경남</v>
      </c>
    </row>
    <row r="2264" spans="1:12" ht="17.25" thickBot="1">
      <c r="A2264" s="3" t="s">
        <v>2299</v>
      </c>
      <c r="B2264" s="3" t="s">
        <v>93</v>
      </c>
      <c r="C2264" s="3" t="s">
        <v>1796</v>
      </c>
      <c r="D2264" s="4" t="s">
        <v>254</v>
      </c>
      <c r="E2264" s="4" t="s">
        <v>9</v>
      </c>
      <c r="F2264" s="4">
        <v>2013</v>
      </c>
      <c r="G2264" s="9"/>
      <c r="H2264" s="4" t="s">
        <v>9</v>
      </c>
      <c r="I2264" s="8">
        <v>0.1</v>
      </c>
      <c r="J2264" s="3">
        <v>10832</v>
      </c>
      <c r="K2264" s="3">
        <v>50805</v>
      </c>
      <c r="L2264" s="17" t="str" cm="1">
        <f t="array" ref="L2264">_xlfn.IFS(MID(K2264,2,2)="01", "서울", MID(K2264,2,2)="02","경기",MID(K2264,2,2)="03","충청",MID(K2264,2,2)="04","충청",MID(K2264,2,2)="05","전라",MID(K2264,2,2)="06","전라",MID(K2264,2,2)="07","경북",MID(K2264,2,2)="08","경남",MID(K2264,2,2)="09","강원",MID(K2264,2,2)="10","제주",TRUE,"국외")</f>
        <v>경남</v>
      </c>
    </row>
    <row r="2265" spans="1:12" ht="17.25" thickBot="1">
      <c r="A2265" s="3" t="s">
        <v>2300</v>
      </c>
      <c r="B2265" s="3" t="s">
        <v>25</v>
      </c>
      <c r="C2265" s="3"/>
      <c r="D2265" s="4" t="s">
        <v>254</v>
      </c>
      <c r="E2265" s="4" t="s">
        <v>20</v>
      </c>
      <c r="F2265" s="4">
        <v>2014</v>
      </c>
      <c r="G2265" s="9"/>
      <c r="H2265" s="4" t="s">
        <v>28</v>
      </c>
      <c r="I2265" s="8">
        <v>2.5</v>
      </c>
      <c r="J2265" s="3">
        <v>11253</v>
      </c>
      <c r="K2265" s="3">
        <v>50403</v>
      </c>
      <c r="L2265" s="17" t="str" cm="1">
        <f t="array" ref="L2265">_xlfn.IFS(MID(K2265,2,2)="01", "서울", MID(K2265,2,2)="02","경기",MID(K2265,2,2)="03","충청",MID(K2265,2,2)="04","충청",MID(K2265,2,2)="05","전라",MID(K2265,2,2)="06","전라",MID(K2265,2,2)="07","경북",MID(K2265,2,2)="08","경남",MID(K2265,2,2)="09","강원",MID(K2265,2,2)="10","제주",TRUE,"국외")</f>
        <v>충청</v>
      </c>
    </row>
    <row r="2266" spans="1:12" ht="17.25" thickBot="1">
      <c r="A2266" s="3" t="s">
        <v>2301</v>
      </c>
      <c r="B2266" s="3" t="s">
        <v>1784</v>
      </c>
      <c r="C2266" s="3" t="s">
        <v>1347</v>
      </c>
      <c r="D2266" s="4" t="s">
        <v>254</v>
      </c>
      <c r="E2266" s="4" t="s">
        <v>23</v>
      </c>
      <c r="F2266" s="4">
        <v>2008</v>
      </c>
      <c r="G2266" s="9"/>
      <c r="H2266" s="4" t="s">
        <v>23</v>
      </c>
      <c r="I2266" s="8">
        <v>-1.1000000000000001</v>
      </c>
      <c r="J2266" s="3">
        <v>10347</v>
      </c>
      <c r="K2266" s="3">
        <v>50812</v>
      </c>
      <c r="L2266" s="17" t="str" cm="1">
        <f t="array" ref="L2266">_xlfn.IFS(MID(K2266,2,2)="01", "서울", MID(K2266,2,2)="02","경기",MID(K2266,2,2)="03","충청",MID(K2266,2,2)="04","충청",MID(K2266,2,2)="05","전라",MID(K2266,2,2)="06","전라",MID(K2266,2,2)="07","경북",MID(K2266,2,2)="08","경남",MID(K2266,2,2)="09","강원",MID(K2266,2,2)="10","제주",TRUE,"국외")</f>
        <v>경남</v>
      </c>
    </row>
    <row r="2267" spans="1:12" ht="17.25" thickBot="1">
      <c r="A2267" s="3" t="s">
        <v>2302</v>
      </c>
      <c r="B2267" s="3" t="s">
        <v>1</v>
      </c>
      <c r="C2267" s="3" t="s">
        <v>1942</v>
      </c>
      <c r="D2267" s="4" t="s">
        <v>254</v>
      </c>
      <c r="E2267" s="4" t="s">
        <v>2164</v>
      </c>
      <c r="F2267" s="4">
        <v>2005</v>
      </c>
      <c r="G2267" s="8">
        <v>0.3</v>
      </c>
      <c r="H2267" s="4" t="s">
        <v>18</v>
      </c>
      <c r="I2267" s="8">
        <v>8.1</v>
      </c>
      <c r="J2267" s="3">
        <v>10448</v>
      </c>
      <c r="K2267" s="3">
        <v>50107</v>
      </c>
      <c r="L2267" s="17" t="str" cm="1">
        <f t="array" ref="L2267">_xlfn.IFS(MID(K2267,2,2)="01", "서울", MID(K2267,2,2)="02","경기",MID(K2267,2,2)="03","충청",MID(K2267,2,2)="04","충청",MID(K2267,2,2)="05","전라",MID(K2267,2,2)="06","전라",MID(K2267,2,2)="07","경북",MID(K2267,2,2)="08","경남",MID(K2267,2,2)="09","강원",MID(K2267,2,2)="10","제주",TRUE,"국외")</f>
        <v>서울</v>
      </c>
    </row>
    <row r="2268" spans="1:12" ht="17.25" thickBot="1">
      <c r="A2268" s="3" t="s">
        <v>2303</v>
      </c>
      <c r="B2268" s="3" t="s">
        <v>78</v>
      </c>
      <c r="C2268" s="3" t="s">
        <v>739</v>
      </c>
      <c r="D2268" s="4" t="s">
        <v>254</v>
      </c>
      <c r="E2268" s="4" t="s">
        <v>26</v>
      </c>
      <c r="F2268" s="4">
        <v>2005</v>
      </c>
      <c r="G2268" s="8">
        <v>-0.6</v>
      </c>
      <c r="H2268" s="4" t="s">
        <v>607</v>
      </c>
      <c r="I2268" s="8">
        <v>2.8</v>
      </c>
      <c r="J2268" s="3">
        <v>10206</v>
      </c>
      <c r="K2268" s="3">
        <v>50401</v>
      </c>
      <c r="L2268" s="17" t="str" cm="1">
        <f t="array" ref="L2268">_xlfn.IFS(MID(K2268,2,2)="01", "서울", MID(K2268,2,2)="02","경기",MID(K2268,2,2)="03","충청",MID(K2268,2,2)="04","충청",MID(K2268,2,2)="05","전라",MID(K2268,2,2)="06","전라",MID(K2268,2,2)="07","경북",MID(K2268,2,2)="08","경남",MID(K2268,2,2)="09","강원",MID(K2268,2,2)="10","제주",TRUE,"국외")</f>
        <v>충청</v>
      </c>
    </row>
    <row r="2269" spans="1:12" ht="17.25" thickBot="1">
      <c r="A2269" s="3" t="s">
        <v>278</v>
      </c>
      <c r="B2269" s="3" t="s">
        <v>40</v>
      </c>
      <c r="C2269" s="3"/>
      <c r="D2269" s="4" t="s">
        <v>254</v>
      </c>
      <c r="E2269" s="4" t="s">
        <v>20</v>
      </c>
      <c r="F2269" s="4">
        <v>2010</v>
      </c>
      <c r="G2269" s="9"/>
      <c r="H2269" s="4" t="s">
        <v>18</v>
      </c>
      <c r="I2269" s="8">
        <v>0</v>
      </c>
      <c r="J2269" s="3">
        <v>10409</v>
      </c>
      <c r="K2269" s="3">
        <v>50108</v>
      </c>
      <c r="L2269" s="17" t="str" cm="1">
        <f t="array" ref="L2269">_xlfn.IFS(MID(K2269,2,2)="01", "서울", MID(K2269,2,2)="02","경기",MID(K2269,2,2)="03","충청",MID(K2269,2,2)="04","충청",MID(K2269,2,2)="05","전라",MID(K2269,2,2)="06","전라",MID(K2269,2,2)="07","경북",MID(K2269,2,2)="08","경남",MID(K2269,2,2)="09","강원",MID(K2269,2,2)="10","제주",TRUE,"국외")</f>
        <v>서울</v>
      </c>
    </row>
    <row r="2270" spans="1:12" ht="17.25" thickBot="1">
      <c r="A2270" s="3" t="s">
        <v>2304</v>
      </c>
      <c r="B2270" s="3" t="s">
        <v>96</v>
      </c>
      <c r="C2270" s="3" t="s">
        <v>99</v>
      </c>
      <c r="D2270" s="4" t="s">
        <v>254</v>
      </c>
      <c r="E2270" s="4" t="s">
        <v>6</v>
      </c>
      <c r="F2270" s="4">
        <v>2005</v>
      </c>
      <c r="G2270" s="8">
        <v>0</v>
      </c>
      <c r="H2270" s="4" t="s">
        <v>6</v>
      </c>
      <c r="I2270" s="8">
        <v>0</v>
      </c>
      <c r="J2270" s="3">
        <f>2343</f>
        <v>2343</v>
      </c>
      <c r="K2270" s="3">
        <v>50601</v>
      </c>
      <c r="L2270" s="17" t="str" cm="1">
        <f t="array" ref="L2270">_xlfn.IFS(MID(K2270,2,2)="01", "서울", MID(K2270,2,2)="02","경기",MID(K2270,2,2)="03","충청",MID(K2270,2,2)="04","충청",MID(K2270,2,2)="05","전라",MID(K2270,2,2)="06","전라",MID(K2270,2,2)="07","경북",MID(K2270,2,2)="08","경남",MID(K2270,2,2)="09","강원",MID(K2270,2,2)="10","제주",TRUE,"국외")</f>
        <v>전라</v>
      </c>
    </row>
    <row r="2271" spans="1:12" ht="17.25" thickBot="1">
      <c r="A2271" s="3" t="s">
        <v>2305</v>
      </c>
      <c r="B2271" s="3" t="s">
        <v>50</v>
      </c>
      <c r="C2271" s="3" t="s">
        <v>172</v>
      </c>
      <c r="D2271" s="4" t="s">
        <v>254</v>
      </c>
      <c r="E2271" s="4" t="s">
        <v>2164</v>
      </c>
      <c r="F2271" s="4"/>
      <c r="G2271" s="9"/>
      <c r="H2271" s="4"/>
      <c r="I2271" s="9"/>
      <c r="J2271" s="3">
        <v>10540</v>
      </c>
      <c r="K2271" s="3">
        <v>50301</v>
      </c>
      <c r="L2271" s="17" t="str" cm="1">
        <f t="array" ref="L2271">_xlfn.IFS(MID(K2271,2,2)="01", "서울", MID(K2271,2,2)="02","경기",MID(K2271,2,2)="03","충청",MID(K2271,2,2)="04","충청",MID(K2271,2,2)="05","전라",MID(K2271,2,2)="06","전라",MID(K2271,2,2)="07","경북",MID(K2271,2,2)="08","경남",MID(K2271,2,2)="09","강원",MID(K2271,2,2)="10","제주",TRUE,"국외")</f>
        <v>충청</v>
      </c>
    </row>
    <row r="2272" spans="1:12" ht="17.25" thickBot="1">
      <c r="A2272" s="3" t="s">
        <v>1194</v>
      </c>
      <c r="B2272" s="3" t="s">
        <v>1950</v>
      </c>
      <c r="C2272" s="3" t="s">
        <v>90</v>
      </c>
      <c r="D2272" s="4" t="s">
        <v>254</v>
      </c>
      <c r="E2272" s="4" t="s">
        <v>9</v>
      </c>
      <c r="F2272" s="4">
        <v>2005</v>
      </c>
      <c r="G2272" s="8">
        <v>0.1</v>
      </c>
      <c r="H2272" s="4" t="s">
        <v>9</v>
      </c>
      <c r="I2272" s="8">
        <v>0</v>
      </c>
      <c r="J2272" s="3">
        <v>10234</v>
      </c>
      <c r="K2272" s="3">
        <v>50115</v>
      </c>
      <c r="L2272" s="17" t="str" cm="1">
        <f t="array" ref="L2272">_xlfn.IFS(MID(K2272,2,2)="01", "서울", MID(K2272,2,2)="02","경기",MID(K2272,2,2)="03","충청",MID(K2272,2,2)="04","충청",MID(K2272,2,2)="05","전라",MID(K2272,2,2)="06","전라",MID(K2272,2,2)="07","경북",MID(K2272,2,2)="08","경남",MID(K2272,2,2)="09","강원",MID(K2272,2,2)="10","제주",TRUE,"국외")</f>
        <v>서울</v>
      </c>
    </row>
    <row r="2273" spans="1:12" ht="17.25" thickBot="1">
      <c r="A2273" s="3" t="s">
        <v>2306</v>
      </c>
      <c r="B2273" s="3" t="s">
        <v>335</v>
      </c>
      <c r="C2273" s="3"/>
      <c r="D2273" s="4" t="s">
        <v>254</v>
      </c>
      <c r="E2273" s="4" t="s">
        <v>6</v>
      </c>
      <c r="F2273" s="4">
        <v>2006</v>
      </c>
      <c r="G2273" s="9"/>
      <c r="H2273" s="4" t="s">
        <v>20</v>
      </c>
      <c r="I2273" s="8">
        <v>0.2</v>
      </c>
      <c r="J2273" s="3">
        <v>10075</v>
      </c>
      <c r="K2273" s="3">
        <v>50804</v>
      </c>
      <c r="L2273" s="17" t="str" cm="1">
        <f t="array" ref="L2273">_xlfn.IFS(MID(K2273,2,2)="01", "서울", MID(K2273,2,2)="02","경기",MID(K2273,2,2)="03","충청",MID(K2273,2,2)="04","충청",MID(K2273,2,2)="05","전라",MID(K2273,2,2)="06","전라",MID(K2273,2,2)="07","경북",MID(K2273,2,2)="08","경남",MID(K2273,2,2)="09","강원",MID(K2273,2,2)="10","제주",TRUE,"국외")</f>
        <v>경남</v>
      </c>
    </row>
    <row r="2274" spans="1:12" ht="17.25" thickBot="1">
      <c r="A2274" s="3" t="s">
        <v>2307</v>
      </c>
      <c r="B2274" s="3" t="s">
        <v>25</v>
      </c>
      <c r="C2274" s="3" t="s">
        <v>1796</v>
      </c>
      <c r="D2274" s="4" t="s">
        <v>254</v>
      </c>
      <c r="E2274" s="4" t="s">
        <v>20</v>
      </c>
      <c r="F2274" s="4">
        <v>2006</v>
      </c>
      <c r="G2274" s="9"/>
      <c r="H2274" s="4" t="s">
        <v>20</v>
      </c>
      <c r="I2274" s="8">
        <v>-0.6</v>
      </c>
      <c r="J2274" s="3">
        <v>10588</v>
      </c>
      <c r="K2274" s="3">
        <v>50403</v>
      </c>
      <c r="L2274" s="17" t="str" cm="1">
        <f t="array" ref="L2274">_xlfn.IFS(MID(K2274,2,2)="01", "서울", MID(K2274,2,2)="02","경기",MID(K2274,2,2)="03","충청",MID(K2274,2,2)="04","충청",MID(K2274,2,2)="05","전라",MID(K2274,2,2)="06","전라",MID(K2274,2,2)="07","경북",MID(K2274,2,2)="08","경남",MID(K2274,2,2)="09","강원",MID(K2274,2,2)="10","제주",TRUE,"국외")</f>
        <v>충청</v>
      </c>
    </row>
    <row r="2275" spans="1:12" ht="17.25" thickBot="1">
      <c r="A2275" s="3" t="s">
        <v>2308</v>
      </c>
      <c r="B2275" s="3" t="s">
        <v>335</v>
      </c>
      <c r="C2275" s="3"/>
      <c r="D2275" s="4" t="s">
        <v>254</v>
      </c>
      <c r="E2275" s="4" t="s">
        <v>2164</v>
      </c>
      <c r="F2275" s="4">
        <v>2005</v>
      </c>
      <c r="G2275" s="8">
        <v>-0.1</v>
      </c>
      <c r="H2275" s="4" t="s">
        <v>607</v>
      </c>
      <c r="I2275" s="8">
        <v>2.2999999999999998</v>
      </c>
      <c r="J2275" s="3">
        <v>10841</v>
      </c>
      <c r="K2275" s="3">
        <v>50804</v>
      </c>
      <c r="L2275" s="17" t="str" cm="1">
        <f t="array" ref="L2275">_xlfn.IFS(MID(K2275,2,2)="01", "서울", MID(K2275,2,2)="02","경기",MID(K2275,2,2)="03","충청",MID(K2275,2,2)="04","충청",MID(K2275,2,2)="05","전라",MID(K2275,2,2)="06","전라",MID(K2275,2,2)="07","경북",MID(K2275,2,2)="08","경남",MID(K2275,2,2)="09","강원",MID(K2275,2,2)="10","제주",TRUE,"국외")</f>
        <v>경남</v>
      </c>
    </row>
    <row r="2276" spans="1:12" ht="17.25" thickBot="1">
      <c r="A2276" s="3" t="s">
        <v>2309</v>
      </c>
      <c r="B2276" s="3" t="s">
        <v>1</v>
      </c>
      <c r="C2276" s="3" t="s">
        <v>1743</v>
      </c>
      <c r="D2276" s="4" t="s">
        <v>254</v>
      </c>
      <c r="E2276" s="4" t="s">
        <v>607</v>
      </c>
      <c r="F2276" s="4">
        <v>2005</v>
      </c>
      <c r="G2276" s="8">
        <v>0.1</v>
      </c>
      <c r="H2276" s="4" t="s">
        <v>607</v>
      </c>
      <c r="I2276" s="8">
        <v>0.1</v>
      </c>
      <c r="J2276" s="3">
        <f>2372</f>
        <v>2372</v>
      </c>
      <c r="K2276" s="3">
        <v>50107</v>
      </c>
      <c r="L2276" s="17" t="str" cm="1">
        <f t="array" ref="L2276">_xlfn.IFS(MID(K2276,2,2)="01", "서울", MID(K2276,2,2)="02","경기",MID(K2276,2,2)="03","충청",MID(K2276,2,2)="04","충청",MID(K2276,2,2)="05","전라",MID(K2276,2,2)="06","전라",MID(K2276,2,2)="07","경북",MID(K2276,2,2)="08","경남",MID(K2276,2,2)="09","강원",MID(K2276,2,2)="10","제주",TRUE,"국외")</f>
        <v>서울</v>
      </c>
    </row>
    <row r="2277" spans="1:12" ht="17.25" thickBot="1">
      <c r="A2277" s="3" t="s">
        <v>2310</v>
      </c>
      <c r="B2277" s="3"/>
      <c r="C2277" s="3"/>
      <c r="D2277" s="4" t="s">
        <v>181</v>
      </c>
      <c r="E2277" s="4" t="s">
        <v>6</v>
      </c>
      <c r="F2277" s="4">
        <v>2005</v>
      </c>
      <c r="G2277" s="8">
        <v>1.4</v>
      </c>
      <c r="H2277" s="4" t="s">
        <v>6</v>
      </c>
      <c r="I2277" s="8">
        <v>1.4</v>
      </c>
      <c r="J2277" s="3">
        <f>2357</f>
        <v>2357</v>
      </c>
      <c r="K2277" s="3"/>
      <c r="L2277" s="17" t="str" cm="1">
        <f t="array" ref="L2277">_xlfn.IFS(MID(K2277,2,2)="01", "서울", MID(K2277,2,2)="02","경기",MID(K2277,2,2)="03","충청",MID(K2277,2,2)="04","충청",MID(K2277,2,2)="05","전라",MID(K2277,2,2)="06","전라",MID(K2277,2,2)="07","경북",MID(K2277,2,2)="08","경남",MID(K2277,2,2)="09","강원",MID(K2277,2,2)="10","제주",TRUE,"국외")</f>
        <v>국외</v>
      </c>
    </row>
    <row r="2278" spans="1:12" ht="17.25" thickBot="1">
      <c r="A2278" s="3" t="s">
        <v>2311</v>
      </c>
      <c r="B2278" s="3"/>
      <c r="C2278" s="3"/>
      <c r="D2278" s="4" t="s">
        <v>181</v>
      </c>
      <c r="E2278" s="4" t="s">
        <v>6</v>
      </c>
      <c r="F2278" s="4">
        <v>2005</v>
      </c>
      <c r="G2278" s="8">
        <v>1.2</v>
      </c>
      <c r="H2278" s="4" t="s">
        <v>6</v>
      </c>
      <c r="I2278" s="8">
        <v>5.8</v>
      </c>
      <c r="J2278" s="3">
        <f>2354</f>
        <v>2354</v>
      </c>
      <c r="K2278" s="3"/>
      <c r="L2278" s="17" t="str" cm="1">
        <f t="array" ref="L2278">_xlfn.IFS(MID(K2278,2,2)="01", "서울", MID(K2278,2,2)="02","경기",MID(K2278,2,2)="03","충청",MID(K2278,2,2)="04","충청",MID(K2278,2,2)="05","전라",MID(K2278,2,2)="06","전라",MID(K2278,2,2)="07","경북",MID(K2278,2,2)="08","경남",MID(K2278,2,2)="09","강원",MID(K2278,2,2)="10","제주",TRUE,"국외")</f>
        <v>국외</v>
      </c>
    </row>
    <row r="2279" spans="1:12" ht="17.25" thickBot="1">
      <c r="A2279" s="3" t="s">
        <v>2312</v>
      </c>
      <c r="B2279" s="3"/>
      <c r="C2279" s="3"/>
      <c r="D2279" s="4" t="s">
        <v>181</v>
      </c>
      <c r="E2279" s="4" t="s">
        <v>20</v>
      </c>
      <c r="F2279" s="4">
        <v>2005</v>
      </c>
      <c r="G2279" s="8">
        <v>0.5</v>
      </c>
      <c r="H2279" s="4" t="s">
        <v>26</v>
      </c>
      <c r="I2279" s="8">
        <v>1.4</v>
      </c>
      <c r="J2279" s="3">
        <v>10211</v>
      </c>
      <c r="K2279" s="3"/>
      <c r="L2279" s="17" t="str" cm="1">
        <f t="array" ref="L2279">_xlfn.IFS(MID(K2279,2,2)="01", "서울", MID(K2279,2,2)="02","경기",MID(K2279,2,2)="03","충청",MID(K2279,2,2)="04","충청",MID(K2279,2,2)="05","전라",MID(K2279,2,2)="06","전라",MID(K2279,2,2)="07","경북",MID(K2279,2,2)="08","경남",MID(K2279,2,2)="09","강원",MID(K2279,2,2)="10","제주",TRUE,"국외")</f>
        <v>국외</v>
      </c>
    </row>
    <row r="2280" spans="1:12" ht="17.25" thickBot="1">
      <c r="A2280" s="3" t="s">
        <v>2313</v>
      </c>
      <c r="B2280" s="3"/>
      <c r="C2280" s="3"/>
      <c r="D2280" s="4" t="s">
        <v>181</v>
      </c>
      <c r="E2280" s="4" t="s">
        <v>20</v>
      </c>
      <c r="F2280" s="4">
        <v>2005</v>
      </c>
      <c r="G2280" s="8">
        <v>3.4</v>
      </c>
      <c r="H2280" s="4" t="s">
        <v>20</v>
      </c>
      <c r="I2280" s="8">
        <v>5.6</v>
      </c>
      <c r="J2280" s="3">
        <f>2349</f>
        <v>2349</v>
      </c>
      <c r="K2280" s="3"/>
      <c r="L2280" s="17" t="str" cm="1">
        <f t="array" ref="L2280">_xlfn.IFS(MID(K2280,2,2)="01", "서울", MID(K2280,2,2)="02","경기",MID(K2280,2,2)="03","충청",MID(K2280,2,2)="04","충청",MID(K2280,2,2)="05","전라",MID(K2280,2,2)="06","전라",MID(K2280,2,2)="07","경북",MID(K2280,2,2)="08","경남",MID(K2280,2,2)="09","강원",MID(K2280,2,2)="10","제주",TRUE,"국외")</f>
        <v>국외</v>
      </c>
    </row>
    <row r="2281" spans="1:12" ht="17.25" thickBot="1">
      <c r="A2281" s="3" t="s">
        <v>2314</v>
      </c>
      <c r="B2281" s="3"/>
      <c r="C2281" s="3"/>
      <c r="D2281" s="4" t="s">
        <v>181</v>
      </c>
      <c r="E2281" s="4" t="s">
        <v>607</v>
      </c>
      <c r="F2281" s="4">
        <v>2005</v>
      </c>
      <c r="G2281" s="8">
        <v>1.3</v>
      </c>
      <c r="H2281" s="4" t="s">
        <v>607</v>
      </c>
      <c r="I2281" s="8">
        <v>1.3</v>
      </c>
      <c r="J2281" s="3">
        <f>2366</f>
        <v>2366</v>
      </c>
      <c r="K2281" s="3"/>
      <c r="L2281" s="17" t="str" cm="1">
        <f t="array" ref="L2281">_xlfn.IFS(MID(K2281,2,2)="01", "서울", MID(K2281,2,2)="02","경기",MID(K2281,2,2)="03","충청",MID(K2281,2,2)="04","충청",MID(K2281,2,2)="05","전라",MID(K2281,2,2)="06","전라",MID(K2281,2,2)="07","경북",MID(K2281,2,2)="08","경남",MID(K2281,2,2)="09","강원",MID(K2281,2,2)="10","제주",TRUE,"국외")</f>
        <v>국외</v>
      </c>
    </row>
    <row r="2282" spans="1:12" ht="17.25" thickBot="1">
      <c r="A2282" s="3" t="s">
        <v>2203</v>
      </c>
      <c r="B2282" s="3"/>
      <c r="C2282" s="3"/>
      <c r="D2282" s="4" t="s">
        <v>181</v>
      </c>
      <c r="E2282" s="4" t="s">
        <v>607</v>
      </c>
      <c r="F2282" s="4">
        <v>2005</v>
      </c>
      <c r="G2282" s="8">
        <v>1.8</v>
      </c>
      <c r="H2282" s="4" t="s">
        <v>607</v>
      </c>
      <c r="I2282" s="8">
        <v>1.8</v>
      </c>
      <c r="J2282" s="3">
        <f>2369</f>
        <v>2369</v>
      </c>
      <c r="K2282" s="3"/>
      <c r="L2282" s="17" t="str" cm="1">
        <f t="array" ref="L2282">_xlfn.IFS(MID(K2282,2,2)="01", "서울", MID(K2282,2,2)="02","경기",MID(K2282,2,2)="03","충청",MID(K2282,2,2)="04","충청",MID(K2282,2,2)="05","전라",MID(K2282,2,2)="06","전라",MID(K2282,2,2)="07","경북",MID(K2282,2,2)="08","경남",MID(K2282,2,2)="09","강원",MID(K2282,2,2)="10","제주",TRUE,"국외")</f>
        <v>국외</v>
      </c>
    </row>
    <row r="2283" spans="1:12" ht="17.25" thickBot="1">
      <c r="A2283" s="3" t="s">
        <v>180</v>
      </c>
      <c r="B2283" s="3"/>
      <c r="C2283" s="3"/>
      <c r="D2283" s="4" t="s">
        <v>181</v>
      </c>
      <c r="E2283" s="4" t="s">
        <v>607</v>
      </c>
      <c r="F2283" s="4">
        <v>2005</v>
      </c>
      <c r="G2283" s="8">
        <v>-0.3</v>
      </c>
      <c r="H2283" s="4" t="s">
        <v>607</v>
      </c>
      <c r="I2283" s="8">
        <v>-0.3</v>
      </c>
      <c r="J2283" s="3">
        <f>2358</f>
        <v>2358</v>
      </c>
      <c r="K2283" s="3"/>
      <c r="L2283" s="17" t="str" cm="1">
        <f t="array" ref="L2283">_xlfn.IFS(MID(K2283,2,2)="01", "서울", MID(K2283,2,2)="02","경기",MID(K2283,2,2)="03","충청",MID(K2283,2,2)="04","충청",MID(K2283,2,2)="05","전라",MID(K2283,2,2)="06","전라",MID(K2283,2,2)="07","경북",MID(K2283,2,2)="08","경남",MID(K2283,2,2)="09","강원",MID(K2283,2,2)="10","제주",TRUE,"국외")</f>
        <v>국외</v>
      </c>
    </row>
    <row r="2284" spans="1:12" ht="17.25" thickBot="1">
      <c r="A2284" s="3" t="s">
        <v>2315</v>
      </c>
      <c r="B2284" s="3"/>
      <c r="C2284" s="3"/>
      <c r="D2284" s="4" t="s">
        <v>181</v>
      </c>
      <c r="E2284" s="4" t="s">
        <v>26</v>
      </c>
      <c r="F2284" s="4">
        <v>2005</v>
      </c>
      <c r="G2284" s="8">
        <v>4.0999999999999996</v>
      </c>
      <c r="H2284" s="4" t="s">
        <v>26</v>
      </c>
      <c r="I2284" s="8">
        <v>16.2</v>
      </c>
      <c r="J2284" s="3">
        <f>2355</f>
        <v>2355</v>
      </c>
      <c r="K2284" s="3"/>
      <c r="L2284" s="17" t="str" cm="1">
        <f t="array" ref="L2284">_xlfn.IFS(MID(K2284,2,2)="01", "서울", MID(K2284,2,2)="02","경기",MID(K2284,2,2)="03","충청",MID(K2284,2,2)="04","충청",MID(K2284,2,2)="05","전라",MID(K2284,2,2)="06","전라",MID(K2284,2,2)="07","경북",MID(K2284,2,2)="08","경남",MID(K2284,2,2)="09","강원",MID(K2284,2,2)="10","제주",TRUE,"국외")</f>
        <v>국외</v>
      </c>
    </row>
    <row r="2285" spans="1:12" ht="17.25" thickBot="1">
      <c r="A2285" s="3" t="s">
        <v>202</v>
      </c>
      <c r="B2285" s="3"/>
      <c r="C2285" s="3"/>
      <c r="D2285" s="4" t="s">
        <v>181</v>
      </c>
      <c r="E2285" s="4" t="s">
        <v>26</v>
      </c>
      <c r="F2285" s="4">
        <v>2005</v>
      </c>
      <c r="G2285" s="8">
        <v>1</v>
      </c>
      <c r="H2285" s="4" t="s">
        <v>26</v>
      </c>
      <c r="I2285" s="8">
        <v>1</v>
      </c>
      <c r="J2285" s="3">
        <f>2362</f>
        <v>2362</v>
      </c>
      <c r="K2285" s="3"/>
      <c r="L2285" s="17" t="str" cm="1">
        <f t="array" ref="L2285">_xlfn.IFS(MID(K2285,2,2)="01", "서울", MID(K2285,2,2)="02","경기",MID(K2285,2,2)="03","충청",MID(K2285,2,2)="04","충청",MID(K2285,2,2)="05","전라",MID(K2285,2,2)="06","전라",MID(K2285,2,2)="07","경북",MID(K2285,2,2)="08","경남",MID(K2285,2,2)="09","강원",MID(K2285,2,2)="10","제주",TRUE,"국외")</f>
        <v>국외</v>
      </c>
    </row>
    <row r="2286" spans="1:12" ht="17.25" thickBot="1">
      <c r="A2286" s="3" t="s">
        <v>2316</v>
      </c>
      <c r="B2286" s="3"/>
      <c r="C2286" s="3"/>
      <c r="D2286" s="4" t="s">
        <v>181</v>
      </c>
      <c r="E2286" s="4" t="s">
        <v>9</v>
      </c>
      <c r="F2286" s="4">
        <v>2005</v>
      </c>
      <c r="G2286" s="8">
        <v>2.7</v>
      </c>
      <c r="H2286" s="4" t="s">
        <v>9</v>
      </c>
      <c r="I2286" s="8">
        <v>2.7</v>
      </c>
      <c r="J2286" s="3">
        <f>2350</f>
        <v>2350</v>
      </c>
      <c r="K2286" s="3"/>
      <c r="L2286" s="17" t="str" cm="1">
        <f t="array" ref="L2286">_xlfn.IFS(MID(K2286,2,2)="01", "서울", MID(K2286,2,2)="02","경기",MID(K2286,2,2)="03","충청",MID(K2286,2,2)="04","충청",MID(K2286,2,2)="05","전라",MID(K2286,2,2)="06","전라",MID(K2286,2,2)="07","경북",MID(K2286,2,2)="08","경남",MID(K2286,2,2)="09","강원",MID(K2286,2,2)="10","제주",TRUE,"국외")</f>
        <v>국외</v>
      </c>
    </row>
    <row r="2287" spans="1:12" ht="17.25" thickBot="1">
      <c r="A2287" s="3" t="s">
        <v>2317</v>
      </c>
      <c r="B2287" s="3"/>
      <c r="C2287" s="3"/>
      <c r="D2287" s="4" t="s">
        <v>181</v>
      </c>
      <c r="E2287" s="4" t="s">
        <v>23</v>
      </c>
      <c r="F2287" s="4">
        <v>2005</v>
      </c>
      <c r="G2287" s="8">
        <v>0.3</v>
      </c>
      <c r="H2287" s="4" t="s">
        <v>23</v>
      </c>
      <c r="I2287" s="8">
        <v>0.3</v>
      </c>
      <c r="J2287" s="3">
        <f>2371</f>
        <v>2371</v>
      </c>
      <c r="K2287" s="3"/>
      <c r="L2287" s="17" t="str" cm="1">
        <f t="array" ref="L2287">_xlfn.IFS(MID(K2287,2,2)="01", "서울", MID(K2287,2,2)="02","경기",MID(K2287,2,2)="03","충청",MID(K2287,2,2)="04","충청",MID(K2287,2,2)="05","전라",MID(K2287,2,2)="06","전라",MID(K2287,2,2)="07","경북",MID(K2287,2,2)="08","경남",MID(K2287,2,2)="09","강원",MID(K2287,2,2)="10","제주",TRUE,"국외")</f>
        <v>국외</v>
      </c>
    </row>
    <row r="2288" spans="1:12" ht="17.25" thickBot="1">
      <c r="A2288" s="3" t="s">
        <v>2318</v>
      </c>
      <c r="B2288" s="3"/>
      <c r="C2288" s="3"/>
      <c r="D2288" s="4" t="s">
        <v>181</v>
      </c>
      <c r="E2288" s="4" t="s">
        <v>23</v>
      </c>
      <c r="F2288" s="4">
        <v>2005</v>
      </c>
      <c r="G2288" s="8">
        <v>1.1000000000000001</v>
      </c>
      <c r="H2288" s="4" t="s">
        <v>23</v>
      </c>
      <c r="I2288" s="8">
        <v>2.8</v>
      </c>
      <c r="J2288" s="3">
        <f>2370</f>
        <v>2370</v>
      </c>
      <c r="K2288" s="3"/>
      <c r="L2288" s="17" t="str" cm="1">
        <f t="array" ref="L2288">_xlfn.IFS(MID(K2288,2,2)="01", "서울", MID(K2288,2,2)="02","경기",MID(K2288,2,2)="03","충청",MID(K2288,2,2)="04","충청",MID(K2288,2,2)="05","전라",MID(K2288,2,2)="06","전라",MID(K2288,2,2)="07","경북",MID(K2288,2,2)="08","경남",MID(K2288,2,2)="09","강원",MID(K2288,2,2)="10","제주",TRUE,"국외")</f>
        <v>국외</v>
      </c>
    </row>
    <row r="2289" spans="1:12" ht="17.25" thickBot="1">
      <c r="A2289" s="3" t="s">
        <v>2319</v>
      </c>
      <c r="B2289" s="3"/>
      <c r="C2289" s="3"/>
      <c r="D2289" s="4" t="s">
        <v>181</v>
      </c>
      <c r="E2289" s="4" t="s">
        <v>23</v>
      </c>
      <c r="F2289" s="4">
        <v>2005</v>
      </c>
      <c r="G2289" s="8">
        <v>0.7</v>
      </c>
      <c r="H2289" s="4" t="s">
        <v>23</v>
      </c>
      <c r="I2289" s="8">
        <v>0.7</v>
      </c>
      <c r="J2289" s="3">
        <f>2356</f>
        <v>2356</v>
      </c>
      <c r="K2289" s="3"/>
      <c r="L2289" s="17" t="str" cm="1">
        <f t="array" ref="L2289">_xlfn.IFS(MID(K2289,2,2)="01", "서울", MID(K2289,2,2)="02","경기",MID(K2289,2,2)="03","충청",MID(K2289,2,2)="04","충청",MID(K2289,2,2)="05","전라",MID(K2289,2,2)="06","전라",MID(K2289,2,2)="07","경북",MID(K2289,2,2)="08","경남",MID(K2289,2,2)="09","강원",MID(K2289,2,2)="10","제주",TRUE,"국외")</f>
        <v>국외</v>
      </c>
    </row>
    <row r="2290" spans="1:12" ht="17.25" thickBot="1">
      <c r="A2290" s="3" t="s">
        <v>202</v>
      </c>
      <c r="B2290" s="3"/>
      <c r="C2290" s="3"/>
      <c r="D2290" s="4" t="s">
        <v>181</v>
      </c>
      <c r="E2290" s="4" t="s">
        <v>3</v>
      </c>
      <c r="F2290" s="4">
        <v>2005</v>
      </c>
      <c r="G2290" s="8">
        <v>0</v>
      </c>
      <c r="H2290" s="4" t="s">
        <v>3</v>
      </c>
      <c r="I2290" s="8">
        <v>0</v>
      </c>
      <c r="J2290" s="3">
        <f>2344</f>
        <v>2344</v>
      </c>
      <c r="K2290" s="3"/>
      <c r="L2290" s="17" t="str" cm="1">
        <f t="array" ref="L2290">_xlfn.IFS(MID(K2290,2,2)="01", "서울", MID(K2290,2,2)="02","경기",MID(K2290,2,2)="03","충청",MID(K2290,2,2)="04","충청",MID(K2290,2,2)="05","전라",MID(K2290,2,2)="06","전라",MID(K2290,2,2)="07","경북",MID(K2290,2,2)="08","경남",MID(K2290,2,2)="09","강원",MID(K2290,2,2)="10","제주",TRUE,"국외")</f>
        <v>국외</v>
      </c>
    </row>
    <row r="2291" spans="1:12" ht="17.25" thickBot="1">
      <c r="A2291" s="3" t="s">
        <v>2320</v>
      </c>
      <c r="B2291" s="3"/>
      <c r="C2291" s="3"/>
      <c r="D2291" s="4" t="s">
        <v>181</v>
      </c>
      <c r="E2291" s="4" t="s">
        <v>2164</v>
      </c>
      <c r="F2291" s="4">
        <v>2005</v>
      </c>
      <c r="G2291" s="8">
        <v>2.7</v>
      </c>
      <c r="H2291" s="4" t="s">
        <v>2164</v>
      </c>
      <c r="I2291" s="8">
        <v>6.6</v>
      </c>
      <c r="J2291" s="3">
        <f>2368</f>
        <v>2368</v>
      </c>
      <c r="K2291" s="3"/>
      <c r="L2291" s="17" t="str" cm="1">
        <f t="array" ref="L2291">_xlfn.IFS(MID(K2291,2,2)="01", "서울", MID(K2291,2,2)="02","경기",MID(K2291,2,2)="03","충청",MID(K2291,2,2)="04","충청",MID(K2291,2,2)="05","전라",MID(K2291,2,2)="06","전라",MID(K2291,2,2)="07","경북",MID(K2291,2,2)="08","경남",MID(K2291,2,2)="09","강원",MID(K2291,2,2)="10","제주",TRUE,"국외")</f>
        <v>국외</v>
      </c>
    </row>
    <row r="2292" spans="1:12" ht="17.25" thickBot="1">
      <c r="A2292" s="3" t="s">
        <v>2321</v>
      </c>
      <c r="B2292" s="3"/>
      <c r="C2292" s="3"/>
      <c r="D2292" s="4" t="s">
        <v>181</v>
      </c>
      <c r="E2292" s="4" t="s">
        <v>2164</v>
      </c>
      <c r="F2292" s="4">
        <v>2005</v>
      </c>
      <c r="G2292" s="8">
        <v>6.9</v>
      </c>
      <c r="H2292" s="4" t="s">
        <v>2164</v>
      </c>
      <c r="I2292" s="8">
        <v>12</v>
      </c>
      <c r="J2292" s="3">
        <v>14895</v>
      </c>
      <c r="K2292" s="3"/>
      <c r="L2292" s="17" t="str" cm="1">
        <f t="array" ref="L2292">_xlfn.IFS(MID(K2292,2,2)="01", "서울", MID(K2292,2,2)="02","경기",MID(K2292,2,2)="03","충청",MID(K2292,2,2)="04","충청",MID(K2292,2,2)="05","전라",MID(K2292,2,2)="06","전라",MID(K2292,2,2)="07","경북",MID(K2292,2,2)="08","경남",MID(K2292,2,2)="09","강원",MID(K2292,2,2)="10","제주",TRUE,"국외")</f>
        <v>국외</v>
      </c>
    </row>
    <row r="2293" spans="1:12" ht="17.25" thickBot="1">
      <c r="A2293" s="3" t="s">
        <v>2322</v>
      </c>
      <c r="B2293" s="3"/>
      <c r="C2293" s="3"/>
      <c r="D2293" s="4" t="s">
        <v>181</v>
      </c>
      <c r="E2293" s="4" t="s">
        <v>20</v>
      </c>
      <c r="F2293" s="4">
        <v>2005</v>
      </c>
      <c r="G2293" s="8">
        <v>0.3</v>
      </c>
      <c r="H2293" s="4" t="s">
        <v>20</v>
      </c>
      <c r="I2293" s="8">
        <v>0.3</v>
      </c>
      <c r="J2293" s="3">
        <f>2342</f>
        <v>2342</v>
      </c>
      <c r="K2293" s="3"/>
      <c r="L2293" s="17" t="str" cm="1">
        <f t="array" ref="L2293">_xlfn.IFS(MID(K2293,2,2)="01", "서울", MID(K2293,2,2)="02","경기",MID(K2293,2,2)="03","충청",MID(K2293,2,2)="04","충청",MID(K2293,2,2)="05","전라",MID(K2293,2,2)="06","전라",MID(K2293,2,2)="07","경북",MID(K2293,2,2)="08","경남",MID(K2293,2,2)="09","강원",MID(K2293,2,2)="10","제주",TRUE,"국외")</f>
        <v>국외</v>
      </c>
    </row>
    <row r="2294" spans="1:12" ht="17.25" thickBot="1">
      <c r="A2294" s="3" t="s">
        <v>2323</v>
      </c>
      <c r="B2294" s="3" t="s">
        <v>1019</v>
      </c>
      <c r="C2294" s="3"/>
      <c r="D2294" s="4" t="s">
        <v>1777</v>
      </c>
      <c r="E2294" s="4" t="s">
        <v>26</v>
      </c>
      <c r="F2294" s="4">
        <v>2007</v>
      </c>
      <c r="G2294" s="9"/>
      <c r="H2294" s="4" t="s">
        <v>26</v>
      </c>
      <c r="I2294" s="8">
        <v>0</v>
      </c>
      <c r="J2294" s="3">
        <f>2397</f>
        <v>2397</v>
      </c>
      <c r="K2294" s="3">
        <v>50201</v>
      </c>
      <c r="L2294" s="17" t="str" cm="1">
        <f t="array" ref="L2294">_xlfn.IFS(MID(K2294,2,2)="01", "서울", MID(K2294,2,2)="02","경기",MID(K2294,2,2)="03","충청",MID(K2294,2,2)="04","충청",MID(K2294,2,2)="05","전라",MID(K2294,2,2)="06","전라",MID(K2294,2,2)="07","경북",MID(K2294,2,2)="08","경남",MID(K2294,2,2)="09","강원",MID(K2294,2,2)="10","제주",TRUE,"국외")</f>
        <v>경기</v>
      </c>
    </row>
    <row r="2295" spans="1:12" ht="17.25" thickBot="1">
      <c r="A2295" s="3" t="s">
        <v>2324</v>
      </c>
      <c r="B2295" s="3" t="s">
        <v>66</v>
      </c>
      <c r="C2295" s="3" t="s">
        <v>174</v>
      </c>
      <c r="D2295" s="4" t="s">
        <v>1777</v>
      </c>
      <c r="E2295" s="4" t="s">
        <v>26</v>
      </c>
      <c r="F2295" s="4">
        <v>2005</v>
      </c>
      <c r="G2295" s="8">
        <v>-0.4</v>
      </c>
      <c r="H2295" s="4" t="s">
        <v>26</v>
      </c>
      <c r="I2295" s="8">
        <v>-0.5</v>
      </c>
      <c r="J2295" s="3">
        <f>2345</f>
        <v>2345</v>
      </c>
      <c r="K2295" s="3">
        <v>50110</v>
      </c>
      <c r="L2295" s="17" t="str" cm="1">
        <f t="array" ref="L2295">_xlfn.IFS(MID(K2295,2,2)="01", "서울", MID(K2295,2,2)="02","경기",MID(K2295,2,2)="03","충청",MID(K2295,2,2)="04","충청",MID(K2295,2,2)="05","전라",MID(K2295,2,2)="06","전라",MID(K2295,2,2)="07","경북",MID(K2295,2,2)="08","경남",MID(K2295,2,2)="09","강원",MID(K2295,2,2)="10","제주",TRUE,"국외")</f>
        <v>서울</v>
      </c>
    </row>
    <row r="2296" spans="1:12" ht="17.25" thickBot="1">
      <c r="A2296" s="3" t="s">
        <v>2325</v>
      </c>
      <c r="B2296" s="3" t="s">
        <v>107</v>
      </c>
      <c r="C2296" s="3" t="s">
        <v>1347</v>
      </c>
      <c r="D2296" s="4" t="s">
        <v>1777</v>
      </c>
      <c r="E2296" s="4" t="s">
        <v>9</v>
      </c>
      <c r="F2296" s="4">
        <v>2005</v>
      </c>
      <c r="G2296" s="8">
        <v>0</v>
      </c>
      <c r="H2296" s="4" t="s">
        <v>9</v>
      </c>
      <c r="I2296" s="8">
        <v>0</v>
      </c>
      <c r="J2296" s="3">
        <f>2339</f>
        <v>2339</v>
      </c>
      <c r="K2296" s="3">
        <v>50602</v>
      </c>
      <c r="L2296" s="17" t="str" cm="1">
        <f t="array" ref="L2296">_xlfn.IFS(MID(K2296,2,2)="01", "서울", MID(K2296,2,2)="02","경기",MID(K2296,2,2)="03","충청",MID(K2296,2,2)="04","충청",MID(K2296,2,2)="05","전라",MID(K2296,2,2)="06","전라",MID(K2296,2,2)="07","경북",MID(K2296,2,2)="08","경남",MID(K2296,2,2)="09","강원",MID(K2296,2,2)="10","제주",TRUE,"국외")</f>
        <v>전라</v>
      </c>
    </row>
    <row r="2297" spans="1:12" ht="17.25" thickBot="1">
      <c r="A2297" s="3" t="s">
        <v>2326</v>
      </c>
      <c r="B2297" s="3" t="s">
        <v>1791</v>
      </c>
      <c r="C2297" s="3" t="s">
        <v>538</v>
      </c>
      <c r="D2297" s="4" t="s">
        <v>1777</v>
      </c>
      <c r="E2297" s="4" t="s">
        <v>3</v>
      </c>
      <c r="F2297" s="4">
        <v>2005</v>
      </c>
      <c r="G2297" s="8">
        <v>0.1</v>
      </c>
      <c r="H2297" s="4" t="s">
        <v>3</v>
      </c>
      <c r="I2297" s="8">
        <v>1.9</v>
      </c>
      <c r="J2297" s="3">
        <f>2359</f>
        <v>2359</v>
      </c>
      <c r="K2297" s="3">
        <v>50303</v>
      </c>
      <c r="L2297" s="17" t="str" cm="1">
        <f t="array" ref="L2297">_xlfn.IFS(MID(K2297,2,2)="01", "서울", MID(K2297,2,2)="02","경기",MID(K2297,2,2)="03","충청",MID(K2297,2,2)="04","충청",MID(K2297,2,2)="05","전라",MID(K2297,2,2)="06","전라",MID(K2297,2,2)="07","경북",MID(K2297,2,2)="08","경남",MID(K2297,2,2)="09","강원",MID(K2297,2,2)="10","제주",TRUE,"국외")</f>
        <v>충청</v>
      </c>
    </row>
    <row r="2298" spans="1:12" ht="17.25" thickBot="1">
      <c r="A2298" s="3" t="s">
        <v>2327</v>
      </c>
      <c r="B2298" s="3" t="s">
        <v>66</v>
      </c>
      <c r="C2298" s="3" t="s">
        <v>45</v>
      </c>
      <c r="D2298" s="4" t="s">
        <v>1777</v>
      </c>
      <c r="E2298" s="4" t="s">
        <v>3</v>
      </c>
      <c r="F2298" s="4">
        <v>2005</v>
      </c>
      <c r="G2298" s="8">
        <v>-0.7</v>
      </c>
      <c r="H2298" s="4" t="s">
        <v>3</v>
      </c>
      <c r="I2298" s="8">
        <v>-1</v>
      </c>
      <c r="J2298" s="3">
        <f>2365</f>
        <v>2365</v>
      </c>
      <c r="K2298" s="3">
        <v>50110</v>
      </c>
      <c r="L2298" s="17" t="str" cm="1">
        <f t="array" ref="L2298">_xlfn.IFS(MID(K2298,2,2)="01", "서울", MID(K2298,2,2)="02","경기",MID(K2298,2,2)="03","충청",MID(K2298,2,2)="04","충청",MID(K2298,2,2)="05","전라",MID(K2298,2,2)="06","전라",MID(K2298,2,2)="07","경북",MID(K2298,2,2)="08","경남",MID(K2298,2,2)="09","강원",MID(K2298,2,2)="10","제주",TRUE,"국외")</f>
        <v>서울</v>
      </c>
    </row>
    <row r="2299" spans="1:12" ht="17.25" thickBot="1">
      <c r="A2299" s="3" t="s">
        <v>2328</v>
      </c>
      <c r="B2299" s="3" t="s">
        <v>1019</v>
      </c>
      <c r="C2299" s="3"/>
      <c r="D2299" s="4" t="s">
        <v>1777</v>
      </c>
      <c r="E2299" s="4" t="s">
        <v>2164</v>
      </c>
      <c r="F2299" s="4">
        <v>2005</v>
      </c>
      <c r="G2299" s="8">
        <v>0</v>
      </c>
      <c r="H2299" s="4" t="s">
        <v>2164</v>
      </c>
      <c r="I2299" s="8">
        <v>-0.2</v>
      </c>
      <c r="J2299" s="3">
        <v>11462</v>
      </c>
      <c r="K2299" s="3">
        <v>50201</v>
      </c>
      <c r="L2299" s="17" t="str" cm="1">
        <f t="array" ref="L2299">_xlfn.IFS(MID(K2299,2,2)="01", "서울", MID(K2299,2,2)="02","경기",MID(K2299,2,2)="03","충청",MID(K2299,2,2)="04","충청",MID(K2299,2,2)="05","전라",MID(K2299,2,2)="06","전라",MID(K2299,2,2)="07","경북",MID(K2299,2,2)="08","경남",MID(K2299,2,2)="09","강원",MID(K2299,2,2)="10","제주",TRUE,"국외")</f>
        <v>경기</v>
      </c>
    </row>
    <row r="2300" spans="1:12" ht="17.25" thickBot="1">
      <c r="A2300" s="3" t="s">
        <v>255</v>
      </c>
      <c r="B2300" s="3" t="s">
        <v>107</v>
      </c>
      <c r="C2300" s="3" t="s">
        <v>221</v>
      </c>
      <c r="D2300" s="4" t="s">
        <v>1777</v>
      </c>
      <c r="E2300" s="4" t="s">
        <v>2164</v>
      </c>
      <c r="F2300" s="4">
        <v>2005</v>
      </c>
      <c r="G2300" s="8">
        <v>0.5</v>
      </c>
      <c r="H2300" s="4" t="s">
        <v>2164</v>
      </c>
      <c r="I2300" s="8">
        <v>0.5</v>
      </c>
      <c r="J2300" s="3">
        <f>2363</f>
        <v>2363</v>
      </c>
      <c r="K2300" s="3">
        <v>50602</v>
      </c>
      <c r="L2300" s="17" t="str" cm="1">
        <f t="array" ref="L2300">_xlfn.IFS(MID(K2300,2,2)="01", "서울", MID(K2300,2,2)="02","경기",MID(K2300,2,2)="03","충청",MID(K2300,2,2)="04","충청",MID(K2300,2,2)="05","전라",MID(K2300,2,2)="06","전라",MID(K2300,2,2)="07","경북",MID(K2300,2,2)="08","경남",MID(K2300,2,2)="09","강원",MID(K2300,2,2)="10","제주",TRUE,"국외")</f>
        <v>전라</v>
      </c>
    </row>
    <row r="2301" spans="1:12" ht="17.25" thickBot="1">
      <c r="A2301" s="3" t="s">
        <v>2329</v>
      </c>
      <c r="B2301" s="3" t="s">
        <v>1737</v>
      </c>
      <c r="C2301" s="3"/>
      <c r="D2301" s="4" t="s">
        <v>205</v>
      </c>
      <c r="E2301" s="4" t="s">
        <v>607</v>
      </c>
      <c r="F2301" s="4">
        <v>2008</v>
      </c>
      <c r="G2301" s="9"/>
      <c r="H2301" s="4" t="s">
        <v>6</v>
      </c>
      <c r="I2301" s="8">
        <v>-2.5</v>
      </c>
      <c r="J2301" s="3">
        <v>10004</v>
      </c>
      <c r="K2301" s="3">
        <v>50204</v>
      </c>
      <c r="L2301" s="17" t="str" cm="1">
        <f t="array" ref="L2301">_xlfn.IFS(MID(K2301,2,2)="01", "서울", MID(K2301,2,2)="02","경기",MID(K2301,2,2)="03","충청",MID(K2301,2,2)="04","충청",MID(K2301,2,2)="05","전라",MID(K2301,2,2)="06","전라",MID(K2301,2,2)="07","경북",MID(K2301,2,2)="08","경남",MID(K2301,2,2)="09","강원",MID(K2301,2,2)="10","제주",TRUE,"국외")</f>
        <v>경기</v>
      </c>
    </row>
    <row r="2302" spans="1:12" ht="17.25" thickBot="1">
      <c r="A2302" s="3" t="s">
        <v>2330</v>
      </c>
      <c r="B2302" s="3" t="s">
        <v>112</v>
      </c>
      <c r="C2302" s="3"/>
      <c r="D2302" s="4" t="s">
        <v>205</v>
      </c>
      <c r="E2302" s="4" t="s">
        <v>607</v>
      </c>
      <c r="F2302" s="4">
        <v>2006</v>
      </c>
      <c r="G2302" s="9"/>
      <c r="H2302" s="4" t="s">
        <v>607</v>
      </c>
      <c r="I2302" s="8">
        <v>0.5</v>
      </c>
      <c r="J2302" s="3">
        <f>2384</f>
        <v>2384</v>
      </c>
      <c r="K2302" s="3">
        <v>50113</v>
      </c>
      <c r="L2302" s="17" t="str" cm="1">
        <f t="array" ref="L2302">_xlfn.IFS(MID(K2302,2,2)="01", "서울", MID(K2302,2,2)="02","경기",MID(K2302,2,2)="03","충청",MID(K2302,2,2)="04","충청",MID(K2302,2,2)="05","전라",MID(K2302,2,2)="06","전라",MID(K2302,2,2)="07","경북",MID(K2302,2,2)="08","경남",MID(K2302,2,2)="09","강원",MID(K2302,2,2)="10","제주",TRUE,"국외")</f>
        <v>서울</v>
      </c>
    </row>
    <row r="2303" spans="1:12" ht="17.25" thickBot="1">
      <c r="A2303" s="3" t="s">
        <v>2331</v>
      </c>
      <c r="B2303" s="3" t="s">
        <v>1497</v>
      </c>
      <c r="C2303" s="3" t="s">
        <v>122</v>
      </c>
      <c r="D2303" s="4" t="s">
        <v>205</v>
      </c>
      <c r="E2303" s="4" t="s">
        <v>3</v>
      </c>
      <c r="F2303" s="4">
        <v>2005</v>
      </c>
      <c r="G2303" s="8">
        <v>-0.1</v>
      </c>
      <c r="H2303" s="4" t="s">
        <v>3</v>
      </c>
      <c r="I2303" s="8">
        <v>-0.4</v>
      </c>
      <c r="J2303" s="3">
        <v>10577</v>
      </c>
      <c r="K2303" s="3">
        <v>50112</v>
      </c>
      <c r="L2303" s="17" t="str" cm="1">
        <f t="array" ref="L2303">_xlfn.IFS(MID(K2303,2,2)="01", "서울", MID(K2303,2,2)="02","경기",MID(K2303,2,2)="03","충청",MID(K2303,2,2)="04","충청",MID(K2303,2,2)="05","전라",MID(K2303,2,2)="06","전라",MID(K2303,2,2)="07","경북",MID(K2303,2,2)="08","경남",MID(K2303,2,2)="09","강원",MID(K2303,2,2)="10","제주",TRUE,"국외")</f>
        <v>서울</v>
      </c>
    </row>
    <row r="2304" spans="1:12" ht="17.25" thickBot="1">
      <c r="A2304" s="3" t="s">
        <v>850</v>
      </c>
      <c r="B2304" s="3" t="s">
        <v>96</v>
      </c>
      <c r="C2304" s="3"/>
      <c r="D2304" s="4" t="s">
        <v>243</v>
      </c>
      <c r="E2304" s="4" t="s">
        <v>6</v>
      </c>
      <c r="F2304" s="4">
        <v>2004</v>
      </c>
      <c r="G2304" s="8">
        <v>-0.1</v>
      </c>
      <c r="H2304" s="4" t="s">
        <v>6</v>
      </c>
      <c r="I2304" s="8">
        <v>-2.5</v>
      </c>
      <c r="J2304" s="3">
        <v>10650</v>
      </c>
      <c r="K2304" s="3">
        <v>50601</v>
      </c>
      <c r="L2304" s="17" t="str" cm="1">
        <f t="array" ref="L2304">_xlfn.IFS(MID(K2304,2,2)="01", "서울", MID(K2304,2,2)="02","경기",MID(K2304,2,2)="03","충청",MID(K2304,2,2)="04","충청",MID(K2304,2,2)="05","전라",MID(K2304,2,2)="06","전라",MID(K2304,2,2)="07","경북",MID(K2304,2,2)="08","경남",MID(K2304,2,2)="09","강원",MID(K2304,2,2)="10","제주",TRUE,"국외")</f>
        <v>전라</v>
      </c>
    </row>
    <row r="2305" spans="1:12" ht="17.25" thickBot="1">
      <c r="A2305" s="3" t="s">
        <v>2332</v>
      </c>
      <c r="B2305" s="3" t="s">
        <v>81</v>
      </c>
      <c r="C2305" s="3"/>
      <c r="D2305" s="4" t="s">
        <v>243</v>
      </c>
      <c r="E2305" s="4" t="s">
        <v>20</v>
      </c>
      <c r="F2305" s="4">
        <v>2004</v>
      </c>
      <c r="G2305" s="9"/>
      <c r="H2305" s="4"/>
      <c r="I2305" s="9"/>
      <c r="J2305" s="3">
        <v>10750</v>
      </c>
      <c r="K2305" s="3">
        <v>50105</v>
      </c>
      <c r="L2305" s="17" t="str" cm="1">
        <f t="array" ref="L2305">_xlfn.IFS(MID(K2305,2,2)="01", "서울", MID(K2305,2,2)="02","경기",MID(K2305,2,2)="03","충청",MID(K2305,2,2)="04","충청",MID(K2305,2,2)="05","전라",MID(K2305,2,2)="06","전라",MID(K2305,2,2)="07","경북",MID(K2305,2,2)="08","경남",MID(K2305,2,2)="09","강원",MID(K2305,2,2)="10","제주",TRUE,"국외")</f>
        <v>서울</v>
      </c>
    </row>
    <row r="2306" spans="1:12" ht="17.25" thickBot="1">
      <c r="A2306" s="3" t="s">
        <v>2333</v>
      </c>
      <c r="B2306" s="3" t="s">
        <v>126</v>
      </c>
      <c r="C2306" s="3"/>
      <c r="D2306" s="4" t="s">
        <v>243</v>
      </c>
      <c r="E2306" s="4" t="s">
        <v>607</v>
      </c>
      <c r="F2306" s="4">
        <v>2004</v>
      </c>
      <c r="G2306" s="8">
        <v>0.1</v>
      </c>
      <c r="H2306" s="4" t="s">
        <v>607</v>
      </c>
      <c r="I2306" s="8">
        <v>0.1</v>
      </c>
      <c r="J2306" s="3">
        <f>2328</f>
        <v>2328</v>
      </c>
      <c r="K2306" s="3">
        <v>50206</v>
      </c>
      <c r="L2306" s="17" t="str" cm="1">
        <f t="array" ref="L2306">_xlfn.IFS(MID(K2306,2,2)="01", "서울", MID(K2306,2,2)="02","경기",MID(K2306,2,2)="03","충청",MID(K2306,2,2)="04","충청",MID(K2306,2,2)="05","전라",MID(K2306,2,2)="06","전라",MID(K2306,2,2)="07","경북",MID(K2306,2,2)="08","경남",MID(K2306,2,2)="09","강원",MID(K2306,2,2)="10","제주",TRUE,"국외")</f>
        <v>경기</v>
      </c>
    </row>
    <row r="2307" spans="1:12" ht="17.25" thickBot="1">
      <c r="A2307" s="3" t="s">
        <v>2334</v>
      </c>
      <c r="B2307" s="3" t="s">
        <v>1497</v>
      </c>
      <c r="C2307" s="3"/>
      <c r="D2307" s="4" t="s">
        <v>243</v>
      </c>
      <c r="E2307" s="4" t="s">
        <v>26</v>
      </c>
      <c r="F2307" s="4">
        <v>2004</v>
      </c>
      <c r="G2307" s="8">
        <v>-0.2</v>
      </c>
      <c r="H2307" s="4" t="s">
        <v>26</v>
      </c>
      <c r="I2307" s="8">
        <v>33.5</v>
      </c>
      <c r="J2307" s="3">
        <v>10174</v>
      </c>
      <c r="K2307" s="3">
        <v>50112</v>
      </c>
      <c r="L2307" s="17" t="str" cm="1">
        <f t="array" ref="L2307">_xlfn.IFS(MID(K2307,2,2)="01", "서울", MID(K2307,2,2)="02","경기",MID(K2307,2,2)="03","충청",MID(K2307,2,2)="04","충청",MID(K2307,2,2)="05","전라",MID(K2307,2,2)="06","전라",MID(K2307,2,2)="07","경북",MID(K2307,2,2)="08","경남",MID(K2307,2,2)="09","강원",MID(K2307,2,2)="10","제주",TRUE,"국외")</f>
        <v>서울</v>
      </c>
    </row>
    <row r="2308" spans="1:12" ht="17.25" thickBot="1">
      <c r="A2308" s="3" t="s">
        <v>2335</v>
      </c>
      <c r="B2308" s="3" t="s">
        <v>93</v>
      </c>
      <c r="C2308" s="3" t="s">
        <v>1796</v>
      </c>
      <c r="D2308" s="4" t="s">
        <v>243</v>
      </c>
      <c r="E2308" s="4" t="s">
        <v>9</v>
      </c>
      <c r="F2308" s="4">
        <v>2004</v>
      </c>
      <c r="G2308" s="8">
        <v>-0.1</v>
      </c>
      <c r="H2308" s="4" t="s">
        <v>9</v>
      </c>
      <c r="I2308" s="8">
        <v>36.700000000000003</v>
      </c>
      <c r="J2308" s="3">
        <v>10299</v>
      </c>
      <c r="K2308" s="3">
        <v>50805</v>
      </c>
      <c r="L2308" s="17" t="str" cm="1">
        <f t="array" ref="L2308">_xlfn.IFS(MID(K2308,2,2)="01", "서울", MID(K2308,2,2)="02","경기",MID(K2308,2,2)="03","충청",MID(K2308,2,2)="04","충청",MID(K2308,2,2)="05","전라",MID(K2308,2,2)="06","전라",MID(K2308,2,2)="07","경북",MID(K2308,2,2)="08","경남",MID(K2308,2,2)="09","강원",MID(K2308,2,2)="10","제주",TRUE,"국외")</f>
        <v>경남</v>
      </c>
    </row>
    <row r="2309" spans="1:12" ht="17.25" thickBot="1">
      <c r="A2309" s="3" t="s">
        <v>2336</v>
      </c>
      <c r="B2309" s="3" t="s">
        <v>14</v>
      </c>
      <c r="C2309" s="3" t="s">
        <v>1479</v>
      </c>
      <c r="D2309" s="4" t="s">
        <v>243</v>
      </c>
      <c r="E2309" s="4" t="s">
        <v>23</v>
      </c>
      <c r="F2309" s="4">
        <v>2004</v>
      </c>
      <c r="G2309" s="8">
        <v>-0.5</v>
      </c>
      <c r="H2309" s="4" t="s">
        <v>23</v>
      </c>
      <c r="I2309" s="8">
        <v>47.9</v>
      </c>
      <c r="J2309" s="3">
        <v>10322</v>
      </c>
      <c r="K2309" s="3">
        <v>50703</v>
      </c>
      <c r="L2309" s="17" t="str" cm="1">
        <f t="array" ref="L2309">_xlfn.IFS(MID(K2309,2,2)="01", "서울", MID(K2309,2,2)="02","경기",MID(K2309,2,2)="03","충청",MID(K2309,2,2)="04","충청",MID(K2309,2,2)="05","전라",MID(K2309,2,2)="06","전라",MID(K2309,2,2)="07","경북",MID(K2309,2,2)="08","경남",MID(K2309,2,2)="09","강원",MID(K2309,2,2)="10","제주",TRUE,"국외")</f>
        <v>경북</v>
      </c>
    </row>
    <row r="2310" spans="1:12" ht="17.25" thickBot="1">
      <c r="A2310" s="3" t="s">
        <v>480</v>
      </c>
      <c r="B2310" s="3" t="s">
        <v>25</v>
      </c>
      <c r="C2310" s="3"/>
      <c r="D2310" s="4" t="s">
        <v>243</v>
      </c>
      <c r="E2310" s="4" t="s">
        <v>3</v>
      </c>
      <c r="F2310" s="4">
        <v>2004</v>
      </c>
      <c r="G2310" s="8">
        <v>-0.4</v>
      </c>
      <c r="H2310" s="4" t="s">
        <v>26</v>
      </c>
      <c r="I2310" s="8">
        <v>0.9</v>
      </c>
      <c r="J2310" s="3">
        <v>10671</v>
      </c>
      <c r="K2310" s="3">
        <v>50403</v>
      </c>
      <c r="L2310" s="17" t="str" cm="1">
        <f t="array" ref="L2310">_xlfn.IFS(MID(K2310,2,2)="01", "서울", MID(K2310,2,2)="02","경기",MID(K2310,2,2)="03","충청",MID(K2310,2,2)="04","충청",MID(K2310,2,2)="05","전라",MID(K2310,2,2)="06","전라",MID(K2310,2,2)="07","경북",MID(K2310,2,2)="08","경남",MID(K2310,2,2)="09","강원",MID(K2310,2,2)="10","제주",TRUE,"국외")</f>
        <v>충청</v>
      </c>
    </row>
    <row r="2311" spans="1:12" ht="17.25" thickBot="1">
      <c r="A2311" s="3" t="s">
        <v>2337</v>
      </c>
      <c r="B2311" s="3" t="s">
        <v>140</v>
      </c>
      <c r="C2311" s="3" t="s">
        <v>90</v>
      </c>
      <c r="D2311" s="4" t="s">
        <v>254</v>
      </c>
      <c r="E2311" s="4" t="s">
        <v>23</v>
      </c>
      <c r="F2311" s="4">
        <v>2004</v>
      </c>
      <c r="G2311" s="8">
        <v>-0.9</v>
      </c>
      <c r="H2311" s="4" t="s">
        <v>23</v>
      </c>
      <c r="I2311" s="8">
        <v>45.4</v>
      </c>
      <c r="J2311" s="3">
        <v>10368</v>
      </c>
      <c r="K2311" s="3">
        <v>50801</v>
      </c>
      <c r="L2311" s="17" t="str" cm="1">
        <f t="array" ref="L2311">_xlfn.IFS(MID(K2311,2,2)="01", "서울", MID(K2311,2,2)="02","경기",MID(K2311,2,2)="03","충청",MID(K2311,2,2)="04","충청",MID(K2311,2,2)="05","전라",MID(K2311,2,2)="06","전라",MID(K2311,2,2)="07","경북",MID(K2311,2,2)="08","경남",MID(K2311,2,2)="09","강원",MID(K2311,2,2)="10","제주",TRUE,"국외")</f>
        <v>경남</v>
      </c>
    </row>
    <row r="2312" spans="1:12" ht="17.25" thickBot="1">
      <c r="A2312" s="3" t="s">
        <v>2338</v>
      </c>
      <c r="B2312" s="3" t="s">
        <v>169</v>
      </c>
      <c r="C2312" s="3" t="s">
        <v>1796</v>
      </c>
      <c r="D2312" s="4" t="s">
        <v>254</v>
      </c>
      <c r="E2312" s="4" t="s">
        <v>9</v>
      </c>
      <c r="F2312" s="4">
        <v>2005</v>
      </c>
      <c r="G2312" s="9"/>
      <c r="H2312" s="4" t="s">
        <v>9</v>
      </c>
      <c r="I2312" s="8">
        <v>-1.4</v>
      </c>
      <c r="J2312" s="3">
        <v>10273</v>
      </c>
      <c r="K2312" s="3">
        <v>50606</v>
      </c>
      <c r="L2312" s="17" t="str" cm="1">
        <f t="array" ref="L2312">_xlfn.IFS(MID(K2312,2,2)="01", "서울", MID(K2312,2,2)="02","경기",MID(K2312,2,2)="03","충청",MID(K2312,2,2)="04","충청",MID(K2312,2,2)="05","전라",MID(K2312,2,2)="06","전라",MID(K2312,2,2)="07","경북",MID(K2312,2,2)="08","경남",MID(K2312,2,2)="09","강원",MID(K2312,2,2)="10","제주",TRUE,"국외")</f>
        <v>전라</v>
      </c>
    </row>
    <row r="2313" spans="1:12" ht="17.25" thickBot="1">
      <c r="A2313" s="3" t="s">
        <v>2339</v>
      </c>
      <c r="B2313" s="3" t="s">
        <v>50</v>
      </c>
      <c r="C2313" s="3"/>
      <c r="D2313" s="4" t="s">
        <v>254</v>
      </c>
      <c r="E2313" s="4" t="s">
        <v>3</v>
      </c>
      <c r="F2313" s="4">
        <v>2004</v>
      </c>
      <c r="G2313" s="8">
        <v>1.9</v>
      </c>
      <c r="H2313" s="4" t="s">
        <v>3</v>
      </c>
      <c r="I2313" s="8">
        <v>4.8</v>
      </c>
      <c r="J2313" s="3">
        <v>10598</v>
      </c>
      <c r="K2313" s="3">
        <v>50301</v>
      </c>
      <c r="L2313" s="17" t="str" cm="1">
        <f t="array" ref="L2313">_xlfn.IFS(MID(K2313,2,2)="01", "서울", MID(K2313,2,2)="02","경기",MID(K2313,2,2)="03","충청",MID(K2313,2,2)="04","충청",MID(K2313,2,2)="05","전라",MID(K2313,2,2)="06","전라",MID(K2313,2,2)="07","경북",MID(K2313,2,2)="08","경남",MID(K2313,2,2)="09","강원",MID(K2313,2,2)="10","제주",TRUE,"국외")</f>
        <v>충청</v>
      </c>
    </row>
    <row r="2314" spans="1:12" ht="17.25" thickBot="1">
      <c r="A2314" s="3" t="s">
        <v>2340</v>
      </c>
      <c r="B2314" s="3" t="s">
        <v>38</v>
      </c>
      <c r="C2314" s="3"/>
      <c r="D2314" s="4" t="s">
        <v>254</v>
      </c>
      <c r="E2314" s="4" t="s">
        <v>607</v>
      </c>
      <c r="F2314" s="4">
        <v>2004</v>
      </c>
      <c r="G2314" s="8">
        <v>-0.4</v>
      </c>
      <c r="H2314" s="4" t="s">
        <v>607</v>
      </c>
      <c r="I2314" s="8">
        <v>12.5</v>
      </c>
      <c r="J2314" s="3">
        <v>10145</v>
      </c>
      <c r="K2314" s="3">
        <v>50109</v>
      </c>
      <c r="L2314" s="17" t="str" cm="1">
        <f t="array" ref="L2314">_xlfn.IFS(MID(K2314,2,2)="01", "서울", MID(K2314,2,2)="02","경기",MID(K2314,2,2)="03","충청",MID(K2314,2,2)="04","충청",MID(K2314,2,2)="05","전라",MID(K2314,2,2)="06","전라",MID(K2314,2,2)="07","경북",MID(K2314,2,2)="08","경남",MID(K2314,2,2)="09","강원",MID(K2314,2,2)="10","제주",TRUE,"국외")</f>
        <v>서울</v>
      </c>
    </row>
    <row r="2315" spans="1:12" ht="17.25" thickBot="1">
      <c r="A2315" s="3" t="s">
        <v>2341</v>
      </c>
      <c r="B2315" s="3" t="s">
        <v>93</v>
      </c>
      <c r="C2315" s="3"/>
      <c r="D2315" s="4" t="s">
        <v>254</v>
      </c>
      <c r="E2315" s="4" t="s">
        <v>26</v>
      </c>
      <c r="F2315" s="4">
        <v>2004</v>
      </c>
      <c r="G2315" s="8">
        <v>0.6</v>
      </c>
      <c r="H2315" s="4" t="s">
        <v>26</v>
      </c>
      <c r="I2315" s="8">
        <v>3.5</v>
      </c>
      <c r="J2315" s="3">
        <f>2333</f>
        <v>2333</v>
      </c>
      <c r="K2315" s="3">
        <v>50805</v>
      </c>
      <c r="L2315" s="17" t="str" cm="1">
        <f t="array" ref="L2315">_xlfn.IFS(MID(K2315,2,2)="01", "서울", MID(K2315,2,2)="02","경기",MID(K2315,2,2)="03","충청",MID(K2315,2,2)="04","충청",MID(K2315,2,2)="05","전라",MID(K2315,2,2)="06","전라",MID(K2315,2,2)="07","경북",MID(K2315,2,2)="08","경남",MID(K2315,2,2)="09","강원",MID(K2315,2,2)="10","제주",TRUE,"국외")</f>
        <v>경남</v>
      </c>
    </row>
    <row r="2316" spans="1:12" ht="17.25" thickBot="1">
      <c r="A2316" s="3" t="s">
        <v>2342</v>
      </c>
      <c r="B2316" s="3" t="s">
        <v>112</v>
      </c>
      <c r="C2316" s="3"/>
      <c r="D2316" s="4" t="s">
        <v>254</v>
      </c>
      <c r="E2316" s="4" t="s">
        <v>2164</v>
      </c>
      <c r="F2316" s="4">
        <v>2004</v>
      </c>
      <c r="G2316" s="8">
        <v>3.3</v>
      </c>
      <c r="H2316" s="4" t="s">
        <v>18</v>
      </c>
      <c r="I2316" s="8">
        <v>14.9</v>
      </c>
      <c r="J2316" s="3">
        <v>10445</v>
      </c>
      <c r="K2316" s="3">
        <v>50113</v>
      </c>
      <c r="L2316" s="17" t="str" cm="1">
        <f t="array" ref="L2316">_xlfn.IFS(MID(K2316,2,2)="01", "서울", MID(K2316,2,2)="02","경기",MID(K2316,2,2)="03","충청",MID(K2316,2,2)="04","충청",MID(K2316,2,2)="05","전라",MID(K2316,2,2)="06","전라",MID(K2316,2,2)="07","경북",MID(K2316,2,2)="08","경남",MID(K2316,2,2)="09","강원",MID(K2316,2,2)="10","제주",TRUE,"국외")</f>
        <v>서울</v>
      </c>
    </row>
    <row r="2317" spans="1:12" ht="17.25" thickBot="1">
      <c r="A2317" s="3" t="s">
        <v>2343</v>
      </c>
      <c r="B2317" s="3" t="s">
        <v>1791</v>
      </c>
      <c r="C2317" s="3" t="s">
        <v>122</v>
      </c>
      <c r="D2317" s="4" t="s">
        <v>254</v>
      </c>
      <c r="E2317" s="4" t="s">
        <v>6</v>
      </c>
      <c r="F2317" s="4">
        <v>2004</v>
      </c>
      <c r="G2317" s="8">
        <v>-0.4</v>
      </c>
      <c r="H2317" s="4" t="s">
        <v>6</v>
      </c>
      <c r="I2317" s="8">
        <v>-2.2999999999999998</v>
      </c>
      <c r="J2317" s="3">
        <v>10063</v>
      </c>
      <c r="K2317" s="3">
        <v>50303</v>
      </c>
      <c r="L2317" s="17" t="str" cm="1">
        <f t="array" ref="L2317">_xlfn.IFS(MID(K2317,2,2)="01", "서울", MID(K2317,2,2)="02","경기",MID(K2317,2,2)="03","충청",MID(K2317,2,2)="04","충청",MID(K2317,2,2)="05","전라",MID(K2317,2,2)="06","전라",MID(K2317,2,2)="07","경북",MID(K2317,2,2)="08","경남",MID(K2317,2,2)="09","강원",MID(K2317,2,2)="10","제주",TRUE,"국외")</f>
        <v>충청</v>
      </c>
    </row>
    <row r="2318" spans="1:12" ht="17.25" thickBot="1">
      <c r="A2318" s="3" t="s">
        <v>2344</v>
      </c>
      <c r="B2318" s="3" t="s">
        <v>96</v>
      </c>
      <c r="C2318" s="3"/>
      <c r="D2318" s="4" t="s">
        <v>254</v>
      </c>
      <c r="E2318" s="4" t="s">
        <v>20</v>
      </c>
      <c r="F2318" s="4"/>
      <c r="G2318" s="9"/>
      <c r="H2318" s="4"/>
      <c r="I2318" s="9"/>
      <c r="J2318" s="3">
        <v>10496</v>
      </c>
      <c r="K2318" s="3">
        <v>50601</v>
      </c>
      <c r="L2318" s="17" t="str" cm="1">
        <f t="array" ref="L2318">_xlfn.IFS(MID(K2318,2,2)="01", "서울", MID(K2318,2,2)="02","경기",MID(K2318,2,2)="03","충청",MID(K2318,2,2)="04","충청",MID(K2318,2,2)="05","전라",MID(K2318,2,2)="06","전라",MID(K2318,2,2)="07","경북",MID(K2318,2,2)="08","경남",MID(K2318,2,2)="09","강원",MID(K2318,2,2)="10","제주",TRUE,"국외")</f>
        <v>전라</v>
      </c>
    </row>
    <row r="2319" spans="1:12" ht="17.25" thickBot="1">
      <c r="A2319" s="3" t="s">
        <v>2345</v>
      </c>
      <c r="B2319" s="3" t="s">
        <v>93</v>
      </c>
      <c r="C2319" s="3"/>
      <c r="D2319" s="4" t="s">
        <v>254</v>
      </c>
      <c r="E2319" s="4" t="s">
        <v>9</v>
      </c>
      <c r="F2319" s="4">
        <v>2004</v>
      </c>
      <c r="G2319" s="8">
        <v>0.4</v>
      </c>
      <c r="H2319" s="4" t="s">
        <v>9</v>
      </c>
      <c r="I2319" s="8">
        <v>5.9</v>
      </c>
      <c r="J2319" s="3">
        <v>10302</v>
      </c>
      <c r="K2319" s="3">
        <v>50805</v>
      </c>
      <c r="L2319" s="17" t="str" cm="1">
        <f t="array" ref="L2319">_xlfn.IFS(MID(K2319,2,2)="01", "서울", MID(K2319,2,2)="02","경기",MID(K2319,2,2)="03","충청",MID(K2319,2,2)="04","충청",MID(K2319,2,2)="05","전라",MID(K2319,2,2)="06","전라",MID(K2319,2,2)="07","경북",MID(K2319,2,2)="08","경남",MID(K2319,2,2)="09","강원",MID(K2319,2,2)="10","제주",TRUE,"국외")</f>
        <v>경남</v>
      </c>
    </row>
    <row r="2320" spans="1:12" ht="17.25" thickBot="1">
      <c r="A2320" s="3" t="s">
        <v>2346</v>
      </c>
      <c r="B2320" s="3" t="s">
        <v>2139</v>
      </c>
      <c r="C2320" s="3" t="s">
        <v>2347</v>
      </c>
      <c r="D2320" s="4" t="s">
        <v>254</v>
      </c>
      <c r="E2320" s="4" t="s">
        <v>3</v>
      </c>
      <c r="F2320" s="4">
        <v>2004</v>
      </c>
      <c r="G2320" s="8">
        <v>-0.2</v>
      </c>
      <c r="H2320" s="4" t="s">
        <v>3</v>
      </c>
      <c r="I2320" s="8">
        <v>17</v>
      </c>
      <c r="J2320" s="3">
        <v>10578</v>
      </c>
      <c r="K2320" s="3">
        <v>50104</v>
      </c>
      <c r="L2320" s="17" t="str" cm="1">
        <f t="array" ref="L2320">_xlfn.IFS(MID(K2320,2,2)="01", "서울", MID(K2320,2,2)="02","경기",MID(K2320,2,2)="03","충청",MID(K2320,2,2)="04","충청",MID(K2320,2,2)="05","전라",MID(K2320,2,2)="06","전라",MID(K2320,2,2)="07","경북",MID(K2320,2,2)="08","경남",MID(K2320,2,2)="09","강원",MID(K2320,2,2)="10","제주",TRUE,"국외")</f>
        <v>서울</v>
      </c>
    </row>
    <row r="2321" spans="1:12" ht="17.25" thickBot="1">
      <c r="A2321" s="3" t="s">
        <v>2348</v>
      </c>
      <c r="B2321" s="3" t="s">
        <v>335</v>
      </c>
      <c r="C2321" s="3"/>
      <c r="D2321" s="4" t="s">
        <v>254</v>
      </c>
      <c r="E2321" s="4" t="s">
        <v>607</v>
      </c>
      <c r="F2321" s="4">
        <v>2004</v>
      </c>
      <c r="G2321" s="8">
        <v>-0.1</v>
      </c>
      <c r="H2321" s="4" t="s">
        <v>607</v>
      </c>
      <c r="I2321" s="8">
        <v>43.7</v>
      </c>
      <c r="J2321" s="3">
        <v>10156</v>
      </c>
      <c r="K2321" s="3">
        <v>50804</v>
      </c>
      <c r="L2321" s="17" t="str" cm="1">
        <f t="array" ref="L2321">_xlfn.IFS(MID(K2321,2,2)="01", "서울", MID(K2321,2,2)="02","경기",MID(K2321,2,2)="03","충청",MID(K2321,2,2)="04","충청",MID(K2321,2,2)="05","전라",MID(K2321,2,2)="06","전라",MID(K2321,2,2)="07","경북",MID(K2321,2,2)="08","경남",MID(K2321,2,2)="09","강원",MID(K2321,2,2)="10","제주",TRUE,"국외")</f>
        <v>경남</v>
      </c>
    </row>
    <row r="2322" spans="1:12" ht="17.25" thickBot="1">
      <c r="A2322" s="3" t="s">
        <v>2349</v>
      </c>
      <c r="B2322" s="3" t="s">
        <v>74</v>
      </c>
      <c r="C2322" s="3"/>
      <c r="D2322" s="4" t="s">
        <v>254</v>
      </c>
      <c r="E2322" s="4" t="s">
        <v>26</v>
      </c>
      <c r="F2322" s="4">
        <v>2004</v>
      </c>
      <c r="G2322" s="8">
        <v>0.6</v>
      </c>
      <c r="H2322" s="4" t="s">
        <v>26</v>
      </c>
      <c r="I2322" s="8">
        <v>0.5</v>
      </c>
      <c r="J2322" s="3">
        <f>2332</f>
        <v>2332</v>
      </c>
      <c r="K2322" s="3">
        <v>50102</v>
      </c>
      <c r="L2322" s="17" t="str" cm="1">
        <f t="array" ref="L2322">_xlfn.IFS(MID(K2322,2,2)="01", "서울", MID(K2322,2,2)="02","경기",MID(K2322,2,2)="03","충청",MID(K2322,2,2)="04","충청",MID(K2322,2,2)="05","전라",MID(K2322,2,2)="06","전라",MID(K2322,2,2)="07","경북",MID(K2322,2,2)="08","경남",MID(K2322,2,2)="09","강원",MID(K2322,2,2)="10","제주",TRUE,"국외")</f>
        <v>서울</v>
      </c>
    </row>
    <row r="2323" spans="1:12" ht="17.25" thickBot="1">
      <c r="A2323" s="3" t="s">
        <v>2350</v>
      </c>
      <c r="B2323" s="3" t="s">
        <v>2351</v>
      </c>
      <c r="C2323" s="3"/>
      <c r="D2323" s="4" t="s">
        <v>254</v>
      </c>
      <c r="E2323" s="4" t="s">
        <v>2164</v>
      </c>
      <c r="F2323" s="4">
        <v>2010</v>
      </c>
      <c r="G2323" s="9"/>
      <c r="H2323" s="4" t="s">
        <v>20</v>
      </c>
      <c r="I2323" s="8">
        <v>0.5</v>
      </c>
      <c r="J2323" s="3">
        <v>10682</v>
      </c>
      <c r="K2323" s="3">
        <v>50609</v>
      </c>
      <c r="L2323" s="17" t="str" cm="1">
        <f t="array" ref="L2323">_xlfn.IFS(MID(K2323,2,2)="01", "서울", MID(K2323,2,2)="02","경기",MID(K2323,2,2)="03","충청",MID(K2323,2,2)="04","충청",MID(K2323,2,2)="05","전라",MID(K2323,2,2)="06","전라",MID(K2323,2,2)="07","경북",MID(K2323,2,2)="08","경남",MID(K2323,2,2)="09","강원",MID(K2323,2,2)="10","제주",TRUE,"국외")</f>
        <v>전라</v>
      </c>
    </row>
    <row r="2324" spans="1:12" ht="17.25" thickBot="1">
      <c r="A2324" s="3" t="s">
        <v>2352</v>
      </c>
      <c r="B2324" s="3" t="s">
        <v>93</v>
      </c>
      <c r="C2324" s="3"/>
      <c r="D2324" s="4" t="s">
        <v>254</v>
      </c>
      <c r="E2324" s="4" t="s">
        <v>6</v>
      </c>
      <c r="F2324" s="4">
        <v>2005</v>
      </c>
      <c r="G2324" s="9"/>
      <c r="H2324" s="4" t="s">
        <v>23</v>
      </c>
      <c r="I2324" s="8">
        <v>1.7</v>
      </c>
      <c r="J2324" s="3">
        <v>11112</v>
      </c>
      <c r="K2324" s="3">
        <v>50805</v>
      </c>
      <c r="L2324" s="17" t="str" cm="1">
        <f t="array" ref="L2324">_xlfn.IFS(MID(K2324,2,2)="01", "서울", MID(K2324,2,2)="02","경기",MID(K2324,2,2)="03","충청",MID(K2324,2,2)="04","충청",MID(K2324,2,2)="05","전라",MID(K2324,2,2)="06","전라",MID(K2324,2,2)="07","경북",MID(K2324,2,2)="08","경남",MID(K2324,2,2)="09","강원",MID(K2324,2,2)="10","제주",TRUE,"국외")</f>
        <v>경남</v>
      </c>
    </row>
    <row r="2325" spans="1:12" ht="17.25" thickBot="1">
      <c r="A2325" s="3" t="s">
        <v>2353</v>
      </c>
      <c r="B2325" s="3" t="s">
        <v>2139</v>
      </c>
      <c r="C2325" s="3"/>
      <c r="D2325" s="4" t="s">
        <v>254</v>
      </c>
      <c r="E2325" s="4" t="s">
        <v>20</v>
      </c>
      <c r="F2325" s="4">
        <v>2004</v>
      </c>
      <c r="G2325" s="8">
        <v>-0.9</v>
      </c>
      <c r="H2325" s="4" t="s">
        <v>6</v>
      </c>
      <c r="I2325" s="8">
        <v>50.9</v>
      </c>
      <c r="J2325" s="3">
        <v>10035</v>
      </c>
      <c r="K2325" s="3">
        <v>50104</v>
      </c>
      <c r="L2325" s="17" t="str" cm="1">
        <f t="array" ref="L2325">_xlfn.IFS(MID(K2325,2,2)="01", "서울", MID(K2325,2,2)="02","경기",MID(K2325,2,2)="03","충청",MID(K2325,2,2)="04","충청",MID(K2325,2,2)="05","전라",MID(K2325,2,2)="06","전라",MID(K2325,2,2)="07","경북",MID(K2325,2,2)="08","경남",MID(K2325,2,2)="09","강원",MID(K2325,2,2)="10","제주",TRUE,"국외")</f>
        <v>서울</v>
      </c>
    </row>
    <row r="2326" spans="1:12" ht="17.25" thickBot="1">
      <c r="A2326" s="3" t="s">
        <v>2354</v>
      </c>
      <c r="B2326" s="3" t="s">
        <v>32</v>
      </c>
      <c r="C2326" s="3" t="s">
        <v>329</v>
      </c>
      <c r="D2326" s="4" t="s">
        <v>254</v>
      </c>
      <c r="E2326" s="4" t="s">
        <v>23</v>
      </c>
      <c r="F2326" s="4">
        <v>2004</v>
      </c>
      <c r="G2326" s="8">
        <v>0</v>
      </c>
      <c r="H2326" s="4" t="s">
        <v>23</v>
      </c>
      <c r="I2326" s="8">
        <v>1</v>
      </c>
      <c r="J2326" s="3">
        <v>10311</v>
      </c>
      <c r="K2326" s="3">
        <v>50111</v>
      </c>
      <c r="L2326" s="17" t="str" cm="1">
        <f t="array" ref="L2326">_xlfn.IFS(MID(K2326,2,2)="01", "서울", MID(K2326,2,2)="02","경기",MID(K2326,2,2)="03","충청",MID(K2326,2,2)="04","충청",MID(K2326,2,2)="05","전라",MID(K2326,2,2)="06","전라",MID(K2326,2,2)="07","경북",MID(K2326,2,2)="08","경남",MID(K2326,2,2)="09","강원",MID(K2326,2,2)="10","제주",TRUE,"국외")</f>
        <v>서울</v>
      </c>
    </row>
    <row r="2327" spans="1:12" ht="17.25" thickBot="1">
      <c r="A2327" s="3" t="s">
        <v>2355</v>
      </c>
      <c r="B2327" s="3" t="s">
        <v>464</v>
      </c>
      <c r="C2327" s="3" t="s">
        <v>2356</v>
      </c>
      <c r="D2327" s="4" t="s">
        <v>254</v>
      </c>
      <c r="E2327" s="4" t="s">
        <v>9</v>
      </c>
      <c r="F2327" s="4">
        <v>2004</v>
      </c>
      <c r="G2327" s="8">
        <v>-0.1</v>
      </c>
      <c r="H2327" s="4" t="s">
        <v>9</v>
      </c>
      <c r="I2327" s="8">
        <v>61.6</v>
      </c>
      <c r="J2327" s="3">
        <v>10232</v>
      </c>
      <c r="K2327" s="3">
        <v>50706</v>
      </c>
      <c r="L2327" s="17" t="str" cm="1">
        <f t="array" ref="L2327">_xlfn.IFS(MID(K2327,2,2)="01", "서울", MID(K2327,2,2)="02","경기",MID(K2327,2,2)="03","충청",MID(K2327,2,2)="04","충청",MID(K2327,2,2)="05","전라",MID(K2327,2,2)="06","전라",MID(K2327,2,2)="07","경북",MID(K2327,2,2)="08","경남",MID(K2327,2,2)="09","강원",MID(K2327,2,2)="10","제주",TRUE,"국외")</f>
        <v>경북</v>
      </c>
    </row>
    <row r="2328" spans="1:12" ht="17.25" thickBot="1">
      <c r="A2328" s="3" t="s">
        <v>2357</v>
      </c>
      <c r="B2328" s="3" t="s">
        <v>78</v>
      </c>
      <c r="C2328" s="3" t="s">
        <v>2221</v>
      </c>
      <c r="D2328" s="4" t="s">
        <v>254</v>
      </c>
      <c r="E2328" s="4" t="s">
        <v>3</v>
      </c>
      <c r="F2328" s="4">
        <v>2004</v>
      </c>
      <c r="G2328" s="8">
        <v>-0.1</v>
      </c>
      <c r="H2328" s="4" t="s">
        <v>3</v>
      </c>
      <c r="I2328" s="8">
        <v>0</v>
      </c>
      <c r="J2328" s="3">
        <v>10541</v>
      </c>
      <c r="K2328" s="3">
        <v>50401</v>
      </c>
      <c r="L2328" s="17" t="str" cm="1">
        <f t="array" ref="L2328">_xlfn.IFS(MID(K2328,2,2)="01", "서울", MID(K2328,2,2)="02","경기",MID(K2328,2,2)="03","충청",MID(K2328,2,2)="04","충청",MID(K2328,2,2)="05","전라",MID(K2328,2,2)="06","전라",MID(K2328,2,2)="07","경북",MID(K2328,2,2)="08","경남",MID(K2328,2,2)="09","강원",MID(K2328,2,2)="10","제주",TRUE,"국외")</f>
        <v>충청</v>
      </c>
    </row>
    <row r="2329" spans="1:12" ht="17.25" thickBot="1">
      <c r="A2329" s="3" t="s">
        <v>2358</v>
      </c>
      <c r="B2329" s="3" t="s">
        <v>78</v>
      </c>
      <c r="C2329" s="3"/>
      <c r="D2329" s="4" t="s">
        <v>254</v>
      </c>
      <c r="E2329" s="4" t="s">
        <v>607</v>
      </c>
      <c r="F2329" s="4">
        <v>2009</v>
      </c>
      <c r="G2329" s="9"/>
      <c r="H2329" s="4" t="s">
        <v>607</v>
      </c>
      <c r="I2329" s="8">
        <v>-0.1</v>
      </c>
      <c r="J2329" s="3">
        <v>10160</v>
      </c>
      <c r="K2329" s="3">
        <v>50401</v>
      </c>
      <c r="L2329" s="17" t="str" cm="1">
        <f t="array" ref="L2329">_xlfn.IFS(MID(K2329,2,2)="01", "서울", MID(K2329,2,2)="02","경기",MID(K2329,2,2)="03","충청",MID(K2329,2,2)="04","충청",MID(K2329,2,2)="05","전라",MID(K2329,2,2)="06","전라",MID(K2329,2,2)="07","경북",MID(K2329,2,2)="08","경남",MID(K2329,2,2)="09","강원",MID(K2329,2,2)="10","제주",TRUE,"국외")</f>
        <v>충청</v>
      </c>
    </row>
    <row r="2330" spans="1:12" ht="17.25" thickBot="1">
      <c r="A2330" s="3" t="s">
        <v>2282</v>
      </c>
      <c r="B2330" s="3" t="s">
        <v>1019</v>
      </c>
      <c r="C2330" s="3"/>
      <c r="D2330" s="4" t="s">
        <v>254</v>
      </c>
      <c r="E2330" s="4" t="s">
        <v>26</v>
      </c>
      <c r="F2330" s="4">
        <v>2004</v>
      </c>
      <c r="G2330" s="8">
        <v>0</v>
      </c>
      <c r="H2330" s="4" t="s">
        <v>18</v>
      </c>
      <c r="I2330" s="8">
        <v>4.7</v>
      </c>
      <c r="J2330" s="3">
        <v>10644</v>
      </c>
      <c r="K2330" s="3">
        <v>50201</v>
      </c>
      <c r="L2330" s="17" t="str" cm="1">
        <f t="array" ref="L2330">_xlfn.IFS(MID(K2330,2,2)="01", "서울", MID(K2330,2,2)="02","경기",MID(K2330,2,2)="03","충청",MID(K2330,2,2)="04","충청",MID(K2330,2,2)="05","전라",MID(K2330,2,2)="06","전라",MID(K2330,2,2)="07","경북",MID(K2330,2,2)="08","경남",MID(K2330,2,2)="09","강원",MID(K2330,2,2)="10","제주",TRUE,"국외")</f>
        <v>경기</v>
      </c>
    </row>
    <row r="2331" spans="1:12" ht="17.25" thickBot="1">
      <c r="A2331" s="3" t="s">
        <v>736</v>
      </c>
      <c r="B2331" s="3" t="s">
        <v>82</v>
      </c>
      <c r="C2331" s="3"/>
      <c r="D2331" s="4" t="s">
        <v>254</v>
      </c>
      <c r="E2331" s="4" t="s">
        <v>2164</v>
      </c>
      <c r="F2331" s="4">
        <v>2007</v>
      </c>
      <c r="G2331" s="9"/>
      <c r="H2331" s="4" t="s">
        <v>2164</v>
      </c>
      <c r="I2331" s="8">
        <v>-0.2</v>
      </c>
      <c r="J2331" s="3">
        <v>10765</v>
      </c>
      <c r="K2331" s="3">
        <v>50605</v>
      </c>
      <c r="L2331" s="17" t="str" cm="1">
        <f t="array" ref="L2331">_xlfn.IFS(MID(K2331,2,2)="01", "서울", MID(K2331,2,2)="02","경기",MID(K2331,2,2)="03","충청",MID(K2331,2,2)="04","충청",MID(K2331,2,2)="05","전라",MID(K2331,2,2)="06","전라",MID(K2331,2,2)="07","경북",MID(K2331,2,2)="08","경남",MID(K2331,2,2)="09","강원",MID(K2331,2,2)="10","제주",TRUE,"국외")</f>
        <v>전라</v>
      </c>
    </row>
    <row r="2332" spans="1:12" ht="17.25" thickBot="1">
      <c r="A2332" s="3" t="s">
        <v>2359</v>
      </c>
      <c r="B2332" s="3" t="s">
        <v>121</v>
      </c>
      <c r="C2332" s="3"/>
      <c r="D2332" s="4" t="s">
        <v>254</v>
      </c>
      <c r="E2332" s="4" t="s">
        <v>6</v>
      </c>
      <c r="F2332" s="4"/>
      <c r="G2332" s="9"/>
      <c r="H2332" s="4"/>
      <c r="I2332" s="9"/>
      <c r="J2332" s="3">
        <v>10805</v>
      </c>
      <c r="K2332" s="3">
        <v>50604</v>
      </c>
      <c r="L2332" s="17" t="str" cm="1">
        <f t="array" ref="L2332">_xlfn.IFS(MID(K2332,2,2)="01", "서울", MID(K2332,2,2)="02","경기",MID(K2332,2,2)="03","충청",MID(K2332,2,2)="04","충청",MID(K2332,2,2)="05","전라",MID(K2332,2,2)="06","전라",MID(K2332,2,2)="07","경북",MID(K2332,2,2)="08","경남",MID(K2332,2,2)="09","강원",MID(K2332,2,2)="10","제주",TRUE,"국외")</f>
        <v>전라</v>
      </c>
    </row>
    <row r="2333" spans="1:12" ht="17.25" thickBot="1">
      <c r="A2333" s="3" t="s">
        <v>1160</v>
      </c>
      <c r="B2333" s="3" t="s">
        <v>1791</v>
      </c>
      <c r="C2333" s="3"/>
      <c r="D2333" s="4" t="s">
        <v>254</v>
      </c>
      <c r="E2333" s="4" t="s">
        <v>9</v>
      </c>
      <c r="F2333" s="4">
        <v>2004</v>
      </c>
      <c r="G2333" s="8">
        <v>0</v>
      </c>
      <c r="H2333" s="4" t="s">
        <v>9</v>
      </c>
      <c r="I2333" s="8">
        <v>0</v>
      </c>
      <c r="J2333" s="3">
        <f>2308</f>
        <v>2308</v>
      </c>
      <c r="K2333" s="3">
        <v>50303</v>
      </c>
      <c r="L2333" s="17" t="str" cm="1">
        <f t="array" ref="L2333">_xlfn.IFS(MID(K2333,2,2)="01", "서울", MID(K2333,2,2)="02","경기",MID(K2333,2,2)="03","충청",MID(K2333,2,2)="04","충청",MID(K2333,2,2)="05","전라",MID(K2333,2,2)="06","전라",MID(K2333,2,2)="07","경북",MID(K2333,2,2)="08","경남",MID(K2333,2,2)="09","강원",MID(K2333,2,2)="10","제주",TRUE,"국외")</f>
        <v>충청</v>
      </c>
    </row>
    <row r="2334" spans="1:12" ht="17.25" thickBot="1">
      <c r="A2334" s="3" t="s">
        <v>675</v>
      </c>
      <c r="B2334" s="3" t="s">
        <v>126</v>
      </c>
      <c r="C2334" s="3"/>
      <c r="D2334" s="4" t="s">
        <v>254</v>
      </c>
      <c r="E2334" s="4" t="s">
        <v>3</v>
      </c>
      <c r="F2334" s="4">
        <v>2004</v>
      </c>
      <c r="G2334" s="8">
        <v>-1.7</v>
      </c>
      <c r="H2334" s="4" t="s">
        <v>3</v>
      </c>
      <c r="I2334" s="8">
        <v>-6.8</v>
      </c>
      <c r="J2334" s="3">
        <v>10614</v>
      </c>
      <c r="K2334" s="3">
        <v>50206</v>
      </c>
      <c r="L2334" s="17" t="str" cm="1">
        <f t="array" ref="L2334">_xlfn.IFS(MID(K2334,2,2)="01", "서울", MID(K2334,2,2)="02","경기",MID(K2334,2,2)="03","충청",MID(K2334,2,2)="04","충청",MID(K2334,2,2)="05","전라",MID(K2334,2,2)="06","전라",MID(K2334,2,2)="07","경북",MID(K2334,2,2)="08","경남",MID(K2334,2,2)="09","강원",MID(K2334,2,2)="10","제주",TRUE,"국외")</f>
        <v>경기</v>
      </c>
    </row>
    <row r="2335" spans="1:12" ht="17.25" thickBot="1">
      <c r="A2335" s="3" t="s">
        <v>2360</v>
      </c>
      <c r="B2335" s="3" t="s">
        <v>34</v>
      </c>
      <c r="C2335" s="3"/>
      <c r="D2335" s="4" t="s">
        <v>254</v>
      </c>
      <c r="E2335" s="4" t="s">
        <v>607</v>
      </c>
      <c r="F2335" s="4">
        <v>2005</v>
      </c>
      <c r="G2335" s="9"/>
      <c r="H2335" s="4" t="s">
        <v>607</v>
      </c>
      <c r="I2335" s="8">
        <v>-0.1</v>
      </c>
      <c r="J2335" s="3">
        <f>2364</f>
        <v>2364</v>
      </c>
      <c r="K2335" s="3">
        <v>50701</v>
      </c>
      <c r="L2335" s="17" t="str" cm="1">
        <f t="array" ref="L2335">_xlfn.IFS(MID(K2335,2,2)="01", "서울", MID(K2335,2,2)="02","경기",MID(K2335,2,2)="03","충청",MID(K2335,2,2)="04","충청",MID(K2335,2,2)="05","전라",MID(K2335,2,2)="06","전라",MID(K2335,2,2)="07","경북",MID(K2335,2,2)="08","경남",MID(K2335,2,2)="09","강원",MID(K2335,2,2)="10","제주",TRUE,"국외")</f>
        <v>경북</v>
      </c>
    </row>
    <row r="2336" spans="1:12" ht="17.25" thickBot="1">
      <c r="A2336" s="3" t="s">
        <v>2361</v>
      </c>
      <c r="B2336" s="3" t="s">
        <v>107</v>
      </c>
      <c r="C2336" s="3"/>
      <c r="D2336" s="4" t="s">
        <v>254</v>
      </c>
      <c r="E2336" s="4" t="s">
        <v>2164</v>
      </c>
      <c r="F2336" s="4">
        <v>2008</v>
      </c>
      <c r="G2336" s="9"/>
      <c r="H2336" s="4" t="s">
        <v>18</v>
      </c>
      <c r="I2336" s="8">
        <v>-0.3</v>
      </c>
      <c r="J2336" s="3">
        <f>2421</f>
        <v>2421</v>
      </c>
      <c r="K2336" s="3">
        <v>50602</v>
      </c>
      <c r="L2336" s="17" t="str" cm="1">
        <f t="array" ref="L2336">_xlfn.IFS(MID(K2336,2,2)="01", "서울", MID(K2336,2,2)="02","경기",MID(K2336,2,2)="03","충청",MID(K2336,2,2)="04","충청",MID(K2336,2,2)="05","전라",MID(K2336,2,2)="06","전라",MID(K2336,2,2)="07","경북",MID(K2336,2,2)="08","경남",MID(K2336,2,2)="09","강원",MID(K2336,2,2)="10","제주",TRUE,"국외")</f>
        <v>전라</v>
      </c>
    </row>
    <row r="2337" spans="1:12" ht="17.25" thickBot="1">
      <c r="A2337" s="3" t="s">
        <v>2159</v>
      </c>
      <c r="B2337" s="3" t="s">
        <v>228</v>
      </c>
      <c r="C2337" s="3" t="s">
        <v>329</v>
      </c>
      <c r="D2337" s="4" t="s">
        <v>254</v>
      </c>
      <c r="E2337" s="4" t="s">
        <v>6</v>
      </c>
      <c r="F2337" s="4">
        <v>2004</v>
      </c>
      <c r="G2337" s="8">
        <v>-1.1000000000000001</v>
      </c>
      <c r="H2337" s="4" t="s">
        <v>6</v>
      </c>
      <c r="I2337" s="8">
        <v>-1.8</v>
      </c>
      <c r="J2337" s="3">
        <v>10064</v>
      </c>
      <c r="K2337" s="3">
        <v>50702</v>
      </c>
      <c r="L2337" s="17" t="str" cm="1">
        <f t="array" ref="L2337">_xlfn.IFS(MID(K2337,2,2)="01", "서울", MID(K2337,2,2)="02","경기",MID(K2337,2,2)="03","충청",MID(K2337,2,2)="04","충청",MID(K2337,2,2)="05","전라",MID(K2337,2,2)="06","전라",MID(K2337,2,2)="07","경북",MID(K2337,2,2)="08","경남",MID(K2337,2,2)="09","강원",MID(K2337,2,2)="10","제주",TRUE,"국외")</f>
        <v>경북</v>
      </c>
    </row>
    <row r="2338" spans="1:12" ht="17.25" thickBot="1">
      <c r="A2338" s="3" t="s">
        <v>2362</v>
      </c>
      <c r="B2338" s="3" t="s">
        <v>8</v>
      </c>
      <c r="C2338" s="3" t="s">
        <v>1942</v>
      </c>
      <c r="D2338" s="4" t="s">
        <v>254</v>
      </c>
      <c r="E2338" s="4" t="s">
        <v>20</v>
      </c>
      <c r="F2338" s="4">
        <v>2004</v>
      </c>
      <c r="G2338" s="8">
        <v>0</v>
      </c>
      <c r="H2338" s="4" t="s">
        <v>3</v>
      </c>
      <c r="I2338" s="8">
        <v>-2.7</v>
      </c>
      <c r="J2338" s="3">
        <v>10654</v>
      </c>
      <c r="K2338" s="3">
        <v>50116</v>
      </c>
      <c r="L2338" s="17" t="str" cm="1">
        <f t="array" ref="L2338">_xlfn.IFS(MID(K2338,2,2)="01", "서울", MID(K2338,2,2)="02","경기",MID(K2338,2,2)="03","충청",MID(K2338,2,2)="04","충청",MID(K2338,2,2)="05","전라",MID(K2338,2,2)="06","전라",MID(K2338,2,2)="07","경북",MID(K2338,2,2)="08","경남",MID(K2338,2,2)="09","강원",MID(K2338,2,2)="10","제주",TRUE,"국외")</f>
        <v>서울</v>
      </c>
    </row>
    <row r="2339" spans="1:12" ht="17.25" thickBot="1">
      <c r="A2339" s="3" t="s">
        <v>2363</v>
      </c>
      <c r="B2339" s="3" t="s">
        <v>2139</v>
      </c>
      <c r="C2339" s="3" t="s">
        <v>1796</v>
      </c>
      <c r="D2339" s="4" t="s">
        <v>254</v>
      </c>
      <c r="E2339" s="4" t="s">
        <v>9</v>
      </c>
      <c r="F2339" s="4">
        <v>2009</v>
      </c>
      <c r="G2339" s="9"/>
      <c r="H2339" s="4" t="s">
        <v>9</v>
      </c>
      <c r="I2339" s="8">
        <v>0.4</v>
      </c>
      <c r="J2339" s="3">
        <v>10294</v>
      </c>
      <c r="K2339" s="3">
        <v>50104</v>
      </c>
      <c r="L2339" s="17" t="str" cm="1">
        <f t="array" ref="L2339">_xlfn.IFS(MID(K2339,2,2)="01", "서울", MID(K2339,2,2)="02","경기",MID(K2339,2,2)="03","충청",MID(K2339,2,2)="04","충청",MID(K2339,2,2)="05","전라",MID(K2339,2,2)="06","전라",MID(K2339,2,2)="07","경북",MID(K2339,2,2)="08","경남",MID(K2339,2,2)="09","강원",MID(K2339,2,2)="10","제주",TRUE,"국외")</f>
        <v>서울</v>
      </c>
    </row>
    <row r="2340" spans="1:12" ht="17.25" thickBot="1">
      <c r="A2340" s="3" t="s">
        <v>2364</v>
      </c>
      <c r="B2340" s="3" t="s">
        <v>66</v>
      </c>
      <c r="C2340" s="3"/>
      <c r="D2340" s="4" t="s">
        <v>254</v>
      </c>
      <c r="E2340" s="4" t="s">
        <v>607</v>
      </c>
      <c r="F2340" s="4">
        <v>2004</v>
      </c>
      <c r="G2340" s="8">
        <v>0</v>
      </c>
      <c r="H2340" s="4" t="s">
        <v>607</v>
      </c>
      <c r="I2340" s="8">
        <v>4.4000000000000004</v>
      </c>
      <c r="J2340" s="3">
        <v>10120</v>
      </c>
      <c r="K2340" s="3">
        <v>50110</v>
      </c>
      <c r="L2340" s="17" t="str" cm="1">
        <f t="array" ref="L2340">_xlfn.IFS(MID(K2340,2,2)="01", "서울", MID(K2340,2,2)="02","경기",MID(K2340,2,2)="03","충청",MID(K2340,2,2)="04","충청",MID(K2340,2,2)="05","전라",MID(K2340,2,2)="06","전라",MID(K2340,2,2)="07","경북",MID(K2340,2,2)="08","경남",MID(K2340,2,2)="09","강원",MID(K2340,2,2)="10","제주",TRUE,"국외")</f>
        <v>서울</v>
      </c>
    </row>
    <row r="2341" spans="1:12" ht="17.25" thickBot="1">
      <c r="A2341" s="3" t="s">
        <v>2365</v>
      </c>
      <c r="B2341" s="3" t="s">
        <v>34</v>
      </c>
      <c r="C2341" s="3"/>
      <c r="D2341" s="4" t="s">
        <v>254</v>
      </c>
      <c r="E2341" s="4" t="s">
        <v>26</v>
      </c>
      <c r="F2341" s="4"/>
      <c r="G2341" s="9"/>
      <c r="H2341" s="4"/>
      <c r="I2341" s="9"/>
      <c r="J2341" s="3">
        <v>11461</v>
      </c>
      <c r="K2341" s="3">
        <v>50701</v>
      </c>
      <c r="L2341" s="17" t="str" cm="1">
        <f t="array" ref="L2341">_xlfn.IFS(MID(K2341,2,2)="01", "서울", MID(K2341,2,2)="02","경기",MID(K2341,2,2)="03","충청",MID(K2341,2,2)="04","충청",MID(K2341,2,2)="05","전라",MID(K2341,2,2)="06","전라",MID(K2341,2,2)="07","경북",MID(K2341,2,2)="08","경남",MID(K2341,2,2)="09","강원",MID(K2341,2,2)="10","제주",TRUE,"국외")</f>
        <v>경북</v>
      </c>
    </row>
    <row r="2342" spans="1:12" ht="17.25" thickBot="1">
      <c r="A2342" s="3" t="s">
        <v>2366</v>
      </c>
      <c r="B2342" s="3" t="s">
        <v>107</v>
      </c>
      <c r="C2342" s="3"/>
      <c r="D2342" s="4" t="s">
        <v>254</v>
      </c>
      <c r="E2342" s="4" t="s">
        <v>6</v>
      </c>
      <c r="F2342" s="4">
        <v>2012</v>
      </c>
      <c r="G2342" s="9"/>
      <c r="H2342" s="4" t="s">
        <v>6</v>
      </c>
      <c r="I2342" s="8">
        <v>0.2</v>
      </c>
      <c r="J2342" s="3">
        <v>10786</v>
      </c>
      <c r="K2342" s="3">
        <v>50602</v>
      </c>
      <c r="L2342" s="17" t="str" cm="1">
        <f t="array" ref="L2342">_xlfn.IFS(MID(K2342,2,2)="01", "서울", MID(K2342,2,2)="02","경기",MID(K2342,2,2)="03","충청",MID(K2342,2,2)="04","충청",MID(K2342,2,2)="05","전라",MID(K2342,2,2)="06","전라",MID(K2342,2,2)="07","경북",MID(K2342,2,2)="08","경남",MID(K2342,2,2)="09","강원",MID(K2342,2,2)="10","제주",TRUE,"국외")</f>
        <v>전라</v>
      </c>
    </row>
    <row r="2343" spans="1:12" ht="17.25" thickBot="1">
      <c r="A2343" s="3" t="s">
        <v>2367</v>
      </c>
      <c r="B2343" s="3" t="s">
        <v>158</v>
      </c>
      <c r="C2343" s="3"/>
      <c r="D2343" s="4" t="s">
        <v>254</v>
      </c>
      <c r="E2343" s="4" t="s">
        <v>23</v>
      </c>
      <c r="F2343" s="4">
        <v>2006</v>
      </c>
      <c r="G2343" s="9"/>
      <c r="H2343" s="4" t="s">
        <v>23</v>
      </c>
      <c r="I2343" s="8">
        <v>-0.4</v>
      </c>
      <c r="J2343" s="3">
        <v>10383</v>
      </c>
      <c r="K2343" s="3">
        <v>50501</v>
      </c>
      <c r="L2343" s="17" t="str" cm="1">
        <f t="array" ref="L2343">_xlfn.IFS(MID(K2343,2,2)="01", "서울", MID(K2343,2,2)="02","경기",MID(K2343,2,2)="03","충청",MID(K2343,2,2)="04","충청",MID(K2343,2,2)="05","전라",MID(K2343,2,2)="06","전라",MID(K2343,2,2)="07","경북",MID(K2343,2,2)="08","경남",MID(K2343,2,2)="09","강원",MID(K2343,2,2)="10","제주",TRUE,"국외")</f>
        <v>전라</v>
      </c>
    </row>
    <row r="2344" spans="1:12" ht="17.25" thickBot="1">
      <c r="A2344" s="3" t="s">
        <v>302</v>
      </c>
      <c r="B2344" s="3" t="s">
        <v>63</v>
      </c>
      <c r="C2344" s="3"/>
      <c r="D2344" s="4" t="s">
        <v>254</v>
      </c>
      <c r="E2344" s="4" t="s">
        <v>9</v>
      </c>
      <c r="F2344" s="4">
        <v>2004</v>
      </c>
      <c r="G2344" s="8">
        <v>0.5</v>
      </c>
      <c r="H2344" s="4" t="s">
        <v>9</v>
      </c>
      <c r="I2344" s="8">
        <v>1.2</v>
      </c>
      <c r="J2344" s="3">
        <v>10306</v>
      </c>
      <c r="K2344" s="3">
        <v>50807</v>
      </c>
      <c r="L2344" s="17" t="str" cm="1">
        <f t="array" ref="L2344">_xlfn.IFS(MID(K2344,2,2)="01", "서울", MID(K2344,2,2)="02","경기",MID(K2344,2,2)="03","충청",MID(K2344,2,2)="04","충청",MID(K2344,2,2)="05","전라",MID(K2344,2,2)="06","전라",MID(K2344,2,2)="07","경북",MID(K2344,2,2)="08","경남",MID(K2344,2,2)="09","강원",MID(K2344,2,2)="10","제주",TRUE,"국외")</f>
        <v>경남</v>
      </c>
    </row>
    <row r="2345" spans="1:12" ht="17.25" thickBot="1">
      <c r="A2345" s="3" t="s">
        <v>2368</v>
      </c>
      <c r="B2345" s="3" t="s">
        <v>1737</v>
      </c>
      <c r="C2345" s="3"/>
      <c r="D2345" s="4" t="s">
        <v>254</v>
      </c>
      <c r="E2345" s="4" t="s">
        <v>607</v>
      </c>
      <c r="F2345" s="4">
        <v>2013</v>
      </c>
      <c r="G2345" s="9"/>
      <c r="H2345" s="4" t="s">
        <v>12</v>
      </c>
      <c r="I2345" s="8">
        <v>6.5</v>
      </c>
      <c r="J2345" s="3">
        <v>11166</v>
      </c>
      <c r="K2345" s="3">
        <v>50204</v>
      </c>
      <c r="L2345" s="17" t="str" cm="1">
        <f t="array" ref="L2345">_xlfn.IFS(MID(K2345,2,2)="01", "서울", MID(K2345,2,2)="02","경기",MID(K2345,2,2)="03","충청",MID(K2345,2,2)="04","충청",MID(K2345,2,2)="05","전라",MID(K2345,2,2)="06","전라",MID(K2345,2,2)="07","경북",MID(K2345,2,2)="08","경남",MID(K2345,2,2)="09","강원",MID(K2345,2,2)="10","제주",TRUE,"국외")</f>
        <v>경기</v>
      </c>
    </row>
    <row r="2346" spans="1:12" ht="17.25" thickBot="1">
      <c r="A2346" s="3" t="s">
        <v>2369</v>
      </c>
      <c r="B2346" s="3" t="s">
        <v>81</v>
      </c>
      <c r="C2346" s="3" t="s">
        <v>1743</v>
      </c>
      <c r="D2346" s="4" t="s">
        <v>254</v>
      </c>
      <c r="E2346" s="4" t="s">
        <v>26</v>
      </c>
      <c r="F2346" s="4">
        <v>2004</v>
      </c>
      <c r="G2346" s="8">
        <v>-0.2</v>
      </c>
      <c r="H2346" s="4" t="s">
        <v>26</v>
      </c>
      <c r="I2346" s="8">
        <v>-0.2</v>
      </c>
      <c r="J2346" s="3">
        <f>2324</f>
        <v>2324</v>
      </c>
      <c r="K2346" s="3">
        <v>50105</v>
      </c>
      <c r="L2346" s="17" t="str" cm="1">
        <f t="array" ref="L2346">_xlfn.IFS(MID(K2346,2,2)="01", "서울", MID(K2346,2,2)="02","경기",MID(K2346,2,2)="03","충청",MID(K2346,2,2)="04","충청",MID(K2346,2,2)="05","전라",MID(K2346,2,2)="06","전라",MID(K2346,2,2)="07","경북",MID(K2346,2,2)="08","경남",MID(K2346,2,2)="09","강원",MID(K2346,2,2)="10","제주",TRUE,"국외")</f>
        <v>서울</v>
      </c>
    </row>
    <row r="2347" spans="1:12" ht="17.25" thickBot="1">
      <c r="A2347" s="3" t="s">
        <v>2370</v>
      </c>
      <c r="B2347" s="3" t="s">
        <v>96</v>
      </c>
      <c r="C2347" s="3" t="s">
        <v>99</v>
      </c>
      <c r="D2347" s="4" t="s">
        <v>254</v>
      </c>
      <c r="E2347" s="4" t="s">
        <v>6</v>
      </c>
      <c r="F2347" s="4">
        <v>2004</v>
      </c>
      <c r="G2347" s="8">
        <v>-0.1</v>
      </c>
      <c r="H2347" s="4" t="s">
        <v>6</v>
      </c>
      <c r="I2347" s="8">
        <v>-0.1</v>
      </c>
      <c r="J2347" s="3">
        <f>2327</f>
        <v>2327</v>
      </c>
      <c r="K2347" s="3">
        <v>50601</v>
      </c>
      <c r="L2347" s="17" t="str" cm="1">
        <f t="array" ref="L2347">_xlfn.IFS(MID(K2347,2,2)="01", "서울", MID(K2347,2,2)="02","경기",MID(K2347,2,2)="03","충청",MID(K2347,2,2)="04","충청",MID(K2347,2,2)="05","전라",MID(K2347,2,2)="06","전라",MID(K2347,2,2)="07","경북",MID(K2347,2,2)="08","경남",MID(K2347,2,2)="09","강원",MID(K2347,2,2)="10","제주",TRUE,"국외")</f>
        <v>전라</v>
      </c>
    </row>
    <row r="2348" spans="1:12" ht="17.25" thickBot="1">
      <c r="A2348" s="3" t="s">
        <v>2371</v>
      </c>
      <c r="B2348" s="3" t="s">
        <v>351</v>
      </c>
      <c r="C2348" s="3"/>
      <c r="D2348" s="4" t="s">
        <v>254</v>
      </c>
      <c r="E2348" s="4" t="s">
        <v>2164</v>
      </c>
      <c r="F2348" s="4">
        <v>2006</v>
      </c>
      <c r="G2348" s="9"/>
      <c r="H2348" s="4" t="s">
        <v>12</v>
      </c>
      <c r="I2348" s="8">
        <v>-1.1000000000000001</v>
      </c>
      <c r="J2348" s="3">
        <v>10776</v>
      </c>
      <c r="K2348" s="3">
        <v>50203</v>
      </c>
      <c r="L2348" s="17" t="str" cm="1">
        <f t="array" ref="L2348">_xlfn.IFS(MID(K2348,2,2)="01", "서울", MID(K2348,2,2)="02","경기",MID(K2348,2,2)="03","충청",MID(K2348,2,2)="04","충청",MID(K2348,2,2)="05","전라",MID(K2348,2,2)="06","전라",MID(K2348,2,2)="07","경북",MID(K2348,2,2)="08","경남",MID(K2348,2,2)="09","강원",MID(K2348,2,2)="10","제주",TRUE,"국외")</f>
        <v>경기</v>
      </c>
    </row>
    <row r="2349" spans="1:12" ht="17.25" thickBot="1">
      <c r="A2349" s="3" t="s">
        <v>2372</v>
      </c>
      <c r="B2349" s="3" t="s">
        <v>38</v>
      </c>
      <c r="C2349" s="3"/>
      <c r="D2349" s="4" t="s">
        <v>254</v>
      </c>
      <c r="E2349" s="4" t="s">
        <v>23</v>
      </c>
      <c r="F2349" s="4">
        <v>2013</v>
      </c>
      <c r="G2349" s="9"/>
      <c r="H2349" s="4" t="s">
        <v>18</v>
      </c>
      <c r="I2349" s="8">
        <v>1.1000000000000001</v>
      </c>
      <c r="J2349" s="3">
        <v>11132</v>
      </c>
      <c r="K2349" s="3">
        <v>50109</v>
      </c>
      <c r="L2349" s="17" t="str" cm="1">
        <f t="array" ref="L2349">_xlfn.IFS(MID(K2349,2,2)="01", "서울", MID(K2349,2,2)="02","경기",MID(K2349,2,2)="03","충청",MID(K2349,2,2)="04","충청",MID(K2349,2,2)="05","전라",MID(K2349,2,2)="06","전라",MID(K2349,2,2)="07","경북",MID(K2349,2,2)="08","경남",MID(K2349,2,2)="09","강원",MID(K2349,2,2)="10","제주",TRUE,"국외")</f>
        <v>서울</v>
      </c>
    </row>
    <row r="2350" spans="1:12" ht="17.25" thickBot="1">
      <c r="A2350" s="3" t="s">
        <v>2373</v>
      </c>
      <c r="B2350" s="3" t="s">
        <v>332</v>
      </c>
      <c r="C2350" s="3" t="s">
        <v>119</v>
      </c>
      <c r="D2350" s="4" t="s">
        <v>254</v>
      </c>
      <c r="E2350" s="4" t="s">
        <v>26</v>
      </c>
      <c r="F2350" s="4">
        <v>2004</v>
      </c>
      <c r="G2350" s="8">
        <v>0.1</v>
      </c>
      <c r="H2350" s="4" t="s">
        <v>26</v>
      </c>
      <c r="I2350" s="8">
        <v>1.1000000000000001</v>
      </c>
      <c r="J2350" s="3">
        <v>10166</v>
      </c>
      <c r="K2350" s="3">
        <v>50705</v>
      </c>
      <c r="L2350" s="17" t="str" cm="1">
        <f t="array" ref="L2350">_xlfn.IFS(MID(K2350,2,2)="01", "서울", MID(K2350,2,2)="02","경기",MID(K2350,2,2)="03","충청",MID(K2350,2,2)="04","충청",MID(K2350,2,2)="05","전라",MID(K2350,2,2)="06","전라",MID(K2350,2,2)="07","경북",MID(K2350,2,2)="08","경남",MID(K2350,2,2)="09","강원",MID(K2350,2,2)="10","제주",TRUE,"국외")</f>
        <v>경북</v>
      </c>
    </row>
    <row r="2351" spans="1:12" ht="17.25" thickBot="1">
      <c r="A2351" s="3" t="s">
        <v>2374</v>
      </c>
      <c r="B2351" s="3" t="s">
        <v>2139</v>
      </c>
      <c r="C2351" s="3"/>
      <c r="D2351" s="4" t="s">
        <v>254</v>
      </c>
      <c r="E2351" s="4" t="s">
        <v>23</v>
      </c>
      <c r="F2351" s="4"/>
      <c r="G2351" s="9"/>
      <c r="H2351" s="4"/>
      <c r="I2351" s="9"/>
      <c r="J2351" s="3">
        <v>10802</v>
      </c>
      <c r="K2351" s="3">
        <v>50104</v>
      </c>
      <c r="L2351" s="17" t="str" cm="1">
        <f t="array" ref="L2351">_xlfn.IFS(MID(K2351,2,2)="01", "서울", MID(K2351,2,2)="02","경기",MID(K2351,2,2)="03","충청",MID(K2351,2,2)="04","충청",MID(K2351,2,2)="05","전라",MID(K2351,2,2)="06","전라",MID(K2351,2,2)="07","경북",MID(K2351,2,2)="08","경남",MID(K2351,2,2)="09","강원",MID(K2351,2,2)="10","제주",TRUE,"국외")</f>
        <v>서울</v>
      </c>
    </row>
    <row r="2352" spans="1:12" ht="17.25" thickBot="1">
      <c r="A2352" s="3" t="s">
        <v>2375</v>
      </c>
      <c r="B2352" s="3" t="s">
        <v>228</v>
      </c>
      <c r="C2352" s="3"/>
      <c r="D2352" s="4" t="s">
        <v>254</v>
      </c>
      <c r="E2352" s="4" t="s">
        <v>26</v>
      </c>
      <c r="F2352" s="4">
        <v>2004</v>
      </c>
      <c r="G2352" s="8">
        <v>-0.2</v>
      </c>
      <c r="H2352" s="4" t="s">
        <v>26</v>
      </c>
      <c r="I2352" s="8">
        <v>-0.2</v>
      </c>
      <c r="J2352" s="3">
        <f>2323</f>
        <v>2323</v>
      </c>
      <c r="K2352" s="3">
        <v>50702</v>
      </c>
      <c r="L2352" s="17" t="str" cm="1">
        <f t="array" ref="L2352">_xlfn.IFS(MID(K2352,2,2)="01", "서울", MID(K2352,2,2)="02","경기",MID(K2352,2,2)="03","충청",MID(K2352,2,2)="04","충청",MID(K2352,2,2)="05","전라",MID(K2352,2,2)="06","전라",MID(K2352,2,2)="07","경북",MID(K2352,2,2)="08","경남",MID(K2352,2,2)="09","강원",MID(K2352,2,2)="10","제주",TRUE,"국외")</f>
        <v>경북</v>
      </c>
    </row>
    <row r="2353" spans="1:12" ht="17.25" thickBot="1">
      <c r="A2353" s="3" t="s">
        <v>2376</v>
      </c>
      <c r="B2353" s="3"/>
      <c r="C2353" s="3"/>
      <c r="D2353" s="4" t="s">
        <v>181</v>
      </c>
      <c r="E2353" s="4" t="s">
        <v>6</v>
      </c>
      <c r="F2353" s="4">
        <v>2004</v>
      </c>
      <c r="G2353" s="8">
        <v>2.2000000000000002</v>
      </c>
      <c r="H2353" s="4" t="s">
        <v>6</v>
      </c>
      <c r="I2353" s="8">
        <v>2.2000000000000002</v>
      </c>
      <c r="J2353" s="3">
        <f>2326</f>
        <v>2326</v>
      </c>
      <c r="K2353" s="3"/>
      <c r="L2353" s="17" t="str" cm="1">
        <f t="array" ref="L2353">_xlfn.IFS(MID(K2353,2,2)="01", "서울", MID(K2353,2,2)="02","경기",MID(K2353,2,2)="03","충청",MID(K2353,2,2)="04","충청",MID(K2353,2,2)="05","전라",MID(K2353,2,2)="06","전라",MID(K2353,2,2)="07","경북",MID(K2353,2,2)="08","경남",MID(K2353,2,2)="09","강원",MID(K2353,2,2)="10","제주",TRUE,"국외")</f>
        <v>국외</v>
      </c>
    </row>
    <row r="2354" spans="1:12" ht="17.25" thickBot="1">
      <c r="A2354" s="3" t="s">
        <v>2377</v>
      </c>
      <c r="B2354" s="3"/>
      <c r="C2354" s="3"/>
      <c r="D2354" s="4" t="s">
        <v>181</v>
      </c>
      <c r="E2354" s="4" t="s">
        <v>20</v>
      </c>
      <c r="F2354" s="4">
        <v>2004</v>
      </c>
      <c r="G2354" s="8">
        <v>0.6</v>
      </c>
      <c r="H2354" s="4" t="s">
        <v>20</v>
      </c>
      <c r="I2354" s="8">
        <v>0.6</v>
      </c>
      <c r="J2354" s="3">
        <f>2335</f>
        <v>2335</v>
      </c>
      <c r="K2354" s="3"/>
      <c r="L2354" s="17" t="str" cm="1">
        <f t="array" ref="L2354">_xlfn.IFS(MID(K2354,2,2)="01", "서울", MID(K2354,2,2)="02","경기",MID(K2354,2,2)="03","충청",MID(K2354,2,2)="04","충청",MID(K2354,2,2)="05","전라",MID(K2354,2,2)="06","전라",MID(K2354,2,2)="07","경북",MID(K2354,2,2)="08","경남",MID(K2354,2,2)="09","강원",MID(K2354,2,2)="10","제주",TRUE,"국외")</f>
        <v>국외</v>
      </c>
    </row>
    <row r="2355" spans="1:12" ht="17.25" thickBot="1">
      <c r="A2355" s="3" t="s">
        <v>2378</v>
      </c>
      <c r="B2355" s="3"/>
      <c r="C2355" s="3"/>
      <c r="D2355" s="4" t="s">
        <v>181</v>
      </c>
      <c r="E2355" s="4" t="s">
        <v>20</v>
      </c>
      <c r="F2355" s="4">
        <v>2004</v>
      </c>
      <c r="G2355" s="8">
        <v>-0.3</v>
      </c>
      <c r="H2355" s="4" t="s">
        <v>20</v>
      </c>
      <c r="I2355" s="8">
        <v>-0.3</v>
      </c>
      <c r="J2355" s="3">
        <f>2338</f>
        <v>2338</v>
      </c>
      <c r="K2355" s="3"/>
      <c r="L2355" s="17" t="str" cm="1">
        <f t="array" ref="L2355">_xlfn.IFS(MID(K2355,2,2)="01", "서울", MID(K2355,2,2)="02","경기",MID(K2355,2,2)="03","충청",MID(K2355,2,2)="04","충청",MID(K2355,2,2)="05","전라",MID(K2355,2,2)="06","전라",MID(K2355,2,2)="07","경북",MID(K2355,2,2)="08","경남",MID(K2355,2,2)="09","강원",MID(K2355,2,2)="10","제주",TRUE,"국외")</f>
        <v>국외</v>
      </c>
    </row>
    <row r="2356" spans="1:12" ht="17.25" thickBot="1">
      <c r="A2356" s="3" t="s">
        <v>2379</v>
      </c>
      <c r="B2356" s="3"/>
      <c r="C2356" s="3"/>
      <c r="D2356" s="4" t="s">
        <v>181</v>
      </c>
      <c r="E2356" s="4" t="s">
        <v>607</v>
      </c>
      <c r="F2356" s="4">
        <v>2004</v>
      </c>
      <c r="G2356" s="8">
        <v>1</v>
      </c>
      <c r="H2356" s="4" t="s">
        <v>607</v>
      </c>
      <c r="I2356" s="8">
        <v>4.8</v>
      </c>
      <c r="J2356" s="3">
        <f>2334</f>
        <v>2334</v>
      </c>
      <c r="K2356" s="3"/>
      <c r="L2356" s="17" t="str" cm="1">
        <f t="array" ref="L2356">_xlfn.IFS(MID(K2356,2,2)="01", "서울", MID(K2356,2,2)="02","경기",MID(K2356,2,2)="03","충청",MID(K2356,2,2)="04","충청",MID(K2356,2,2)="05","전라",MID(K2356,2,2)="06","전라",MID(K2356,2,2)="07","경북",MID(K2356,2,2)="08","경남",MID(K2356,2,2)="09","강원",MID(K2356,2,2)="10","제주",TRUE,"국외")</f>
        <v>국외</v>
      </c>
    </row>
    <row r="2357" spans="1:12" ht="17.25" thickBot="1">
      <c r="A2357" s="3" t="s">
        <v>2380</v>
      </c>
      <c r="B2357" s="3"/>
      <c r="C2357" s="3"/>
      <c r="D2357" s="4" t="s">
        <v>181</v>
      </c>
      <c r="E2357" s="4" t="s">
        <v>9</v>
      </c>
      <c r="F2357" s="4">
        <v>2004</v>
      </c>
      <c r="G2357" s="8">
        <v>2.7</v>
      </c>
      <c r="H2357" s="4" t="s">
        <v>9</v>
      </c>
      <c r="I2357" s="8">
        <v>4.5</v>
      </c>
      <c r="J2357" s="3">
        <f>2309</f>
        <v>2309</v>
      </c>
      <c r="K2357" s="3"/>
      <c r="L2357" s="17" t="str" cm="1">
        <f t="array" ref="L2357">_xlfn.IFS(MID(K2357,2,2)="01", "서울", MID(K2357,2,2)="02","경기",MID(K2357,2,2)="03","충청",MID(K2357,2,2)="04","충청",MID(K2357,2,2)="05","전라",MID(K2357,2,2)="06","전라",MID(K2357,2,2)="07","경북",MID(K2357,2,2)="08","경남",MID(K2357,2,2)="09","강원",MID(K2357,2,2)="10","제주",TRUE,"국외")</f>
        <v>국외</v>
      </c>
    </row>
    <row r="2358" spans="1:12" ht="17.25" thickBot="1">
      <c r="A2358" s="3" t="s">
        <v>2381</v>
      </c>
      <c r="B2358" s="3"/>
      <c r="C2358" s="3"/>
      <c r="D2358" s="4" t="s">
        <v>181</v>
      </c>
      <c r="E2358" s="4" t="s">
        <v>23</v>
      </c>
      <c r="F2358" s="4">
        <v>2004</v>
      </c>
      <c r="G2358" s="8">
        <v>1.7</v>
      </c>
      <c r="H2358" s="4" t="s">
        <v>23</v>
      </c>
      <c r="I2358" s="8">
        <v>1.7</v>
      </c>
      <c r="J2358" s="3">
        <f>2315</f>
        <v>2315</v>
      </c>
      <c r="K2358" s="3"/>
      <c r="L2358" s="17" t="str" cm="1">
        <f t="array" ref="L2358">_xlfn.IFS(MID(K2358,2,2)="01", "서울", MID(K2358,2,2)="02","경기",MID(K2358,2,2)="03","충청",MID(K2358,2,2)="04","충청",MID(K2358,2,2)="05","전라",MID(K2358,2,2)="06","전라",MID(K2358,2,2)="07","경북",MID(K2358,2,2)="08","경남",MID(K2358,2,2)="09","강원",MID(K2358,2,2)="10","제주",TRUE,"국외")</f>
        <v>국외</v>
      </c>
    </row>
    <row r="2359" spans="1:12" ht="17.25" thickBot="1">
      <c r="A2359" s="3" t="s">
        <v>2382</v>
      </c>
      <c r="B2359" s="3"/>
      <c r="C2359" s="3"/>
      <c r="D2359" s="4" t="s">
        <v>181</v>
      </c>
      <c r="E2359" s="4" t="s">
        <v>23</v>
      </c>
      <c r="F2359" s="4">
        <v>2004</v>
      </c>
      <c r="G2359" s="8">
        <v>1.6</v>
      </c>
      <c r="H2359" s="4" t="s">
        <v>23</v>
      </c>
      <c r="I2359" s="8">
        <v>1.6</v>
      </c>
      <c r="J2359" s="3">
        <f>2337</f>
        <v>2337</v>
      </c>
      <c r="K2359" s="3"/>
      <c r="L2359" s="17" t="str" cm="1">
        <f t="array" ref="L2359">_xlfn.IFS(MID(K2359,2,2)="01", "서울", MID(K2359,2,2)="02","경기",MID(K2359,2,2)="03","충청",MID(K2359,2,2)="04","충청",MID(K2359,2,2)="05","전라",MID(K2359,2,2)="06","전라",MID(K2359,2,2)="07","경북",MID(K2359,2,2)="08","경남",MID(K2359,2,2)="09","강원",MID(K2359,2,2)="10","제주",TRUE,"국외")</f>
        <v>국외</v>
      </c>
    </row>
    <row r="2360" spans="1:12" ht="17.25" thickBot="1">
      <c r="A2360" s="3" t="s">
        <v>2042</v>
      </c>
      <c r="B2360" s="3"/>
      <c r="C2360" s="3"/>
      <c r="D2360" s="4" t="s">
        <v>181</v>
      </c>
      <c r="E2360" s="4" t="s">
        <v>23</v>
      </c>
      <c r="F2360" s="4">
        <v>2004</v>
      </c>
      <c r="G2360" s="8">
        <v>-0.6</v>
      </c>
      <c r="H2360" s="4" t="s">
        <v>23</v>
      </c>
      <c r="I2360" s="8">
        <v>-0.6</v>
      </c>
      <c r="J2360" s="3">
        <f>2310</f>
        <v>2310</v>
      </c>
      <c r="K2360" s="3"/>
      <c r="L2360" s="17" t="str" cm="1">
        <f t="array" ref="L2360">_xlfn.IFS(MID(K2360,2,2)="01", "서울", MID(K2360,2,2)="02","경기",MID(K2360,2,2)="03","충청",MID(K2360,2,2)="04","충청",MID(K2360,2,2)="05","전라",MID(K2360,2,2)="06","전라",MID(K2360,2,2)="07","경북",MID(K2360,2,2)="08","경남",MID(K2360,2,2)="09","강원",MID(K2360,2,2)="10","제주",TRUE,"국외")</f>
        <v>국외</v>
      </c>
    </row>
    <row r="2361" spans="1:12" ht="17.25" thickBot="1">
      <c r="A2361" s="3" t="s">
        <v>2383</v>
      </c>
      <c r="B2361" s="3"/>
      <c r="C2361" s="3"/>
      <c r="D2361" s="4" t="s">
        <v>181</v>
      </c>
      <c r="E2361" s="4" t="s">
        <v>3</v>
      </c>
      <c r="F2361" s="4">
        <v>2004</v>
      </c>
      <c r="G2361" s="8">
        <v>1.1000000000000001</v>
      </c>
      <c r="H2361" s="4" t="s">
        <v>3</v>
      </c>
      <c r="I2361" s="8">
        <v>1.1000000000000001</v>
      </c>
      <c r="J2361" s="3">
        <f>2314</f>
        <v>2314</v>
      </c>
      <c r="K2361" s="3"/>
      <c r="L2361" s="17" t="str" cm="1">
        <f t="array" ref="L2361">_xlfn.IFS(MID(K2361,2,2)="01", "서울", MID(K2361,2,2)="02","경기",MID(K2361,2,2)="03","충청",MID(K2361,2,2)="04","충청",MID(K2361,2,2)="05","전라",MID(K2361,2,2)="06","전라",MID(K2361,2,2)="07","경북",MID(K2361,2,2)="08","경남",MID(K2361,2,2)="09","강원",MID(K2361,2,2)="10","제주",TRUE,"국외")</f>
        <v>국외</v>
      </c>
    </row>
    <row r="2362" spans="1:12" ht="17.25" thickBot="1">
      <c r="A2362" s="3" t="s">
        <v>2384</v>
      </c>
      <c r="B2362" s="3"/>
      <c r="C2362" s="3"/>
      <c r="D2362" s="4" t="s">
        <v>181</v>
      </c>
      <c r="E2362" s="4" t="s">
        <v>2164</v>
      </c>
      <c r="F2362" s="4">
        <v>2004</v>
      </c>
      <c r="G2362" s="8">
        <v>5.4</v>
      </c>
      <c r="H2362" s="4" t="s">
        <v>2164</v>
      </c>
      <c r="I2362" s="8">
        <v>5.4</v>
      </c>
      <c r="J2362" s="3">
        <f>2336</f>
        <v>2336</v>
      </c>
      <c r="K2362" s="3"/>
      <c r="L2362" s="17" t="str" cm="1">
        <f t="array" ref="L2362">_xlfn.IFS(MID(K2362,2,2)="01", "서울", MID(K2362,2,2)="02","경기",MID(K2362,2,2)="03","충청",MID(K2362,2,2)="04","충청",MID(K2362,2,2)="05","전라",MID(K2362,2,2)="06","전라",MID(K2362,2,2)="07","경북",MID(K2362,2,2)="08","경남",MID(K2362,2,2)="09","강원",MID(K2362,2,2)="10","제주",TRUE,"국외")</f>
        <v>국외</v>
      </c>
    </row>
    <row r="2363" spans="1:12" ht="17.25" thickBot="1">
      <c r="A2363" s="3" t="s">
        <v>187</v>
      </c>
      <c r="B2363" s="3"/>
      <c r="C2363" s="3"/>
      <c r="D2363" s="4" t="s">
        <v>181</v>
      </c>
      <c r="E2363" s="4" t="s">
        <v>20</v>
      </c>
      <c r="F2363" s="4">
        <v>2004</v>
      </c>
      <c r="G2363" s="8">
        <v>2.7</v>
      </c>
      <c r="H2363" s="4" t="s">
        <v>20</v>
      </c>
      <c r="I2363" s="8">
        <v>2.7</v>
      </c>
      <c r="J2363" s="3">
        <f>2311</f>
        <v>2311</v>
      </c>
      <c r="K2363" s="3"/>
      <c r="L2363" s="17" t="str" cm="1">
        <f t="array" ref="L2363">_xlfn.IFS(MID(K2363,2,2)="01", "서울", MID(K2363,2,2)="02","경기",MID(K2363,2,2)="03","충청",MID(K2363,2,2)="04","충청",MID(K2363,2,2)="05","전라",MID(K2363,2,2)="06","전라",MID(K2363,2,2)="07","경북",MID(K2363,2,2)="08","경남",MID(K2363,2,2)="09","강원",MID(K2363,2,2)="10","제주",TRUE,"국외")</f>
        <v>국외</v>
      </c>
    </row>
    <row r="2364" spans="1:12" ht="17.25" thickBot="1">
      <c r="A2364" s="3" t="s">
        <v>2385</v>
      </c>
      <c r="B2364" s="3" t="s">
        <v>128</v>
      </c>
      <c r="C2364" s="3"/>
      <c r="D2364" s="4" t="s">
        <v>1777</v>
      </c>
      <c r="E2364" s="4" t="s">
        <v>607</v>
      </c>
      <c r="F2364" s="4">
        <v>2005</v>
      </c>
      <c r="G2364" s="9"/>
      <c r="H2364" s="4" t="s">
        <v>607</v>
      </c>
      <c r="I2364" s="8">
        <v>-0.6</v>
      </c>
      <c r="J2364" s="3">
        <f>2367</f>
        <v>2367</v>
      </c>
      <c r="K2364" s="3">
        <v>50901</v>
      </c>
      <c r="L2364" s="17" t="str" cm="1">
        <f t="array" ref="L2364">_xlfn.IFS(MID(K2364,2,2)="01", "서울", MID(K2364,2,2)="02","경기",MID(K2364,2,2)="03","충청",MID(K2364,2,2)="04","충청",MID(K2364,2,2)="05","전라",MID(K2364,2,2)="06","전라",MID(K2364,2,2)="07","경북",MID(K2364,2,2)="08","경남",MID(K2364,2,2)="09","강원",MID(K2364,2,2)="10","제주",TRUE,"국외")</f>
        <v>강원</v>
      </c>
    </row>
    <row r="2365" spans="1:12" ht="17.25" thickBot="1">
      <c r="A2365" s="3" t="s">
        <v>2386</v>
      </c>
      <c r="B2365" s="3" t="s">
        <v>1019</v>
      </c>
      <c r="C2365" s="3"/>
      <c r="D2365" s="4" t="s">
        <v>1777</v>
      </c>
      <c r="E2365" s="4" t="s">
        <v>26</v>
      </c>
      <c r="F2365" s="4">
        <v>2005</v>
      </c>
      <c r="G2365" s="9"/>
      <c r="H2365" s="4" t="s">
        <v>26</v>
      </c>
      <c r="I2365" s="8">
        <v>-0.1</v>
      </c>
      <c r="J2365" s="3">
        <f>2341</f>
        <v>2341</v>
      </c>
      <c r="K2365" s="3">
        <v>50201</v>
      </c>
      <c r="L2365" s="17" t="str" cm="1">
        <f t="array" ref="L2365">_xlfn.IFS(MID(K2365,2,2)="01", "서울", MID(K2365,2,2)="02","경기",MID(K2365,2,2)="03","충청",MID(K2365,2,2)="04","충청",MID(K2365,2,2)="05","전라",MID(K2365,2,2)="06","전라",MID(K2365,2,2)="07","경북",MID(K2365,2,2)="08","경남",MID(K2365,2,2)="09","강원",MID(K2365,2,2)="10","제주",TRUE,"국외")</f>
        <v>경기</v>
      </c>
    </row>
    <row r="2366" spans="1:12" ht="17.25" thickBot="1">
      <c r="A2366" s="3" t="s">
        <v>2387</v>
      </c>
      <c r="B2366" s="3" t="s">
        <v>93</v>
      </c>
      <c r="C2366" s="3" t="s">
        <v>211</v>
      </c>
      <c r="D2366" s="4" t="s">
        <v>1777</v>
      </c>
      <c r="E2366" s="4" t="s">
        <v>9</v>
      </c>
      <c r="F2366" s="4">
        <v>2004</v>
      </c>
      <c r="G2366" s="8">
        <v>-0.2</v>
      </c>
      <c r="H2366" s="4" t="s">
        <v>9</v>
      </c>
      <c r="I2366" s="8">
        <v>-0.2</v>
      </c>
      <c r="J2366" s="3">
        <f>2313</f>
        <v>2313</v>
      </c>
      <c r="K2366" s="3">
        <v>50805</v>
      </c>
      <c r="L2366" s="17" t="str" cm="1">
        <f t="array" ref="L2366">_xlfn.IFS(MID(K2366,2,2)="01", "서울", MID(K2366,2,2)="02","경기",MID(K2366,2,2)="03","충청",MID(K2366,2,2)="04","충청",MID(K2366,2,2)="05","전라",MID(K2366,2,2)="06","전라",MID(K2366,2,2)="07","경북",MID(K2366,2,2)="08","경남",MID(K2366,2,2)="09","강원",MID(K2366,2,2)="10","제주",TRUE,"국외")</f>
        <v>경남</v>
      </c>
    </row>
    <row r="2367" spans="1:12" ht="17.25" thickBot="1">
      <c r="A2367" s="3" t="s">
        <v>2388</v>
      </c>
      <c r="B2367" s="3" t="s">
        <v>121</v>
      </c>
      <c r="C2367" s="3" t="s">
        <v>172</v>
      </c>
      <c r="D2367" s="4" t="s">
        <v>205</v>
      </c>
      <c r="E2367" s="4" t="s">
        <v>607</v>
      </c>
      <c r="F2367" s="4">
        <v>2004</v>
      </c>
      <c r="G2367" s="8">
        <v>0</v>
      </c>
      <c r="H2367" s="4" t="s">
        <v>607</v>
      </c>
      <c r="I2367" s="8">
        <v>0</v>
      </c>
      <c r="J2367" s="3">
        <f>2307</f>
        <v>2307</v>
      </c>
      <c r="K2367" s="3">
        <v>50604</v>
      </c>
      <c r="L2367" s="17" t="str" cm="1">
        <f t="array" ref="L2367">_xlfn.IFS(MID(K2367,2,2)="01", "서울", MID(K2367,2,2)="02","경기",MID(K2367,2,2)="03","충청",MID(K2367,2,2)="04","충청",MID(K2367,2,2)="05","전라",MID(K2367,2,2)="06","전라",MID(K2367,2,2)="07","경북",MID(K2367,2,2)="08","경남",MID(K2367,2,2)="09","강원",MID(K2367,2,2)="10","제주",TRUE,"국외")</f>
        <v>전라</v>
      </c>
    </row>
    <row r="2368" spans="1:12" ht="17.25" thickBot="1">
      <c r="A2368" s="3" t="s">
        <v>2068</v>
      </c>
      <c r="B2368" s="3" t="s">
        <v>40</v>
      </c>
      <c r="C2368" s="3" t="s">
        <v>1743</v>
      </c>
      <c r="D2368" s="4" t="s">
        <v>205</v>
      </c>
      <c r="E2368" s="4" t="s">
        <v>607</v>
      </c>
      <c r="F2368" s="4">
        <v>2004</v>
      </c>
      <c r="G2368" s="8">
        <v>-0.2</v>
      </c>
      <c r="H2368" s="4" t="s">
        <v>607</v>
      </c>
      <c r="I2368" s="8">
        <v>0</v>
      </c>
      <c r="J2368" s="3">
        <f>2325</f>
        <v>2325</v>
      </c>
      <c r="K2368" s="3">
        <v>50108</v>
      </c>
      <c r="L2368" s="17" t="str" cm="1">
        <f t="array" ref="L2368">_xlfn.IFS(MID(K2368,2,2)="01", "서울", MID(K2368,2,2)="02","경기",MID(K2368,2,2)="03","충청",MID(K2368,2,2)="04","충청",MID(K2368,2,2)="05","전라",MID(K2368,2,2)="06","전라",MID(K2368,2,2)="07","경북",MID(K2368,2,2)="08","경남",MID(K2368,2,2)="09","강원",MID(K2368,2,2)="10","제주",TRUE,"국외")</f>
        <v>서울</v>
      </c>
    </row>
    <row r="2369" spans="1:12" ht="17.25" thickBot="1">
      <c r="A2369" s="3" t="s">
        <v>1042</v>
      </c>
      <c r="B2369" s="3" t="s">
        <v>107</v>
      </c>
      <c r="C2369" s="3"/>
      <c r="D2369" s="4" t="s">
        <v>243</v>
      </c>
      <c r="E2369" s="4" t="s">
        <v>6</v>
      </c>
      <c r="F2369" s="4">
        <v>2003</v>
      </c>
      <c r="G2369" s="8">
        <v>2</v>
      </c>
      <c r="H2369" s="4" t="s">
        <v>6</v>
      </c>
      <c r="I2369" s="8">
        <v>0.2</v>
      </c>
      <c r="J2369" s="3">
        <v>10042</v>
      </c>
      <c r="K2369" s="3">
        <v>50602</v>
      </c>
      <c r="L2369" s="17" t="str" cm="1">
        <f t="array" ref="L2369">_xlfn.IFS(MID(K2369,2,2)="01", "서울", MID(K2369,2,2)="02","경기",MID(K2369,2,2)="03","충청",MID(K2369,2,2)="04","충청",MID(K2369,2,2)="05","전라",MID(K2369,2,2)="06","전라",MID(K2369,2,2)="07","경북",MID(K2369,2,2)="08","경남",MID(K2369,2,2)="09","강원",MID(K2369,2,2)="10","제주",TRUE,"국외")</f>
        <v>전라</v>
      </c>
    </row>
    <row r="2370" spans="1:12" ht="17.25" thickBot="1">
      <c r="A2370" s="3" t="s">
        <v>2389</v>
      </c>
      <c r="B2370" s="3" t="s">
        <v>40</v>
      </c>
      <c r="C2370" s="3" t="s">
        <v>1942</v>
      </c>
      <c r="D2370" s="4" t="s">
        <v>243</v>
      </c>
      <c r="E2370" s="4" t="s">
        <v>20</v>
      </c>
      <c r="F2370" s="4">
        <v>2003</v>
      </c>
      <c r="G2370" s="8">
        <v>0.8</v>
      </c>
      <c r="H2370" s="4" t="s">
        <v>28</v>
      </c>
      <c r="I2370" s="8">
        <v>32.200000000000003</v>
      </c>
      <c r="J2370" s="3">
        <v>10469</v>
      </c>
      <c r="K2370" s="3">
        <v>50108</v>
      </c>
      <c r="L2370" s="17" t="str" cm="1">
        <f t="array" ref="L2370">_xlfn.IFS(MID(K2370,2,2)="01", "서울", MID(K2370,2,2)="02","경기",MID(K2370,2,2)="03","충청",MID(K2370,2,2)="04","충청",MID(K2370,2,2)="05","전라",MID(K2370,2,2)="06","전라",MID(K2370,2,2)="07","경북",MID(K2370,2,2)="08","경남",MID(K2370,2,2)="09","강원",MID(K2370,2,2)="10","제주",TRUE,"국외")</f>
        <v>서울</v>
      </c>
    </row>
    <row r="2371" spans="1:12" ht="17.25" thickBot="1">
      <c r="A2371" s="3" t="s">
        <v>2390</v>
      </c>
      <c r="B2371" s="3" t="s">
        <v>40</v>
      </c>
      <c r="C2371" s="3"/>
      <c r="D2371" s="4" t="s">
        <v>243</v>
      </c>
      <c r="E2371" s="4" t="s">
        <v>26</v>
      </c>
      <c r="F2371" s="4">
        <v>2003</v>
      </c>
      <c r="G2371" s="8">
        <v>0.4</v>
      </c>
      <c r="H2371" s="4" t="s">
        <v>26</v>
      </c>
      <c r="I2371" s="8">
        <v>14.5</v>
      </c>
      <c r="J2371" s="3">
        <v>10203</v>
      </c>
      <c r="K2371" s="3">
        <v>50108</v>
      </c>
      <c r="L2371" s="17" t="str" cm="1">
        <f t="array" ref="L2371">_xlfn.IFS(MID(K2371,2,2)="01", "서울", MID(K2371,2,2)="02","경기",MID(K2371,2,2)="03","충청",MID(K2371,2,2)="04","충청",MID(K2371,2,2)="05","전라",MID(K2371,2,2)="06","전라",MID(K2371,2,2)="07","경북",MID(K2371,2,2)="08","경남",MID(K2371,2,2)="09","강원",MID(K2371,2,2)="10","제주",TRUE,"국외")</f>
        <v>서울</v>
      </c>
    </row>
    <row r="2372" spans="1:12" ht="17.25" thickBot="1">
      <c r="A2372" s="3" t="s">
        <v>1836</v>
      </c>
      <c r="B2372" s="3" t="s">
        <v>11</v>
      </c>
      <c r="C2372" s="3"/>
      <c r="D2372" s="4" t="s">
        <v>243</v>
      </c>
      <c r="E2372" s="4" t="s">
        <v>9</v>
      </c>
      <c r="F2372" s="4">
        <v>2003</v>
      </c>
      <c r="G2372" s="8">
        <v>-0.1</v>
      </c>
      <c r="H2372" s="4" t="s">
        <v>9</v>
      </c>
      <c r="I2372" s="8">
        <v>0.9</v>
      </c>
      <c r="J2372" s="3">
        <v>10259</v>
      </c>
      <c r="K2372" s="3">
        <v>50802</v>
      </c>
      <c r="L2372" s="17" t="str" cm="1">
        <f t="array" ref="L2372">_xlfn.IFS(MID(K2372,2,2)="01", "서울", MID(K2372,2,2)="02","경기",MID(K2372,2,2)="03","충청",MID(K2372,2,2)="04","충청",MID(K2372,2,2)="05","전라",MID(K2372,2,2)="06","전라",MID(K2372,2,2)="07","경북",MID(K2372,2,2)="08","경남",MID(K2372,2,2)="09","강원",MID(K2372,2,2)="10","제주",TRUE,"국외")</f>
        <v>경남</v>
      </c>
    </row>
    <row r="2373" spans="1:12" ht="17.25" thickBot="1">
      <c r="A2373" s="3" t="s">
        <v>2391</v>
      </c>
      <c r="B2373" s="3" t="s">
        <v>241</v>
      </c>
      <c r="C2373" s="3"/>
      <c r="D2373" s="4" t="s">
        <v>243</v>
      </c>
      <c r="E2373" s="4" t="s">
        <v>607</v>
      </c>
      <c r="F2373" s="4">
        <v>2003</v>
      </c>
      <c r="G2373" s="8">
        <v>-1.6</v>
      </c>
      <c r="H2373" s="4" t="s">
        <v>607</v>
      </c>
      <c r="I2373" s="8">
        <v>18.3</v>
      </c>
      <c r="J2373" s="3">
        <v>10137</v>
      </c>
      <c r="K2373" s="3">
        <v>50202</v>
      </c>
      <c r="L2373" s="17" t="str" cm="1">
        <f t="array" ref="L2373">_xlfn.IFS(MID(K2373,2,2)="01", "서울", MID(K2373,2,2)="02","경기",MID(K2373,2,2)="03","충청",MID(K2373,2,2)="04","충청",MID(K2373,2,2)="05","전라",MID(K2373,2,2)="06","전라",MID(K2373,2,2)="07","경북",MID(K2373,2,2)="08","경남",MID(K2373,2,2)="09","강원",MID(K2373,2,2)="10","제주",TRUE,"국외")</f>
        <v>경기</v>
      </c>
    </row>
    <row r="2374" spans="1:12" ht="17.25" thickBot="1">
      <c r="A2374" s="3" t="s">
        <v>2392</v>
      </c>
      <c r="B2374" s="3" t="s">
        <v>25</v>
      </c>
      <c r="C2374" s="3" t="s">
        <v>2221</v>
      </c>
      <c r="D2374" s="4" t="s">
        <v>243</v>
      </c>
      <c r="E2374" s="4" t="s">
        <v>3</v>
      </c>
      <c r="F2374" s="4">
        <v>2003</v>
      </c>
      <c r="G2374" s="8">
        <v>1.8</v>
      </c>
      <c r="H2374" s="4" t="s">
        <v>3</v>
      </c>
      <c r="I2374" s="8">
        <v>11.2</v>
      </c>
      <c r="J2374" s="3">
        <v>10600</v>
      </c>
      <c r="K2374" s="3">
        <v>50403</v>
      </c>
      <c r="L2374" s="17" t="str" cm="1">
        <f t="array" ref="L2374">_xlfn.IFS(MID(K2374,2,2)="01", "서울", MID(K2374,2,2)="02","경기",MID(K2374,2,2)="03","충청",MID(K2374,2,2)="04","충청",MID(K2374,2,2)="05","전라",MID(K2374,2,2)="06","전라",MID(K2374,2,2)="07","경북",MID(K2374,2,2)="08","경남",MID(K2374,2,2)="09","강원",MID(K2374,2,2)="10","제주",TRUE,"국외")</f>
        <v>충청</v>
      </c>
    </row>
    <row r="2375" spans="1:12" ht="17.25" thickBot="1">
      <c r="A2375" s="3" t="s">
        <v>1862</v>
      </c>
      <c r="B2375" s="3" t="s">
        <v>107</v>
      </c>
      <c r="C2375" s="3"/>
      <c r="D2375" s="4" t="s">
        <v>254</v>
      </c>
      <c r="E2375" s="4" t="s">
        <v>9</v>
      </c>
      <c r="F2375" s="4">
        <v>2009</v>
      </c>
      <c r="G2375" s="9"/>
      <c r="H2375" s="4" t="s">
        <v>9</v>
      </c>
      <c r="I2375" s="8">
        <v>0.6</v>
      </c>
      <c r="J2375" s="3">
        <v>10271</v>
      </c>
      <c r="K2375" s="3">
        <v>50602</v>
      </c>
      <c r="L2375" s="17" t="str" cm="1">
        <f t="array" ref="L2375">_xlfn.IFS(MID(K2375,2,2)="01", "서울", MID(K2375,2,2)="02","경기",MID(K2375,2,2)="03","충청",MID(K2375,2,2)="04","충청",MID(K2375,2,2)="05","전라",MID(K2375,2,2)="06","전라",MID(K2375,2,2)="07","경북",MID(K2375,2,2)="08","경남",MID(K2375,2,2)="09","강원",MID(K2375,2,2)="10","제주",TRUE,"국외")</f>
        <v>전라</v>
      </c>
    </row>
    <row r="2376" spans="1:12" ht="17.25" thickBot="1">
      <c r="A2376" s="3" t="s">
        <v>2393</v>
      </c>
      <c r="B2376" s="3" t="s">
        <v>169</v>
      </c>
      <c r="C2376" s="3"/>
      <c r="D2376" s="4" t="s">
        <v>254</v>
      </c>
      <c r="E2376" s="4" t="s">
        <v>20</v>
      </c>
      <c r="F2376" s="4">
        <v>2004</v>
      </c>
      <c r="G2376" s="9"/>
      <c r="H2376" s="4" t="s">
        <v>3</v>
      </c>
      <c r="I2376" s="8">
        <v>14.5</v>
      </c>
      <c r="J2376" s="3">
        <v>10168</v>
      </c>
      <c r="K2376" s="3">
        <v>50606</v>
      </c>
      <c r="L2376" s="17" t="str" cm="1">
        <f t="array" ref="L2376">_xlfn.IFS(MID(K2376,2,2)="01", "서울", MID(K2376,2,2)="02","경기",MID(K2376,2,2)="03","충청",MID(K2376,2,2)="04","충청",MID(K2376,2,2)="05","전라",MID(K2376,2,2)="06","전라",MID(K2376,2,2)="07","경북",MID(K2376,2,2)="08","경남",MID(K2376,2,2)="09","강원",MID(K2376,2,2)="10","제주",TRUE,"국외")</f>
        <v>전라</v>
      </c>
    </row>
    <row r="2377" spans="1:12" ht="17.25" thickBot="1">
      <c r="A2377" s="3" t="s">
        <v>143</v>
      </c>
      <c r="B2377" s="3" t="s">
        <v>68</v>
      </c>
      <c r="C2377" s="3" t="s">
        <v>1471</v>
      </c>
      <c r="D2377" s="4" t="s">
        <v>254</v>
      </c>
      <c r="E2377" s="4" t="s">
        <v>6</v>
      </c>
      <c r="F2377" s="4">
        <v>2003</v>
      </c>
      <c r="G2377" s="8">
        <v>-0.5</v>
      </c>
      <c r="H2377" s="4" t="s">
        <v>6</v>
      </c>
      <c r="I2377" s="8">
        <v>6.1</v>
      </c>
      <c r="J2377" s="3">
        <v>10486</v>
      </c>
      <c r="K2377" s="3">
        <v>50101</v>
      </c>
      <c r="L2377" s="17" t="str" cm="1">
        <f t="array" ref="L2377">_xlfn.IFS(MID(K2377,2,2)="01", "서울", MID(K2377,2,2)="02","경기",MID(K2377,2,2)="03","충청",MID(K2377,2,2)="04","충청",MID(K2377,2,2)="05","전라",MID(K2377,2,2)="06","전라",MID(K2377,2,2)="07","경북",MID(K2377,2,2)="08","경남",MID(K2377,2,2)="09","강원",MID(K2377,2,2)="10","제주",TRUE,"국외")</f>
        <v>서울</v>
      </c>
    </row>
    <row r="2378" spans="1:12" ht="17.25" thickBot="1">
      <c r="A2378" s="3" t="s">
        <v>2394</v>
      </c>
      <c r="B2378" s="3" t="s">
        <v>8</v>
      </c>
      <c r="C2378" s="3"/>
      <c r="D2378" s="4" t="s">
        <v>254</v>
      </c>
      <c r="E2378" s="4" t="s">
        <v>2164</v>
      </c>
      <c r="F2378" s="4">
        <v>2004</v>
      </c>
      <c r="G2378" s="9"/>
      <c r="H2378" s="4" t="s">
        <v>12</v>
      </c>
      <c r="I2378" s="8">
        <v>0.1</v>
      </c>
      <c r="J2378" s="3">
        <v>10683</v>
      </c>
      <c r="K2378" s="3">
        <v>50116</v>
      </c>
      <c r="L2378" s="17" t="str" cm="1">
        <f t="array" ref="L2378">_xlfn.IFS(MID(K2378,2,2)="01", "서울", MID(K2378,2,2)="02","경기",MID(K2378,2,2)="03","충청",MID(K2378,2,2)="04","충청",MID(K2378,2,2)="05","전라",MID(K2378,2,2)="06","전라",MID(K2378,2,2)="07","경북",MID(K2378,2,2)="08","경남",MID(K2378,2,2)="09","강원",MID(K2378,2,2)="10","제주",TRUE,"국외")</f>
        <v>서울</v>
      </c>
    </row>
    <row r="2379" spans="1:12" ht="17.25" thickBot="1">
      <c r="A2379" s="3" t="s">
        <v>2395</v>
      </c>
      <c r="B2379" s="3" t="s">
        <v>121</v>
      </c>
      <c r="C2379" s="3" t="s">
        <v>1743</v>
      </c>
      <c r="D2379" s="4" t="s">
        <v>254</v>
      </c>
      <c r="E2379" s="4" t="s">
        <v>23</v>
      </c>
      <c r="F2379" s="4">
        <v>2003</v>
      </c>
      <c r="G2379" s="8">
        <v>-0.1</v>
      </c>
      <c r="H2379" s="4" t="s">
        <v>23</v>
      </c>
      <c r="I2379" s="8">
        <v>-0.3</v>
      </c>
      <c r="J2379" s="3">
        <v>10319</v>
      </c>
      <c r="K2379" s="3">
        <v>50604</v>
      </c>
      <c r="L2379" s="17" t="str" cm="1">
        <f t="array" ref="L2379">_xlfn.IFS(MID(K2379,2,2)="01", "서울", MID(K2379,2,2)="02","경기",MID(K2379,2,2)="03","충청",MID(K2379,2,2)="04","충청",MID(K2379,2,2)="05","전라",MID(K2379,2,2)="06","전라",MID(K2379,2,2)="07","경북",MID(K2379,2,2)="08","경남",MID(K2379,2,2)="09","강원",MID(K2379,2,2)="10","제주",TRUE,"국외")</f>
        <v>전라</v>
      </c>
    </row>
    <row r="2380" spans="1:12" ht="17.25" thickBot="1">
      <c r="A2380" s="3" t="s">
        <v>2396</v>
      </c>
      <c r="B2380" s="3" t="s">
        <v>93</v>
      </c>
      <c r="C2380" s="3" t="s">
        <v>1347</v>
      </c>
      <c r="D2380" s="4" t="s">
        <v>254</v>
      </c>
      <c r="E2380" s="4" t="s">
        <v>26</v>
      </c>
      <c r="F2380" s="4">
        <v>2003</v>
      </c>
      <c r="G2380" s="8">
        <v>0.4</v>
      </c>
      <c r="H2380" s="4" t="s">
        <v>607</v>
      </c>
      <c r="I2380" s="8">
        <v>13.2</v>
      </c>
      <c r="J2380" s="3">
        <v>10152</v>
      </c>
      <c r="K2380" s="3">
        <v>50805</v>
      </c>
      <c r="L2380" s="17" t="str" cm="1">
        <f t="array" ref="L2380">_xlfn.IFS(MID(K2380,2,2)="01", "서울", MID(K2380,2,2)="02","경기",MID(K2380,2,2)="03","충청",MID(K2380,2,2)="04","충청",MID(K2380,2,2)="05","전라",MID(K2380,2,2)="06","전라",MID(K2380,2,2)="07","경북",MID(K2380,2,2)="08","경남",MID(K2380,2,2)="09","강원",MID(K2380,2,2)="10","제주",TRUE,"국외")</f>
        <v>경남</v>
      </c>
    </row>
    <row r="2381" spans="1:12" ht="17.25" thickBot="1">
      <c r="A2381" s="3" t="s">
        <v>2397</v>
      </c>
      <c r="B2381" s="3" t="s">
        <v>25</v>
      </c>
      <c r="C2381" s="3"/>
      <c r="D2381" s="4" t="s">
        <v>254</v>
      </c>
      <c r="E2381" s="4" t="s">
        <v>607</v>
      </c>
      <c r="F2381" s="4">
        <v>2004</v>
      </c>
      <c r="G2381" s="9"/>
      <c r="H2381" s="4" t="s">
        <v>3</v>
      </c>
      <c r="I2381" s="8">
        <v>0.2</v>
      </c>
      <c r="J2381" s="3">
        <v>10570</v>
      </c>
      <c r="K2381" s="3">
        <v>50403</v>
      </c>
      <c r="L2381" s="17" t="str" cm="1">
        <f t="array" ref="L2381">_xlfn.IFS(MID(K2381,2,2)="01", "서울", MID(K2381,2,2)="02","경기",MID(K2381,2,2)="03","충청",MID(K2381,2,2)="04","충청",MID(K2381,2,2)="05","전라",MID(K2381,2,2)="06","전라",MID(K2381,2,2)="07","경북",MID(K2381,2,2)="08","경남",MID(K2381,2,2)="09","강원",MID(K2381,2,2)="10","제주",TRUE,"국외")</f>
        <v>충청</v>
      </c>
    </row>
    <row r="2382" spans="1:12" ht="17.25" thickBot="1">
      <c r="A2382" s="3" t="s">
        <v>2398</v>
      </c>
      <c r="B2382" s="3" t="s">
        <v>36</v>
      </c>
      <c r="C2382" s="3" t="s">
        <v>2221</v>
      </c>
      <c r="D2382" s="4" t="s">
        <v>254</v>
      </c>
      <c r="E2382" s="4" t="s">
        <v>3</v>
      </c>
      <c r="F2382" s="4">
        <v>2003</v>
      </c>
      <c r="G2382" s="8">
        <v>-0.1</v>
      </c>
      <c r="H2382" s="4" t="s">
        <v>3</v>
      </c>
      <c r="I2382" s="8">
        <v>10.4</v>
      </c>
      <c r="J2382" s="3">
        <v>10606</v>
      </c>
      <c r="K2382" s="3">
        <v>50402</v>
      </c>
      <c r="L2382" s="17" t="str" cm="1">
        <f t="array" ref="L2382">_xlfn.IFS(MID(K2382,2,2)="01", "서울", MID(K2382,2,2)="02","경기",MID(K2382,2,2)="03","충청",MID(K2382,2,2)="04","충청",MID(K2382,2,2)="05","전라",MID(K2382,2,2)="06","전라",MID(K2382,2,2)="07","경북",MID(K2382,2,2)="08","경남",MID(K2382,2,2)="09","강원",MID(K2382,2,2)="10","제주",TRUE,"국외")</f>
        <v>충청</v>
      </c>
    </row>
    <row r="2383" spans="1:12" ht="17.25" thickBot="1">
      <c r="A2383" s="3" t="s">
        <v>2399</v>
      </c>
      <c r="B2383" s="3" t="s">
        <v>1</v>
      </c>
      <c r="C2383" s="3"/>
      <c r="D2383" s="4" t="s">
        <v>254</v>
      </c>
      <c r="E2383" s="4" t="s">
        <v>9</v>
      </c>
      <c r="F2383" s="4">
        <v>2003</v>
      </c>
      <c r="G2383" s="8">
        <v>0.1</v>
      </c>
      <c r="H2383" s="4" t="s">
        <v>9</v>
      </c>
      <c r="I2383" s="8">
        <v>0</v>
      </c>
      <c r="J2383" s="3">
        <v>10278</v>
      </c>
      <c r="K2383" s="3">
        <v>50107</v>
      </c>
      <c r="L2383" s="17" t="str" cm="1">
        <f t="array" ref="L2383">_xlfn.IFS(MID(K2383,2,2)="01", "서울", MID(K2383,2,2)="02","경기",MID(K2383,2,2)="03","충청",MID(K2383,2,2)="04","충청",MID(K2383,2,2)="05","전라",MID(K2383,2,2)="06","전라",MID(K2383,2,2)="07","경북",MID(K2383,2,2)="08","경남",MID(K2383,2,2)="09","강원",MID(K2383,2,2)="10","제주",TRUE,"국외")</f>
        <v>서울</v>
      </c>
    </row>
    <row r="2384" spans="1:12" ht="17.25" thickBot="1">
      <c r="A2384" s="3" t="s">
        <v>2400</v>
      </c>
      <c r="B2384" s="3" t="s">
        <v>107</v>
      </c>
      <c r="C2384" s="3"/>
      <c r="D2384" s="4" t="s">
        <v>254</v>
      </c>
      <c r="E2384" s="4" t="s">
        <v>20</v>
      </c>
      <c r="F2384" s="4">
        <v>2003</v>
      </c>
      <c r="G2384" s="8">
        <v>0.1</v>
      </c>
      <c r="H2384" s="4" t="s">
        <v>20</v>
      </c>
      <c r="I2384" s="8">
        <v>7</v>
      </c>
      <c r="J2384" s="3">
        <v>10490</v>
      </c>
      <c r="K2384" s="3">
        <v>50602</v>
      </c>
      <c r="L2384" s="17" t="str" cm="1">
        <f t="array" ref="L2384">_xlfn.IFS(MID(K2384,2,2)="01", "서울", MID(K2384,2,2)="02","경기",MID(K2384,2,2)="03","충청",MID(K2384,2,2)="04","충청",MID(K2384,2,2)="05","전라",MID(K2384,2,2)="06","전라",MID(K2384,2,2)="07","경북",MID(K2384,2,2)="08","경남",MID(K2384,2,2)="09","강원",MID(K2384,2,2)="10","제주",TRUE,"국외")</f>
        <v>전라</v>
      </c>
    </row>
    <row r="2385" spans="1:12" ht="17.25" thickBot="1">
      <c r="A2385" s="3" t="s">
        <v>2401</v>
      </c>
      <c r="B2385" s="3" t="s">
        <v>241</v>
      </c>
      <c r="C2385" s="3"/>
      <c r="D2385" s="4" t="s">
        <v>254</v>
      </c>
      <c r="E2385" s="4" t="s">
        <v>6</v>
      </c>
      <c r="F2385" s="4">
        <v>2003</v>
      </c>
      <c r="G2385" s="9"/>
      <c r="H2385" s="4" t="s">
        <v>6</v>
      </c>
      <c r="I2385" s="8">
        <v>2.2000000000000002</v>
      </c>
      <c r="J2385" s="3">
        <v>10068</v>
      </c>
      <c r="K2385" s="3">
        <v>50202</v>
      </c>
      <c r="L2385" s="17" t="str" cm="1">
        <f t="array" ref="L2385">_xlfn.IFS(MID(K2385,2,2)="01", "서울", MID(K2385,2,2)="02","경기",MID(K2385,2,2)="03","충청",MID(K2385,2,2)="04","충청",MID(K2385,2,2)="05","전라",MID(K2385,2,2)="06","전라",MID(K2385,2,2)="07","경북",MID(K2385,2,2)="08","경남",MID(K2385,2,2)="09","강원",MID(K2385,2,2)="10","제주",TRUE,"국외")</f>
        <v>경기</v>
      </c>
    </row>
    <row r="2386" spans="1:12" ht="17.25" thickBot="1">
      <c r="A2386" s="3" t="s">
        <v>2402</v>
      </c>
      <c r="B2386" s="3" t="s">
        <v>112</v>
      </c>
      <c r="C2386" s="3"/>
      <c r="D2386" s="4" t="s">
        <v>254</v>
      </c>
      <c r="E2386" s="4" t="s">
        <v>23</v>
      </c>
      <c r="F2386" s="4">
        <v>2003</v>
      </c>
      <c r="G2386" s="8">
        <v>-0.1</v>
      </c>
      <c r="H2386" s="4" t="s">
        <v>23</v>
      </c>
      <c r="I2386" s="8">
        <v>-0.2</v>
      </c>
      <c r="J2386" s="3">
        <v>10464</v>
      </c>
      <c r="K2386" s="3">
        <v>50113</v>
      </c>
      <c r="L2386" s="17" t="str" cm="1">
        <f t="array" ref="L2386">_xlfn.IFS(MID(K2386,2,2)="01", "서울", MID(K2386,2,2)="02","경기",MID(K2386,2,2)="03","충청",MID(K2386,2,2)="04","충청",MID(K2386,2,2)="05","전라",MID(K2386,2,2)="06","전라",MID(K2386,2,2)="07","경북",MID(K2386,2,2)="08","경남",MID(K2386,2,2)="09","강원",MID(K2386,2,2)="10","제주",TRUE,"국외")</f>
        <v>서울</v>
      </c>
    </row>
    <row r="2387" spans="1:12" ht="17.25" thickBot="1">
      <c r="A2387" s="3" t="s">
        <v>2403</v>
      </c>
      <c r="B2387" s="3" t="s">
        <v>25</v>
      </c>
      <c r="C2387" s="3"/>
      <c r="D2387" s="4" t="s">
        <v>254</v>
      </c>
      <c r="E2387" s="4" t="s">
        <v>26</v>
      </c>
      <c r="F2387" s="4">
        <v>2003</v>
      </c>
      <c r="G2387" s="8">
        <v>-0.9</v>
      </c>
      <c r="H2387" s="4" t="s">
        <v>607</v>
      </c>
      <c r="I2387" s="8">
        <v>9.6</v>
      </c>
      <c r="J2387" s="3">
        <v>10092</v>
      </c>
      <c r="K2387" s="3">
        <v>50403</v>
      </c>
      <c r="L2387" s="17" t="str" cm="1">
        <f t="array" ref="L2387">_xlfn.IFS(MID(K2387,2,2)="01", "서울", MID(K2387,2,2)="02","경기",MID(K2387,2,2)="03","충청",MID(K2387,2,2)="04","충청",MID(K2387,2,2)="05","전라",MID(K2387,2,2)="06","전라",MID(K2387,2,2)="07","경북",MID(K2387,2,2)="08","경남",MID(K2387,2,2)="09","강원",MID(K2387,2,2)="10","제주",TRUE,"국외")</f>
        <v>충청</v>
      </c>
    </row>
    <row r="2388" spans="1:12" ht="17.25" thickBot="1">
      <c r="A2388" s="3" t="s">
        <v>2404</v>
      </c>
      <c r="B2388" s="3" t="s">
        <v>2351</v>
      </c>
      <c r="C2388" s="3"/>
      <c r="D2388" s="4" t="s">
        <v>254</v>
      </c>
      <c r="E2388" s="4" t="s">
        <v>3</v>
      </c>
      <c r="F2388" s="4">
        <v>2003</v>
      </c>
      <c r="G2388" s="8">
        <v>-0.1</v>
      </c>
      <c r="H2388" s="4" t="s">
        <v>3</v>
      </c>
      <c r="I2388" s="8">
        <v>-0.1</v>
      </c>
      <c r="J2388" s="3">
        <f>2276</f>
        <v>2276</v>
      </c>
      <c r="K2388" s="3">
        <v>50609</v>
      </c>
      <c r="L2388" s="17" t="str" cm="1">
        <f t="array" ref="L2388">_xlfn.IFS(MID(K2388,2,2)="01", "서울", MID(K2388,2,2)="02","경기",MID(K2388,2,2)="03","충청",MID(K2388,2,2)="04","충청",MID(K2388,2,2)="05","전라",MID(K2388,2,2)="06","전라",MID(K2388,2,2)="07","경북",MID(K2388,2,2)="08","경남",MID(K2388,2,2)="09","강원",MID(K2388,2,2)="10","제주",TRUE,"국외")</f>
        <v>전라</v>
      </c>
    </row>
    <row r="2389" spans="1:12" ht="17.25" thickBot="1">
      <c r="A2389" s="3" t="s">
        <v>2405</v>
      </c>
      <c r="B2389" s="3" t="s">
        <v>93</v>
      </c>
      <c r="C2389" s="3" t="s">
        <v>90</v>
      </c>
      <c r="D2389" s="4" t="s">
        <v>254</v>
      </c>
      <c r="E2389" s="4" t="s">
        <v>9</v>
      </c>
      <c r="F2389" s="4">
        <v>2003</v>
      </c>
      <c r="G2389" s="8">
        <v>0</v>
      </c>
      <c r="H2389" s="4" t="s">
        <v>9</v>
      </c>
      <c r="I2389" s="8">
        <v>-0.2</v>
      </c>
      <c r="J2389" s="3">
        <v>10288</v>
      </c>
      <c r="K2389" s="3">
        <v>50805</v>
      </c>
      <c r="L2389" s="17" t="str" cm="1">
        <f t="array" ref="L2389">_xlfn.IFS(MID(K2389,2,2)="01", "서울", MID(K2389,2,2)="02","경기",MID(K2389,2,2)="03","충청",MID(K2389,2,2)="04","충청",MID(K2389,2,2)="05","전라",MID(K2389,2,2)="06","전라",MID(K2389,2,2)="07","경북",MID(K2389,2,2)="08","경남",MID(K2389,2,2)="09","강원",MID(K2389,2,2)="10","제주",TRUE,"국외")</f>
        <v>경남</v>
      </c>
    </row>
    <row r="2390" spans="1:12" ht="17.25" thickBot="1">
      <c r="A2390" s="3" t="s">
        <v>2406</v>
      </c>
      <c r="B2390" s="3" t="s">
        <v>8</v>
      </c>
      <c r="C2390" s="3"/>
      <c r="D2390" s="4" t="s">
        <v>254</v>
      </c>
      <c r="E2390" s="4" t="s">
        <v>20</v>
      </c>
      <c r="F2390" s="4">
        <v>2004</v>
      </c>
      <c r="G2390" s="9"/>
      <c r="H2390" s="4" t="s">
        <v>20</v>
      </c>
      <c r="I2390" s="8">
        <v>35.299999999999997</v>
      </c>
      <c r="J2390" s="3">
        <v>10523</v>
      </c>
      <c r="K2390" s="3">
        <v>50116</v>
      </c>
      <c r="L2390" s="17" t="str" cm="1">
        <f t="array" ref="L2390">_xlfn.IFS(MID(K2390,2,2)="01", "서울", MID(K2390,2,2)="02","경기",MID(K2390,2,2)="03","충청",MID(K2390,2,2)="04","충청",MID(K2390,2,2)="05","전라",MID(K2390,2,2)="06","전라",MID(K2390,2,2)="07","경북",MID(K2390,2,2)="08","경남",MID(K2390,2,2)="09","강원",MID(K2390,2,2)="10","제주",TRUE,"국외")</f>
        <v>서울</v>
      </c>
    </row>
    <row r="2391" spans="1:12" ht="17.25" thickBot="1">
      <c r="A2391" s="3" t="s">
        <v>2407</v>
      </c>
      <c r="B2391" s="3" t="s">
        <v>107</v>
      </c>
      <c r="C2391" s="3"/>
      <c r="D2391" s="4" t="s">
        <v>254</v>
      </c>
      <c r="E2391" s="4" t="s">
        <v>6</v>
      </c>
      <c r="F2391" s="4">
        <v>2003</v>
      </c>
      <c r="G2391" s="8">
        <v>-0.2</v>
      </c>
      <c r="H2391" s="4" t="s">
        <v>6</v>
      </c>
      <c r="I2391" s="8">
        <v>-0.5</v>
      </c>
      <c r="J2391" s="3">
        <f>2274</f>
        <v>2274</v>
      </c>
      <c r="K2391" s="3">
        <v>50602</v>
      </c>
      <c r="L2391" s="17" t="str" cm="1">
        <f t="array" ref="L2391">_xlfn.IFS(MID(K2391,2,2)="01", "서울", MID(K2391,2,2)="02","경기",MID(K2391,2,2)="03","충청",MID(K2391,2,2)="04","충청",MID(K2391,2,2)="05","전라",MID(K2391,2,2)="06","전라",MID(K2391,2,2)="07","경북",MID(K2391,2,2)="08","경남",MID(K2391,2,2)="09","강원",MID(K2391,2,2)="10","제주",TRUE,"국외")</f>
        <v>전라</v>
      </c>
    </row>
    <row r="2392" spans="1:12" ht="17.25" thickBot="1">
      <c r="A2392" s="3" t="s">
        <v>2408</v>
      </c>
      <c r="B2392" s="3" t="s">
        <v>93</v>
      </c>
      <c r="C2392" s="3"/>
      <c r="D2392" s="4" t="s">
        <v>254</v>
      </c>
      <c r="E2392" s="4" t="s">
        <v>2164</v>
      </c>
      <c r="F2392" s="4">
        <v>2005</v>
      </c>
      <c r="G2392" s="9"/>
      <c r="H2392" s="4" t="s">
        <v>2164</v>
      </c>
      <c r="I2392" s="8">
        <v>1.5</v>
      </c>
      <c r="J2392" s="3">
        <v>10433</v>
      </c>
      <c r="K2392" s="3">
        <v>50805</v>
      </c>
      <c r="L2392" s="17" t="str" cm="1">
        <f t="array" ref="L2392">_xlfn.IFS(MID(K2392,2,2)="01", "서울", MID(K2392,2,2)="02","경기",MID(K2392,2,2)="03","충청",MID(K2392,2,2)="04","충청",MID(K2392,2,2)="05","전라",MID(K2392,2,2)="06","전라",MID(K2392,2,2)="07","경북",MID(K2392,2,2)="08","경남",MID(K2392,2,2)="09","강원",MID(K2392,2,2)="10","제주",TRUE,"국외")</f>
        <v>경남</v>
      </c>
    </row>
    <row r="2393" spans="1:12" ht="17.25" thickBot="1">
      <c r="A2393" s="3" t="s">
        <v>150</v>
      </c>
      <c r="B2393" s="3" t="s">
        <v>228</v>
      </c>
      <c r="C2393" s="3" t="s">
        <v>483</v>
      </c>
      <c r="D2393" s="4" t="s">
        <v>254</v>
      </c>
      <c r="E2393" s="4" t="s">
        <v>23</v>
      </c>
      <c r="F2393" s="4">
        <v>2003</v>
      </c>
      <c r="G2393" s="8">
        <v>-0.2</v>
      </c>
      <c r="H2393" s="4" t="s">
        <v>23</v>
      </c>
      <c r="I2393" s="8">
        <v>0.4</v>
      </c>
      <c r="J2393" s="3">
        <v>10354</v>
      </c>
      <c r="K2393" s="3">
        <v>50702</v>
      </c>
      <c r="L2393" s="17" t="str" cm="1">
        <f t="array" ref="L2393">_xlfn.IFS(MID(K2393,2,2)="01", "서울", MID(K2393,2,2)="02","경기",MID(K2393,2,2)="03","충청",MID(K2393,2,2)="04","충청",MID(K2393,2,2)="05","전라",MID(K2393,2,2)="06","전라",MID(K2393,2,2)="07","경북",MID(K2393,2,2)="08","경남",MID(K2393,2,2)="09","강원",MID(K2393,2,2)="10","제주",TRUE,"국외")</f>
        <v>경북</v>
      </c>
    </row>
    <row r="2394" spans="1:12" ht="17.25" thickBot="1">
      <c r="A2394" s="3" t="s">
        <v>2409</v>
      </c>
      <c r="B2394" s="3" t="s">
        <v>1</v>
      </c>
      <c r="C2394" s="3"/>
      <c r="D2394" s="4" t="s">
        <v>254</v>
      </c>
      <c r="E2394" s="4" t="s">
        <v>26</v>
      </c>
      <c r="F2394" s="4">
        <v>2004</v>
      </c>
      <c r="G2394" s="9"/>
      <c r="H2394" s="4" t="s">
        <v>9</v>
      </c>
      <c r="I2394" s="8">
        <v>0</v>
      </c>
      <c r="J2394" s="3">
        <f>2305</f>
        <v>2305</v>
      </c>
      <c r="K2394" s="3">
        <v>50107</v>
      </c>
      <c r="L2394" s="17" t="str" cm="1">
        <f t="array" ref="L2394">_xlfn.IFS(MID(K2394,2,2)="01", "서울", MID(K2394,2,2)="02","경기",MID(K2394,2,2)="03","충청",MID(K2394,2,2)="04","충청",MID(K2394,2,2)="05","전라",MID(K2394,2,2)="06","전라",MID(K2394,2,2)="07","경북",MID(K2394,2,2)="08","경남",MID(K2394,2,2)="09","강원",MID(K2394,2,2)="10","제주",TRUE,"국외")</f>
        <v>서울</v>
      </c>
    </row>
    <row r="2395" spans="1:12" ht="17.25" thickBot="1">
      <c r="A2395" s="3" t="s">
        <v>925</v>
      </c>
      <c r="B2395" s="3" t="s">
        <v>228</v>
      </c>
      <c r="C2395" s="3"/>
      <c r="D2395" s="4" t="s">
        <v>254</v>
      </c>
      <c r="E2395" s="4" t="s">
        <v>3</v>
      </c>
      <c r="F2395" s="4">
        <v>2004</v>
      </c>
      <c r="G2395" s="9"/>
      <c r="H2395" s="4" t="s">
        <v>3</v>
      </c>
      <c r="I2395" s="8">
        <v>-0.1</v>
      </c>
      <c r="J2395" s="3">
        <f>2319</f>
        <v>2319</v>
      </c>
      <c r="K2395" s="3">
        <v>50702</v>
      </c>
      <c r="L2395" s="17" t="str" cm="1">
        <f t="array" ref="L2395">_xlfn.IFS(MID(K2395,2,2)="01", "서울", MID(K2395,2,2)="02","경기",MID(K2395,2,2)="03","충청",MID(K2395,2,2)="04","충청",MID(K2395,2,2)="05","전라",MID(K2395,2,2)="06","전라",MID(K2395,2,2)="07","경북",MID(K2395,2,2)="08","경남",MID(K2395,2,2)="09","강원",MID(K2395,2,2)="10","제주",TRUE,"국외")</f>
        <v>경북</v>
      </c>
    </row>
    <row r="2396" spans="1:12" ht="17.25" thickBot="1">
      <c r="A2396" s="3" t="s">
        <v>2209</v>
      </c>
      <c r="B2396" s="3" t="s">
        <v>36</v>
      </c>
      <c r="C2396" s="3" t="s">
        <v>218</v>
      </c>
      <c r="D2396" s="4" t="s">
        <v>254</v>
      </c>
      <c r="E2396" s="4" t="s">
        <v>9</v>
      </c>
      <c r="F2396" s="4">
        <v>2008</v>
      </c>
      <c r="G2396" s="9"/>
      <c r="H2396" s="4" t="s">
        <v>3</v>
      </c>
      <c r="I2396" s="8">
        <v>0.9</v>
      </c>
      <c r="J2396" s="3">
        <v>10576</v>
      </c>
      <c r="K2396" s="3">
        <v>50402</v>
      </c>
      <c r="L2396" s="17" t="str" cm="1">
        <f t="array" ref="L2396">_xlfn.IFS(MID(K2396,2,2)="01", "서울", MID(K2396,2,2)="02","경기",MID(K2396,2,2)="03","충청",MID(K2396,2,2)="04","충청",MID(K2396,2,2)="05","전라",MID(K2396,2,2)="06","전라",MID(K2396,2,2)="07","경북",MID(K2396,2,2)="08","경남",MID(K2396,2,2)="09","강원",MID(K2396,2,2)="10","제주",TRUE,"국외")</f>
        <v>충청</v>
      </c>
    </row>
    <row r="2397" spans="1:12" ht="17.25" thickBot="1">
      <c r="A2397" s="3" t="s">
        <v>2349</v>
      </c>
      <c r="B2397" s="3" t="s">
        <v>52</v>
      </c>
      <c r="C2397" s="3"/>
      <c r="D2397" s="4" t="s">
        <v>254</v>
      </c>
      <c r="E2397" s="4" t="s">
        <v>20</v>
      </c>
      <c r="F2397" s="4">
        <v>2003</v>
      </c>
      <c r="G2397" s="8">
        <v>0.2</v>
      </c>
      <c r="H2397" s="4" t="s">
        <v>20</v>
      </c>
      <c r="I2397" s="8">
        <v>0.2</v>
      </c>
      <c r="J2397" s="3">
        <f>2301</f>
        <v>2301</v>
      </c>
      <c r="K2397" s="3">
        <v>50803</v>
      </c>
      <c r="L2397" s="17" t="str" cm="1">
        <f t="array" ref="L2397">_xlfn.IFS(MID(K2397,2,2)="01", "서울", MID(K2397,2,2)="02","경기",MID(K2397,2,2)="03","충청",MID(K2397,2,2)="04","충청",MID(K2397,2,2)="05","전라",MID(K2397,2,2)="06","전라",MID(K2397,2,2)="07","경북",MID(K2397,2,2)="08","경남",MID(K2397,2,2)="09","강원",MID(K2397,2,2)="10","제주",TRUE,"국외")</f>
        <v>경남</v>
      </c>
    </row>
    <row r="2398" spans="1:12" ht="17.25" thickBot="1">
      <c r="A2398" s="3" t="s">
        <v>2410</v>
      </c>
      <c r="B2398" s="3" t="s">
        <v>1</v>
      </c>
      <c r="C2398" s="3"/>
      <c r="D2398" s="4" t="s">
        <v>254</v>
      </c>
      <c r="E2398" s="4" t="s">
        <v>23</v>
      </c>
      <c r="F2398" s="4">
        <v>2004</v>
      </c>
      <c r="G2398" s="9"/>
      <c r="H2398" s="4" t="s">
        <v>23</v>
      </c>
      <c r="I2398" s="8">
        <v>-0.1</v>
      </c>
      <c r="J2398" s="3">
        <f>2306</f>
        <v>2306</v>
      </c>
      <c r="K2398" s="3">
        <v>50107</v>
      </c>
      <c r="L2398" s="17" t="str" cm="1">
        <f t="array" ref="L2398">_xlfn.IFS(MID(K2398,2,2)="01", "서울", MID(K2398,2,2)="02","경기",MID(K2398,2,2)="03","충청",MID(K2398,2,2)="04","충청",MID(K2398,2,2)="05","전라",MID(K2398,2,2)="06","전라",MID(K2398,2,2)="07","경북",MID(K2398,2,2)="08","경남",MID(K2398,2,2)="09","강원",MID(K2398,2,2)="10","제주",TRUE,"국외")</f>
        <v>서울</v>
      </c>
    </row>
    <row r="2399" spans="1:12" ht="17.25" thickBot="1">
      <c r="A2399" s="3" t="s">
        <v>2411</v>
      </c>
      <c r="B2399" s="3" t="s">
        <v>1019</v>
      </c>
      <c r="C2399" s="3"/>
      <c r="D2399" s="4" t="s">
        <v>254</v>
      </c>
      <c r="E2399" s="4" t="s">
        <v>6</v>
      </c>
      <c r="F2399" s="4">
        <v>2003</v>
      </c>
      <c r="G2399" s="8">
        <v>0</v>
      </c>
      <c r="H2399" s="4" t="s">
        <v>6</v>
      </c>
      <c r="I2399" s="8">
        <v>0</v>
      </c>
      <c r="J2399" s="3">
        <f>2286</f>
        <v>2286</v>
      </c>
      <c r="K2399" s="3">
        <v>50201</v>
      </c>
      <c r="L2399" s="17" t="str" cm="1">
        <f t="array" ref="L2399">_xlfn.IFS(MID(K2399,2,2)="01", "서울", MID(K2399,2,2)="02","경기",MID(K2399,2,2)="03","충청",MID(K2399,2,2)="04","충청",MID(K2399,2,2)="05","전라",MID(K2399,2,2)="06","전라",MID(K2399,2,2)="07","경북",MID(K2399,2,2)="08","경남",MID(K2399,2,2)="09","강원",MID(K2399,2,2)="10","제주",TRUE,"국외")</f>
        <v>경기</v>
      </c>
    </row>
    <row r="2400" spans="1:12" ht="17.25" thickBot="1">
      <c r="A2400" s="3" t="s">
        <v>2412</v>
      </c>
      <c r="B2400" s="3" t="s">
        <v>81</v>
      </c>
      <c r="C2400" s="3" t="s">
        <v>1743</v>
      </c>
      <c r="D2400" s="4" t="s">
        <v>254</v>
      </c>
      <c r="E2400" s="4" t="s">
        <v>26</v>
      </c>
      <c r="F2400" s="4">
        <v>2003</v>
      </c>
      <c r="G2400" s="8">
        <v>0.9</v>
      </c>
      <c r="H2400" s="4" t="s">
        <v>26</v>
      </c>
      <c r="I2400" s="8">
        <v>6.9</v>
      </c>
      <c r="J2400" s="3">
        <v>10202</v>
      </c>
      <c r="K2400" s="3">
        <v>50105</v>
      </c>
      <c r="L2400" s="17" t="str" cm="1">
        <f t="array" ref="L2400">_xlfn.IFS(MID(K2400,2,2)="01", "서울", MID(K2400,2,2)="02","경기",MID(K2400,2,2)="03","충청",MID(K2400,2,2)="04","충청",MID(K2400,2,2)="05","전라",MID(K2400,2,2)="06","전라",MID(K2400,2,2)="07","경북",MID(K2400,2,2)="08","경남",MID(K2400,2,2)="09","강원",MID(K2400,2,2)="10","제주",TRUE,"국외")</f>
        <v>서울</v>
      </c>
    </row>
    <row r="2401" spans="1:12" ht="17.25" thickBot="1">
      <c r="A2401" s="3" t="s">
        <v>2413</v>
      </c>
      <c r="B2401" s="3" t="s">
        <v>145</v>
      </c>
      <c r="C2401" s="3" t="s">
        <v>2414</v>
      </c>
      <c r="D2401" s="4" t="s">
        <v>254</v>
      </c>
      <c r="E2401" s="4" t="s">
        <v>607</v>
      </c>
      <c r="F2401" s="4"/>
      <c r="G2401" s="9"/>
      <c r="H2401" s="4"/>
      <c r="I2401" s="9"/>
      <c r="J2401" s="3">
        <v>10149</v>
      </c>
      <c r="K2401" s="3">
        <v>50106</v>
      </c>
      <c r="L2401" s="17" t="str" cm="1">
        <f t="array" ref="L2401">_xlfn.IFS(MID(K2401,2,2)="01", "서울", MID(K2401,2,2)="02","경기",MID(K2401,2,2)="03","충청",MID(K2401,2,2)="04","충청",MID(K2401,2,2)="05","전라",MID(K2401,2,2)="06","전라",MID(K2401,2,2)="07","경북",MID(K2401,2,2)="08","경남",MID(K2401,2,2)="09","강원",MID(K2401,2,2)="10","제주",TRUE,"국외")</f>
        <v>서울</v>
      </c>
    </row>
    <row r="2402" spans="1:12" ht="17.25" thickBot="1">
      <c r="A2402" s="3" t="s">
        <v>2415</v>
      </c>
      <c r="B2402" s="3" t="s">
        <v>1</v>
      </c>
      <c r="C2402" s="3" t="s">
        <v>122</v>
      </c>
      <c r="D2402" s="4" t="s">
        <v>254</v>
      </c>
      <c r="E2402" s="4" t="s">
        <v>26</v>
      </c>
      <c r="F2402" s="4">
        <v>2007</v>
      </c>
      <c r="G2402" s="9"/>
      <c r="H2402" s="4" t="s">
        <v>18</v>
      </c>
      <c r="I2402" s="8">
        <v>-1</v>
      </c>
      <c r="J2402" s="3">
        <v>10684</v>
      </c>
      <c r="K2402" s="3">
        <v>50107</v>
      </c>
      <c r="L2402" s="17" t="str" cm="1">
        <f t="array" ref="L2402">_xlfn.IFS(MID(K2402,2,2)="01", "서울", MID(K2402,2,2)="02","경기",MID(K2402,2,2)="03","충청",MID(K2402,2,2)="04","충청",MID(K2402,2,2)="05","전라",MID(K2402,2,2)="06","전라",MID(K2402,2,2)="07","경북",MID(K2402,2,2)="08","경남",MID(K2402,2,2)="09","강원",MID(K2402,2,2)="10","제주",TRUE,"국외")</f>
        <v>서울</v>
      </c>
    </row>
    <row r="2403" spans="1:12" ht="17.25" thickBot="1">
      <c r="A2403" s="3" t="s">
        <v>2416</v>
      </c>
      <c r="B2403" s="3" t="s">
        <v>169</v>
      </c>
      <c r="C2403" s="3" t="s">
        <v>218</v>
      </c>
      <c r="D2403" s="4" t="s">
        <v>254</v>
      </c>
      <c r="E2403" s="4" t="s">
        <v>9</v>
      </c>
      <c r="F2403" s="4">
        <v>2007</v>
      </c>
      <c r="G2403" s="9"/>
      <c r="H2403" s="4" t="s">
        <v>9</v>
      </c>
      <c r="I2403" s="8">
        <v>0.4</v>
      </c>
      <c r="J2403" s="3">
        <v>10275</v>
      </c>
      <c r="K2403" s="3">
        <v>50606</v>
      </c>
      <c r="L2403" s="17" t="str" cm="1">
        <f t="array" ref="L2403">_xlfn.IFS(MID(K2403,2,2)="01", "서울", MID(K2403,2,2)="02","경기",MID(K2403,2,2)="03","충청",MID(K2403,2,2)="04","충청",MID(K2403,2,2)="05","전라",MID(K2403,2,2)="06","전라",MID(K2403,2,2)="07","경북",MID(K2403,2,2)="08","경남",MID(K2403,2,2)="09","강원",MID(K2403,2,2)="10","제주",TRUE,"국외")</f>
        <v>전라</v>
      </c>
    </row>
    <row r="2404" spans="1:12" ht="17.25" thickBot="1">
      <c r="A2404" s="3" t="s">
        <v>2417</v>
      </c>
      <c r="B2404" s="3" t="s">
        <v>169</v>
      </c>
      <c r="C2404" s="3" t="s">
        <v>99</v>
      </c>
      <c r="D2404" s="4" t="s">
        <v>254</v>
      </c>
      <c r="E2404" s="4" t="s">
        <v>20</v>
      </c>
      <c r="F2404" s="4"/>
      <c r="G2404" s="9"/>
      <c r="H2404" s="4"/>
      <c r="I2404" s="9"/>
      <c r="J2404" s="3">
        <v>10144</v>
      </c>
      <c r="K2404" s="3">
        <v>50606</v>
      </c>
      <c r="L2404" s="17" t="str" cm="1">
        <f t="array" ref="L2404">_xlfn.IFS(MID(K2404,2,2)="01", "서울", MID(K2404,2,2)="02","경기",MID(K2404,2,2)="03","충청",MID(K2404,2,2)="04","충청",MID(K2404,2,2)="05","전라",MID(K2404,2,2)="06","전라",MID(K2404,2,2)="07","경북",MID(K2404,2,2)="08","경남",MID(K2404,2,2)="09","강원",MID(K2404,2,2)="10","제주",TRUE,"국외")</f>
        <v>전라</v>
      </c>
    </row>
    <row r="2405" spans="1:12" ht="17.25" thickBot="1">
      <c r="A2405" s="3" t="s">
        <v>2418</v>
      </c>
      <c r="B2405" s="3" t="s">
        <v>11</v>
      </c>
      <c r="C2405" s="3" t="s">
        <v>739</v>
      </c>
      <c r="D2405" s="4" t="s">
        <v>254</v>
      </c>
      <c r="E2405" s="4" t="s">
        <v>6</v>
      </c>
      <c r="F2405" s="4"/>
      <c r="G2405" s="9"/>
      <c r="H2405" s="4"/>
      <c r="I2405" s="9"/>
      <c r="J2405" s="3">
        <v>10073</v>
      </c>
      <c r="K2405" s="3">
        <v>50802</v>
      </c>
      <c r="L2405" s="17" t="str" cm="1">
        <f t="array" ref="L2405">_xlfn.IFS(MID(K2405,2,2)="01", "서울", MID(K2405,2,2)="02","경기",MID(K2405,2,2)="03","충청",MID(K2405,2,2)="04","충청",MID(K2405,2,2)="05","전라",MID(K2405,2,2)="06","전라",MID(K2405,2,2)="07","경북",MID(K2405,2,2)="08","경남",MID(K2405,2,2)="09","강원",MID(K2405,2,2)="10","제주",TRUE,"국외")</f>
        <v>경남</v>
      </c>
    </row>
    <row r="2406" spans="1:12" ht="17.25" thickBot="1">
      <c r="A2406" s="3" t="s">
        <v>2419</v>
      </c>
      <c r="B2406" s="3" t="s">
        <v>145</v>
      </c>
      <c r="C2406" s="3" t="s">
        <v>119</v>
      </c>
      <c r="D2406" s="4" t="s">
        <v>254</v>
      </c>
      <c r="E2406" s="4" t="s">
        <v>9</v>
      </c>
      <c r="F2406" s="4">
        <v>2003</v>
      </c>
      <c r="G2406" s="8">
        <v>0</v>
      </c>
      <c r="H2406" s="4" t="s">
        <v>9</v>
      </c>
      <c r="I2406" s="8">
        <v>0.9</v>
      </c>
      <c r="J2406" s="3">
        <v>10263</v>
      </c>
      <c r="K2406" s="3">
        <v>50106</v>
      </c>
      <c r="L2406" s="17" t="str" cm="1">
        <f t="array" ref="L2406">_xlfn.IFS(MID(K2406,2,2)="01", "서울", MID(K2406,2,2)="02","경기",MID(K2406,2,2)="03","충청",MID(K2406,2,2)="04","충청",MID(K2406,2,2)="05","전라",MID(K2406,2,2)="06","전라",MID(K2406,2,2)="07","경북",MID(K2406,2,2)="08","경남",MID(K2406,2,2)="09","강원",MID(K2406,2,2)="10","제주",TRUE,"국외")</f>
        <v>서울</v>
      </c>
    </row>
    <row r="2407" spans="1:12" ht="17.25" thickBot="1">
      <c r="A2407" s="3" t="s">
        <v>2420</v>
      </c>
      <c r="B2407" s="3" t="s">
        <v>101</v>
      </c>
      <c r="C2407" s="3" t="s">
        <v>218</v>
      </c>
      <c r="D2407" s="4" t="s">
        <v>254</v>
      </c>
      <c r="E2407" s="4" t="s">
        <v>26</v>
      </c>
      <c r="F2407" s="4">
        <v>2007</v>
      </c>
      <c r="G2407" s="9"/>
      <c r="H2407" s="4" t="s">
        <v>26</v>
      </c>
      <c r="I2407" s="8">
        <v>17.7</v>
      </c>
      <c r="J2407" s="3">
        <v>10178</v>
      </c>
      <c r="K2407" s="3">
        <v>50207</v>
      </c>
      <c r="L2407" s="17" t="str" cm="1">
        <f t="array" ref="L2407">_xlfn.IFS(MID(K2407,2,2)="01", "서울", MID(K2407,2,2)="02","경기",MID(K2407,2,2)="03","충청",MID(K2407,2,2)="04","충청",MID(K2407,2,2)="05","전라",MID(K2407,2,2)="06","전라",MID(K2407,2,2)="07","경북",MID(K2407,2,2)="08","경남",MID(K2407,2,2)="09","강원",MID(K2407,2,2)="10","제주",TRUE,"국외")</f>
        <v>경기</v>
      </c>
    </row>
    <row r="2408" spans="1:12" ht="17.25" thickBot="1">
      <c r="A2408" s="3" t="s">
        <v>2421</v>
      </c>
      <c r="B2408" s="3" t="s">
        <v>36</v>
      </c>
      <c r="C2408" s="3" t="s">
        <v>83</v>
      </c>
      <c r="D2408" s="4" t="s">
        <v>254</v>
      </c>
      <c r="E2408" s="4" t="s">
        <v>3</v>
      </c>
      <c r="F2408" s="4">
        <v>2007</v>
      </c>
      <c r="G2408" s="9"/>
      <c r="H2408" s="4" t="s">
        <v>3</v>
      </c>
      <c r="I2408" s="8">
        <v>-2</v>
      </c>
      <c r="J2408" s="3">
        <v>10693</v>
      </c>
      <c r="K2408" s="3">
        <v>50402</v>
      </c>
      <c r="L2408" s="17" t="str" cm="1">
        <f t="array" ref="L2408">_xlfn.IFS(MID(K2408,2,2)="01", "서울", MID(K2408,2,2)="02","경기",MID(K2408,2,2)="03","충청",MID(K2408,2,2)="04","충청",MID(K2408,2,2)="05","전라",MID(K2408,2,2)="06","전라",MID(K2408,2,2)="07","경북",MID(K2408,2,2)="08","경남",MID(K2408,2,2)="09","강원",MID(K2408,2,2)="10","제주",TRUE,"국외")</f>
        <v>충청</v>
      </c>
    </row>
    <row r="2409" spans="1:12" ht="17.25" thickBot="1">
      <c r="A2409" s="3" t="s">
        <v>2422</v>
      </c>
      <c r="B2409" s="3" t="s">
        <v>107</v>
      </c>
      <c r="C2409" s="3" t="s">
        <v>119</v>
      </c>
      <c r="D2409" s="4" t="s">
        <v>254</v>
      </c>
      <c r="E2409" s="4" t="s">
        <v>9</v>
      </c>
      <c r="F2409" s="4">
        <v>2007</v>
      </c>
      <c r="G2409" s="9"/>
      <c r="H2409" s="4" t="s">
        <v>9</v>
      </c>
      <c r="I2409" s="8">
        <v>-0.1</v>
      </c>
      <c r="J2409" s="3">
        <f>2402</f>
        <v>2402</v>
      </c>
      <c r="K2409" s="3">
        <v>50602</v>
      </c>
      <c r="L2409" s="17" t="str" cm="1">
        <f t="array" ref="L2409">_xlfn.IFS(MID(K2409,2,2)="01", "서울", MID(K2409,2,2)="02","경기",MID(K2409,2,2)="03","충청",MID(K2409,2,2)="04","충청",MID(K2409,2,2)="05","전라",MID(K2409,2,2)="06","전라",MID(K2409,2,2)="07","경북",MID(K2409,2,2)="08","경남",MID(K2409,2,2)="09","강원",MID(K2409,2,2)="10","제주",TRUE,"국외")</f>
        <v>전라</v>
      </c>
    </row>
    <row r="2410" spans="1:12" ht="17.25" thickBot="1">
      <c r="A2410" s="3" t="s">
        <v>1935</v>
      </c>
      <c r="B2410" s="3" t="s">
        <v>169</v>
      </c>
      <c r="C2410" s="3" t="s">
        <v>45</v>
      </c>
      <c r="D2410" s="4" t="s">
        <v>254</v>
      </c>
      <c r="E2410" s="4" t="s">
        <v>20</v>
      </c>
      <c r="F2410" s="4">
        <v>2008</v>
      </c>
      <c r="G2410" s="9"/>
      <c r="H2410" s="4" t="s">
        <v>20</v>
      </c>
      <c r="I2410" s="8">
        <v>-0.3</v>
      </c>
      <c r="J2410" s="3">
        <v>10484</v>
      </c>
      <c r="K2410" s="3">
        <v>50606</v>
      </c>
      <c r="L2410" s="17" t="str" cm="1">
        <f t="array" ref="L2410">_xlfn.IFS(MID(K2410,2,2)="01", "서울", MID(K2410,2,2)="02","경기",MID(K2410,2,2)="03","충청",MID(K2410,2,2)="04","충청",MID(K2410,2,2)="05","전라",MID(K2410,2,2)="06","전라",MID(K2410,2,2)="07","경북",MID(K2410,2,2)="08","경남",MID(K2410,2,2)="09","강원",MID(K2410,2,2)="10","제주",TRUE,"국외")</f>
        <v>전라</v>
      </c>
    </row>
    <row r="2411" spans="1:12" ht="17.25" thickBot="1">
      <c r="A2411" s="3" t="s">
        <v>2044</v>
      </c>
      <c r="B2411" s="3"/>
      <c r="C2411" s="3"/>
      <c r="D2411" s="4" t="s">
        <v>181</v>
      </c>
      <c r="E2411" s="4" t="s">
        <v>6</v>
      </c>
      <c r="F2411" s="4">
        <v>2003</v>
      </c>
      <c r="G2411" s="8">
        <v>2.2999999999999998</v>
      </c>
      <c r="H2411" s="4" t="s">
        <v>6</v>
      </c>
      <c r="I2411" s="8">
        <v>2.1</v>
      </c>
      <c r="J2411" s="3">
        <v>10159</v>
      </c>
      <c r="K2411" s="3"/>
      <c r="L2411" s="17" t="str" cm="1">
        <f t="array" ref="L2411">_xlfn.IFS(MID(K2411,2,2)="01", "서울", MID(K2411,2,2)="02","경기",MID(K2411,2,2)="03","충청",MID(K2411,2,2)="04","충청",MID(K2411,2,2)="05","전라",MID(K2411,2,2)="06","전라",MID(K2411,2,2)="07","경북",MID(K2411,2,2)="08","경남",MID(K2411,2,2)="09","강원",MID(K2411,2,2)="10","제주",TRUE,"국외")</f>
        <v>국외</v>
      </c>
    </row>
    <row r="2412" spans="1:12" ht="17.25" thickBot="1">
      <c r="A2412" s="3" t="s">
        <v>2423</v>
      </c>
      <c r="B2412" s="3" t="s">
        <v>722</v>
      </c>
      <c r="C2412" s="3"/>
      <c r="D2412" s="4" t="s">
        <v>181</v>
      </c>
      <c r="E2412" s="4" t="s">
        <v>20</v>
      </c>
      <c r="F2412" s="4">
        <v>2003</v>
      </c>
      <c r="G2412" s="8">
        <v>-0.4</v>
      </c>
      <c r="H2412" s="4" t="s">
        <v>20</v>
      </c>
      <c r="I2412" s="8">
        <v>-0.5</v>
      </c>
      <c r="J2412" s="3">
        <f>2294</f>
        <v>2294</v>
      </c>
      <c r="K2412" s="3">
        <v>51100</v>
      </c>
      <c r="L2412" s="17" t="str" cm="1">
        <f t="array" ref="L2412">_xlfn.IFS(MID(K2412,2,2)="01", "서울", MID(K2412,2,2)="02","경기",MID(K2412,2,2)="03","충청",MID(K2412,2,2)="04","충청",MID(K2412,2,2)="05","전라",MID(K2412,2,2)="06","전라",MID(K2412,2,2)="07","경북",MID(K2412,2,2)="08","경남",MID(K2412,2,2)="09","강원",MID(K2412,2,2)="10","제주",TRUE,"국외")</f>
        <v>국외</v>
      </c>
    </row>
    <row r="2413" spans="1:12" ht="17.25" thickBot="1">
      <c r="A2413" s="3" t="s">
        <v>2424</v>
      </c>
      <c r="B2413" s="3"/>
      <c r="C2413" s="3"/>
      <c r="D2413" s="4" t="s">
        <v>181</v>
      </c>
      <c r="E2413" s="4" t="s">
        <v>20</v>
      </c>
      <c r="F2413" s="4">
        <v>2003</v>
      </c>
      <c r="G2413" s="8">
        <v>1.2</v>
      </c>
      <c r="H2413" s="4" t="s">
        <v>20</v>
      </c>
      <c r="I2413" s="8">
        <v>1.4</v>
      </c>
      <c r="J2413" s="3">
        <f>2282</f>
        <v>2282</v>
      </c>
      <c r="K2413" s="3"/>
      <c r="L2413" s="17" t="str" cm="1">
        <f t="array" ref="L2413">_xlfn.IFS(MID(K2413,2,2)="01", "서울", MID(K2413,2,2)="02","경기",MID(K2413,2,2)="03","충청",MID(K2413,2,2)="04","충청",MID(K2413,2,2)="05","전라",MID(K2413,2,2)="06","전라",MID(K2413,2,2)="07","경북",MID(K2413,2,2)="08","경남",MID(K2413,2,2)="09","강원",MID(K2413,2,2)="10","제주",TRUE,"국외")</f>
        <v>국외</v>
      </c>
    </row>
    <row r="2414" spans="1:12" ht="17.25" thickBot="1">
      <c r="A2414" s="3" t="s">
        <v>2054</v>
      </c>
      <c r="B2414" s="3"/>
      <c r="C2414" s="3"/>
      <c r="D2414" s="4" t="s">
        <v>181</v>
      </c>
      <c r="E2414" s="4" t="s">
        <v>607</v>
      </c>
      <c r="F2414" s="4">
        <v>2003</v>
      </c>
      <c r="G2414" s="8">
        <v>3.2</v>
      </c>
      <c r="H2414" s="4" t="s">
        <v>607</v>
      </c>
      <c r="I2414" s="8">
        <v>2.7</v>
      </c>
      <c r="J2414" s="3">
        <f>2275</f>
        <v>2275</v>
      </c>
      <c r="K2414" s="3"/>
      <c r="L2414" s="17" t="str" cm="1">
        <f t="array" ref="L2414">_xlfn.IFS(MID(K2414,2,2)="01", "서울", MID(K2414,2,2)="02","경기",MID(K2414,2,2)="03","충청",MID(K2414,2,2)="04","충청",MID(K2414,2,2)="05","전라",MID(K2414,2,2)="06","전라",MID(K2414,2,2)="07","경북",MID(K2414,2,2)="08","경남",MID(K2414,2,2)="09","강원",MID(K2414,2,2)="10","제주",TRUE,"국외")</f>
        <v>국외</v>
      </c>
    </row>
    <row r="2415" spans="1:12" ht="17.25" thickBot="1">
      <c r="A2415" s="3" t="s">
        <v>202</v>
      </c>
      <c r="B2415" s="3"/>
      <c r="C2415" s="3"/>
      <c r="D2415" s="4" t="s">
        <v>181</v>
      </c>
      <c r="E2415" s="4" t="s">
        <v>607</v>
      </c>
      <c r="F2415" s="4">
        <v>2003</v>
      </c>
      <c r="G2415" s="8">
        <v>1.5</v>
      </c>
      <c r="H2415" s="4" t="s">
        <v>607</v>
      </c>
      <c r="I2415" s="8">
        <v>1.5</v>
      </c>
      <c r="J2415" s="3">
        <f>2298</f>
        <v>2298</v>
      </c>
      <c r="K2415" s="3"/>
      <c r="L2415" s="17" t="str" cm="1">
        <f t="array" ref="L2415">_xlfn.IFS(MID(K2415,2,2)="01", "서울", MID(K2415,2,2)="02","경기",MID(K2415,2,2)="03","충청",MID(K2415,2,2)="04","충청",MID(K2415,2,2)="05","전라",MID(K2415,2,2)="06","전라",MID(K2415,2,2)="07","경북",MID(K2415,2,2)="08","경남",MID(K2415,2,2)="09","강원",MID(K2415,2,2)="10","제주",TRUE,"국외")</f>
        <v>국외</v>
      </c>
    </row>
    <row r="2416" spans="1:12" ht="17.25" thickBot="1">
      <c r="A2416" s="3" t="s">
        <v>2425</v>
      </c>
      <c r="B2416" s="3"/>
      <c r="C2416" s="3"/>
      <c r="D2416" s="4" t="s">
        <v>181</v>
      </c>
      <c r="E2416" s="4" t="s">
        <v>26</v>
      </c>
      <c r="F2416" s="4">
        <v>2003</v>
      </c>
      <c r="G2416" s="8">
        <v>4.2</v>
      </c>
      <c r="H2416" s="4" t="s">
        <v>26</v>
      </c>
      <c r="I2416" s="8">
        <v>4.2</v>
      </c>
      <c r="J2416" s="3">
        <f>2302</f>
        <v>2302</v>
      </c>
      <c r="K2416" s="3"/>
      <c r="L2416" s="17" t="str" cm="1">
        <f t="array" ref="L2416">_xlfn.IFS(MID(K2416,2,2)="01", "서울", MID(K2416,2,2)="02","경기",MID(K2416,2,2)="03","충청",MID(K2416,2,2)="04","충청",MID(K2416,2,2)="05","전라",MID(K2416,2,2)="06","전라",MID(K2416,2,2)="07","경북",MID(K2416,2,2)="08","경남",MID(K2416,2,2)="09","강원",MID(K2416,2,2)="10","제주",TRUE,"국외")</f>
        <v>국외</v>
      </c>
    </row>
    <row r="2417" spans="1:12" ht="17.25" thickBot="1">
      <c r="A2417" s="3" t="s">
        <v>2426</v>
      </c>
      <c r="B2417" s="3"/>
      <c r="C2417" s="3"/>
      <c r="D2417" s="4" t="s">
        <v>181</v>
      </c>
      <c r="E2417" s="4" t="s">
        <v>26</v>
      </c>
      <c r="F2417" s="4">
        <v>2003</v>
      </c>
      <c r="G2417" s="8">
        <v>0</v>
      </c>
      <c r="H2417" s="4" t="s">
        <v>26</v>
      </c>
      <c r="I2417" s="8">
        <v>0</v>
      </c>
      <c r="J2417" s="3">
        <f>2289</f>
        <v>2289</v>
      </c>
      <c r="K2417" s="3"/>
      <c r="L2417" s="17" t="str" cm="1">
        <f t="array" ref="L2417">_xlfn.IFS(MID(K2417,2,2)="01", "서울", MID(K2417,2,2)="02","경기",MID(K2417,2,2)="03","충청",MID(K2417,2,2)="04","충청",MID(K2417,2,2)="05","전라",MID(K2417,2,2)="06","전라",MID(K2417,2,2)="07","경북",MID(K2417,2,2)="08","경남",MID(K2417,2,2)="09","강원",MID(K2417,2,2)="10","제주",TRUE,"국외")</f>
        <v>국외</v>
      </c>
    </row>
    <row r="2418" spans="1:12" ht="17.25" thickBot="1">
      <c r="A2418" s="3" t="s">
        <v>2427</v>
      </c>
      <c r="B2418" s="3"/>
      <c r="C2418" s="3"/>
      <c r="D2418" s="4" t="s">
        <v>181</v>
      </c>
      <c r="E2418" s="4" t="s">
        <v>9</v>
      </c>
      <c r="F2418" s="4">
        <v>2003</v>
      </c>
      <c r="G2418" s="8">
        <v>-0.1</v>
      </c>
      <c r="H2418" s="4" t="s">
        <v>9</v>
      </c>
      <c r="I2418" s="8">
        <v>-0.1</v>
      </c>
      <c r="J2418" s="3">
        <f>2273</f>
        <v>2273</v>
      </c>
      <c r="K2418" s="3"/>
      <c r="L2418" s="17" t="str" cm="1">
        <f t="array" ref="L2418">_xlfn.IFS(MID(K2418,2,2)="01", "서울", MID(K2418,2,2)="02","경기",MID(K2418,2,2)="03","충청",MID(K2418,2,2)="04","충청",MID(K2418,2,2)="05","전라",MID(K2418,2,2)="06","전라",MID(K2418,2,2)="07","경북",MID(K2418,2,2)="08","경남",MID(K2418,2,2)="09","강원",MID(K2418,2,2)="10","제주",TRUE,"국외")</f>
        <v>국외</v>
      </c>
    </row>
    <row r="2419" spans="1:12" ht="17.25" thickBot="1">
      <c r="A2419" s="3" t="s">
        <v>2428</v>
      </c>
      <c r="B2419" s="3"/>
      <c r="C2419" s="3"/>
      <c r="D2419" s="4" t="s">
        <v>181</v>
      </c>
      <c r="E2419" s="4" t="s">
        <v>9</v>
      </c>
      <c r="F2419" s="4">
        <v>2003</v>
      </c>
      <c r="G2419" s="8">
        <v>0</v>
      </c>
      <c r="H2419" s="4" t="s">
        <v>9</v>
      </c>
      <c r="I2419" s="8">
        <v>0</v>
      </c>
      <c r="J2419" s="3">
        <f>2281</f>
        <v>2281</v>
      </c>
      <c r="K2419" s="3"/>
      <c r="L2419" s="17" t="str" cm="1">
        <f t="array" ref="L2419">_xlfn.IFS(MID(K2419,2,2)="01", "서울", MID(K2419,2,2)="02","경기",MID(K2419,2,2)="03","충청",MID(K2419,2,2)="04","충청",MID(K2419,2,2)="05","전라",MID(K2419,2,2)="06","전라",MID(K2419,2,2)="07","경북",MID(K2419,2,2)="08","경남",MID(K2419,2,2)="09","강원",MID(K2419,2,2)="10","제주",TRUE,"국외")</f>
        <v>국외</v>
      </c>
    </row>
    <row r="2420" spans="1:12" ht="17.25" thickBot="1">
      <c r="A2420" s="3" t="s">
        <v>2429</v>
      </c>
      <c r="B2420" s="3"/>
      <c r="C2420" s="3"/>
      <c r="D2420" s="4" t="s">
        <v>181</v>
      </c>
      <c r="E2420" s="4" t="s">
        <v>9</v>
      </c>
      <c r="F2420" s="4">
        <v>2003</v>
      </c>
      <c r="G2420" s="8">
        <v>1.5</v>
      </c>
      <c r="H2420" s="4" t="s">
        <v>9</v>
      </c>
      <c r="I2420" s="8">
        <v>1.4</v>
      </c>
      <c r="J2420" s="3">
        <f>2285</f>
        <v>2285</v>
      </c>
      <c r="K2420" s="3"/>
      <c r="L2420" s="17" t="str" cm="1">
        <f t="array" ref="L2420">_xlfn.IFS(MID(K2420,2,2)="01", "서울", MID(K2420,2,2)="02","경기",MID(K2420,2,2)="03","충청",MID(K2420,2,2)="04","충청",MID(K2420,2,2)="05","전라",MID(K2420,2,2)="06","전라",MID(K2420,2,2)="07","경북",MID(K2420,2,2)="08","경남",MID(K2420,2,2)="09","강원",MID(K2420,2,2)="10","제주",TRUE,"국외")</f>
        <v>국외</v>
      </c>
    </row>
    <row r="2421" spans="1:12" ht="17.25" thickBot="1">
      <c r="A2421" s="3" t="s">
        <v>584</v>
      </c>
      <c r="B2421" s="3"/>
      <c r="C2421" s="3"/>
      <c r="D2421" s="4" t="s">
        <v>181</v>
      </c>
      <c r="E2421" s="4" t="s">
        <v>9</v>
      </c>
      <c r="F2421" s="4">
        <v>2003</v>
      </c>
      <c r="G2421" s="8">
        <v>1.2</v>
      </c>
      <c r="H2421" s="4" t="s">
        <v>9</v>
      </c>
      <c r="I2421" s="8">
        <v>3.6</v>
      </c>
      <c r="J2421" s="3">
        <f>2290</f>
        <v>2290</v>
      </c>
      <c r="K2421" s="3"/>
      <c r="L2421" s="17" t="str" cm="1">
        <f t="array" ref="L2421">_xlfn.IFS(MID(K2421,2,2)="01", "서울", MID(K2421,2,2)="02","경기",MID(K2421,2,2)="03","충청",MID(K2421,2,2)="04","충청",MID(K2421,2,2)="05","전라",MID(K2421,2,2)="06","전라",MID(K2421,2,2)="07","경북",MID(K2421,2,2)="08","경남",MID(K2421,2,2)="09","강원",MID(K2421,2,2)="10","제주",TRUE,"국외")</f>
        <v>국외</v>
      </c>
    </row>
    <row r="2422" spans="1:12" ht="17.25" thickBot="1">
      <c r="A2422" s="3" t="s">
        <v>2430</v>
      </c>
      <c r="B2422" s="3"/>
      <c r="C2422" s="3"/>
      <c r="D2422" s="4" t="s">
        <v>181</v>
      </c>
      <c r="E2422" s="4" t="s">
        <v>23</v>
      </c>
      <c r="F2422" s="4">
        <v>2003</v>
      </c>
      <c r="G2422" s="8">
        <v>0.5</v>
      </c>
      <c r="H2422" s="4" t="s">
        <v>23</v>
      </c>
      <c r="I2422" s="8">
        <v>0.5</v>
      </c>
      <c r="J2422" s="3">
        <f>2295</f>
        <v>2295</v>
      </c>
      <c r="K2422" s="3"/>
      <c r="L2422" s="17" t="str" cm="1">
        <f t="array" ref="L2422">_xlfn.IFS(MID(K2422,2,2)="01", "서울", MID(K2422,2,2)="02","경기",MID(K2422,2,2)="03","충청",MID(K2422,2,2)="04","충청",MID(K2422,2,2)="05","전라",MID(K2422,2,2)="06","전라",MID(K2422,2,2)="07","경북",MID(K2422,2,2)="08","경남",MID(K2422,2,2)="09","강원",MID(K2422,2,2)="10","제주",TRUE,"국외")</f>
        <v>국외</v>
      </c>
    </row>
    <row r="2423" spans="1:12" ht="17.25" thickBot="1">
      <c r="A2423" s="3" t="s">
        <v>2431</v>
      </c>
      <c r="B2423" s="3"/>
      <c r="C2423" s="3"/>
      <c r="D2423" s="4" t="s">
        <v>181</v>
      </c>
      <c r="E2423" s="4" t="s">
        <v>3</v>
      </c>
      <c r="F2423" s="4">
        <v>2003</v>
      </c>
      <c r="G2423" s="8">
        <v>0.3</v>
      </c>
      <c r="H2423" s="4" t="s">
        <v>3</v>
      </c>
      <c r="I2423" s="8">
        <v>0.3</v>
      </c>
      <c r="J2423" s="3">
        <f>2300</f>
        <v>2300</v>
      </c>
      <c r="K2423" s="3"/>
      <c r="L2423" s="17" t="str" cm="1">
        <f t="array" ref="L2423">_xlfn.IFS(MID(K2423,2,2)="01", "서울", MID(K2423,2,2)="02","경기",MID(K2423,2,2)="03","충청",MID(K2423,2,2)="04","충청",MID(K2423,2,2)="05","전라",MID(K2423,2,2)="06","전라",MID(K2423,2,2)="07","경북",MID(K2423,2,2)="08","경남",MID(K2423,2,2)="09","강원",MID(K2423,2,2)="10","제주",TRUE,"국외")</f>
        <v>국외</v>
      </c>
    </row>
    <row r="2424" spans="1:12" ht="17.25" thickBot="1">
      <c r="A2424" s="3" t="s">
        <v>2432</v>
      </c>
      <c r="B2424" s="3"/>
      <c r="C2424" s="3"/>
      <c r="D2424" s="4" t="s">
        <v>181</v>
      </c>
      <c r="E2424" s="4" t="s">
        <v>3</v>
      </c>
      <c r="F2424" s="4">
        <v>2003</v>
      </c>
      <c r="G2424" s="8">
        <v>-0.4</v>
      </c>
      <c r="H2424" s="4" t="s">
        <v>3</v>
      </c>
      <c r="I2424" s="8">
        <v>-0.4</v>
      </c>
      <c r="J2424" s="3">
        <f>2277</f>
        <v>2277</v>
      </c>
      <c r="K2424" s="3"/>
      <c r="L2424" s="17" t="str" cm="1">
        <f t="array" ref="L2424">_xlfn.IFS(MID(K2424,2,2)="01", "서울", MID(K2424,2,2)="02","경기",MID(K2424,2,2)="03","충청",MID(K2424,2,2)="04","충청",MID(K2424,2,2)="05","전라",MID(K2424,2,2)="06","전라",MID(K2424,2,2)="07","경북",MID(K2424,2,2)="08","경남",MID(K2424,2,2)="09","강원",MID(K2424,2,2)="10","제주",TRUE,"국외")</f>
        <v>국외</v>
      </c>
    </row>
    <row r="2425" spans="1:12" ht="17.25" thickBot="1">
      <c r="A2425" s="3" t="s">
        <v>2433</v>
      </c>
      <c r="B2425" s="3"/>
      <c r="C2425" s="3"/>
      <c r="D2425" s="4" t="s">
        <v>181</v>
      </c>
      <c r="E2425" s="4" t="s">
        <v>3</v>
      </c>
      <c r="F2425" s="4">
        <v>2003</v>
      </c>
      <c r="G2425" s="8">
        <v>0.9</v>
      </c>
      <c r="H2425" s="4" t="s">
        <v>23</v>
      </c>
      <c r="I2425" s="8">
        <v>0.8</v>
      </c>
      <c r="J2425" s="3">
        <f>2270</f>
        <v>2270</v>
      </c>
      <c r="K2425" s="3"/>
      <c r="L2425" s="17" t="str" cm="1">
        <f t="array" ref="L2425">_xlfn.IFS(MID(K2425,2,2)="01", "서울", MID(K2425,2,2)="02","경기",MID(K2425,2,2)="03","충청",MID(K2425,2,2)="04","충청",MID(K2425,2,2)="05","전라",MID(K2425,2,2)="06","전라",MID(K2425,2,2)="07","경북",MID(K2425,2,2)="08","경남",MID(K2425,2,2)="09","강원",MID(K2425,2,2)="10","제주",TRUE,"국외")</f>
        <v>국외</v>
      </c>
    </row>
    <row r="2426" spans="1:12" ht="17.25" thickBot="1">
      <c r="A2426" s="3" t="s">
        <v>2434</v>
      </c>
      <c r="B2426" s="3"/>
      <c r="C2426" s="3"/>
      <c r="D2426" s="4" t="s">
        <v>181</v>
      </c>
      <c r="E2426" s="4" t="s">
        <v>2164</v>
      </c>
      <c r="F2426" s="4">
        <v>2003</v>
      </c>
      <c r="G2426" s="8">
        <v>2</v>
      </c>
      <c r="H2426" s="4" t="s">
        <v>2164</v>
      </c>
      <c r="I2426" s="8">
        <v>21.5</v>
      </c>
      <c r="J2426" s="3">
        <v>10411</v>
      </c>
      <c r="K2426" s="3"/>
      <c r="L2426" s="17" t="str" cm="1">
        <f t="array" ref="L2426">_xlfn.IFS(MID(K2426,2,2)="01", "서울", MID(K2426,2,2)="02","경기",MID(K2426,2,2)="03","충청",MID(K2426,2,2)="04","충청",MID(K2426,2,2)="05","전라",MID(K2426,2,2)="06","전라",MID(K2426,2,2)="07","경북",MID(K2426,2,2)="08","경남",MID(K2426,2,2)="09","강원",MID(K2426,2,2)="10","제주",TRUE,"국외")</f>
        <v>국외</v>
      </c>
    </row>
    <row r="2427" spans="1:12" ht="17.25" thickBot="1">
      <c r="A2427" s="3" t="s">
        <v>2435</v>
      </c>
      <c r="B2427" s="3"/>
      <c r="C2427" s="3"/>
      <c r="D2427" s="4" t="s">
        <v>181</v>
      </c>
      <c r="E2427" s="4" t="s">
        <v>2164</v>
      </c>
      <c r="F2427" s="4">
        <v>2003</v>
      </c>
      <c r="G2427" s="8">
        <v>4.5</v>
      </c>
      <c r="H2427" s="4" t="s">
        <v>2164</v>
      </c>
      <c r="I2427" s="8">
        <v>4.5</v>
      </c>
      <c r="J2427" s="3">
        <f>2296</f>
        <v>2296</v>
      </c>
      <c r="K2427" s="3"/>
      <c r="L2427" s="17" t="str" cm="1">
        <f t="array" ref="L2427">_xlfn.IFS(MID(K2427,2,2)="01", "서울", MID(K2427,2,2)="02","경기",MID(K2427,2,2)="03","충청",MID(K2427,2,2)="04","충청",MID(K2427,2,2)="05","전라",MID(K2427,2,2)="06","전라",MID(K2427,2,2)="07","경북",MID(K2427,2,2)="08","경남",MID(K2427,2,2)="09","강원",MID(K2427,2,2)="10","제주",TRUE,"국외")</f>
        <v>국외</v>
      </c>
    </row>
    <row r="2428" spans="1:12" ht="17.25" thickBot="1">
      <c r="A2428" s="3" t="s">
        <v>2436</v>
      </c>
      <c r="B2428" s="3" t="s">
        <v>42</v>
      </c>
      <c r="C2428" s="3" t="s">
        <v>172</v>
      </c>
      <c r="D2428" s="4" t="s">
        <v>1777</v>
      </c>
      <c r="E2428" s="4" t="s">
        <v>607</v>
      </c>
      <c r="F2428" s="4">
        <v>2003</v>
      </c>
      <c r="G2428" s="8">
        <v>0</v>
      </c>
      <c r="H2428" s="4" t="s">
        <v>607</v>
      </c>
      <c r="I2428" s="8">
        <v>-0.2</v>
      </c>
      <c r="J2428" s="3">
        <v>11457</v>
      </c>
      <c r="K2428" s="3">
        <v>50502</v>
      </c>
      <c r="L2428" s="17" t="str" cm="1">
        <f t="array" ref="L2428">_xlfn.IFS(MID(K2428,2,2)="01", "서울", MID(K2428,2,2)="02","경기",MID(K2428,2,2)="03","충청",MID(K2428,2,2)="04","충청",MID(K2428,2,2)="05","전라",MID(K2428,2,2)="06","전라",MID(K2428,2,2)="07","경북",MID(K2428,2,2)="08","경남",MID(K2428,2,2)="09","강원",MID(K2428,2,2)="10","제주",TRUE,"국외")</f>
        <v>전라</v>
      </c>
    </row>
    <row r="2429" spans="1:12" ht="17.25" thickBot="1">
      <c r="A2429" s="3" t="s">
        <v>2437</v>
      </c>
      <c r="B2429" s="3" t="s">
        <v>1497</v>
      </c>
      <c r="C2429" s="3"/>
      <c r="D2429" s="4" t="s">
        <v>1777</v>
      </c>
      <c r="E2429" s="4" t="s">
        <v>26</v>
      </c>
      <c r="F2429" s="4">
        <v>2006</v>
      </c>
      <c r="G2429" s="9"/>
      <c r="H2429" s="4" t="s">
        <v>26</v>
      </c>
      <c r="I2429" s="8">
        <v>0</v>
      </c>
      <c r="J2429" s="3">
        <f>2376</f>
        <v>2376</v>
      </c>
      <c r="K2429" s="3">
        <v>50112</v>
      </c>
      <c r="L2429" s="17" t="str" cm="1">
        <f t="array" ref="L2429">_xlfn.IFS(MID(K2429,2,2)="01", "서울", MID(K2429,2,2)="02","경기",MID(K2429,2,2)="03","충청",MID(K2429,2,2)="04","충청",MID(K2429,2,2)="05","전라",MID(K2429,2,2)="06","전라",MID(K2429,2,2)="07","경북",MID(K2429,2,2)="08","경남",MID(K2429,2,2)="09","강원",MID(K2429,2,2)="10","제주",TRUE,"국외")</f>
        <v>서울</v>
      </c>
    </row>
    <row r="2430" spans="1:12" ht="17.25" thickBot="1">
      <c r="A2430" s="3" t="s">
        <v>2438</v>
      </c>
      <c r="B2430" s="3" t="s">
        <v>169</v>
      </c>
      <c r="C2430" s="3" t="s">
        <v>90</v>
      </c>
      <c r="D2430" s="4" t="s">
        <v>1777</v>
      </c>
      <c r="E2430" s="4" t="s">
        <v>9</v>
      </c>
      <c r="F2430" s="4">
        <v>2003</v>
      </c>
      <c r="G2430" s="8">
        <v>-0.2</v>
      </c>
      <c r="H2430" s="4" t="s">
        <v>9</v>
      </c>
      <c r="I2430" s="8">
        <v>2</v>
      </c>
      <c r="J2430" s="3">
        <v>10252</v>
      </c>
      <c r="K2430" s="3">
        <v>50606</v>
      </c>
      <c r="L2430" s="17" t="str" cm="1">
        <f t="array" ref="L2430">_xlfn.IFS(MID(K2430,2,2)="01", "서울", MID(K2430,2,2)="02","경기",MID(K2430,2,2)="03","충청",MID(K2430,2,2)="04","충청",MID(K2430,2,2)="05","전라",MID(K2430,2,2)="06","전라",MID(K2430,2,2)="07","경북",MID(K2430,2,2)="08","경남",MID(K2430,2,2)="09","강원",MID(K2430,2,2)="10","제주",TRUE,"국외")</f>
        <v>전라</v>
      </c>
    </row>
    <row r="2431" spans="1:12" ht="17.25" thickBot="1">
      <c r="A2431" s="3" t="s">
        <v>2439</v>
      </c>
      <c r="B2431" s="3" t="s">
        <v>169</v>
      </c>
      <c r="C2431" s="3" t="s">
        <v>172</v>
      </c>
      <c r="D2431" s="4" t="s">
        <v>1777</v>
      </c>
      <c r="E2431" s="4" t="s">
        <v>9</v>
      </c>
      <c r="F2431" s="4">
        <v>2003</v>
      </c>
      <c r="G2431" s="8">
        <v>0.2</v>
      </c>
      <c r="H2431" s="4" t="s">
        <v>9</v>
      </c>
      <c r="I2431" s="8">
        <v>0.4</v>
      </c>
      <c r="J2431" s="3">
        <v>10215</v>
      </c>
      <c r="K2431" s="3">
        <v>50606</v>
      </c>
      <c r="L2431" s="17" t="str" cm="1">
        <f t="array" ref="L2431">_xlfn.IFS(MID(K2431,2,2)="01", "서울", MID(K2431,2,2)="02","경기",MID(K2431,2,2)="03","충청",MID(K2431,2,2)="04","충청",MID(K2431,2,2)="05","전라",MID(K2431,2,2)="06","전라",MID(K2431,2,2)="07","경북",MID(K2431,2,2)="08","경남",MID(K2431,2,2)="09","강원",MID(K2431,2,2)="10","제주",TRUE,"국외")</f>
        <v>전라</v>
      </c>
    </row>
    <row r="2432" spans="1:12" ht="17.25" thickBot="1">
      <c r="A2432" s="3" t="s">
        <v>2440</v>
      </c>
      <c r="B2432" s="3"/>
      <c r="C2432" s="3" t="s">
        <v>208</v>
      </c>
      <c r="D2432" s="4" t="s">
        <v>1777</v>
      </c>
      <c r="E2432" s="4" t="s">
        <v>23</v>
      </c>
      <c r="F2432" s="4">
        <v>2003</v>
      </c>
      <c r="G2432" s="8">
        <v>0</v>
      </c>
      <c r="H2432" s="4" t="s">
        <v>23</v>
      </c>
      <c r="I2432" s="8">
        <v>0</v>
      </c>
      <c r="J2432" s="3">
        <f>2303</f>
        <v>2303</v>
      </c>
      <c r="K2432" s="3"/>
      <c r="L2432" s="17" t="str" cm="1">
        <f t="array" ref="L2432">_xlfn.IFS(MID(K2432,2,2)="01", "서울", MID(K2432,2,2)="02","경기",MID(K2432,2,2)="03","충청",MID(K2432,2,2)="04","충청",MID(K2432,2,2)="05","전라",MID(K2432,2,2)="06","전라",MID(K2432,2,2)="07","경북",MID(K2432,2,2)="08","경남",MID(K2432,2,2)="09","강원",MID(K2432,2,2)="10","제주",TRUE,"국외")</f>
        <v>국외</v>
      </c>
    </row>
    <row r="2433" spans="1:12" ht="17.25" thickBot="1">
      <c r="A2433" s="3" t="s">
        <v>2441</v>
      </c>
      <c r="B2433" s="3" t="s">
        <v>36</v>
      </c>
      <c r="C2433" s="3" t="s">
        <v>90</v>
      </c>
      <c r="D2433" s="4" t="s">
        <v>1777</v>
      </c>
      <c r="E2433" s="4" t="s">
        <v>3</v>
      </c>
      <c r="F2433" s="4">
        <v>2004</v>
      </c>
      <c r="G2433" s="9"/>
      <c r="H2433" s="4" t="s">
        <v>3</v>
      </c>
      <c r="I2433" s="8">
        <v>-0.6</v>
      </c>
      <c r="J2433" s="3">
        <v>10605</v>
      </c>
      <c r="K2433" s="3">
        <v>50402</v>
      </c>
      <c r="L2433" s="17" t="str" cm="1">
        <f t="array" ref="L2433">_xlfn.IFS(MID(K2433,2,2)="01", "서울", MID(K2433,2,2)="02","경기",MID(K2433,2,2)="03","충청",MID(K2433,2,2)="04","충청",MID(K2433,2,2)="05","전라",MID(K2433,2,2)="06","전라",MID(K2433,2,2)="07","경북",MID(K2433,2,2)="08","경남",MID(K2433,2,2)="09","강원",MID(K2433,2,2)="10","제주",TRUE,"국외")</f>
        <v>충청</v>
      </c>
    </row>
    <row r="2434" spans="1:12" ht="17.25" thickBot="1">
      <c r="A2434" s="3" t="s">
        <v>2442</v>
      </c>
      <c r="B2434" s="3" t="s">
        <v>38</v>
      </c>
      <c r="C2434" s="3" t="s">
        <v>90</v>
      </c>
      <c r="D2434" s="4" t="s">
        <v>205</v>
      </c>
      <c r="E2434" s="4" t="s">
        <v>26</v>
      </c>
      <c r="F2434" s="4">
        <v>2003</v>
      </c>
      <c r="G2434" s="8">
        <v>-1.2</v>
      </c>
      <c r="H2434" s="4" t="s">
        <v>26</v>
      </c>
      <c r="I2434" s="8">
        <v>31.5</v>
      </c>
      <c r="J2434" s="3">
        <v>10177</v>
      </c>
      <c r="K2434" s="3">
        <v>50109</v>
      </c>
      <c r="L2434" s="17" t="str" cm="1">
        <f t="array" ref="L2434">_xlfn.IFS(MID(K2434,2,2)="01", "서울", MID(K2434,2,2)="02","경기",MID(K2434,2,2)="03","충청",MID(K2434,2,2)="04","충청",MID(K2434,2,2)="05","전라",MID(K2434,2,2)="06","전라",MID(K2434,2,2)="07","경북",MID(K2434,2,2)="08","경남",MID(K2434,2,2)="09","강원",MID(K2434,2,2)="10","제주",TRUE,"국외")</f>
        <v>서울</v>
      </c>
    </row>
    <row r="2435" spans="1:12" ht="17.25" thickBot="1">
      <c r="A2435" s="3" t="s">
        <v>2443</v>
      </c>
      <c r="B2435" s="3" t="s">
        <v>40</v>
      </c>
      <c r="C2435" s="3"/>
      <c r="D2435" s="4" t="s">
        <v>243</v>
      </c>
      <c r="E2435" s="4" t="s">
        <v>20</v>
      </c>
      <c r="F2435" s="4">
        <v>2003</v>
      </c>
      <c r="G2435" s="9"/>
      <c r="H2435" s="4" t="s">
        <v>20</v>
      </c>
      <c r="I2435" s="8">
        <v>0.2</v>
      </c>
      <c r="J2435" s="3">
        <f>2271</f>
        <v>2271</v>
      </c>
      <c r="K2435" s="3">
        <v>50108</v>
      </c>
      <c r="L2435" s="17" t="str" cm="1">
        <f t="array" ref="L2435">_xlfn.IFS(MID(K2435,2,2)="01", "서울", MID(K2435,2,2)="02","경기",MID(K2435,2,2)="03","충청",MID(K2435,2,2)="04","충청",MID(K2435,2,2)="05","전라",MID(K2435,2,2)="06","전라",MID(K2435,2,2)="07","경북",MID(K2435,2,2)="08","경남",MID(K2435,2,2)="09","강원",MID(K2435,2,2)="10","제주",TRUE,"국외")</f>
        <v>서울</v>
      </c>
    </row>
    <row r="2436" spans="1:12" ht="17.25" thickBot="1">
      <c r="A2436" s="3" t="s">
        <v>1031</v>
      </c>
      <c r="B2436" s="3" t="s">
        <v>38</v>
      </c>
      <c r="C2436" s="3" t="s">
        <v>538</v>
      </c>
      <c r="D2436" s="4" t="s">
        <v>243</v>
      </c>
      <c r="E2436" s="4" t="s">
        <v>26</v>
      </c>
      <c r="F2436" s="4">
        <v>2002</v>
      </c>
      <c r="G2436" s="8">
        <v>3.5</v>
      </c>
      <c r="H2436" s="4" t="s">
        <v>26</v>
      </c>
      <c r="I2436" s="8">
        <v>16</v>
      </c>
      <c r="J2436" s="3">
        <v>10529</v>
      </c>
      <c r="K2436" s="3">
        <v>50109</v>
      </c>
      <c r="L2436" s="17" t="str" cm="1">
        <f t="array" ref="L2436">_xlfn.IFS(MID(K2436,2,2)="01", "서울", MID(K2436,2,2)="02","경기",MID(K2436,2,2)="03","충청",MID(K2436,2,2)="04","충청",MID(K2436,2,2)="05","전라",MID(K2436,2,2)="06","전라",MID(K2436,2,2)="07","경북",MID(K2436,2,2)="08","경남",MID(K2436,2,2)="09","강원",MID(K2436,2,2)="10","제주",TRUE,"국외")</f>
        <v>서울</v>
      </c>
    </row>
    <row r="2437" spans="1:12" ht="17.25" thickBot="1">
      <c r="A2437" s="3" t="s">
        <v>2186</v>
      </c>
      <c r="B2437" s="3" t="s">
        <v>11</v>
      </c>
      <c r="C2437" s="3" t="s">
        <v>119</v>
      </c>
      <c r="D2437" s="4" t="s">
        <v>243</v>
      </c>
      <c r="E2437" s="4" t="s">
        <v>9</v>
      </c>
      <c r="F2437" s="4">
        <v>2002</v>
      </c>
      <c r="G2437" s="8">
        <v>0.1</v>
      </c>
      <c r="H2437" s="4" t="s">
        <v>9</v>
      </c>
      <c r="I2437" s="8">
        <v>6.5</v>
      </c>
      <c r="J2437" s="3">
        <v>10295</v>
      </c>
      <c r="K2437" s="3">
        <v>50802</v>
      </c>
      <c r="L2437" s="17" t="str" cm="1">
        <f t="array" ref="L2437">_xlfn.IFS(MID(K2437,2,2)="01", "서울", MID(K2437,2,2)="02","경기",MID(K2437,2,2)="03","충청",MID(K2437,2,2)="04","충청",MID(K2437,2,2)="05","전라",MID(K2437,2,2)="06","전라",MID(K2437,2,2)="07","경북",MID(K2437,2,2)="08","경남",MID(K2437,2,2)="09","강원",MID(K2437,2,2)="10","제주",TRUE,"국외")</f>
        <v>경남</v>
      </c>
    </row>
    <row r="2438" spans="1:12" ht="17.25" thickBot="1">
      <c r="A2438" s="3" t="s">
        <v>2444</v>
      </c>
      <c r="B2438" s="3" t="s">
        <v>1791</v>
      </c>
      <c r="C2438" s="3"/>
      <c r="D2438" s="4" t="s">
        <v>243</v>
      </c>
      <c r="E2438" s="4" t="s">
        <v>3</v>
      </c>
      <c r="F2438" s="4">
        <v>2003</v>
      </c>
      <c r="G2438" s="9"/>
      <c r="H2438" s="4" t="s">
        <v>3</v>
      </c>
      <c r="I2438" s="8">
        <v>0.8</v>
      </c>
      <c r="J2438" s="3">
        <v>10599</v>
      </c>
      <c r="K2438" s="3">
        <v>50303</v>
      </c>
      <c r="L2438" s="17" t="str" cm="1">
        <f t="array" ref="L2438">_xlfn.IFS(MID(K2438,2,2)="01", "서울", MID(K2438,2,2)="02","경기",MID(K2438,2,2)="03","충청",MID(K2438,2,2)="04","충청",MID(K2438,2,2)="05","전라",MID(K2438,2,2)="06","전라",MID(K2438,2,2)="07","경북",MID(K2438,2,2)="08","경남",MID(K2438,2,2)="09","강원",MID(K2438,2,2)="10","제주",TRUE,"국외")</f>
        <v>충청</v>
      </c>
    </row>
    <row r="2439" spans="1:12" ht="17.25" thickBot="1">
      <c r="A2439" s="3" t="s">
        <v>2445</v>
      </c>
      <c r="B2439" s="3" t="s">
        <v>147</v>
      </c>
      <c r="C2439" s="3" t="s">
        <v>739</v>
      </c>
      <c r="D2439" s="4" t="s">
        <v>243</v>
      </c>
      <c r="E2439" s="4" t="s">
        <v>2164</v>
      </c>
      <c r="F2439" s="4">
        <v>2007</v>
      </c>
      <c r="G2439" s="9"/>
      <c r="H2439" s="4" t="s">
        <v>18</v>
      </c>
      <c r="I2439" s="8">
        <v>-0.4</v>
      </c>
      <c r="J2439" s="3">
        <f>2415</f>
        <v>2415</v>
      </c>
      <c r="K2439" s="3">
        <v>50208</v>
      </c>
      <c r="L2439" s="17" t="str" cm="1">
        <f t="array" ref="L2439">_xlfn.IFS(MID(K2439,2,2)="01", "서울", MID(K2439,2,2)="02","경기",MID(K2439,2,2)="03","충청",MID(K2439,2,2)="04","충청",MID(K2439,2,2)="05","전라",MID(K2439,2,2)="06","전라",MID(K2439,2,2)="07","경북",MID(K2439,2,2)="08","경남",MID(K2439,2,2)="09","강원",MID(K2439,2,2)="10","제주",TRUE,"국외")</f>
        <v>경기</v>
      </c>
    </row>
    <row r="2440" spans="1:12" ht="17.25" thickBot="1">
      <c r="A2440" s="3" t="s">
        <v>550</v>
      </c>
      <c r="B2440" s="3" t="s">
        <v>121</v>
      </c>
      <c r="C2440" s="3"/>
      <c r="D2440" s="4" t="s">
        <v>243</v>
      </c>
      <c r="E2440" s="4" t="s">
        <v>6</v>
      </c>
      <c r="F2440" s="4">
        <v>2002</v>
      </c>
      <c r="G2440" s="8">
        <v>3.9</v>
      </c>
      <c r="H2440" s="4" t="s">
        <v>6</v>
      </c>
      <c r="I2440" s="8">
        <v>22.4</v>
      </c>
      <c r="J2440" s="3">
        <v>10695</v>
      </c>
      <c r="K2440" s="3">
        <v>50604</v>
      </c>
      <c r="L2440" s="17" t="str" cm="1">
        <f t="array" ref="L2440">_xlfn.IFS(MID(K2440,2,2)="01", "서울", MID(K2440,2,2)="02","경기",MID(K2440,2,2)="03","충청",MID(K2440,2,2)="04","충청",MID(K2440,2,2)="05","전라",MID(K2440,2,2)="06","전라",MID(K2440,2,2)="07","경북",MID(K2440,2,2)="08","경남",MID(K2440,2,2)="09","강원",MID(K2440,2,2)="10","제주",TRUE,"국외")</f>
        <v>전라</v>
      </c>
    </row>
    <row r="2441" spans="1:12" ht="17.25" thickBot="1">
      <c r="A2441" s="3" t="s">
        <v>2446</v>
      </c>
      <c r="B2441" s="3" t="s">
        <v>464</v>
      </c>
      <c r="C2441" s="3"/>
      <c r="D2441" s="4" t="s">
        <v>243</v>
      </c>
      <c r="E2441" s="4" t="s">
        <v>23</v>
      </c>
      <c r="F2441" s="4">
        <v>2002</v>
      </c>
      <c r="G2441" s="8">
        <v>-0.2</v>
      </c>
      <c r="H2441" s="4" t="s">
        <v>23</v>
      </c>
      <c r="I2441" s="8">
        <v>32.6</v>
      </c>
      <c r="J2441" s="3">
        <v>10351</v>
      </c>
      <c r="K2441" s="3">
        <v>50706</v>
      </c>
      <c r="L2441" s="17" t="str" cm="1">
        <f t="array" ref="L2441">_xlfn.IFS(MID(K2441,2,2)="01", "서울", MID(K2441,2,2)="02","경기",MID(K2441,2,2)="03","충청",MID(K2441,2,2)="04","충청",MID(K2441,2,2)="05","전라",MID(K2441,2,2)="06","전라",MID(K2441,2,2)="07","경북",MID(K2441,2,2)="08","경남",MID(K2441,2,2)="09","강원",MID(K2441,2,2)="10","제주",TRUE,"국외")</f>
        <v>경북</v>
      </c>
    </row>
    <row r="2442" spans="1:12" ht="17.25" thickBot="1">
      <c r="A2442" s="3" t="s">
        <v>2447</v>
      </c>
      <c r="B2442" s="3" t="s">
        <v>1950</v>
      </c>
      <c r="C2442" s="3" t="s">
        <v>218</v>
      </c>
      <c r="D2442" s="4" t="s">
        <v>243</v>
      </c>
      <c r="E2442" s="4" t="s">
        <v>607</v>
      </c>
      <c r="F2442" s="4">
        <v>2007</v>
      </c>
      <c r="G2442" s="9"/>
      <c r="H2442" s="4" t="s">
        <v>607</v>
      </c>
      <c r="I2442" s="8">
        <v>-0.1</v>
      </c>
      <c r="J2442" s="3">
        <v>10090</v>
      </c>
      <c r="K2442" s="3">
        <v>50115</v>
      </c>
      <c r="L2442" s="17" t="str" cm="1">
        <f t="array" ref="L2442">_xlfn.IFS(MID(K2442,2,2)="01", "서울", MID(K2442,2,2)="02","경기",MID(K2442,2,2)="03","충청",MID(K2442,2,2)="04","충청",MID(K2442,2,2)="05","전라",MID(K2442,2,2)="06","전라",MID(K2442,2,2)="07","경북",MID(K2442,2,2)="08","경남",MID(K2442,2,2)="09","강원",MID(K2442,2,2)="10","제주",TRUE,"국외")</f>
        <v>서울</v>
      </c>
    </row>
    <row r="2443" spans="1:12" ht="17.25" thickBot="1">
      <c r="A2443" s="3" t="s">
        <v>2448</v>
      </c>
      <c r="B2443" s="3" t="s">
        <v>96</v>
      </c>
      <c r="C2443" s="3"/>
      <c r="D2443" s="4" t="s">
        <v>254</v>
      </c>
      <c r="E2443" s="4" t="s">
        <v>607</v>
      </c>
      <c r="F2443" s="4">
        <v>2002</v>
      </c>
      <c r="G2443" s="8">
        <v>0.7</v>
      </c>
      <c r="H2443" s="4" t="s">
        <v>607</v>
      </c>
      <c r="I2443" s="8">
        <v>1.6</v>
      </c>
      <c r="J2443" s="3">
        <v>10157</v>
      </c>
      <c r="K2443" s="3">
        <v>50601</v>
      </c>
      <c r="L2443" s="17" t="str" cm="1">
        <f t="array" ref="L2443">_xlfn.IFS(MID(K2443,2,2)="01", "서울", MID(K2443,2,2)="02","경기",MID(K2443,2,2)="03","충청",MID(K2443,2,2)="04","충청",MID(K2443,2,2)="05","전라",MID(K2443,2,2)="06","전라",MID(K2443,2,2)="07","경북",MID(K2443,2,2)="08","경남",MID(K2443,2,2)="09","강원",MID(K2443,2,2)="10","제주",TRUE,"국외")</f>
        <v>전라</v>
      </c>
    </row>
    <row r="2444" spans="1:12" ht="17.25" thickBot="1">
      <c r="A2444" s="3" t="s">
        <v>2449</v>
      </c>
      <c r="B2444" s="3" t="s">
        <v>42</v>
      </c>
      <c r="C2444" s="3"/>
      <c r="D2444" s="4" t="s">
        <v>254</v>
      </c>
      <c r="E2444" s="4" t="s">
        <v>6</v>
      </c>
      <c r="F2444" s="4">
        <v>2002</v>
      </c>
      <c r="G2444" s="8">
        <v>2.2000000000000002</v>
      </c>
      <c r="H2444" s="4" t="s">
        <v>6</v>
      </c>
      <c r="I2444" s="8">
        <v>20.100000000000001</v>
      </c>
      <c r="J2444" s="3">
        <v>10055</v>
      </c>
      <c r="K2444" s="3">
        <v>50502</v>
      </c>
      <c r="L2444" s="17" t="str" cm="1">
        <f t="array" ref="L2444">_xlfn.IFS(MID(K2444,2,2)="01", "서울", MID(K2444,2,2)="02","경기",MID(K2444,2,2)="03","충청",MID(K2444,2,2)="04","충청",MID(K2444,2,2)="05","전라",MID(K2444,2,2)="06","전라",MID(K2444,2,2)="07","경북",MID(K2444,2,2)="08","경남",MID(K2444,2,2)="09","강원",MID(K2444,2,2)="10","제주",TRUE,"국외")</f>
        <v>전라</v>
      </c>
    </row>
    <row r="2445" spans="1:12" ht="17.25" thickBot="1">
      <c r="A2445" s="3" t="s">
        <v>2450</v>
      </c>
      <c r="B2445" s="3" t="s">
        <v>22</v>
      </c>
      <c r="C2445" s="3" t="s">
        <v>174</v>
      </c>
      <c r="D2445" s="4" t="s">
        <v>254</v>
      </c>
      <c r="E2445" s="4" t="s">
        <v>20</v>
      </c>
      <c r="F2445" s="4">
        <v>2002</v>
      </c>
      <c r="G2445" s="8">
        <v>-0.4</v>
      </c>
      <c r="H2445" s="4" t="s">
        <v>20</v>
      </c>
      <c r="I2445" s="8">
        <v>-0.7</v>
      </c>
      <c r="J2445" s="3">
        <f>2227</f>
        <v>2227</v>
      </c>
      <c r="K2445" s="3">
        <v>50209</v>
      </c>
      <c r="L2445" s="17" t="str" cm="1">
        <f t="array" ref="L2445">_xlfn.IFS(MID(K2445,2,2)="01", "서울", MID(K2445,2,2)="02","경기",MID(K2445,2,2)="03","충청",MID(K2445,2,2)="04","충청",MID(K2445,2,2)="05","전라",MID(K2445,2,2)="06","전라",MID(K2445,2,2)="07","경북",MID(K2445,2,2)="08","경남",MID(K2445,2,2)="09","강원",MID(K2445,2,2)="10","제주",TRUE,"국외")</f>
        <v>경기</v>
      </c>
    </row>
    <row r="2446" spans="1:12" ht="17.25" thickBot="1">
      <c r="A2446" s="3" t="s">
        <v>2451</v>
      </c>
      <c r="B2446" s="3" t="s">
        <v>14</v>
      </c>
      <c r="C2446" s="3"/>
      <c r="D2446" s="4" t="s">
        <v>254</v>
      </c>
      <c r="E2446" s="4" t="s">
        <v>607</v>
      </c>
      <c r="F2446" s="4">
        <v>2002</v>
      </c>
      <c r="G2446" s="8">
        <v>-0.7</v>
      </c>
      <c r="H2446" s="4" t="s">
        <v>607</v>
      </c>
      <c r="I2446" s="8">
        <v>17.5</v>
      </c>
      <c r="J2446" s="3">
        <v>10142</v>
      </c>
      <c r="K2446" s="3">
        <v>50703</v>
      </c>
      <c r="L2446" s="17" t="str" cm="1">
        <f t="array" ref="L2446">_xlfn.IFS(MID(K2446,2,2)="01", "서울", MID(K2446,2,2)="02","경기",MID(K2446,2,2)="03","충청",MID(K2446,2,2)="04","충청",MID(K2446,2,2)="05","전라",MID(K2446,2,2)="06","전라",MID(K2446,2,2)="07","경북",MID(K2446,2,2)="08","경남",MID(K2446,2,2)="09","강원",MID(K2446,2,2)="10","제주",TRUE,"국외")</f>
        <v>경북</v>
      </c>
    </row>
    <row r="2447" spans="1:12" ht="17.25" thickBot="1">
      <c r="A2447" s="3" t="s">
        <v>2452</v>
      </c>
      <c r="B2447" s="3" t="s">
        <v>68</v>
      </c>
      <c r="C2447" s="3"/>
      <c r="D2447" s="4" t="s">
        <v>254</v>
      </c>
      <c r="E2447" s="4" t="s">
        <v>607</v>
      </c>
      <c r="F2447" s="4">
        <v>2004</v>
      </c>
      <c r="G2447" s="9"/>
      <c r="H2447" s="4" t="s">
        <v>607</v>
      </c>
      <c r="I2447" s="8">
        <v>-1</v>
      </c>
      <c r="J2447" s="3">
        <f>2329</f>
        <v>2329</v>
      </c>
      <c r="K2447" s="3">
        <v>50101</v>
      </c>
      <c r="L2447" s="17" t="str" cm="1">
        <f t="array" ref="L2447">_xlfn.IFS(MID(K2447,2,2)="01", "서울", MID(K2447,2,2)="02","경기",MID(K2447,2,2)="03","충청",MID(K2447,2,2)="04","충청",MID(K2447,2,2)="05","전라",MID(K2447,2,2)="06","전라",MID(K2447,2,2)="07","경북",MID(K2447,2,2)="08","경남",MID(K2447,2,2)="09","강원",MID(K2447,2,2)="10","제주",TRUE,"국외")</f>
        <v>서울</v>
      </c>
    </row>
    <row r="2448" spans="1:12" ht="17.25" thickBot="1">
      <c r="A2448" s="3" t="s">
        <v>2453</v>
      </c>
      <c r="B2448" s="3" t="s">
        <v>40</v>
      </c>
      <c r="C2448" s="3"/>
      <c r="D2448" s="4" t="s">
        <v>254</v>
      </c>
      <c r="E2448" s="4" t="s">
        <v>26</v>
      </c>
      <c r="F2448" s="4">
        <v>2002</v>
      </c>
      <c r="G2448" s="8">
        <v>-0.2</v>
      </c>
      <c r="H2448" s="4" t="s">
        <v>26</v>
      </c>
      <c r="I2448" s="8">
        <v>12.1</v>
      </c>
      <c r="J2448" s="3">
        <v>10171</v>
      </c>
      <c r="K2448" s="3">
        <v>50108</v>
      </c>
      <c r="L2448" s="17" t="str" cm="1">
        <f t="array" ref="L2448">_xlfn.IFS(MID(K2448,2,2)="01", "서울", MID(K2448,2,2)="02","경기",MID(K2448,2,2)="03","충청",MID(K2448,2,2)="04","충청",MID(K2448,2,2)="05","전라",MID(K2448,2,2)="06","전라",MID(K2448,2,2)="07","경북",MID(K2448,2,2)="08","경남",MID(K2448,2,2)="09","강원",MID(K2448,2,2)="10","제주",TRUE,"국외")</f>
        <v>서울</v>
      </c>
    </row>
    <row r="2449" spans="1:12" ht="17.25" thickBot="1">
      <c r="A2449" s="3" t="s">
        <v>2454</v>
      </c>
      <c r="B2449" s="3" t="s">
        <v>50</v>
      </c>
      <c r="C2449" s="3"/>
      <c r="D2449" s="4" t="s">
        <v>254</v>
      </c>
      <c r="E2449" s="4" t="s">
        <v>9</v>
      </c>
      <c r="F2449" s="4">
        <v>2002</v>
      </c>
      <c r="G2449" s="8">
        <v>0.2</v>
      </c>
      <c r="H2449" s="4" t="s">
        <v>607</v>
      </c>
      <c r="I2449" s="8">
        <v>5.0999999999999996</v>
      </c>
      <c r="J2449" s="3">
        <v>10124</v>
      </c>
      <c r="K2449" s="3">
        <v>50301</v>
      </c>
      <c r="L2449" s="17" t="str" cm="1">
        <f t="array" ref="L2449">_xlfn.IFS(MID(K2449,2,2)="01", "서울", MID(K2449,2,2)="02","경기",MID(K2449,2,2)="03","충청",MID(K2449,2,2)="04","충청",MID(K2449,2,2)="05","전라",MID(K2449,2,2)="06","전라",MID(K2449,2,2)="07","경북",MID(K2449,2,2)="08","경남",MID(K2449,2,2)="09","강원",MID(K2449,2,2)="10","제주",TRUE,"국외")</f>
        <v>충청</v>
      </c>
    </row>
    <row r="2450" spans="1:12" ht="17.25" thickBot="1">
      <c r="A2450" s="3" t="s">
        <v>2455</v>
      </c>
      <c r="B2450" s="3" t="s">
        <v>78</v>
      </c>
      <c r="C2450" s="3"/>
      <c r="D2450" s="4" t="s">
        <v>254</v>
      </c>
      <c r="E2450" s="4" t="s">
        <v>23</v>
      </c>
      <c r="F2450" s="4">
        <v>2002</v>
      </c>
      <c r="G2450" s="8">
        <v>0.1</v>
      </c>
      <c r="H2450" s="4" t="s">
        <v>23</v>
      </c>
      <c r="I2450" s="8">
        <v>14</v>
      </c>
      <c r="J2450" s="3">
        <v>10329</v>
      </c>
      <c r="K2450" s="3">
        <v>50401</v>
      </c>
      <c r="L2450" s="17" t="str" cm="1">
        <f t="array" ref="L2450">_xlfn.IFS(MID(K2450,2,2)="01", "서울", MID(K2450,2,2)="02","경기",MID(K2450,2,2)="03","충청",MID(K2450,2,2)="04","충청",MID(K2450,2,2)="05","전라",MID(K2450,2,2)="06","전라",MID(K2450,2,2)="07","경북",MID(K2450,2,2)="08","경남",MID(K2450,2,2)="09","강원",MID(K2450,2,2)="10","제주",TRUE,"국외")</f>
        <v>충청</v>
      </c>
    </row>
    <row r="2451" spans="1:12" ht="17.25" thickBot="1">
      <c r="A2451" s="3" t="s">
        <v>2456</v>
      </c>
      <c r="B2451" s="3" t="s">
        <v>464</v>
      </c>
      <c r="C2451" s="3"/>
      <c r="D2451" s="4" t="s">
        <v>254</v>
      </c>
      <c r="E2451" s="4" t="s">
        <v>3</v>
      </c>
      <c r="F2451" s="4">
        <v>2002</v>
      </c>
      <c r="G2451" s="8">
        <v>-0.5</v>
      </c>
      <c r="H2451" s="4" t="s">
        <v>3</v>
      </c>
      <c r="I2451" s="8">
        <v>-0.3</v>
      </c>
      <c r="J2451" s="3">
        <f>2261</f>
        <v>2261</v>
      </c>
      <c r="K2451" s="3">
        <v>50706</v>
      </c>
      <c r="L2451" s="17" t="str" cm="1">
        <f t="array" ref="L2451">_xlfn.IFS(MID(K2451,2,2)="01", "서울", MID(K2451,2,2)="02","경기",MID(K2451,2,2)="03","충청",MID(K2451,2,2)="04","충청",MID(K2451,2,2)="05","전라",MID(K2451,2,2)="06","전라",MID(K2451,2,2)="07","경북",MID(K2451,2,2)="08","경남",MID(K2451,2,2)="09","강원",MID(K2451,2,2)="10","제주",TRUE,"국외")</f>
        <v>경북</v>
      </c>
    </row>
    <row r="2452" spans="1:12" ht="17.25" thickBot="1">
      <c r="A2452" s="3" t="s">
        <v>2457</v>
      </c>
      <c r="B2452" s="3" t="s">
        <v>1</v>
      </c>
      <c r="C2452" s="3"/>
      <c r="D2452" s="4" t="s">
        <v>254</v>
      </c>
      <c r="E2452" s="4" t="s">
        <v>2164</v>
      </c>
      <c r="F2452" s="4">
        <v>2002</v>
      </c>
      <c r="G2452" s="8">
        <v>-0.1</v>
      </c>
      <c r="H2452" s="4" t="s">
        <v>18</v>
      </c>
      <c r="I2452" s="8">
        <v>-1.6</v>
      </c>
      <c r="J2452" s="3">
        <v>10440</v>
      </c>
      <c r="K2452" s="3">
        <v>50107</v>
      </c>
      <c r="L2452" s="17" t="str" cm="1">
        <f t="array" ref="L2452">_xlfn.IFS(MID(K2452,2,2)="01", "서울", MID(K2452,2,2)="02","경기",MID(K2452,2,2)="03","충청",MID(K2452,2,2)="04","충청",MID(K2452,2,2)="05","전라",MID(K2452,2,2)="06","전라",MID(K2452,2,2)="07","경북",MID(K2452,2,2)="08","경남",MID(K2452,2,2)="09","강원",MID(K2452,2,2)="10","제주",TRUE,"국외")</f>
        <v>서울</v>
      </c>
    </row>
    <row r="2453" spans="1:12" ht="17.25" thickBot="1">
      <c r="A2453" s="3" t="s">
        <v>2458</v>
      </c>
      <c r="B2453" s="3" t="s">
        <v>38</v>
      </c>
      <c r="C2453" s="3"/>
      <c r="D2453" s="4" t="s">
        <v>254</v>
      </c>
      <c r="E2453" s="4" t="s">
        <v>6</v>
      </c>
      <c r="F2453" s="4">
        <v>2004</v>
      </c>
      <c r="G2453" s="9"/>
      <c r="H2453" s="4" t="s">
        <v>6</v>
      </c>
      <c r="I2453" s="8">
        <v>-3.7</v>
      </c>
      <c r="J2453" s="3">
        <v>10049</v>
      </c>
      <c r="K2453" s="3">
        <v>50109</v>
      </c>
      <c r="L2453" s="17" t="str" cm="1">
        <f t="array" ref="L2453">_xlfn.IFS(MID(K2453,2,2)="01", "서울", MID(K2453,2,2)="02","경기",MID(K2453,2,2)="03","충청",MID(K2453,2,2)="04","충청",MID(K2453,2,2)="05","전라",MID(K2453,2,2)="06","전라",MID(K2453,2,2)="07","경북",MID(K2453,2,2)="08","경남",MID(K2453,2,2)="09","강원",MID(K2453,2,2)="10","제주",TRUE,"국외")</f>
        <v>서울</v>
      </c>
    </row>
    <row r="2454" spans="1:12" ht="17.25" thickBot="1">
      <c r="A2454" s="3" t="s">
        <v>2459</v>
      </c>
      <c r="B2454" s="3" t="s">
        <v>34</v>
      </c>
      <c r="C2454" s="3"/>
      <c r="D2454" s="4" t="s">
        <v>254</v>
      </c>
      <c r="E2454" s="4" t="s">
        <v>20</v>
      </c>
      <c r="F2454" s="4">
        <v>2007</v>
      </c>
      <c r="G2454" s="9"/>
      <c r="H2454" s="4" t="s">
        <v>20</v>
      </c>
      <c r="I2454" s="8">
        <v>0</v>
      </c>
      <c r="J2454" s="3">
        <v>10388</v>
      </c>
      <c r="K2454" s="3">
        <v>50701</v>
      </c>
      <c r="L2454" s="17" t="str" cm="1">
        <f t="array" ref="L2454">_xlfn.IFS(MID(K2454,2,2)="01", "서울", MID(K2454,2,2)="02","경기",MID(K2454,2,2)="03","충청",MID(K2454,2,2)="04","충청",MID(K2454,2,2)="05","전라",MID(K2454,2,2)="06","전라",MID(K2454,2,2)="07","경북",MID(K2454,2,2)="08","경남",MID(K2454,2,2)="09","강원",MID(K2454,2,2)="10","제주",TRUE,"국외")</f>
        <v>경북</v>
      </c>
    </row>
    <row r="2455" spans="1:12" ht="17.25" thickBot="1">
      <c r="A2455" s="3" t="s">
        <v>2460</v>
      </c>
      <c r="B2455" s="3" t="s">
        <v>81</v>
      </c>
      <c r="C2455" s="3" t="s">
        <v>739</v>
      </c>
      <c r="D2455" s="4" t="s">
        <v>254</v>
      </c>
      <c r="E2455" s="4" t="s">
        <v>26</v>
      </c>
      <c r="F2455" s="4"/>
      <c r="G2455" s="9"/>
      <c r="H2455" s="4"/>
      <c r="I2455" s="9"/>
      <c r="J2455" s="3">
        <v>10175</v>
      </c>
      <c r="K2455" s="3">
        <v>50105</v>
      </c>
      <c r="L2455" s="17" t="str" cm="1">
        <f t="array" ref="L2455">_xlfn.IFS(MID(K2455,2,2)="01", "서울", MID(K2455,2,2)="02","경기",MID(K2455,2,2)="03","충청",MID(K2455,2,2)="04","충청",MID(K2455,2,2)="05","전라",MID(K2455,2,2)="06","전라",MID(K2455,2,2)="07","경북",MID(K2455,2,2)="08","경남",MID(K2455,2,2)="09","강원",MID(K2455,2,2)="10","제주",TRUE,"국외")</f>
        <v>서울</v>
      </c>
    </row>
    <row r="2456" spans="1:12" ht="17.25" thickBot="1">
      <c r="A2456" s="3" t="s">
        <v>2461</v>
      </c>
      <c r="B2456" s="3" t="s">
        <v>89</v>
      </c>
      <c r="C2456" s="3"/>
      <c r="D2456" s="4" t="s">
        <v>254</v>
      </c>
      <c r="E2456" s="4" t="s">
        <v>9</v>
      </c>
      <c r="F2456" s="4">
        <v>2002</v>
      </c>
      <c r="G2456" s="8">
        <v>0.4</v>
      </c>
      <c r="H2456" s="4" t="s">
        <v>9</v>
      </c>
      <c r="I2456" s="8">
        <v>10.6</v>
      </c>
      <c r="J2456" s="3">
        <v>10290</v>
      </c>
      <c r="K2456" s="3">
        <v>50806</v>
      </c>
      <c r="L2456" s="17" t="str" cm="1">
        <f t="array" ref="L2456">_xlfn.IFS(MID(K2456,2,2)="01", "서울", MID(K2456,2,2)="02","경기",MID(K2456,2,2)="03","충청",MID(K2456,2,2)="04","충청",MID(K2456,2,2)="05","전라",MID(K2456,2,2)="06","전라",MID(K2456,2,2)="07","경북",MID(K2456,2,2)="08","경남",MID(K2456,2,2)="09","강원",MID(K2456,2,2)="10","제주",TRUE,"국외")</f>
        <v>경남</v>
      </c>
    </row>
    <row r="2457" spans="1:12" ht="17.25" thickBot="1">
      <c r="A2457" s="3" t="s">
        <v>2462</v>
      </c>
      <c r="B2457" s="3" t="s">
        <v>8</v>
      </c>
      <c r="C2457" s="3"/>
      <c r="D2457" s="4" t="s">
        <v>254</v>
      </c>
      <c r="E2457" s="4" t="s">
        <v>3</v>
      </c>
      <c r="F2457" s="4">
        <v>2003</v>
      </c>
      <c r="G2457" s="9"/>
      <c r="H2457" s="4" t="s">
        <v>3</v>
      </c>
      <c r="I2457" s="8">
        <v>-1.5</v>
      </c>
      <c r="J2457" s="3">
        <v>10155</v>
      </c>
      <c r="K2457" s="3">
        <v>50116</v>
      </c>
      <c r="L2457" s="17" t="str" cm="1">
        <f t="array" ref="L2457">_xlfn.IFS(MID(K2457,2,2)="01", "서울", MID(K2457,2,2)="02","경기",MID(K2457,2,2)="03","충청",MID(K2457,2,2)="04","충청",MID(K2457,2,2)="05","전라",MID(K2457,2,2)="06","전라",MID(K2457,2,2)="07","경북",MID(K2457,2,2)="08","경남",MID(K2457,2,2)="09","강원",MID(K2457,2,2)="10","제주",TRUE,"국외")</f>
        <v>서울</v>
      </c>
    </row>
    <row r="2458" spans="1:12" ht="17.25" thickBot="1">
      <c r="A2458" s="3" t="s">
        <v>1340</v>
      </c>
      <c r="B2458" s="3" t="s">
        <v>93</v>
      </c>
      <c r="C2458" s="3"/>
      <c r="D2458" s="4" t="s">
        <v>254</v>
      </c>
      <c r="E2458" s="4" t="s">
        <v>2164</v>
      </c>
      <c r="F2458" s="4">
        <v>2011</v>
      </c>
      <c r="G2458" s="9"/>
      <c r="H2458" s="4" t="s">
        <v>607</v>
      </c>
      <c r="I2458" s="8">
        <v>0.3</v>
      </c>
      <c r="J2458" s="3">
        <v>10084</v>
      </c>
      <c r="K2458" s="3">
        <v>50805</v>
      </c>
      <c r="L2458" s="17" t="str" cm="1">
        <f t="array" ref="L2458">_xlfn.IFS(MID(K2458,2,2)="01", "서울", MID(K2458,2,2)="02","경기",MID(K2458,2,2)="03","충청",MID(K2458,2,2)="04","충청",MID(K2458,2,2)="05","전라",MID(K2458,2,2)="06","전라",MID(K2458,2,2)="07","경북",MID(K2458,2,2)="08","경남",MID(K2458,2,2)="09","강원",MID(K2458,2,2)="10","제주",TRUE,"국외")</f>
        <v>경남</v>
      </c>
    </row>
    <row r="2459" spans="1:12" ht="17.25" thickBot="1">
      <c r="A2459" s="3" t="s">
        <v>2463</v>
      </c>
      <c r="B2459" s="3" t="s">
        <v>68</v>
      </c>
      <c r="C2459" s="3"/>
      <c r="D2459" s="4" t="s">
        <v>254</v>
      </c>
      <c r="E2459" s="4" t="s">
        <v>26</v>
      </c>
      <c r="F2459" s="4">
        <v>2002</v>
      </c>
      <c r="G2459" s="8">
        <v>0</v>
      </c>
      <c r="H2459" s="4" t="s">
        <v>26</v>
      </c>
      <c r="I2459" s="8">
        <v>-0.2</v>
      </c>
      <c r="J2459" s="3">
        <v>10462</v>
      </c>
      <c r="K2459" s="3">
        <v>50101</v>
      </c>
      <c r="L2459" s="17" t="str" cm="1">
        <f t="array" ref="L2459">_xlfn.IFS(MID(K2459,2,2)="01", "서울", MID(K2459,2,2)="02","경기",MID(K2459,2,2)="03","충청",MID(K2459,2,2)="04","충청",MID(K2459,2,2)="05","전라",MID(K2459,2,2)="06","전라",MID(K2459,2,2)="07","경북",MID(K2459,2,2)="08","경남",MID(K2459,2,2)="09","강원",MID(K2459,2,2)="10","제주",TRUE,"국외")</f>
        <v>서울</v>
      </c>
    </row>
    <row r="2460" spans="1:12" ht="17.25" thickBot="1">
      <c r="A2460" s="3" t="s">
        <v>2464</v>
      </c>
      <c r="B2460" s="3" t="s">
        <v>70</v>
      </c>
      <c r="C2460" s="3" t="s">
        <v>122</v>
      </c>
      <c r="D2460" s="4" t="s">
        <v>254</v>
      </c>
      <c r="E2460" s="4" t="s">
        <v>9</v>
      </c>
      <c r="F2460" s="4">
        <v>2002</v>
      </c>
      <c r="G2460" s="8">
        <v>0.1</v>
      </c>
      <c r="H2460" s="4" t="s">
        <v>9</v>
      </c>
      <c r="I2460" s="8">
        <v>0.4</v>
      </c>
      <c r="J2460" s="3">
        <v>10086</v>
      </c>
      <c r="K2460" s="3">
        <v>50103</v>
      </c>
      <c r="L2460" s="17" t="str" cm="1">
        <f t="array" ref="L2460">_xlfn.IFS(MID(K2460,2,2)="01", "서울", MID(K2460,2,2)="02","경기",MID(K2460,2,2)="03","충청",MID(K2460,2,2)="04","충청",MID(K2460,2,2)="05","전라",MID(K2460,2,2)="06","전라",MID(K2460,2,2)="07","경북",MID(K2460,2,2)="08","경남",MID(K2460,2,2)="09","강원",MID(K2460,2,2)="10","제주",TRUE,"국외")</f>
        <v>서울</v>
      </c>
    </row>
    <row r="2461" spans="1:12" ht="17.25" thickBot="1">
      <c r="A2461" s="3" t="s">
        <v>2465</v>
      </c>
      <c r="B2461" s="3" t="s">
        <v>121</v>
      </c>
      <c r="C2461" s="3"/>
      <c r="D2461" s="4" t="s">
        <v>254</v>
      </c>
      <c r="E2461" s="4" t="s">
        <v>23</v>
      </c>
      <c r="F2461" s="4">
        <v>2002</v>
      </c>
      <c r="G2461" s="8">
        <v>0</v>
      </c>
      <c r="H2461" s="4" t="s">
        <v>20</v>
      </c>
      <c r="I2461" s="8">
        <v>5</v>
      </c>
      <c r="J2461" s="3">
        <v>10325</v>
      </c>
      <c r="K2461" s="3">
        <v>50604</v>
      </c>
      <c r="L2461" s="17" t="str" cm="1">
        <f t="array" ref="L2461">_xlfn.IFS(MID(K2461,2,2)="01", "서울", MID(K2461,2,2)="02","경기",MID(K2461,2,2)="03","충청",MID(K2461,2,2)="04","충청",MID(K2461,2,2)="05","전라",MID(K2461,2,2)="06","전라",MID(K2461,2,2)="07","경북",MID(K2461,2,2)="08","경남",MID(K2461,2,2)="09","강원",MID(K2461,2,2)="10","제주",TRUE,"국외")</f>
        <v>전라</v>
      </c>
    </row>
    <row r="2462" spans="1:12" ht="17.25" thickBot="1">
      <c r="A2462" s="3" t="s">
        <v>2466</v>
      </c>
      <c r="B2462" s="3" t="s">
        <v>241</v>
      </c>
      <c r="C2462" s="3" t="s">
        <v>221</v>
      </c>
      <c r="D2462" s="4" t="s">
        <v>254</v>
      </c>
      <c r="E2462" s="4" t="s">
        <v>2164</v>
      </c>
      <c r="F2462" s="4">
        <v>2006</v>
      </c>
      <c r="G2462" s="9"/>
      <c r="H2462" s="4" t="s">
        <v>26</v>
      </c>
      <c r="I2462" s="8">
        <v>8.3000000000000007</v>
      </c>
      <c r="J2462" s="3">
        <v>10221</v>
      </c>
      <c r="K2462" s="3">
        <v>50202</v>
      </c>
      <c r="L2462" s="17" t="str" cm="1">
        <f t="array" ref="L2462">_xlfn.IFS(MID(K2462,2,2)="01", "서울", MID(K2462,2,2)="02","경기",MID(K2462,2,2)="03","충청",MID(K2462,2,2)="04","충청",MID(K2462,2,2)="05","전라",MID(K2462,2,2)="06","전라",MID(K2462,2,2)="07","경북",MID(K2462,2,2)="08","경남",MID(K2462,2,2)="09","강원",MID(K2462,2,2)="10","제주",TRUE,"국외")</f>
        <v>경기</v>
      </c>
    </row>
    <row r="2463" spans="1:12" ht="17.25" thickBot="1">
      <c r="A2463" s="3" t="s">
        <v>2467</v>
      </c>
      <c r="B2463" s="3" t="s">
        <v>107</v>
      </c>
      <c r="C2463" s="3"/>
      <c r="D2463" s="4" t="s">
        <v>254</v>
      </c>
      <c r="E2463" s="4" t="s">
        <v>607</v>
      </c>
      <c r="F2463" s="4">
        <v>2008</v>
      </c>
      <c r="G2463" s="9"/>
      <c r="H2463" s="4" t="s">
        <v>20</v>
      </c>
      <c r="I2463" s="8">
        <v>0</v>
      </c>
      <c r="J2463" s="3">
        <v>10460</v>
      </c>
      <c r="K2463" s="3">
        <v>50602</v>
      </c>
      <c r="L2463" s="17" t="str" cm="1">
        <f t="array" ref="L2463">_xlfn.IFS(MID(K2463,2,2)="01", "서울", MID(K2463,2,2)="02","경기",MID(K2463,2,2)="03","충청",MID(K2463,2,2)="04","충청",MID(K2463,2,2)="05","전라",MID(K2463,2,2)="06","전라",MID(K2463,2,2)="07","경북",MID(K2463,2,2)="08","경남",MID(K2463,2,2)="09","강원",MID(K2463,2,2)="10","제주",TRUE,"국외")</f>
        <v>전라</v>
      </c>
    </row>
    <row r="2464" spans="1:12" ht="17.25" thickBot="1">
      <c r="A2464" s="3" t="s">
        <v>2468</v>
      </c>
      <c r="B2464" s="3" t="s">
        <v>38</v>
      </c>
      <c r="C2464" s="3"/>
      <c r="D2464" s="4" t="s">
        <v>254</v>
      </c>
      <c r="E2464" s="4" t="s">
        <v>26</v>
      </c>
      <c r="F2464" s="4">
        <v>2013</v>
      </c>
      <c r="G2464" s="9"/>
      <c r="H2464" s="4" t="s">
        <v>18</v>
      </c>
      <c r="I2464" s="8">
        <v>0.3</v>
      </c>
      <c r="J2464" s="3">
        <v>11139</v>
      </c>
      <c r="K2464" s="3">
        <v>50109</v>
      </c>
      <c r="L2464" s="17" t="str" cm="1">
        <f t="array" ref="L2464">_xlfn.IFS(MID(K2464,2,2)="01", "서울", MID(K2464,2,2)="02","경기",MID(K2464,2,2)="03","충청",MID(K2464,2,2)="04","충청",MID(K2464,2,2)="05","전라",MID(K2464,2,2)="06","전라",MID(K2464,2,2)="07","경북",MID(K2464,2,2)="08","경남",MID(K2464,2,2)="09","강원",MID(K2464,2,2)="10","제주",TRUE,"국외")</f>
        <v>서울</v>
      </c>
    </row>
    <row r="2465" spans="1:12" ht="17.25" thickBot="1">
      <c r="A2465" s="3" t="s">
        <v>2469</v>
      </c>
      <c r="B2465" s="3" t="s">
        <v>2470</v>
      </c>
      <c r="C2465" s="3" t="s">
        <v>119</v>
      </c>
      <c r="D2465" s="4" t="s">
        <v>254</v>
      </c>
      <c r="E2465" s="4" t="s">
        <v>9</v>
      </c>
      <c r="F2465" s="4">
        <v>2002</v>
      </c>
      <c r="G2465" s="8">
        <v>1.6</v>
      </c>
      <c r="H2465" s="4" t="s">
        <v>9</v>
      </c>
      <c r="I2465" s="8">
        <v>1.6</v>
      </c>
      <c r="J2465" s="3">
        <f>2252</f>
        <v>2252</v>
      </c>
      <c r="K2465" s="3">
        <v>50813</v>
      </c>
      <c r="L2465" s="17" t="str" cm="1">
        <f t="array" ref="L2465">_xlfn.IFS(MID(K2465,2,2)="01", "서울", MID(K2465,2,2)="02","경기",MID(K2465,2,2)="03","충청",MID(K2465,2,2)="04","충청",MID(K2465,2,2)="05","전라",MID(K2465,2,2)="06","전라",MID(K2465,2,2)="07","경북",MID(K2465,2,2)="08","경남",MID(K2465,2,2)="09","강원",MID(K2465,2,2)="10","제주",TRUE,"국외")</f>
        <v>경남</v>
      </c>
    </row>
    <row r="2466" spans="1:12" ht="17.25" thickBot="1">
      <c r="A2466" s="3" t="s">
        <v>2471</v>
      </c>
      <c r="B2466" s="3" t="s">
        <v>1791</v>
      </c>
      <c r="C2466" s="3"/>
      <c r="D2466" s="4" t="s">
        <v>254</v>
      </c>
      <c r="E2466" s="4" t="s">
        <v>23</v>
      </c>
      <c r="F2466" s="4">
        <v>2002</v>
      </c>
      <c r="G2466" s="8">
        <v>1.5</v>
      </c>
      <c r="H2466" s="4" t="s">
        <v>23</v>
      </c>
      <c r="I2466" s="8">
        <v>-2.2999999999999998</v>
      </c>
      <c r="J2466" s="3">
        <v>10435</v>
      </c>
      <c r="K2466" s="3">
        <v>50303</v>
      </c>
      <c r="L2466" s="17" t="str" cm="1">
        <f t="array" ref="L2466">_xlfn.IFS(MID(K2466,2,2)="01", "서울", MID(K2466,2,2)="02","경기",MID(K2466,2,2)="03","충청",MID(K2466,2,2)="04","충청",MID(K2466,2,2)="05","전라",MID(K2466,2,2)="06","전라",MID(K2466,2,2)="07","경북",MID(K2466,2,2)="08","경남",MID(K2466,2,2)="09","강원",MID(K2466,2,2)="10","제주",TRUE,"국외")</f>
        <v>충청</v>
      </c>
    </row>
    <row r="2467" spans="1:12" ht="17.25" thickBot="1">
      <c r="A2467" s="3" t="s">
        <v>2472</v>
      </c>
      <c r="B2467" s="3" t="s">
        <v>11</v>
      </c>
      <c r="C2467" s="3" t="s">
        <v>119</v>
      </c>
      <c r="D2467" s="4" t="s">
        <v>254</v>
      </c>
      <c r="E2467" s="4" t="s">
        <v>3</v>
      </c>
      <c r="F2467" s="4">
        <v>2006</v>
      </c>
      <c r="G2467" s="9"/>
      <c r="H2467" s="4" t="s">
        <v>3</v>
      </c>
      <c r="I2467" s="8">
        <v>-0.4</v>
      </c>
      <c r="J2467" s="3">
        <f>2391</f>
        <v>2391</v>
      </c>
      <c r="K2467" s="3">
        <v>50802</v>
      </c>
      <c r="L2467" s="17" t="str" cm="1">
        <f t="array" ref="L2467">_xlfn.IFS(MID(K2467,2,2)="01", "서울", MID(K2467,2,2)="02","경기",MID(K2467,2,2)="03","충청",MID(K2467,2,2)="04","충청",MID(K2467,2,2)="05","전라",MID(K2467,2,2)="06","전라",MID(K2467,2,2)="07","경북",MID(K2467,2,2)="08","경남",MID(K2467,2,2)="09","강원",MID(K2467,2,2)="10","제주",TRUE,"국외")</f>
        <v>경남</v>
      </c>
    </row>
    <row r="2468" spans="1:12" ht="17.25" thickBot="1">
      <c r="A2468" s="3" t="s">
        <v>2473</v>
      </c>
      <c r="B2468" s="3" t="s">
        <v>50</v>
      </c>
      <c r="C2468" s="3"/>
      <c r="D2468" s="4" t="s">
        <v>254</v>
      </c>
      <c r="E2468" s="4" t="s">
        <v>6</v>
      </c>
      <c r="F2468" s="4"/>
      <c r="G2468" s="9"/>
      <c r="H2468" s="4"/>
      <c r="I2468" s="9"/>
      <c r="J2468" s="3">
        <v>11460</v>
      </c>
      <c r="K2468" s="3">
        <v>50301</v>
      </c>
      <c r="L2468" s="17" t="str" cm="1">
        <f t="array" ref="L2468">_xlfn.IFS(MID(K2468,2,2)="01", "서울", MID(K2468,2,2)="02","경기",MID(K2468,2,2)="03","충청",MID(K2468,2,2)="04","충청",MID(K2468,2,2)="05","전라",MID(K2468,2,2)="06","전라",MID(K2468,2,2)="07","경북",MID(K2468,2,2)="08","경남",MID(K2468,2,2)="09","강원",MID(K2468,2,2)="10","제주",TRUE,"국외")</f>
        <v>충청</v>
      </c>
    </row>
    <row r="2469" spans="1:12" ht="17.25" thickBot="1">
      <c r="A2469" s="3" t="s">
        <v>2474</v>
      </c>
      <c r="B2469" s="3"/>
      <c r="C2469" s="3"/>
      <c r="D2469" s="4" t="s">
        <v>254</v>
      </c>
      <c r="E2469" s="4" t="s">
        <v>607</v>
      </c>
      <c r="F2469" s="4">
        <v>2003</v>
      </c>
      <c r="G2469" s="9"/>
      <c r="H2469" s="4" t="s">
        <v>607</v>
      </c>
      <c r="I2469" s="8">
        <v>0</v>
      </c>
      <c r="J2469" s="3">
        <f>2278</f>
        <v>2278</v>
      </c>
      <c r="K2469" s="3"/>
      <c r="L2469" s="17" t="str" cm="1">
        <f t="array" ref="L2469">_xlfn.IFS(MID(K2469,2,2)="01", "서울", MID(K2469,2,2)="02","경기",MID(K2469,2,2)="03","충청",MID(K2469,2,2)="04","충청",MID(K2469,2,2)="05","전라",MID(K2469,2,2)="06","전라",MID(K2469,2,2)="07","경북",MID(K2469,2,2)="08","경남",MID(K2469,2,2)="09","강원",MID(K2469,2,2)="10","제주",TRUE,"국외")</f>
        <v>국외</v>
      </c>
    </row>
    <row r="2470" spans="1:12" ht="17.25" thickBot="1">
      <c r="A2470" s="3" t="s">
        <v>2475</v>
      </c>
      <c r="B2470" s="3" t="s">
        <v>81</v>
      </c>
      <c r="C2470" s="3" t="s">
        <v>1743</v>
      </c>
      <c r="D2470" s="4" t="s">
        <v>254</v>
      </c>
      <c r="E2470" s="4" t="s">
        <v>26</v>
      </c>
      <c r="F2470" s="4">
        <v>2003</v>
      </c>
      <c r="G2470" s="9"/>
      <c r="H2470" s="4" t="s">
        <v>26</v>
      </c>
      <c r="I2470" s="8">
        <v>-0.1</v>
      </c>
      <c r="J2470" s="3">
        <f>2283</f>
        <v>2283</v>
      </c>
      <c r="K2470" s="3">
        <v>50105</v>
      </c>
      <c r="L2470" s="17" t="str" cm="1">
        <f t="array" ref="L2470">_xlfn.IFS(MID(K2470,2,2)="01", "서울", MID(K2470,2,2)="02","경기",MID(K2470,2,2)="03","충청",MID(K2470,2,2)="04","충청",MID(K2470,2,2)="05","전라",MID(K2470,2,2)="06","전라",MID(K2470,2,2)="07","경북",MID(K2470,2,2)="08","경남",MID(K2470,2,2)="09","강원",MID(K2470,2,2)="10","제주",TRUE,"국외")</f>
        <v>서울</v>
      </c>
    </row>
    <row r="2471" spans="1:12" ht="17.25" thickBot="1">
      <c r="A2471" s="3" t="s">
        <v>474</v>
      </c>
      <c r="B2471" s="3" t="s">
        <v>52</v>
      </c>
      <c r="C2471" s="3" t="s">
        <v>218</v>
      </c>
      <c r="D2471" s="4" t="s">
        <v>254</v>
      </c>
      <c r="E2471" s="4" t="s">
        <v>9</v>
      </c>
      <c r="F2471" s="4">
        <v>2006</v>
      </c>
      <c r="G2471" s="9"/>
      <c r="H2471" s="4" t="s">
        <v>9</v>
      </c>
      <c r="I2471" s="8">
        <v>-0.5</v>
      </c>
      <c r="J2471" s="3">
        <v>10744</v>
      </c>
      <c r="K2471" s="3">
        <v>50803</v>
      </c>
      <c r="L2471" s="17" t="str" cm="1">
        <f t="array" ref="L2471">_xlfn.IFS(MID(K2471,2,2)="01", "서울", MID(K2471,2,2)="02","경기",MID(K2471,2,2)="03","충청",MID(K2471,2,2)="04","충청",MID(K2471,2,2)="05","전라",MID(K2471,2,2)="06","전라",MID(K2471,2,2)="07","경북",MID(K2471,2,2)="08","경남",MID(K2471,2,2)="09","강원",MID(K2471,2,2)="10","제주",TRUE,"국외")</f>
        <v>경남</v>
      </c>
    </row>
    <row r="2472" spans="1:12" ht="17.25" thickBot="1">
      <c r="A2472" s="3" t="s">
        <v>2476</v>
      </c>
      <c r="B2472" s="3" t="s">
        <v>332</v>
      </c>
      <c r="C2472" s="3" t="s">
        <v>1942</v>
      </c>
      <c r="D2472" s="4" t="s">
        <v>254</v>
      </c>
      <c r="E2472" s="4" t="s">
        <v>23</v>
      </c>
      <c r="F2472" s="4">
        <v>2003</v>
      </c>
      <c r="G2472" s="9"/>
      <c r="H2472" s="4" t="s">
        <v>23</v>
      </c>
      <c r="I2472" s="8">
        <v>30</v>
      </c>
      <c r="J2472" s="3">
        <v>10364</v>
      </c>
      <c r="K2472" s="3">
        <v>50705</v>
      </c>
      <c r="L2472" s="17" t="str" cm="1">
        <f t="array" ref="L2472">_xlfn.IFS(MID(K2472,2,2)="01", "서울", MID(K2472,2,2)="02","경기",MID(K2472,2,2)="03","충청",MID(K2472,2,2)="04","충청",MID(K2472,2,2)="05","전라",MID(K2472,2,2)="06","전라",MID(K2472,2,2)="07","경북",MID(K2472,2,2)="08","경남",MID(K2472,2,2)="09","강원",MID(K2472,2,2)="10","제주",TRUE,"국외")</f>
        <v>경북</v>
      </c>
    </row>
    <row r="2473" spans="1:12" ht="17.25" thickBot="1">
      <c r="A2473" s="3" t="s">
        <v>2477</v>
      </c>
      <c r="B2473" s="3" t="s">
        <v>38</v>
      </c>
      <c r="C2473" s="3" t="s">
        <v>1743</v>
      </c>
      <c r="D2473" s="4" t="s">
        <v>254</v>
      </c>
      <c r="E2473" s="4" t="s">
        <v>3</v>
      </c>
      <c r="F2473" s="4">
        <v>2002</v>
      </c>
      <c r="G2473" s="8">
        <v>-0.1</v>
      </c>
      <c r="H2473" s="4" t="s">
        <v>3</v>
      </c>
      <c r="I2473" s="8">
        <v>-0.2</v>
      </c>
      <c r="J2473" s="3">
        <f>2235</f>
        <v>2235</v>
      </c>
      <c r="K2473" s="3">
        <v>50109</v>
      </c>
      <c r="L2473" s="17" t="str" cm="1">
        <f t="array" ref="L2473">_xlfn.IFS(MID(K2473,2,2)="01", "서울", MID(K2473,2,2)="02","경기",MID(K2473,2,2)="03","충청",MID(K2473,2,2)="04","충청",MID(K2473,2,2)="05","전라",MID(K2473,2,2)="06","전라",MID(K2473,2,2)="07","경북",MID(K2473,2,2)="08","경남",MID(K2473,2,2)="09","강원",MID(K2473,2,2)="10","제주",TRUE,"국외")</f>
        <v>서울</v>
      </c>
    </row>
    <row r="2474" spans="1:12" ht="17.25" thickBot="1">
      <c r="A2474" s="3" t="s">
        <v>2478</v>
      </c>
      <c r="B2474" s="3" t="s">
        <v>1950</v>
      </c>
      <c r="C2474" s="3" t="s">
        <v>218</v>
      </c>
      <c r="D2474" s="4" t="s">
        <v>254</v>
      </c>
      <c r="E2474" s="4" t="s">
        <v>2164</v>
      </c>
      <c r="F2474" s="4">
        <v>2006</v>
      </c>
      <c r="G2474" s="9"/>
      <c r="H2474" s="4" t="s">
        <v>18</v>
      </c>
      <c r="I2474" s="8">
        <v>-1.9</v>
      </c>
      <c r="J2474" s="3">
        <v>10762</v>
      </c>
      <c r="K2474" s="3">
        <v>50115</v>
      </c>
      <c r="L2474" s="17" t="str" cm="1">
        <f t="array" ref="L2474">_xlfn.IFS(MID(K2474,2,2)="01", "서울", MID(K2474,2,2)="02","경기",MID(K2474,2,2)="03","충청",MID(K2474,2,2)="04","충청",MID(K2474,2,2)="05","전라",MID(K2474,2,2)="06","전라",MID(K2474,2,2)="07","경북",MID(K2474,2,2)="08","경남",MID(K2474,2,2)="09","강원",MID(K2474,2,2)="10","제주",TRUE,"국외")</f>
        <v>서울</v>
      </c>
    </row>
    <row r="2475" spans="1:12" ht="17.25" thickBot="1">
      <c r="A2475" s="3" t="s">
        <v>2479</v>
      </c>
      <c r="B2475" s="3" t="s">
        <v>36</v>
      </c>
      <c r="C2475" s="3" t="s">
        <v>133</v>
      </c>
      <c r="D2475" s="4" t="s">
        <v>254</v>
      </c>
      <c r="E2475" s="4" t="s">
        <v>607</v>
      </c>
      <c r="F2475" s="4">
        <v>2006</v>
      </c>
      <c r="G2475" s="9"/>
      <c r="H2475" s="4" t="s">
        <v>607</v>
      </c>
      <c r="I2475" s="8">
        <v>20.8</v>
      </c>
      <c r="J2475" s="3">
        <v>10135</v>
      </c>
      <c r="K2475" s="3">
        <v>50402</v>
      </c>
      <c r="L2475" s="17" t="str" cm="1">
        <f t="array" ref="L2475">_xlfn.IFS(MID(K2475,2,2)="01", "서울", MID(K2475,2,2)="02","경기",MID(K2475,2,2)="03","충청",MID(K2475,2,2)="04","충청",MID(K2475,2,2)="05","전라",MID(K2475,2,2)="06","전라",MID(K2475,2,2)="07","경북",MID(K2475,2,2)="08","경남",MID(K2475,2,2)="09","강원",MID(K2475,2,2)="10","제주",TRUE,"국외")</f>
        <v>충청</v>
      </c>
    </row>
    <row r="2476" spans="1:12" ht="17.25" thickBot="1">
      <c r="A2476" s="3" t="s">
        <v>2480</v>
      </c>
      <c r="B2476" s="3" t="s">
        <v>93</v>
      </c>
      <c r="C2476" s="3" t="s">
        <v>211</v>
      </c>
      <c r="D2476" s="4" t="s">
        <v>254</v>
      </c>
      <c r="E2476" s="4" t="s">
        <v>3</v>
      </c>
      <c r="F2476" s="4">
        <v>2006</v>
      </c>
      <c r="G2476" s="9"/>
      <c r="H2476" s="4" t="s">
        <v>26</v>
      </c>
      <c r="I2476" s="8">
        <v>-0.2</v>
      </c>
      <c r="J2476" s="3">
        <f>2379</f>
        <v>2379</v>
      </c>
      <c r="K2476" s="3">
        <v>50805</v>
      </c>
      <c r="L2476" s="17" t="str" cm="1">
        <f t="array" ref="L2476">_xlfn.IFS(MID(K2476,2,2)="01", "서울", MID(K2476,2,2)="02","경기",MID(K2476,2,2)="03","충청",MID(K2476,2,2)="04","충청",MID(K2476,2,2)="05","전라",MID(K2476,2,2)="06","전라",MID(K2476,2,2)="07","경북",MID(K2476,2,2)="08","경남",MID(K2476,2,2)="09","강원",MID(K2476,2,2)="10","제주",TRUE,"국외")</f>
        <v>경남</v>
      </c>
    </row>
    <row r="2477" spans="1:12" ht="17.25" thickBot="1">
      <c r="A2477" s="3" t="s">
        <v>2481</v>
      </c>
      <c r="B2477" s="3" t="s">
        <v>107</v>
      </c>
      <c r="C2477" s="3" t="s">
        <v>2482</v>
      </c>
      <c r="D2477" s="4" t="s">
        <v>254</v>
      </c>
      <c r="E2477" s="4" t="s">
        <v>9</v>
      </c>
      <c r="F2477" s="4">
        <v>2003</v>
      </c>
      <c r="G2477" s="9"/>
      <c r="H2477" s="4" t="s">
        <v>6</v>
      </c>
      <c r="I2477" s="8">
        <v>2.5</v>
      </c>
      <c r="J2477" s="3">
        <v>10031</v>
      </c>
      <c r="K2477" s="3">
        <v>50602</v>
      </c>
      <c r="L2477" s="17" t="str" cm="1">
        <f t="array" ref="L2477">_xlfn.IFS(MID(K2477,2,2)="01", "서울", MID(K2477,2,2)="02","경기",MID(K2477,2,2)="03","충청",MID(K2477,2,2)="04","충청",MID(K2477,2,2)="05","전라",MID(K2477,2,2)="06","전라",MID(K2477,2,2)="07","경북",MID(K2477,2,2)="08","경남",MID(K2477,2,2)="09","강원",MID(K2477,2,2)="10","제주",TRUE,"국외")</f>
        <v>전라</v>
      </c>
    </row>
    <row r="2478" spans="1:12" ht="17.25" thickBot="1">
      <c r="A2478" s="3" t="s">
        <v>2483</v>
      </c>
      <c r="B2478" s="3" t="s">
        <v>42</v>
      </c>
      <c r="C2478" s="3"/>
      <c r="D2478" s="4" t="s">
        <v>254</v>
      </c>
      <c r="E2478" s="4" t="s">
        <v>23</v>
      </c>
      <c r="F2478" s="4">
        <v>2002</v>
      </c>
      <c r="G2478" s="8">
        <v>0.2</v>
      </c>
      <c r="H2478" s="4" t="s">
        <v>23</v>
      </c>
      <c r="I2478" s="8">
        <v>72.7</v>
      </c>
      <c r="J2478" s="3">
        <v>10344</v>
      </c>
      <c r="K2478" s="3">
        <v>50502</v>
      </c>
      <c r="L2478" s="17" t="str" cm="1">
        <f t="array" ref="L2478">_xlfn.IFS(MID(K2478,2,2)="01", "서울", MID(K2478,2,2)="02","경기",MID(K2478,2,2)="03","충청",MID(K2478,2,2)="04","충청",MID(K2478,2,2)="05","전라",MID(K2478,2,2)="06","전라",MID(K2478,2,2)="07","경북",MID(K2478,2,2)="08","경남",MID(K2478,2,2)="09","강원",MID(K2478,2,2)="10","제주",TRUE,"국외")</f>
        <v>전라</v>
      </c>
    </row>
    <row r="2479" spans="1:12" ht="17.25" thickBot="1">
      <c r="A2479" s="3" t="s">
        <v>2484</v>
      </c>
      <c r="B2479" s="3" t="s">
        <v>81</v>
      </c>
      <c r="C2479" s="3"/>
      <c r="D2479" s="4" t="s">
        <v>254</v>
      </c>
      <c r="E2479" s="4" t="s">
        <v>6</v>
      </c>
      <c r="F2479" s="4">
        <v>2003</v>
      </c>
      <c r="G2479" s="9"/>
      <c r="H2479" s="4" t="s">
        <v>6</v>
      </c>
      <c r="I2479" s="8">
        <v>-1.2</v>
      </c>
      <c r="J2479" s="3">
        <v>10074</v>
      </c>
      <c r="K2479" s="3">
        <v>50105</v>
      </c>
      <c r="L2479" s="17" t="str" cm="1">
        <f t="array" ref="L2479">_xlfn.IFS(MID(K2479,2,2)="01", "서울", MID(K2479,2,2)="02","경기",MID(K2479,2,2)="03","충청",MID(K2479,2,2)="04","충청",MID(K2479,2,2)="05","전라",MID(K2479,2,2)="06","전라",MID(K2479,2,2)="07","경북",MID(K2479,2,2)="08","경남",MID(K2479,2,2)="09","강원",MID(K2479,2,2)="10","제주",TRUE,"국외")</f>
        <v>서울</v>
      </c>
    </row>
    <row r="2480" spans="1:12" ht="17.25" thickBot="1">
      <c r="A2480" s="3" t="s">
        <v>2485</v>
      </c>
      <c r="B2480" s="3" t="s">
        <v>1</v>
      </c>
      <c r="C2480" s="3"/>
      <c r="D2480" s="4" t="s">
        <v>254</v>
      </c>
      <c r="E2480" s="4" t="s">
        <v>23</v>
      </c>
      <c r="F2480" s="4">
        <v>2013</v>
      </c>
      <c r="G2480" s="9"/>
      <c r="H2480" s="4" t="s">
        <v>3</v>
      </c>
      <c r="I2480" s="8">
        <v>0</v>
      </c>
      <c r="J2480" s="3">
        <v>11123</v>
      </c>
      <c r="K2480" s="3">
        <v>50107</v>
      </c>
      <c r="L2480" s="17" t="str" cm="1">
        <f t="array" ref="L2480">_xlfn.IFS(MID(K2480,2,2)="01", "서울", MID(K2480,2,2)="02","경기",MID(K2480,2,2)="03","충청",MID(K2480,2,2)="04","충청",MID(K2480,2,2)="05","전라",MID(K2480,2,2)="06","전라",MID(K2480,2,2)="07","경북",MID(K2480,2,2)="08","경남",MID(K2480,2,2)="09","강원",MID(K2480,2,2)="10","제주",TRUE,"국외")</f>
        <v>서울</v>
      </c>
    </row>
    <row r="2481" spans="1:12" ht="17.25" thickBot="1">
      <c r="A2481" s="3" t="s">
        <v>2486</v>
      </c>
      <c r="B2481" s="3" t="s">
        <v>121</v>
      </c>
      <c r="C2481" s="3" t="s">
        <v>45</v>
      </c>
      <c r="D2481" s="4" t="s">
        <v>254</v>
      </c>
      <c r="E2481" s="4" t="s">
        <v>3</v>
      </c>
      <c r="F2481" s="4">
        <v>2007</v>
      </c>
      <c r="G2481" s="9"/>
      <c r="H2481" s="4" t="s">
        <v>3</v>
      </c>
      <c r="I2481" s="8">
        <v>-0.3</v>
      </c>
      <c r="J2481" s="3">
        <v>10582</v>
      </c>
      <c r="K2481" s="3">
        <v>50604</v>
      </c>
      <c r="L2481" s="17" t="str" cm="1">
        <f t="array" ref="L2481">_xlfn.IFS(MID(K2481,2,2)="01", "서울", MID(K2481,2,2)="02","경기",MID(K2481,2,2)="03","충청",MID(K2481,2,2)="04","충청",MID(K2481,2,2)="05","전라",MID(K2481,2,2)="06","전라",MID(K2481,2,2)="07","경북",MID(K2481,2,2)="08","경남",MID(K2481,2,2)="09","강원",MID(K2481,2,2)="10","제주",TRUE,"국외")</f>
        <v>전라</v>
      </c>
    </row>
    <row r="2482" spans="1:12" ht="17.25" thickBot="1">
      <c r="A2482" s="3" t="s">
        <v>2487</v>
      </c>
      <c r="B2482" s="3" t="s">
        <v>74</v>
      </c>
      <c r="C2482" s="3"/>
      <c r="D2482" s="4" t="s">
        <v>254</v>
      </c>
      <c r="E2482" s="4" t="s">
        <v>23</v>
      </c>
      <c r="F2482" s="4">
        <v>2002</v>
      </c>
      <c r="G2482" s="8">
        <v>-0.1</v>
      </c>
      <c r="H2482" s="4" t="s">
        <v>23</v>
      </c>
      <c r="I2482" s="8">
        <v>-0.5</v>
      </c>
      <c r="J2482" s="3">
        <f>2240</f>
        <v>2240</v>
      </c>
      <c r="K2482" s="3">
        <v>50102</v>
      </c>
      <c r="L2482" s="17" t="str" cm="1">
        <f t="array" ref="L2482">_xlfn.IFS(MID(K2482,2,2)="01", "서울", MID(K2482,2,2)="02","경기",MID(K2482,2,2)="03","충청",MID(K2482,2,2)="04","충청",MID(K2482,2,2)="05","전라",MID(K2482,2,2)="06","전라",MID(K2482,2,2)="07","경북",MID(K2482,2,2)="08","경남",MID(K2482,2,2)="09","강원",MID(K2482,2,2)="10","제주",TRUE,"국외")</f>
        <v>서울</v>
      </c>
    </row>
    <row r="2483" spans="1:12" ht="17.25" thickBot="1">
      <c r="A2483" s="3" t="s">
        <v>1302</v>
      </c>
      <c r="B2483" s="3" t="s">
        <v>1497</v>
      </c>
      <c r="C2483" s="3" t="s">
        <v>99</v>
      </c>
      <c r="D2483" s="4" t="s">
        <v>254</v>
      </c>
      <c r="E2483" s="4" t="s">
        <v>3</v>
      </c>
      <c r="F2483" s="4">
        <v>2006</v>
      </c>
      <c r="G2483" s="9"/>
      <c r="H2483" s="4" t="s">
        <v>3</v>
      </c>
      <c r="I2483" s="8">
        <v>8.4</v>
      </c>
      <c r="J2483" s="3">
        <v>10553</v>
      </c>
      <c r="K2483" s="3">
        <v>50112</v>
      </c>
      <c r="L2483" s="17" t="str" cm="1">
        <f t="array" ref="L2483">_xlfn.IFS(MID(K2483,2,2)="01", "서울", MID(K2483,2,2)="02","경기",MID(K2483,2,2)="03","충청",MID(K2483,2,2)="04","충청",MID(K2483,2,2)="05","전라",MID(K2483,2,2)="06","전라",MID(K2483,2,2)="07","경북",MID(K2483,2,2)="08","경남",MID(K2483,2,2)="09","강원",MID(K2483,2,2)="10","제주",TRUE,"국외")</f>
        <v>서울</v>
      </c>
    </row>
    <row r="2484" spans="1:12" ht="17.25" thickBot="1">
      <c r="A2484" s="3" t="s">
        <v>2488</v>
      </c>
      <c r="B2484" s="3" t="s">
        <v>42</v>
      </c>
      <c r="C2484" s="3" t="s">
        <v>99</v>
      </c>
      <c r="D2484" s="4" t="s">
        <v>254</v>
      </c>
      <c r="E2484" s="4"/>
      <c r="F2484" s="4">
        <v>2006</v>
      </c>
      <c r="G2484" s="9"/>
      <c r="H2484" s="4" t="s">
        <v>9</v>
      </c>
      <c r="I2484" s="8">
        <v>-0.2</v>
      </c>
      <c r="J2484" s="3">
        <v>10255</v>
      </c>
      <c r="K2484" s="3">
        <v>50502</v>
      </c>
      <c r="L2484" s="17" t="str" cm="1">
        <f t="array" ref="L2484">_xlfn.IFS(MID(K2484,2,2)="01", "서울", MID(K2484,2,2)="02","경기",MID(K2484,2,2)="03","충청",MID(K2484,2,2)="04","충청",MID(K2484,2,2)="05","전라",MID(K2484,2,2)="06","전라",MID(K2484,2,2)="07","경북",MID(K2484,2,2)="08","경남",MID(K2484,2,2)="09","강원",MID(K2484,2,2)="10","제주",TRUE,"국외")</f>
        <v>전라</v>
      </c>
    </row>
    <row r="2485" spans="1:12" ht="17.25" thickBot="1">
      <c r="A2485" s="3" t="s">
        <v>2489</v>
      </c>
      <c r="B2485" s="3" t="s">
        <v>34</v>
      </c>
      <c r="C2485" s="3" t="s">
        <v>538</v>
      </c>
      <c r="D2485" s="4" t="s">
        <v>254</v>
      </c>
      <c r="E2485" s="4" t="s">
        <v>23</v>
      </c>
      <c r="F2485" s="4">
        <v>2006</v>
      </c>
      <c r="G2485" s="9"/>
      <c r="H2485" s="4" t="s">
        <v>23</v>
      </c>
      <c r="I2485" s="8">
        <v>1</v>
      </c>
      <c r="J2485" s="3">
        <v>10378</v>
      </c>
      <c r="K2485" s="3">
        <v>50701</v>
      </c>
      <c r="L2485" s="17" t="str" cm="1">
        <f t="array" ref="L2485">_xlfn.IFS(MID(K2485,2,2)="01", "서울", MID(K2485,2,2)="02","경기",MID(K2485,2,2)="03","충청",MID(K2485,2,2)="04","충청",MID(K2485,2,2)="05","전라",MID(K2485,2,2)="06","전라",MID(K2485,2,2)="07","경북",MID(K2485,2,2)="08","경남",MID(K2485,2,2)="09","강원",MID(K2485,2,2)="10","제주",TRUE,"국외")</f>
        <v>경북</v>
      </c>
    </row>
    <row r="2486" spans="1:12" ht="17.25" thickBot="1">
      <c r="A2486" s="3" t="s">
        <v>2490</v>
      </c>
      <c r="B2486" s="3" t="s">
        <v>2491</v>
      </c>
      <c r="C2486" s="3" t="s">
        <v>1347</v>
      </c>
      <c r="D2486" s="4" t="s">
        <v>254</v>
      </c>
      <c r="E2486" s="4" t="s">
        <v>6</v>
      </c>
      <c r="F2486" s="4">
        <v>2002</v>
      </c>
      <c r="G2486" s="8">
        <v>0</v>
      </c>
      <c r="H2486" s="4" t="s">
        <v>6</v>
      </c>
      <c r="I2486" s="8">
        <v>-0.1</v>
      </c>
      <c r="J2486" s="3">
        <f>2243</f>
        <v>2243</v>
      </c>
      <c r="K2486" s="3">
        <v>50608</v>
      </c>
      <c r="L2486" s="17" t="str" cm="1">
        <f t="array" ref="L2486">_xlfn.IFS(MID(K2486,2,2)="01", "서울", MID(K2486,2,2)="02","경기",MID(K2486,2,2)="03","충청",MID(K2486,2,2)="04","충청",MID(K2486,2,2)="05","전라",MID(K2486,2,2)="06","전라",MID(K2486,2,2)="07","경북",MID(K2486,2,2)="08","경남",MID(K2486,2,2)="09","강원",MID(K2486,2,2)="10","제주",TRUE,"국외")</f>
        <v>전라</v>
      </c>
    </row>
    <row r="2487" spans="1:12" ht="17.25" thickBot="1">
      <c r="A2487" s="3" t="s">
        <v>2492</v>
      </c>
      <c r="B2487" s="3" t="s">
        <v>22</v>
      </c>
      <c r="C2487" s="3" t="s">
        <v>208</v>
      </c>
      <c r="D2487" s="4" t="s">
        <v>254</v>
      </c>
      <c r="E2487" s="4" t="s">
        <v>607</v>
      </c>
      <c r="F2487" s="4">
        <v>2006</v>
      </c>
      <c r="G2487" s="9"/>
      <c r="H2487" s="4" t="s">
        <v>607</v>
      </c>
      <c r="I2487" s="8">
        <v>0.2</v>
      </c>
      <c r="J2487" s="3">
        <v>10150</v>
      </c>
      <c r="K2487" s="3">
        <v>50209</v>
      </c>
      <c r="L2487" s="17" t="str" cm="1">
        <f t="array" ref="L2487">_xlfn.IFS(MID(K2487,2,2)="01", "서울", MID(K2487,2,2)="02","경기",MID(K2487,2,2)="03","충청",MID(K2487,2,2)="04","충청",MID(K2487,2,2)="05","전라",MID(K2487,2,2)="06","전라",MID(K2487,2,2)="07","경북",MID(K2487,2,2)="08","경남",MID(K2487,2,2)="09","강원",MID(K2487,2,2)="10","제주",TRUE,"국외")</f>
        <v>경기</v>
      </c>
    </row>
    <row r="2488" spans="1:12" ht="17.25" thickBot="1">
      <c r="A2488" s="3" t="s">
        <v>2493</v>
      </c>
      <c r="B2488" s="3" t="s">
        <v>158</v>
      </c>
      <c r="C2488" s="3"/>
      <c r="D2488" s="4" t="s">
        <v>254</v>
      </c>
      <c r="E2488" s="4" t="s">
        <v>9</v>
      </c>
      <c r="F2488" s="4">
        <v>2002</v>
      </c>
      <c r="G2488" s="8">
        <v>0</v>
      </c>
      <c r="H2488" s="4" t="s">
        <v>9</v>
      </c>
      <c r="I2488" s="8">
        <v>3.7</v>
      </c>
      <c r="J2488" s="3">
        <v>10240</v>
      </c>
      <c r="K2488" s="3">
        <v>50501</v>
      </c>
      <c r="L2488" s="17" t="str" cm="1">
        <f t="array" ref="L2488">_xlfn.IFS(MID(K2488,2,2)="01", "서울", MID(K2488,2,2)="02","경기",MID(K2488,2,2)="03","충청",MID(K2488,2,2)="04","충청",MID(K2488,2,2)="05","전라",MID(K2488,2,2)="06","전라",MID(K2488,2,2)="07","경북",MID(K2488,2,2)="08","경남",MID(K2488,2,2)="09","강원",MID(K2488,2,2)="10","제주",TRUE,"국외")</f>
        <v>전라</v>
      </c>
    </row>
    <row r="2489" spans="1:12" ht="17.25" thickBot="1">
      <c r="A2489" s="3" t="s">
        <v>2494</v>
      </c>
      <c r="B2489" s="3" t="s">
        <v>78</v>
      </c>
      <c r="C2489" s="3" t="s">
        <v>133</v>
      </c>
      <c r="D2489" s="4" t="s">
        <v>254</v>
      </c>
      <c r="E2489" s="4" t="s">
        <v>3</v>
      </c>
      <c r="F2489" s="4">
        <v>2006</v>
      </c>
      <c r="G2489" s="9"/>
      <c r="H2489" s="4" t="s">
        <v>3</v>
      </c>
      <c r="I2489" s="8">
        <v>14.9</v>
      </c>
      <c r="J2489" s="3">
        <v>10555</v>
      </c>
      <c r="K2489" s="3">
        <v>50401</v>
      </c>
      <c r="L2489" s="17" t="str" cm="1">
        <f t="array" ref="L2489">_xlfn.IFS(MID(K2489,2,2)="01", "서울", MID(K2489,2,2)="02","경기",MID(K2489,2,2)="03","충청",MID(K2489,2,2)="04","충청",MID(K2489,2,2)="05","전라",MID(K2489,2,2)="06","전라",MID(K2489,2,2)="07","경북",MID(K2489,2,2)="08","경남",MID(K2489,2,2)="09","강원",MID(K2489,2,2)="10","제주",TRUE,"국외")</f>
        <v>충청</v>
      </c>
    </row>
    <row r="2490" spans="1:12" ht="17.25" thickBot="1">
      <c r="A2490" s="3" t="s">
        <v>2495</v>
      </c>
      <c r="B2490" s="3" t="s">
        <v>63</v>
      </c>
      <c r="C2490" s="3" t="s">
        <v>329</v>
      </c>
      <c r="D2490" s="4" t="s">
        <v>254</v>
      </c>
      <c r="E2490" s="4" t="s">
        <v>2164</v>
      </c>
      <c r="F2490" s="4">
        <v>2006</v>
      </c>
      <c r="G2490" s="9"/>
      <c r="H2490" s="4" t="s">
        <v>23</v>
      </c>
      <c r="I2490" s="8">
        <v>31.6</v>
      </c>
      <c r="J2490" s="3">
        <v>10375</v>
      </c>
      <c r="K2490" s="3">
        <v>50807</v>
      </c>
      <c r="L2490" s="17" t="str" cm="1">
        <f t="array" ref="L2490">_xlfn.IFS(MID(K2490,2,2)="01", "서울", MID(K2490,2,2)="02","경기",MID(K2490,2,2)="03","충청",MID(K2490,2,2)="04","충청",MID(K2490,2,2)="05","전라",MID(K2490,2,2)="06","전라",MID(K2490,2,2)="07","경북",MID(K2490,2,2)="08","경남",MID(K2490,2,2)="09","강원",MID(K2490,2,2)="10","제주",TRUE,"국외")</f>
        <v>경남</v>
      </c>
    </row>
    <row r="2491" spans="1:12" ht="17.25" thickBot="1">
      <c r="A2491" s="3" t="s">
        <v>2496</v>
      </c>
      <c r="B2491" s="3" t="s">
        <v>25</v>
      </c>
      <c r="C2491" s="3" t="s">
        <v>99</v>
      </c>
      <c r="D2491" s="4" t="s">
        <v>254</v>
      </c>
      <c r="E2491" s="4"/>
      <c r="F2491" s="4">
        <v>2011</v>
      </c>
      <c r="G2491" s="9"/>
      <c r="H2491" s="4" t="s">
        <v>3</v>
      </c>
      <c r="I2491" s="8">
        <v>-0.6</v>
      </c>
      <c r="J2491" s="3">
        <v>10697</v>
      </c>
      <c r="K2491" s="3">
        <v>50403</v>
      </c>
      <c r="L2491" s="17" t="str" cm="1">
        <f t="array" ref="L2491">_xlfn.IFS(MID(K2491,2,2)="01", "서울", MID(K2491,2,2)="02","경기",MID(K2491,2,2)="03","충청",MID(K2491,2,2)="04","충청",MID(K2491,2,2)="05","전라",MID(K2491,2,2)="06","전라",MID(K2491,2,2)="07","경북",MID(K2491,2,2)="08","경남",MID(K2491,2,2)="09","강원",MID(K2491,2,2)="10","제주",TRUE,"국외")</f>
        <v>충청</v>
      </c>
    </row>
    <row r="2492" spans="1:12" ht="17.25" thickBot="1">
      <c r="A2492" s="3" t="s">
        <v>2497</v>
      </c>
      <c r="B2492" s="3" t="s">
        <v>93</v>
      </c>
      <c r="C2492" s="3" t="s">
        <v>45</v>
      </c>
      <c r="D2492" s="4" t="s">
        <v>254</v>
      </c>
      <c r="E2492" s="4" t="s">
        <v>9</v>
      </c>
      <c r="F2492" s="4">
        <v>2002</v>
      </c>
      <c r="G2492" s="8">
        <v>-0.2</v>
      </c>
      <c r="H2492" s="4" t="s">
        <v>9</v>
      </c>
      <c r="I2492" s="8">
        <v>-0.2</v>
      </c>
      <c r="J2492" s="3">
        <f>2259</f>
        <v>2259</v>
      </c>
      <c r="K2492" s="3">
        <v>50805</v>
      </c>
      <c r="L2492" s="17" t="str" cm="1">
        <f t="array" ref="L2492">_xlfn.IFS(MID(K2492,2,2)="01", "서울", MID(K2492,2,2)="02","경기",MID(K2492,2,2)="03","충청",MID(K2492,2,2)="04","충청",MID(K2492,2,2)="05","전라",MID(K2492,2,2)="06","전라",MID(K2492,2,2)="07","경북",MID(K2492,2,2)="08","경남",MID(K2492,2,2)="09","강원",MID(K2492,2,2)="10","제주",TRUE,"국외")</f>
        <v>경남</v>
      </c>
    </row>
    <row r="2493" spans="1:12" ht="17.25" thickBot="1">
      <c r="A2493" s="3" t="s">
        <v>2498</v>
      </c>
      <c r="B2493" s="3" t="s">
        <v>1791</v>
      </c>
      <c r="C2493" s="3" t="s">
        <v>221</v>
      </c>
      <c r="D2493" s="4" t="s">
        <v>254</v>
      </c>
      <c r="E2493" s="4" t="s">
        <v>3</v>
      </c>
      <c r="F2493" s="4">
        <v>2006</v>
      </c>
      <c r="G2493" s="9"/>
      <c r="H2493" s="4" t="s">
        <v>3</v>
      </c>
      <c r="I2493" s="8">
        <v>1.2</v>
      </c>
      <c r="J2493" s="3">
        <v>10571</v>
      </c>
      <c r="K2493" s="3">
        <v>50303</v>
      </c>
      <c r="L2493" s="17" t="str" cm="1">
        <f t="array" ref="L2493">_xlfn.IFS(MID(K2493,2,2)="01", "서울", MID(K2493,2,2)="02","경기",MID(K2493,2,2)="03","충청",MID(K2493,2,2)="04","충청",MID(K2493,2,2)="05","전라",MID(K2493,2,2)="06","전라",MID(K2493,2,2)="07","경북",MID(K2493,2,2)="08","경남",MID(K2493,2,2)="09","강원",MID(K2493,2,2)="10","제주",TRUE,"국외")</f>
        <v>충청</v>
      </c>
    </row>
    <row r="2494" spans="1:12" ht="17.25" thickBot="1">
      <c r="A2494" s="3" t="s">
        <v>2499</v>
      </c>
      <c r="B2494" s="3"/>
      <c r="C2494" s="3"/>
      <c r="D2494" s="4" t="s">
        <v>181</v>
      </c>
      <c r="E2494" s="4" t="s">
        <v>6</v>
      </c>
      <c r="F2494" s="4">
        <v>2002</v>
      </c>
      <c r="G2494" s="8">
        <v>5.9</v>
      </c>
      <c r="H2494" s="4" t="s">
        <v>6</v>
      </c>
      <c r="I2494" s="8">
        <v>10.3</v>
      </c>
      <c r="J2494" s="3">
        <f>2266</f>
        <v>2266</v>
      </c>
      <c r="K2494" s="3"/>
      <c r="L2494" s="17" t="str" cm="1">
        <f t="array" ref="L2494">_xlfn.IFS(MID(K2494,2,2)="01", "서울", MID(K2494,2,2)="02","경기",MID(K2494,2,2)="03","충청",MID(K2494,2,2)="04","충청",MID(K2494,2,2)="05","전라",MID(K2494,2,2)="06","전라",MID(K2494,2,2)="07","경북",MID(K2494,2,2)="08","경남",MID(K2494,2,2)="09","강원",MID(K2494,2,2)="10","제주",TRUE,"국외")</f>
        <v>국외</v>
      </c>
    </row>
    <row r="2495" spans="1:12" ht="17.25" thickBot="1">
      <c r="A2495" s="3" t="s">
        <v>2500</v>
      </c>
      <c r="B2495" s="3"/>
      <c r="C2495" s="3"/>
      <c r="D2495" s="4" t="s">
        <v>181</v>
      </c>
      <c r="E2495" s="4" t="s">
        <v>6</v>
      </c>
      <c r="F2495" s="4">
        <v>2002</v>
      </c>
      <c r="G2495" s="8">
        <v>0.1</v>
      </c>
      <c r="H2495" s="4" t="s">
        <v>6</v>
      </c>
      <c r="I2495" s="8">
        <v>0.1</v>
      </c>
      <c r="J2495" s="3">
        <f>2231</f>
        <v>2231</v>
      </c>
      <c r="K2495" s="3"/>
      <c r="L2495" s="17" t="str" cm="1">
        <f t="array" ref="L2495">_xlfn.IFS(MID(K2495,2,2)="01", "서울", MID(K2495,2,2)="02","경기",MID(K2495,2,2)="03","충청",MID(K2495,2,2)="04","충청",MID(K2495,2,2)="05","전라",MID(K2495,2,2)="06","전라",MID(K2495,2,2)="07","경북",MID(K2495,2,2)="08","경남",MID(K2495,2,2)="09","강원",MID(K2495,2,2)="10","제주",TRUE,"국외")</f>
        <v>국외</v>
      </c>
    </row>
    <row r="2496" spans="1:12" ht="17.25" thickBot="1">
      <c r="A2496" s="3" t="s">
        <v>2201</v>
      </c>
      <c r="B2496" s="3"/>
      <c r="C2496" s="3"/>
      <c r="D2496" s="4" t="s">
        <v>181</v>
      </c>
      <c r="E2496" s="4" t="s">
        <v>6</v>
      </c>
      <c r="F2496" s="4">
        <v>2002</v>
      </c>
      <c r="G2496" s="8">
        <v>6.2</v>
      </c>
      <c r="H2496" s="4" t="s">
        <v>6</v>
      </c>
      <c r="I2496" s="8">
        <v>34.700000000000003</v>
      </c>
      <c r="J2496" s="3">
        <f>2254</f>
        <v>2254</v>
      </c>
      <c r="K2496" s="3"/>
      <c r="L2496" s="17" t="str" cm="1">
        <f t="array" ref="L2496">_xlfn.IFS(MID(K2496,2,2)="01", "서울", MID(K2496,2,2)="02","경기",MID(K2496,2,2)="03","충청",MID(K2496,2,2)="04","충청",MID(K2496,2,2)="05","전라",MID(K2496,2,2)="06","전라",MID(K2496,2,2)="07","경북",MID(K2496,2,2)="08","경남",MID(K2496,2,2)="09","강원",MID(K2496,2,2)="10","제주",TRUE,"국외")</f>
        <v>국외</v>
      </c>
    </row>
    <row r="2497" spans="1:12" ht="17.25" thickBot="1">
      <c r="A2497" s="3" t="s">
        <v>2501</v>
      </c>
      <c r="B2497" s="3"/>
      <c r="C2497" s="3"/>
      <c r="D2497" s="4" t="s">
        <v>181</v>
      </c>
      <c r="E2497" s="4" t="s">
        <v>6</v>
      </c>
      <c r="F2497" s="4">
        <v>2002</v>
      </c>
      <c r="G2497" s="8">
        <v>0.7</v>
      </c>
      <c r="H2497" s="4" t="s">
        <v>6</v>
      </c>
      <c r="I2497" s="8">
        <v>0.7</v>
      </c>
      <c r="J2497" s="3">
        <f>2247</f>
        <v>2247</v>
      </c>
      <c r="K2497" s="3"/>
      <c r="L2497" s="17" t="str" cm="1">
        <f t="array" ref="L2497">_xlfn.IFS(MID(K2497,2,2)="01", "서울", MID(K2497,2,2)="02","경기",MID(K2497,2,2)="03","충청",MID(K2497,2,2)="04","충청",MID(K2497,2,2)="05","전라",MID(K2497,2,2)="06","전라",MID(K2497,2,2)="07","경북",MID(K2497,2,2)="08","경남",MID(K2497,2,2)="09","강원",MID(K2497,2,2)="10","제주",TRUE,"국외")</f>
        <v>국외</v>
      </c>
    </row>
    <row r="2498" spans="1:12" ht="17.25" thickBot="1">
      <c r="A2498" s="3" t="s">
        <v>2502</v>
      </c>
      <c r="B2498" s="3"/>
      <c r="C2498" s="3"/>
      <c r="D2498" s="4" t="s">
        <v>181</v>
      </c>
      <c r="E2498" s="4" t="s">
        <v>20</v>
      </c>
      <c r="F2498" s="4">
        <v>2002</v>
      </c>
      <c r="G2498" s="8">
        <v>2.2000000000000002</v>
      </c>
      <c r="H2498" s="4" t="s">
        <v>20</v>
      </c>
      <c r="I2498" s="8">
        <v>2.2000000000000002</v>
      </c>
      <c r="J2498" s="3">
        <f>2255</f>
        <v>2255</v>
      </c>
      <c r="K2498" s="3"/>
      <c r="L2498" s="17" t="str" cm="1">
        <f t="array" ref="L2498">_xlfn.IFS(MID(K2498,2,2)="01", "서울", MID(K2498,2,2)="02","경기",MID(K2498,2,2)="03","충청",MID(K2498,2,2)="04","충청",MID(K2498,2,2)="05","전라",MID(K2498,2,2)="06","전라",MID(K2498,2,2)="07","경북",MID(K2498,2,2)="08","경남",MID(K2498,2,2)="09","강원",MID(K2498,2,2)="10","제주",TRUE,"국외")</f>
        <v>국외</v>
      </c>
    </row>
    <row r="2499" spans="1:12" ht="17.25" thickBot="1">
      <c r="A2499" s="3" t="s">
        <v>2503</v>
      </c>
      <c r="B2499" s="3"/>
      <c r="C2499" s="3"/>
      <c r="D2499" s="4" t="s">
        <v>181</v>
      </c>
      <c r="E2499" s="4" t="s">
        <v>20</v>
      </c>
      <c r="F2499" s="4">
        <v>2002</v>
      </c>
      <c r="G2499" s="8">
        <v>0.2</v>
      </c>
      <c r="H2499" s="4" t="s">
        <v>20</v>
      </c>
      <c r="I2499" s="8">
        <v>0.2</v>
      </c>
      <c r="J2499" s="3">
        <f>2265</f>
        <v>2265</v>
      </c>
      <c r="K2499" s="3"/>
      <c r="L2499" s="17" t="str" cm="1">
        <f t="array" ref="L2499">_xlfn.IFS(MID(K2499,2,2)="01", "서울", MID(K2499,2,2)="02","경기",MID(K2499,2,2)="03","충청",MID(K2499,2,2)="04","충청",MID(K2499,2,2)="05","전라",MID(K2499,2,2)="06","전라",MID(K2499,2,2)="07","경북",MID(K2499,2,2)="08","경남",MID(K2499,2,2)="09","강원",MID(K2499,2,2)="10","제주",TRUE,"국외")</f>
        <v>국외</v>
      </c>
    </row>
    <row r="2500" spans="1:12" ht="17.25" thickBot="1">
      <c r="A2500" s="3" t="s">
        <v>2504</v>
      </c>
      <c r="B2500" s="3"/>
      <c r="C2500" s="3"/>
      <c r="D2500" s="4" t="s">
        <v>181</v>
      </c>
      <c r="E2500" s="4" t="s">
        <v>607</v>
      </c>
      <c r="F2500" s="4">
        <v>2002</v>
      </c>
      <c r="G2500" s="8">
        <v>1.5</v>
      </c>
      <c r="H2500" s="4" t="s">
        <v>607</v>
      </c>
      <c r="I2500" s="8">
        <v>1.5</v>
      </c>
      <c r="J2500" s="3">
        <f>2253</f>
        <v>2253</v>
      </c>
      <c r="K2500" s="3"/>
      <c r="L2500" s="17" t="str" cm="1">
        <f t="array" ref="L2500">_xlfn.IFS(MID(K2500,2,2)="01", "서울", MID(K2500,2,2)="02","경기",MID(K2500,2,2)="03","충청",MID(K2500,2,2)="04","충청",MID(K2500,2,2)="05","전라",MID(K2500,2,2)="06","전라",MID(K2500,2,2)="07","경북",MID(K2500,2,2)="08","경남",MID(K2500,2,2)="09","강원",MID(K2500,2,2)="10","제주",TRUE,"국외")</f>
        <v>국외</v>
      </c>
    </row>
    <row r="2501" spans="1:12" ht="17.25" thickBot="1">
      <c r="A2501" s="3" t="s">
        <v>876</v>
      </c>
      <c r="B2501" s="3"/>
      <c r="C2501" s="3"/>
      <c r="D2501" s="4" t="s">
        <v>181</v>
      </c>
      <c r="E2501" s="4" t="s">
        <v>607</v>
      </c>
      <c r="F2501" s="4">
        <v>2002</v>
      </c>
      <c r="G2501" s="8">
        <v>6.1</v>
      </c>
      <c r="H2501" s="4" t="s">
        <v>607</v>
      </c>
      <c r="I2501" s="8">
        <v>6.1</v>
      </c>
      <c r="J2501" s="3">
        <f>2246</f>
        <v>2246</v>
      </c>
      <c r="K2501" s="3"/>
      <c r="L2501" s="17" t="str" cm="1">
        <f t="array" ref="L2501">_xlfn.IFS(MID(K2501,2,2)="01", "서울", MID(K2501,2,2)="02","경기",MID(K2501,2,2)="03","충청",MID(K2501,2,2)="04","충청",MID(K2501,2,2)="05","전라",MID(K2501,2,2)="06","전라",MID(K2501,2,2)="07","경북",MID(K2501,2,2)="08","경남",MID(K2501,2,2)="09","강원",MID(K2501,2,2)="10","제주",TRUE,"국외")</f>
        <v>국외</v>
      </c>
    </row>
    <row r="2502" spans="1:12" ht="17.25" thickBot="1">
      <c r="A2502" s="3" t="s">
        <v>2505</v>
      </c>
      <c r="B2502" s="3"/>
      <c r="C2502" s="3"/>
      <c r="D2502" s="4" t="s">
        <v>181</v>
      </c>
      <c r="E2502" s="4" t="s">
        <v>607</v>
      </c>
      <c r="F2502" s="4">
        <v>2002</v>
      </c>
      <c r="G2502" s="8">
        <v>1.4</v>
      </c>
      <c r="H2502" s="4" t="s">
        <v>607</v>
      </c>
      <c r="I2502" s="8">
        <v>1.4</v>
      </c>
      <c r="J2502" s="3">
        <f>2241</f>
        <v>2241</v>
      </c>
      <c r="K2502" s="3"/>
      <c r="L2502" s="17" t="str" cm="1">
        <f t="array" ref="L2502">_xlfn.IFS(MID(K2502,2,2)="01", "서울", MID(K2502,2,2)="02","경기",MID(K2502,2,2)="03","충청",MID(K2502,2,2)="04","충청",MID(K2502,2,2)="05","전라",MID(K2502,2,2)="06","전라",MID(K2502,2,2)="07","경북",MID(K2502,2,2)="08","경남",MID(K2502,2,2)="09","강원",MID(K2502,2,2)="10","제주",TRUE,"국외")</f>
        <v>국외</v>
      </c>
    </row>
    <row r="2503" spans="1:12" ht="17.25" thickBot="1">
      <c r="A2503" s="3" t="s">
        <v>2506</v>
      </c>
      <c r="B2503" s="3"/>
      <c r="C2503" s="3"/>
      <c r="D2503" s="4" t="s">
        <v>181</v>
      </c>
      <c r="E2503" s="4" t="s">
        <v>9</v>
      </c>
      <c r="F2503" s="4">
        <v>2002</v>
      </c>
      <c r="G2503" s="8">
        <v>0.8</v>
      </c>
      <c r="H2503" s="4" t="s">
        <v>9</v>
      </c>
      <c r="I2503" s="8">
        <v>0.8</v>
      </c>
      <c r="J2503" s="3">
        <f>2256</f>
        <v>2256</v>
      </c>
      <c r="K2503" s="3"/>
      <c r="L2503" s="17" t="str" cm="1">
        <f t="array" ref="L2503">_xlfn.IFS(MID(K2503,2,2)="01", "서울", MID(K2503,2,2)="02","경기",MID(K2503,2,2)="03","충청",MID(K2503,2,2)="04","충청",MID(K2503,2,2)="05","전라",MID(K2503,2,2)="06","전라",MID(K2503,2,2)="07","경북",MID(K2503,2,2)="08","경남",MID(K2503,2,2)="09","강원",MID(K2503,2,2)="10","제주",TRUE,"국외")</f>
        <v>국외</v>
      </c>
    </row>
    <row r="2504" spans="1:12" ht="17.25" thickBot="1">
      <c r="A2504" s="3" t="s">
        <v>2507</v>
      </c>
      <c r="B2504" s="3"/>
      <c r="C2504" s="3"/>
      <c r="D2504" s="4" t="s">
        <v>181</v>
      </c>
      <c r="E2504" s="4" t="s">
        <v>9</v>
      </c>
      <c r="F2504" s="4">
        <v>2002</v>
      </c>
      <c r="G2504" s="8">
        <v>-0.7</v>
      </c>
      <c r="H2504" s="4" t="s">
        <v>9</v>
      </c>
      <c r="I2504" s="8">
        <v>-0.7</v>
      </c>
      <c r="J2504" s="3">
        <f>2250</f>
        <v>2250</v>
      </c>
      <c r="K2504" s="3"/>
      <c r="L2504" s="17" t="str" cm="1">
        <f t="array" ref="L2504">_xlfn.IFS(MID(K2504,2,2)="01", "서울", MID(K2504,2,2)="02","경기",MID(K2504,2,2)="03","충청",MID(K2504,2,2)="04","충청",MID(K2504,2,2)="05","전라",MID(K2504,2,2)="06","전라",MID(K2504,2,2)="07","경북",MID(K2504,2,2)="08","경남",MID(K2504,2,2)="09","강원",MID(K2504,2,2)="10","제주",TRUE,"국외")</f>
        <v>국외</v>
      </c>
    </row>
    <row r="2505" spans="1:12" ht="17.25" thickBot="1">
      <c r="A2505" s="3" t="s">
        <v>2508</v>
      </c>
      <c r="B2505" s="3"/>
      <c r="C2505" s="3"/>
      <c r="D2505" s="4" t="s">
        <v>181</v>
      </c>
      <c r="E2505" s="4" t="s">
        <v>9</v>
      </c>
      <c r="F2505" s="4">
        <v>2002</v>
      </c>
      <c r="G2505" s="8">
        <v>-0.4</v>
      </c>
      <c r="H2505" s="4" t="s">
        <v>9</v>
      </c>
      <c r="I2505" s="8">
        <v>-0.4</v>
      </c>
      <c r="J2505" s="3">
        <f>2234</f>
        <v>2234</v>
      </c>
      <c r="K2505" s="3"/>
      <c r="L2505" s="17" t="str" cm="1">
        <f t="array" ref="L2505">_xlfn.IFS(MID(K2505,2,2)="01", "서울", MID(K2505,2,2)="02","경기",MID(K2505,2,2)="03","충청",MID(K2505,2,2)="04","충청",MID(K2505,2,2)="05","전라",MID(K2505,2,2)="06","전라",MID(K2505,2,2)="07","경북",MID(K2505,2,2)="08","경남",MID(K2505,2,2)="09","강원",MID(K2505,2,2)="10","제주",TRUE,"국외")</f>
        <v>국외</v>
      </c>
    </row>
    <row r="2506" spans="1:12" ht="17.25" thickBot="1">
      <c r="A2506" s="3" t="s">
        <v>2509</v>
      </c>
      <c r="B2506" s="3"/>
      <c r="C2506" s="3"/>
      <c r="D2506" s="4" t="s">
        <v>181</v>
      </c>
      <c r="E2506" s="4" t="s">
        <v>23</v>
      </c>
      <c r="F2506" s="4">
        <v>2002</v>
      </c>
      <c r="G2506" s="8">
        <v>0.3</v>
      </c>
      <c r="H2506" s="4" t="s">
        <v>23</v>
      </c>
      <c r="I2506" s="8">
        <v>0.3</v>
      </c>
      <c r="J2506" s="3">
        <f>2268</f>
        <v>2268</v>
      </c>
      <c r="K2506" s="3"/>
      <c r="L2506" s="17" t="str" cm="1">
        <f t="array" ref="L2506">_xlfn.IFS(MID(K2506,2,2)="01", "서울", MID(K2506,2,2)="02","경기",MID(K2506,2,2)="03","충청",MID(K2506,2,2)="04","충청",MID(K2506,2,2)="05","전라",MID(K2506,2,2)="06","전라",MID(K2506,2,2)="07","경북",MID(K2506,2,2)="08","경남",MID(K2506,2,2)="09","강원",MID(K2506,2,2)="10","제주",TRUE,"국외")</f>
        <v>국외</v>
      </c>
    </row>
    <row r="2507" spans="1:12" ht="17.25" thickBot="1">
      <c r="A2507" s="3" t="s">
        <v>2510</v>
      </c>
      <c r="B2507" s="3"/>
      <c r="C2507" s="3"/>
      <c r="D2507" s="4" t="s">
        <v>181</v>
      </c>
      <c r="E2507" s="4" t="s">
        <v>23</v>
      </c>
      <c r="F2507" s="4">
        <v>2002</v>
      </c>
      <c r="G2507" s="8">
        <v>5.0999999999999996</v>
      </c>
      <c r="H2507" s="4" t="s">
        <v>23</v>
      </c>
      <c r="I2507" s="8">
        <v>5</v>
      </c>
      <c r="J2507" s="3">
        <f>2260</f>
        <v>2260</v>
      </c>
      <c r="K2507" s="3"/>
      <c r="L2507" s="17" t="str" cm="1">
        <f t="array" ref="L2507">_xlfn.IFS(MID(K2507,2,2)="01", "서울", MID(K2507,2,2)="02","경기",MID(K2507,2,2)="03","충청",MID(K2507,2,2)="04","충청",MID(K2507,2,2)="05","전라",MID(K2507,2,2)="06","전라",MID(K2507,2,2)="07","경북",MID(K2507,2,2)="08","경남",MID(K2507,2,2)="09","강원",MID(K2507,2,2)="10","제주",TRUE,"국외")</f>
        <v>국외</v>
      </c>
    </row>
    <row r="2508" spans="1:12" ht="17.25" thickBot="1">
      <c r="A2508" s="3" t="s">
        <v>385</v>
      </c>
      <c r="B2508" s="3"/>
      <c r="C2508" s="3"/>
      <c r="D2508" s="4" t="s">
        <v>181</v>
      </c>
      <c r="E2508" s="4" t="s">
        <v>3</v>
      </c>
      <c r="F2508" s="4">
        <v>2002</v>
      </c>
      <c r="G2508" s="8">
        <v>0.4</v>
      </c>
      <c r="H2508" s="4" t="s">
        <v>3</v>
      </c>
      <c r="I2508" s="8">
        <v>0.4</v>
      </c>
      <c r="J2508" s="3">
        <f>2225</f>
        <v>2225</v>
      </c>
      <c r="K2508" s="3"/>
      <c r="L2508" s="17" t="str" cm="1">
        <f t="array" ref="L2508">_xlfn.IFS(MID(K2508,2,2)="01", "서울", MID(K2508,2,2)="02","경기",MID(K2508,2,2)="03","충청",MID(K2508,2,2)="04","충청",MID(K2508,2,2)="05","전라",MID(K2508,2,2)="06","전라",MID(K2508,2,2)="07","경북",MID(K2508,2,2)="08","경남",MID(K2508,2,2)="09","강원",MID(K2508,2,2)="10","제주",TRUE,"국외")</f>
        <v>국외</v>
      </c>
    </row>
    <row r="2509" spans="1:12" ht="17.25" thickBot="1">
      <c r="A2509" s="3" t="s">
        <v>2511</v>
      </c>
      <c r="B2509" s="3"/>
      <c r="C2509" s="3"/>
      <c r="D2509" s="4" t="s">
        <v>181</v>
      </c>
      <c r="E2509" s="4" t="s">
        <v>3</v>
      </c>
      <c r="F2509" s="4">
        <v>2002</v>
      </c>
      <c r="G2509" s="8">
        <v>2.9</v>
      </c>
      <c r="H2509" s="4" t="s">
        <v>3</v>
      </c>
      <c r="I2509" s="8">
        <v>4.5</v>
      </c>
      <c r="J2509" s="3">
        <f>2269</f>
        <v>2269</v>
      </c>
      <c r="K2509" s="3"/>
      <c r="L2509" s="17" t="str" cm="1">
        <f t="array" ref="L2509">_xlfn.IFS(MID(K2509,2,2)="01", "서울", MID(K2509,2,2)="02","경기",MID(K2509,2,2)="03","충청",MID(K2509,2,2)="04","충청",MID(K2509,2,2)="05","전라",MID(K2509,2,2)="06","전라",MID(K2509,2,2)="07","경북",MID(K2509,2,2)="08","경남",MID(K2509,2,2)="09","강원",MID(K2509,2,2)="10","제주",TRUE,"국외")</f>
        <v>국외</v>
      </c>
    </row>
    <row r="2510" spans="1:12" ht="17.25" thickBot="1">
      <c r="A2510" s="3" t="s">
        <v>2512</v>
      </c>
      <c r="B2510" s="3"/>
      <c r="C2510" s="3"/>
      <c r="D2510" s="4" t="s">
        <v>181</v>
      </c>
      <c r="E2510" s="4" t="s">
        <v>2164</v>
      </c>
      <c r="F2510" s="4">
        <v>2002</v>
      </c>
      <c r="G2510" s="8">
        <v>1.7</v>
      </c>
      <c r="H2510" s="4" t="s">
        <v>2164</v>
      </c>
      <c r="I2510" s="8">
        <v>1.7</v>
      </c>
      <c r="J2510" s="3">
        <f>2248</f>
        <v>2248</v>
      </c>
      <c r="K2510" s="3"/>
      <c r="L2510" s="17" t="str" cm="1">
        <f t="array" ref="L2510">_xlfn.IFS(MID(K2510,2,2)="01", "서울", MID(K2510,2,2)="02","경기",MID(K2510,2,2)="03","충청",MID(K2510,2,2)="04","충청",MID(K2510,2,2)="05","전라",MID(K2510,2,2)="06","전라",MID(K2510,2,2)="07","경북",MID(K2510,2,2)="08","경남",MID(K2510,2,2)="09","강원",MID(K2510,2,2)="10","제주",TRUE,"국외")</f>
        <v>국외</v>
      </c>
    </row>
    <row r="2511" spans="1:12" ht="17.25" thickBot="1">
      <c r="A2511" s="3" t="s">
        <v>2513</v>
      </c>
      <c r="B2511" s="3"/>
      <c r="C2511" s="3"/>
      <c r="D2511" s="4" t="s">
        <v>181</v>
      </c>
      <c r="E2511" s="4" t="s">
        <v>2164</v>
      </c>
      <c r="F2511" s="4">
        <v>2002</v>
      </c>
      <c r="G2511" s="8">
        <v>2.9</v>
      </c>
      <c r="H2511" s="4" t="s">
        <v>2164</v>
      </c>
      <c r="I2511" s="8">
        <v>3.8</v>
      </c>
      <c r="J2511" s="3">
        <f>2249</f>
        <v>2249</v>
      </c>
      <c r="K2511" s="3"/>
      <c r="L2511" s="17" t="str" cm="1">
        <f t="array" ref="L2511">_xlfn.IFS(MID(K2511,2,2)="01", "서울", MID(K2511,2,2)="02","경기",MID(K2511,2,2)="03","충청",MID(K2511,2,2)="04","충청",MID(K2511,2,2)="05","전라",MID(K2511,2,2)="06","전라",MID(K2511,2,2)="07","경북",MID(K2511,2,2)="08","경남",MID(K2511,2,2)="09","강원",MID(K2511,2,2)="10","제주",TRUE,"국외")</f>
        <v>국외</v>
      </c>
    </row>
    <row r="2512" spans="1:12" ht="17.25" thickBot="1">
      <c r="A2512" s="3" t="s">
        <v>2514</v>
      </c>
      <c r="B2512" s="3"/>
      <c r="C2512" s="3"/>
      <c r="D2512" s="4" t="s">
        <v>181</v>
      </c>
      <c r="E2512" s="4" t="s">
        <v>2164</v>
      </c>
      <c r="F2512" s="4">
        <v>2002</v>
      </c>
      <c r="G2512" s="8">
        <v>-1.5</v>
      </c>
      <c r="H2512" s="4" t="s">
        <v>2164</v>
      </c>
      <c r="I2512" s="8">
        <v>-1.5</v>
      </c>
      <c r="J2512" s="3">
        <f>2257</f>
        <v>2257</v>
      </c>
      <c r="K2512" s="3"/>
      <c r="L2512" s="17" t="str" cm="1">
        <f t="array" ref="L2512">_xlfn.IFS(MID(K2512,2,2)="01", "서울", MID(K2512,2,2)="02","경기",MID(K2512,2,2)="03","충청",MID(K2512,2,2)="04","충청",MID(K2512,2,2)="05","전라",MID(K2512,2,2)="06","전라",MID(K2512,2,2)="07","경북",MID(K2512,2,2)="08","경남",MID(K2512,2,2)="09","강원",MID(K2512,2,2)="10","제주",TRUE,"국외")</f>
        <v>국외</v>
      </c>
    </row>
    <row r="2513" spans="1:12" ht="17.25" thickBot="1">
      <c r="A2513" s="3" t="s">
        <v>2515</v>
      </c>
      <c r="B2513" s="3"/>
      <c r="C2513" s="3"/>
      <c r="D2513" s="4" t="s">
        <v>181</v>
      </c>
      <c r="E2513" s="4" t="s">
        <v>2164</v>
      </c>
      <c r="F2513" s="4">
        <v>2002</v>
      </c>
      <c r="G2513" s="8">
        <v>2</v>
      </c>
      <c r="H2513" s="4" t="s">
        <v>2164</v>
      </c>
      <c r="I2513" s="8">
        <v>2</v>
      </c>
      <c r="J2513" s="3">
        <f>2267</f>
        <v>2267</v>
      </c>
      <c r="K2513" s="3"/>
      <c r="L2513" s="17" t="str" cm="1">
        <f t="array" ref="L2513">_xlfn.IFS(MID(K2513,2,2)="01", "서울", MID(K2513,2,2)="02","경기",MID(K2513,2,2)="03","충청",MID(K2513,2,2)="04","충청",MID(K2513,2,2)="05","전라",MID(K2513,2,2)="06","전라",MID(K2513,2,2)="07","경북",MID(K2513,2,2)="08","경남",MID(K2513,2,2)="09","강원",MID(K2513,2,2)="10","제주",TRUE,"국외")</f>
        <v>국외</v>
      </c>
    </row>
    <row r="2514" spans="1:12" ht="17.25" thickBot="1">
      <c r="A2514" s="3" t="s">
        <v>2516</v>
      </c>
      <c r="B2514" s="3"/>
      <c r="C2514" s="3"/>
      <c r="D2514" s="4" t="s">
        <v>181</v>
      </c>
      <c r="E2514" s="4" t="s">
        <v>20</v>
      </c>
      <c r="F2514" s="4">
        <v>2002</v>
      </c>
      <c r="G2514" s="8">
        <v>-0.2</v>
      </c>
      <c r="H2514" s="4" t="s">
        <v>20</v>
      </c>
      <c r="I2514" s="8">
        <v>-0.3</v>
      </c>
      <c r="J2514" s="3">
        <f>2238</f>
        <v>2238</v>
      </c>
      <c r="K2514" s="3"/>
      <c r="L2514" s="17" t="str" cm="1">
        <f t="array" ref="L2514">_xlfn.IFS(MID(K2514,2,2)="01", "서울", MID(K2514,2,2)="02","경기",MID(K2514,2,2)="03","충청",MID(K2514,2,2)="04","충청",MID(K2514,2,2)="05","전라",MID(K2514,2,2)="06","전라",MID(K2514,2,2)="07","경북",MID(K2514,2,2)="08","경남",MID(K2514,2,2)="09","강원",MID(K2514,2,2)="10","제주",TRUE,"국외")</f>
        <v>국외</v>
      </c>
    </row>
    <row r="2515" spans="1:12" ht="17.25" thickBot="1">
      <c r="A2515" s="3" t="s">
        <v>2517</v>
      </c>
      <c r="B2515" s="3" t="s">
        <v>8</v>
      </c>
      <c r="C2515" s="3" t="s">
        <v>208</v>
      </c>
      <c r="D2515" s="4" t="s">
        <v>1777</v>
      </c>
      <c r="E2515" s="4" t="s">
        <v>20</v>
      </c>
      <c r="F2515" s="4">
        <v>2003</v>
      </c>
      <c r="G2515" s="9"/>
      <c r="H2515" s="4" t="s">
        <v>20</v>
      </c>
      <c r="I2515" s="8">
        <v>-0.9</v>
      </c>
      <c r="J2515" s="3">
        <v>10489</v>
      </c>
      <c r="K2515" s="3">
        <v>50116</v>
      </c>
      <c r="L2515" s="17" t="str" cm="1">
        <f t="array" ref="L2515">_xlfn.IFS(MID(K2515,2,2)="01", "서울", MID(K2515,2,2)="02","경기",MID(K2515,2,2)="03","충청",MID(K2515,2,2)="04","충청",MID(K2515,2,2)="05","전라",MID(K2515,2,2)="06","전라",MID(K2515,2,2)="07","경북",MID(K2515,2,2)="08","경남",MID(K2515,2,2)="09","강원",MID(K2515,2,2)="10","제주",TRUE,"국외")</f>
        <v>서울</v>
      </c>
    </row>
    <row r="2516" spans="1:12" ht="17.25" thickBot="1">
      <c r="A2516" s="3" t="s">
        <v>2518</v>
      </c>
      <c r="B2516" s="3" t="s">
        <v>145</v>
      </c>
      <c r="C2516" s="3" t="s">
        <v>211</v>
      </c>
      <c r="D2516" s="4" t="s">
        <v>1777</v>
      </c>
      <c r="E2516" s="4" t="s">
        <v>9</v>
      </c>
      <c r="F2516" s="4">
        <v>2002</v>
      </c>
      <c r="G2516" s="8">
        <v>-0.3</v>
      </c>
      <c r="H2516" s="4" t="s">
        <v>9</v>
      </c>
      <c r="I2516" s="8">
        <v>-1.2</v>
      </c>
      <c r="J2516" s="3">
        <f>2258</f>
        <v>2258</v>
      </c>
      <c r="K2516" s="3">
        <v>50106</v>
      </c>
      <c r="L2516" s="17" t="str" cm="1">
        <f t="array" ref="L2516">_xlfn.IFS(MID(K2516,2,2)="01", "서울", MID(K2516,2,2)="02","경기",MID(K2516,2,2)="03","충청",MID(K2516,2,2)="04","충청",MID(K2516,2,2)="05","전라",MID(K2516,2,2)="06","전라",MID(K2516,2,2)="07","경북",MID(K2516,2,2)="08","경남",MID(K2516,2,2)="09","강원",MID(K2516,2,2)="10","제주",TRUE,"국외")</f>
        <v>서울</v>
      </c>
    </row>
    <row r="2517" spans="1:12" ht="17.25" thickBot="1">
      <c r="A2517" s="3" t="s">
        <v>2519</v>
      </c>
      <c r="B2517" s="3" t="s">
        <v>8</v>
      </c>
      <c r="C2517" s="3" t="s">
        <v>45</v>
      </c>
      <c r="D2517" s="4" t="s">
        <v>1777</v>
      </c>
      <c r="E2517" s="4" t="s">
        <v>23</v>
      </c>
      <c r="F2517" s="4">
        <v>2002</v>
      </c>
      <c r="G2517" s="8">
        <v>-0.1</v>
      </c>
      <c r="H2517" s="4" t="s">
        <v>23</v>
      </c>
      <c r="I2517" s="8">
        <v>-0.1</v>
      </c>
      <c r="J2517" s="3">
        <f>2232</f>
        <v>2232</v>
      </c>
      <c r="K2517" s="3">
        <v>50116</v>
      </c>
      <c r="L2517" s="17" t="str" cm="1">
        <f t="array" ref="L2517">_xlfn.IFS(MID(K2517,2,2)="01", "서울", MID(K2517,2,2)="02","경기",MID(K2517,2,2)="03","충청",MID(K2517,2,2)="04","충청",MID(K2517,2,2)="05","전라",MID(K2517,2,2)="06","전라",MID(K2517,2,2)="07","경북",MID(K2517,2,2)="08","경남",MID(K2517,2,2)="09","강원",MID(K2517,2,2)="10","제주",TRUE,"국외")</f>
        <v>서울</v>
      </c>
    </row>
    <row r="2518" spans="1:12" ht="17.25" thickBot="1">
      <c r="A2518" s="3" t="s">
        <v>2520</v>
      </c>
      <c r="B2518" s="3" t="s">
        <v>241</v>
      </c>
      <c r="C2518" s="3"/>
      <c r="D2518" s="4" t="s">
        <v>1777</v>
      </c>
      <c r="E2518" s="4" t="s">
        <v>2164</v>
      </c>
      <c r="F2518" s="4">
        <v>2002</v>
      </c>
      <c r="G2518" s="8">
        <v>0</v>
      </c>
      <c r="H2518" s="4" t="s">
        <v>2164</v>
      </c>
      <c r="I2518" s="8">
        <v>0</v>
      </c>
      <c r="J2518" s="3">
        <f>2264</f>
        <v>2264</v>
      </c>
      <c r="K2518" s="3">
        <v>50202</v>
      </c>
      <c r="L2518" s="17" t="str" cm="1">
        <f t="array" ref="L2518">_xlfn.IFS(MID(K2518,2,2)="01", "서울", MID(K2518,2,2)="02","경기",MID(K2518,2,2)="03","충청",MID(K2518,2,2)="04","충청",MID(K2518,2,2)="05","전라",MID(K2518,2,2)="06","전라",MID(K2518,2,2)="07","경북",MID(K2518,2,2)="08","경남",MID(K2518,2,2)="09","강원",MID(K2518,2,2)="10","제주",TRUE,"국외")</f>
        <v>경기</v>
      </c>
    </row>
    <row r="2519" spans="1:12" ht="17.25" thickBot="1">
      <c r="A2519" s="3" t="s">
        <v>2521</v>
      </c>
      <c r="B2519" s="3" t="s">
        <v>8</v>
      </c>
      <c r="C2519" s="3" t="s">
        <v>122</v>
      </c>
      <c r="D2519" s="4" t="s">
        <v>205</v>
      </c>
      <c r="E2519" s="4" t="s">
        <v>607</v>
      </c>
      <c r="F2519" s="4">
        <v>2002</v>
      </c>
      <c r="G2519" s="8">
        <v>0.2</v>
      </c>
      <c r="H2519" s="4" t="s">
        <v>607</v>
      </c>
      <c r="I2519" s="8">
        <v>-0.2</v>
      </c>
      <c r="J2519" s="3">
        <f>2228</f>
        <v>2228</v>
      </c>
      <c r="K2519" s="3">
        <v>50116</v>
      </c>
      <c r="L2519" s="17" t="str" cm="1">
        <f t="array" ref="L2519">_xlfn.IFS(MID(K2519,2,2)="01", "서울", MID(K2519,2,2)="02","경기",MID(K2519,2,2)="03","충청",MID(K2519,2,2)="04","충청",MID(K2519,2,2)="05","전라",MID(K2519,2,2)="06","전라",MID(K2519,2,2)="07","경북",MID(K2519,2,2)="08","경남",MID(K2519,2,2)="09","강원",MID(K2519,2,2)="10","제주",TRUE,"국외")</f>
        <v>서울</v>
      </c>
    </row>
    <row r="2520" spans="1:12" ht="17.25" thickBot="1">
      <c r="A2520" s="3" t="s">
        <v>2522</v>
      </c>
      <c r="B2520" s="3" t="s">
        <v>107</v>
      </c>
      <c r="C2520" s="3"/>
      <c r="D2520" s="4" t="s">
        <v>243</v>
      </c>
      <c r="E2520" s="4" t="s">
        <v>2523</v>
      </c>
      <c r="F2520" s="4">
        <v>2001</v>
      </c>
      <c r="G2520" s="8">
        <v>0</v>
      </c>
      <c r="H2520" s="4" t="s">
        <v>6</v>
      </c>
      <c r="I2520" s="8">
        <v>1.3</v>
      </c>
      <c r="J2520" s="3">
        <f>2219</f>
        <v>2219</v>
      </c>
      <c r="K2520" s="3">
        <v>50602</v>
      </c>
      <c r="L2520" s="17" t="str" cm="1">
        <f t="array" ref="L2520">_xlfn.IFS(MID(K2520,2,2)="01", "서울", MID(K2520,2,2)="02","경기",MID(K2520,2,2)="03","충청",MID(K2520,2,2)="04","충청",MID(K2520,2,2)="05","전라",MID(K2520,2,2)="06","전라",MID(K2520,2,2)="07","경북",MID(K2520,2,2)="08","경남",MID(K2520,2,2)="09","강원",MID(K2520,2,2)="10","제주",TRUE,"국외")</f>
        <v>전라</v>
      </c>
    </row>
    <row r="2521" spans="1:12" ht="17.25" thickBot="1">
      <c r="A2521" s="3" t="s">
        <v>1851</v>
      </c>
      <c r="B2521" s="3" t="s">
        <v>2524</v>
      </c>
      <c r="C2521" s="3"/>
      <c r="D2521" s="4" t="s">
        <v>243</v>
      </c>
      <c r="E2521" s="4" t="s">
        <v>23</v>
      </c>
      <c r="F2521" s="4">
        <v>2001</v>
      </c>
      <c r="G2521" s="8">
        <v>0.3</v>
      </c>
      <c r="H2521" s="4" t="s">
        <v>23</v>
      </c>
      <c r="I2521" s="8">
        <v>-0.6</v>
      </c>
      <c r="J2521" s="3">
        <v>10450</v>
      </c>
      <c r="K2521" s="3">
        <v>50711</v>
      </c>
      <c r="L2521" s="17" t="str" cm="1">
        <f t="array" ref="L2521">_xlfn.IFS(MID(K2521,2,2)="01", "서울", MID(K2521,2,2)="02","경기",MID(K2521,2,2)="03","충청",MID(K2521,2,2)="04","충청",MID(K2521,2,2)="05","전라",MID(K2521,2,2)="06","전라",MID(K2521,2,2)="07","경북",MID(K2521,2,2)="08","경남",MID(K2521,2,2)="09","강원",MID(K2521,2,2)="10","제주",TRUE,"국외")</f>
        <v>경북</v>
      </c>
    </row>
    <row r="2522" spans="1:12" ht="17.25" thickBot="1">
      <c r="A2522" s="3" t="s">
        <v>2343</v>
      </c>
      <c r="B2522" s="3" t="s">
        <v>68</v>
      </c>
      <c r="C2522" s="3"/>
      <c r="D2522" s="4" t="s">
        <v>243</v>
      </c>
      <c r="E2522" s="4" t="s">
        <v>20</v>
      </c>
      <c r="F2522" s="4">
        <v>2001</v>
      </c>
      <c r="G2522" s="8">
        <v>0.5</v>
      </c>
      <c r="H2522" s="4" t="s">
        <v>20</v>
      </c>
      <c r="I2522" s="8">
        <v>21.1</v>
      </c>
      <c r="J2522" s="3">
        <v>10524</v>
      </c>
      <c r="K2522" s="3">
        <v>50101</v>
      </c>
      <c r="L2522" s="17" t="str" cm="1">
        <f t="array" ref="L2522">_xlfn.IFS(MID(K2522,2,2)="01", "서울", MID(K2522,2,2)="02","경기",MID(K2522,2,2)="03","충청",MID(K2522,2,2)="04","충청",MID(K2522,2,2)="05","전라",MID(K2522,2,2)="06","전라",MID(K2522,2,2)="07","경북",MID(K2522,2,2)="08","경남",MID(K2522,2,2)="09","강원",MID(K2522,2,2)="10","제주",TRUE,"국외")</f>
        <v>서울</v>
      </c>
    </row>
    <row r="2523" spans="1:12" ht="17.25" thickBot="1">
      <c r="A2523" s="3" t="s">
        <v>2525</v>
      </c>
      <c r="B2523" s="3" t="s">
        <v>241</v>
      </c>
      <c r="C2523" s="3"/>
      <c r="D2523" s="4" t="s">
        <v>243</v>
      </c>
      <c r="E2523" s="4" t="s">
        <v>607</v>
      </c>
      <c r="F2523" s="4">
        <v>2001</v>
      </c>
      <c r="G2523" s="8">
        <v>0.2</v>
      </c>
      <c r="H2523" s="4" t="s">
        <v>607</v>
      </c>
      <c r="I2523" s="8">
        <v>11.9</v>
      </c>
      <c r="J2523" s="3">
        <v>10083</v>
      </c>
      <c r="K2523" s="3">
        <v>50202</v>
      </c>
      <c r="L2523" s="17" t="str" cm="1">
        <f t="array" ref="L2523">_xlfn.IFS(MID(K2523,2,2)="01", "서울", MID(K2523,2,2)="02","경기",MID(K2523,2,2)="03","충청",MID(K2523,2,2)="04","충청",MID(K2523,2,2)="05","전라",MID(K2523,2,2)="06","전라",MID(K2523,2,2)="07","경북",MID(K2523,2,2)="08","경남",MID(K2523,2,2)="09","강원",MID(K2523,2,2)="10","제주",TRUE,"국외")</f>
        <v>경기</v>
      </c>
    </row>
    <row r="2524" spans="1:12" ht="17.25" thickBot="1">
      <c r="A2524" s="3" t="s">
        <v>2526</v>
      </c>
      <c r="B2524" s="3" t="s">
        <v>25</v>
      </c>
      <c r="C2524" s="3" t="s">
        <v>2221</v>
      </c>
      <c r="D2524" s="4" t="s">
        <v>243</v>
      </c>
      <c r="E2524" s="4" t="s">
        <v>3</v>
      </c>
      <c r="F2524" s="4">
        <v>2001</v>
      </c>
      <c r="G2524" s="8">
        <v>3.9</v>
      </c>
      <c r="H2524" s="4" t="s">
        <v>3</v>
      </c>
      <c r="I2524" s="8">
        <v>67.400000000000006</v>
      </c>
      <c r="J2524" s="3">
        <v>10552</v>
      </c>
      <c r="K2524" s="3">
        <v>50403</v>
      </c>
      <c r="L2524" s="17" t="str" cm="1">
        <f t="array" ref="L2524">_xlfn.IFS(MID(K2524,2,2)="01", "서울", MID(K2524,2,2)="02","경기",MID(K2524,2,2)="03","충청",MID(K2524,2,2)="04","충청",MID(K2524,2,2)="05","전라",MID(K2524,2,2)="06","전라",MID(K2524,2,2)="07","경북",MID(K2524,2,2)="08","경남",MID(K2524,2,2)="09","강원",MID(K2524,2,2)="10","제주",TRUE,"국외")</f>
        <v>충청</v>
      </c>
    </row>
    <row r="2525" spans="1:12" ht="17.25" thickBot="1">
      <c r="A2525" s="3" t="s">
        <v>1435</v>
      </c>
      <c r="B2525" s="3" t="s">
        <v>351</v>
      </c>
      <c r="C2525" s="3" t="s">
        <v>2527</v>
      </c>
      <c r="D2525" s="4" t="s">
        <v>254</v>
      </c>
      <c r="E2525" s="4" t="s">
        <v>26</v>
      </c>
      <c r="F2525" s="4">
        <v>2001</v>
      </c>
      <c r="G2525" s="8">
        <v>0.5</v>
      </c>
      <c r="H2525" s="4" t="s">
        <v>26</v>
      </c>
      <c r="I2525" s="8">
        <v>11.9</v>
      </c>
      <c r="J2525" s="3">
        <v>10198</v>
      </c>
      <c r="K2525" s="3">
        <v>50203</v>
      </c>
      <c r="L2525" s="17" t="str" cm="1">
        <f t="array" ref="L2525">_xlfn.IFS(MID(K2525,2,2)="01", "서울", MID(K2525,2,2)="02","경기",MID(K2525,2,2)="03","충청",MID(K2525,2,2)="04","충청",MID(K2525,2,2)="05","전라",MID(K2525,2,2)="06","전라",MID(K2525,2,2)="07","경북",MID(K2525,2,2)="08","경남",MID(K2525,2,2)="09","강원",MID(K2525,2,2)="10","제주",TRUE,"국외")</f>
        <v>경기</v>
      </c>
    </row>
    <row r="2526" spans="1:12" ht="17.25" thickBot="1">
      <c r="A2526" s="3" t="s">
        <v>2528</v>
      </c>
      <c r="B2526" s="3" t="s">
        <v>464</v>
      </c>
      <c r="C2526" s="3" t="s">
        <v>1796</v>
      </c>
      <c r="D2526" s="4" t="s">
        <v>254</v>
      </c>
      <c r="E2526" s="4" t="s">
        <v>9</v>
      </c>
      <c r="F2526" s="4">
        <v>2002</v>
      </c>
      <c r="G2526" s="9"/>
      <c r="H2526" s="4" t="s">
        <v>26</v>
      </c>
      <c r="I2526" s="8">
        <v>19.3</v>
      </c>
      <c r="J2526" s="3">
        <v>10183</v>
      </c>
      <c r="K2526" s="3">
        <v>50706</v>
      </c>
      <c r="L2526" s="17" t="str" cm="1">
        <f t="array" ref="L2526">_xlfn.IFS(MID(K2526,2,2)="01", "서울", MID(K2526,2,2)="02","경기",MID(K2526,2,2)="03","충청",MID(K2526,2,2)="04","충청",MID(K2526,2,2)="05","전라",MID(K2526,2,2)="06","전라",MID(K2526,2,2)="07","경북",MID(K2526,2,2)="08","경남",MID(K2526,2,2)="09","강원",MID(K2526,2,2)="10","제주",TRUE,"국외")</f>
        <v>경북</v>
      </c>
    </row>
    <row r="2527" spans="1:12" ht="17.25" thickBot="1">
      <c r="A2527" s="3" t="s">
        <v>2529</v>
      </c>
      <c r="B2527" s="3" t="s">
        <v>40</v>
      </c>
      <c r="C2527" s="3"/>
      <c r="D2527" s="4" t="s">
        <v>254</v>
      </c>
      <c r="E2527" s="4" t="s">
        <v>2523</v>
      </c>
      <c r="F2527" s="4">
        <v>2001</v>
      </c>
      <c r="G2527" s="8">
        <v>-0.5</v>
      </c>
      <c r="H2527" s="4" t="s">
        <v>6</v>
      </c>
      <c r="I2527" s="8">
        <v>-0.5</v>
      </c>
      <c r="J2527" s="3">
        <f>2193</f>
        <v>2193</v>
      </c>
      <c r="K2527" s="3">
        <v>50108</v>
      </c>
      <c r="L2527" s="17" t="str" cm="1">
        <f t="array" ref="L2527">_xlfn.IFS(MID(K2527,2,2)="01", "서울", MID(K2527,2,2)="02","경기",MID(K2527,2,2)="03","충청",MID(K2527,2,2)="04","충청",MID(K2527,2,2)="05","전라",MID(K2527,2,2)="06","전라",MID(K2527,2,2)="07","경북",MID(K2527,2,2)="08","경남",MID(K2527,2,2)="09","강원",MID(K2527,2,2)="10","제주",TRUE,"국외")</f>
        <v>서울</v>
      </c>
    </row>
    <row r="2528" spans="1:12" ht="17.25" thickBot="1">
      <c r="A2528" s="3" t="s">
        <v>2530</v>
      </c>
      <c r="B2528" s="3" t="s">
        <v>66</v>
      </c>
      <c r="C2528" s="3"/>
      <c r="D2528" s="4" t="s">
        <v>254</v>
      </c>
      <c r="E2528" s="4" t="s">
        <v>20</v>
      </c>
      <c r="F2528" s="4">
        <v>2001</v>
      </c>
      <c r="G2528" s="8">
        <v>0.1</v>
      </c>
      <c r="H2528" s="4" t="s">
        <v>20</v>
      </c>
      <c r="I2528" s="8">
        <v>-0.6</v>
      </c>
      <c r="J2528" s="3">
        <f>2203</f>
        <v>2203</v>
      </c>
      <c r="K2528" s="3">
        <v>50110</v>
      </c>
      <c r="L2528" s="17" t="str" cm="1">
        <f t="array" ref="L2528">_xlfn.IFS(MID(K2528,2,2)="01", "서울", MID(K2528,2,2)="02","경기",MID(K2528,2,2)="03","충청",MID(K2528,2,2)="04","충청",MID(K2528,2,2)="05","전라",MID(K2528,2,2)="06","전라",MID(K2528,2,2)="07","경북",MID(K2528,2,2)="08","경남",MID(K2528,2,2)="09","강원",MID(K2528,2,2)="10","제주",TRUE,"국외")</f>
        <v>서울</v>
      </c>
    </row>
    <row r="2529" spans="1:12" ht="17.25" thickBot="1">
      <c r="A2529" s="3" t="s">
        <v>2531</v>
      </c>
      <c r="B2529" s="3" t="s">
        <v>464</v>
      </c>
      <c r="C2529" s="3"/>
      <c r="D2529" s="4" t="s">
        <v>254</v>
      </c>
      <c r="E2529" s="4" t="s">
        <v>607</v>
      </c>
      <c r="F2529" s="4">
        <v>2001</v>
      </c>
      <c r="G2529" s="8">
        <v>-0.6</v>
      </c>
      <c r="H2529" s="4" t="s">
        <v>6</v>
      </c>
      <c r="I2529" s="8">
        <v>-1.4</v>
      </c>
      <c r="J2529" s="3">
        <v>10045</v>
      </c>
      <c r="K2529" s="3">
        <v>50706</v>
      </c>
      <c r="L2529" s="17" t="str" cm="1">
        <f t="array" ref="L2529">_xlfn.IFS(MID(K2529,2,2)="01", "서울", MID(K2529,2,2)="02","경기",MID(K2529,2,2)="03","충청",MID(K2529,2,2)="04","충청",MID(K2529,2,2)="05","전라",MID(K2529,2,2)="06","전라",MID(K2529,2,2)="07","경북",MID(K2529,2,2)="08","경남",MID(K2529,2,2)="09","강원",MID(K2529,2,2)="10","제주",TRUE,"국외")</f>
        <v>경북</v>
      </c>
    </row>
    <row r="2530" spans="1:12" ht="17.25" thickBot="1">
      <c r="A2530" s="3" t="s">
        <v>2532</v>
      </c>
      <c r="B2530" s="3"/>
      <c r="C2530" s="3"/>
      <c r="D2530" s="4" t="s">
        <v>254</v>
      </c>
      <c r="E2530" s="4" t="s">
        <v>607</v>
      </c>
      <c r="F2530" s="4">
        <v>2002</v>
      </c>
      <c r="G2530" s="9"/>
      <c r="H2530" s="4" t="s">
        <v>607</v>
      </c>
      <c r="I2530" s="8">
        <v>0.5</v>
      </c>
      <c r="J2530" s="3">
        <f>2263</f>
        <v>2263</v>
      </c>
      <c r="K2530" s="3"/>
      <c r="L2530" s="17" t="str" cm="1">
        <f t="array" ref="L2530">_xlfn.IFS(MID(K2530,2,2)="01", "서울", MID(K2530,2,2)="02","경기",MID(K2530,2,2)="03","충청",MID(K2530,2,2)="04","충청",MID(K2530,2,2)="05","전라",MID(K2530,2,2)="06","전라",MID(K2530,2,2)="07","경북",MID(K2530,2,2)="08","경남",MID(K2530,2,2)="09","강원",MID(K2530,2,2)="10","제주",TRUE,"국외")</f>
        <v>국외</v>
      </c>
    </row>
    <row r="2531" spans="1:12" ht="17.25" thickBot="1">
      <c r="A2531" s="3" t="s">
        <v>2533</v>
      </c>
      <c r="B2531" s="3" t="s">
        <v>1834</v>
      </c>
      <c r="C2531" s="3"/>
      <c r="D2531" s="4" t="s">
        <v>254</v>
      </c>
      <c r="E2531" s="4" t="s">
        <v>607</v>
      </c>
      <c r="F2531" s="4">
        <v>2001</v>
      </c>
      <c r="G2531" s="8">
        <v>-0.1</v>
      </c>
      <c r="H2531" s="4" t="s">
        <v>607</v>
      </c>
      <c r="I2531" s="8">
        <v>-0.9</v>
      </c>
      <c r="J2531" s="3">
        <v>10088</v>
      </c>
      <c r="K2531" s="3">
        <v>50904</v>
      </c>
      <c r="L2531" s="17" t="str" cm="1">
        <f t="array" ref="L2531">_xlfn.IFS(MID(K2531,2,2)="01", "서울", MID(K2531,2,2)="02","경기",MID(K2531,2,2)="03","충청",MID(K2531,2,2)="04","충청",MID(K2531,2,2)="05","전라",MID(K2531,2,2)="06","전라",MID(K2531,2,2)="07","경북",MID(K2531,2,2)="08","경남",MID(K2531,2,2)="09","강원",MID(K2531,2,2)="10","제주",TRUE,"국외")</f>
        <v>강원</v>
      </c>
    </row>
    <row r="2532" spans="1:12" ht="17.25" thickBot="1">
      <c r="A2532" s="3" t="s">
        <v>2534</v>
      </c>
      <c r="B2532" s="3" t="s">
        <v>11</v>
      </c>
      <c r="C2532" s="3"/>
      <c r="D2532" s="4" t="s">
        <v>254</v>
      </c>
      <c r="E2532" s="4" t="s">
        <v>9</v>
      </c>
      <c r="F2532" s="4">
        <v>2001</v>
      </c>
      <c r="G2532" s="8">
        <v>0.2</v>
      </c>
      <c r="H2532" s="4" t="s">
        <v>9</v>
      </c>
      <c r="I2532" s="8">
        <v>52.1</v>
      </c>
      <c r="J2532" s="3">
        <v>10251</v>
      </c>
      <c r="K2532" s="3">
        <v>50802</v>
      </c>
      <c r="L2532" s="17" t="str" cm="1">
        <f t="array" ref="L2532">_xlfn.IFS(MID(K2532,2,2)="01", "서울", MID(K2532,2,2)="02","경기",MID(K2532,2,2)="03","충청",MID(K2532,2,2)="04","충청",MID(K2532,2,2)="05","전라",MID(K2532,2,2)="06","전라",MID(K2532,2,2)="07","경북",MID(K2532,2,2)="08","경남",MID(K2532,2,2)="09","강원",MID(K2532,2,2)="10","제주",TRUE,"국외")</f>
        <v>경남</v>
      </c>
    </row>
    <row r="2533" spans="1:12" ht="17.25" thickBot="1">
      <c r="A2533" s="3" t="s">
        <v>2535</v>
      </c>
      <c r="B2533" s="3" t="s">
        <v>335</v>
      </c>
      <c r="C2533" s="3"/>
      <c r="D2533" s="4" t="s">
        <v>254</v>
      </c>
      <c r="E2533" s="4" t="s">
        <v>23</v>
      </c>
      <c r="F2533" s="4">
        <v>2001</v>
      </c>
      <c r="G2533" s="8">
        <v>0.8</v>
      </c>
      <c r="H2533" s="4" t="s">
        <v>23</v>
      </c>
      <c r="I2533" s="8">
        <v>0.8</v>
      </c>
      <c r="J2533" s="3">
        <f>2192</f>
        <v>2192</v>
      </c>
      <c r="K2533" s="3">
        <v>50804</v>
      </c>
      <c r="L2533" s="17" t="str" cm="1">
        <f t="array" ref="L2533">_xlfn.IFS(MID(K2533,2,2)="01", "서울", MID(K2533,2,2)="02","경기",MID(K2533,2,2)="03","충청",MID(K2533,2,2)="04","충청",MID(K2533,2,2)="05","전라",MID(K2533,2,2)="06","전라",MID(K2533,2,2)="07","경북",MID(K2533,2,2)="08","경남",MID(K2533,2,2)="09","강원",MID(K2533,2,2)="10","제주",TRUE,"국외")</f>
        <v>경남</v>
      </c>
    </row>
    <row r="2534" spans="1:12" ht="17.25" thickBot="1">
      <c r="A2534" s="3" t="s">
        <v>2536</v>
      </c>
      <c r="B2534" s="3" t="s">
        <v>93</v>
      </c>
      <c r="C2534" s="3"/>
      <c r="D2534" s="4" t="s">
        <v>254</v>
      </c>
      <c r="E2534" s="4" t="s">
        <v>3</v>
      </c>
      <c r="F2534" s="4">
        <v>2001</v>
      </c>
      <c r="G2534" s="8">
        <v>0.1</v>
      </c>
      <c r="H2534" s="4" t="s">
        <v>3</v>
      </c>
      <c r="I2534" s="8">
        <v>0</v>
      </c>
      <c r="J2534" s="3">
        <v>10584</v>
      </c>
      <c r="K2534" s="3">
        <v>50805</v>
      </c>
      <c r="L2534" s="17" t="str" cm="1">
        <f t="array" ref="L2534">_xlfn.IFS(MID(K2534,2,2)="01", "서울", MID(K2534,2,2)="02","경기",MID(K2534,2,2)="03","충청",MID(K2534,2,2)="04","충청",MID(K2534,2,2)="05","전라",MID(K2534,2,2)="06","전라",MID(K2534,2,2)="07","경북",MID(K2534,2,2)="08","경남",MID(K2534,2,2)="09","강원",MID(K2534,2,2)="10","제주",TRUE,"국외")</f>
        <v>경남</v>
      </c>
    </row>
    <row r="2535" spans="1:12" ht="17.25" thickBot="1">
      <c r="A2535" s="3" t="s">
        <v>2537</v>
      </c>
      <c r="B2535" s="3" t="s">
        <v>11</v>
      </c>
      <c r="C2535" s="3"/>
      <c r="D2535" s="4" t="s">
        <v>254</v>
      </c>
      <c r="E2535" s="4" t="s">
        <v>2164</v>
      </c>
      <c r="F2535" s="4">
        <v>2001</v>
      </c>
      <c r="G2535" s="9"/>
      <c r="H2535" s="4" t="s">
        <v>18</v>
      </c>
      <c r="I2535" s="8">
        <v>2.9</v>
      </c>
      <c r="J2535" s="3">
        <v>10416</v>
      </c>
      <c r="K2535" s="3">
        <v>50802</v>
      </c>
      <c r="L2535" s="17" t="str" cm="1">
        <f t="array" ref="L2535">_xlfn.IFS(MID(K2535,2,2)="01", "서울", MID(K2535,2,2)="02","경기",MID(K2535,2,2)="03","충청",MID(K2535,2,2)="04","충청",MID(K2535,2,2)="05","전라",MID(K2535,2,2)="06","전라",MID(K2535,2,2)="07","경북",MID(K2535,2,2)="08","경남",MID(K2535,2,2)="09","강원",MID(K2535,2,2)="10","제주",TRUE,"국외")</f>
        <v>경남</v>
      </c>
    </row>
    <row r="2536" spans="1:12" ht="17.25" thickBot="1">
      <c r="A2536" s="3" t="s">
        <v>2538</v>
      </c>
      <c r="B2536" s="3" t="s">
        <v>1950</v>
      </c>
      <c r="C2536" s="3"/>
      <c r="D2536" s="4" t="s">
        <v>254</v>
      </c>
      <c r="E2536" s="4" t="s">
        <v>20</v>
      </c>
      <c r="F2536" s="4">
        <v>2006</v>
      </c>
      <c r="G2536" s="9"/>
      <c r="H2536" s="4" t="s">
        <v>20</v>
      </c>
      <c r="I2536" s="8">
        <v>0.4</v>
      </c>
      <c r="J2536" s="3">
        <f>2389</f>
        <v>2389</v>
      </c>
      <c r="K2536" s="3">
        <v>50115</v>
      </c>
      <c r="L2536" s="17" t="str" cm="1">
        <f t="array" ref="L2536">_xlfn.IFS(MID(K2536,2,2)="01", "서울", MID(K2536,2,2)="02","경기",MID(K2536,2,2)="03","충청",MID(K2536,2,2)="04","충청",MID(K2536,2,2)="05","전라",MID(K2536,2,2)="06","전라",MID(K2536,2,2)="07","경북",MID(K2536,2,2)="08","경남",MID(K2536,2,2)="09","강원",MID(K2536,2,2)="10","제주",TRUE,"국외")</f>
        <v>서울</v>
      </c>
    </row>
    <row r="2537" spans="1:12" ht="17.25" thickBot="1">
      <c r="A2537" s="3" t="s">
        <v>2539</v>
      </c>
      <c r="B2537" s="3" t="s">
        <v>34</v>
      </c>
      <c r="C2537" s="3"/>
      <c r="D2537" s="4" t="s">
        <v>254</v>
      </c>
      <c r="E2537" s="4" t="s">
        <v>607</v>
      </c>
      <c r="F2537" s="4">
        <v>2002</v>
      </c>
      <c r="G2537" s="9"/>
      <c r="H2537" s="4" t="s">
        <v>607</v>
      </c>
      <c r="I2537" s="8">
        <v>29.4</v>
      </c>
      <c r="J2537" s="3">
        <v>10108</v>
      </c>
      <c r="K2537" s="3">
        <v>50701</v>
      </c>
      <c r="L2537" s="17" t="str" cm="1">
        <f t="array" ref="L2537">_xlfn.IFS(MID(K2537,2,2)="01", "서울", MID(K2537,2,2)="02","경기",MID(K2537,2,2)="03","충청",MID(K2537,2,2)="04","충청",MID(K2537,2,2)="05","전라",MID(K2537,2,2)="06","전라",MID(K2537,2,2)="07","경북",MID(K2537,2,2)="08","경남",MID(K2537,2,2)="09","강원",MID(K2537,2,2)="10","제주",TRUE,"국외")</f>
        <v>경북</v>
      </c>
    </row>
    <row r="2538" spans="1:12" ht="17.25" thickBot="1">
      <c r="A2538" s="3" t="s">
        <v>2540</v>
      </c>
      <c r="B2538" s="3" t="s">
        <v>52</v>
      </c>
      <c r="C2538" s="3"/>
      <c r="D2538" s="4" t="s">
        <v>254</v>
      </c>
      <c r="E2538" s="4" t="s">
        <v>26</v>
      </c>
      <c r="F2538" s="4">
        <v>2001</v>
      </c>
      <c r="G2538" s="8">
        <v>-0.7</v>
      </c>
      <c r="H2538" s="4" t="s">
        <v>26</v>
      </c>
      <c r="I2538" s="8">
        <v>-0.5</v>
      </c>
      <c r="J2538" s="3">
        <f>2194</f>
        <v>2194</v>
      </c>
      <c r="K2538" s="3">
        <v>50803</v>
      </c>
      <c r="L2538" s="17" t="str" cm="1">
        <f t="array" ref="L2538">_xlfn.IFS(MID(K2538,2,2)="01", "서울", MID(K2538,2,2)="02","경기",MID(K2538,2,2)="03","충청",MID(K2538,2,2)="04","충청",MID(K2538,2,2)="05","전라",MID(K2538,2,2)="06","전라",MID(K2538,2,2)="07","경북",MID(K2538,2,2)="08","경남",MID(K2538,2,2)="09","강원",MID(K2538,2,2)="10","제주",TRUE,"국외")</f>
        <v>경남</v>
      </c>
    </row>
    <row r="2539" spans="1:12" ht="17.25" thickBot="1">
      <c r="A2539" s="3" t="s">
        <v>2541</v>
      </c>
      <c r="B2539" s="3" t="s">
        <v>140</v>
      </c>
      <c r="C2539" s="3"/>
      <c r="D2539" s="4" t="s">
        <v>254</v>
      </c>
      <c r="E2539" s="4" t="s">
        <v>9</v>
      </c>
      <c r="F2539" s="4">
        <v>2001</v>
      </c>
      <c r="G2539" s="8">
        <v>-0.3</v>
      </c>
      <c r="H2539" s="4" t="s">
        <v>9</v>
      </c>
      <c r="I2539" s="8">
        <v>0.1</v>
      </c>
      <c r="J2539" s="3">
        <v>11398</v>
      </c>
      <c r="K2539" s="3">
        <v>50801</v>
      </c>
      <c r="L2539" s="17" t="str" cm="1">
        <f t="array" ref="L2539">_xlfn.IFS(MID(K2539,2,2)="01", "서울", MID(K2539,2,2)="02","경기",MID(K2539,2,2)="03","충청",MID(K2539,2,2)="04","충청",MID(K2539,2,2)="05","전라",MID(K2539,2,2)="06","전라",MID(K2539,2,2)="07","경북",MID(K2539,2,2)="08","경남",MID(K2539,2,2)="09","강원",MID(K2539,2,2)="10","제주",TRUE,"국외")</f>
        <v>경남</v>
      </c>
    </row>
    <row r="2540" spans="1:12" ht="17.25" thickBot="1">
      <c r="A2540" s="3" t="s">
        <v>2542</v>
      </c>
      <c r="B2540" s="3" t="s">
        <v>358</v>
      </c>
      <c r="C2540" s="3" t="s">
        <v>208</v>
      </c>
      <c r="D2540" s="4" t="s">
        <v>254</v>
      </c>
      <c r="E2540" s="4" t="s">
        <v>23</v>
      </c>
      <c r="F2540" s="4">
        <v>2005</v>
      </c>
      <c r="G2540" s="9"/>
      <c r="H2540" s="4" t="s">
        <v>12</v>
      </c>
      <c r="I2540" s="8">
        <v>7</v>
      </c>
      <c r="J2540" s="3">
        <v>10330</v>
      </c>
      <c r="K2540" s="3">
        <v>50902</v>
      </c>
      <c r="L2540" s="17" t="str" cm="1">
        <f t="array" ref="L2540">_xlfn.IFS(MID(K2540,2,2)="01", "서울", MID(K2540,2,2)="02","경기",MID(K2540,2,2)="03","충청",MID(K2540,2,2)="04","충청",MID(K2540,2,2)="05","전라",MID(K2540,2,2)="06","전라",MID(K2540,2,2)="07","경북",MID(K2540,2,2)="08","경남",MID(K2540,2,2)="09","강원",MID(K2540,2,2)="10","제주",TRUE,"국외")</f>
        <v>강원</v>
      </c>
    </row>
    <row r="2541" spans="1:12" ht="17.25" thickBot="1">
      <c r="A2541" s="3" t="s">
        <v>2543</v>
      </c>
      <c r="B2541" s="3" t="s">
        <v>335</v>
      </c>
      <c r="C2541" s="3"/>
      <c r="D2541" s="4" t="s">
        <v>254</v>
      </c>
      <c r="E2541" s="4" t="s">
        <v>2523</v>
      </c>
      <c r="F2541" s="4">
        <v>2001</v>
      </c>
      <c r="G2541" s="8">
        <v>0.3</v>
      </c>
      <c r="H2541" s="4" t="s">
        <v>3</v>
      </c>
      <c r="I2541" s="8">
        <v>15.1</v>
      </c>
      <c r="J2541" s="3">
        <v>10028</v>
      </c>
      <c r="K2541" s="3">
        <v>50804</v>
      </c>
      <c r="L2541" s="17" t="str" cm="1">
        <f t="array" ref="L2541">_xlfn.IFS(MID(K2541,2,2)="01", "서울", MID(K2541,2,2)="02","경기",MID(K2541,2,2)="03","충청",MID(K2541,2,2)="04","충청",MID(K2541,2,2)="05","전라",MID(K2541,2,2)="06","전라",MID(K2541,2,2)="07","경북",MID(K2541,2,2)="08","경남",MID(K2541,2,2)="09","강원",MID(K2541,2,2)="10","제주",TRUE,"국외")</f>
        <v>경남</v>
      </c>
    </row>
    <row r="2542" spans="1:12" ht="17.25" thickBot="1">
      <c r="A2542" s="3" t="s">
        <v>2544</v>
      </c>
      <c r="B2542" s="3" t="s">
        <v>107</v>
      </c>
      <c r="C2542" s="3"/>
      <c r="D2542" s="4" t="s">
        <v>254</v>
      </c>
      <c r="E2542" s="4" t="s">
        <v>3</v>
      </c>
      <c r="F2542" s="4">
        <v>2004</v>
      </c>
      <c r="G2542" s="9"/>
      <c r="H2542" s="4" t="s">
        <v>3</v>
      </c>
      <c r="I2542" s="8">
        <v>-0.1</v>
      </c>
      <c r="J2542" s="3">
        <f>2331</f>
        <v>2331</v>
      </c>
      <c r="K2542" s="3">
        <v>50602</v>
      </c>
      <c r="L2542" s="17" t="str" cm="1">
        <f t="array" ref="L2542">_xlfn.IFS(MID(K2542,2,2)="01", "서울", MID(K2542,2,2)="02","경기",MID(K2542,2,2)="03","충청",MID(K2542,2,2)="04","충청",MID(K2542,2,2)="05","전라",MID(K2542,2,2)="06","전라",MID(K2542,2,2)="07","경북",MID(K2542,2,2)="08","경남",MID(K2542,2,2)="09","강원",MID(K2542,2,2)="10","제주",TRUE,"국외")</f>
        <v>전라</v>
      </c>
    </row>
    <row r="2543" spans="1:12" ht="17.25" thickBot="1">
      <c r="A2543" s="3" t="s">
        <v>2545</v>
      </c>
      <c r="B2543" s="3" t="s">
        <v>96</v>
      </c>
      <c r="C2543" s="3" t="s">
        <v>1347</v>
      </c>
      <c r="D2543" s="4" t="s">
        <v>254</v>
      </c>
      <c r="E2543" s="4" t="s">
        <v>607</v>
      </c>
      <c r="F2543" s="4">
        <v>2001</v>
      </c>
      <c r="G2543" s="8">
        <v>0</v>
      </c>
      <c r="H2543" s="4" t="s">
        <v>9</v>
      </c>
      <c r="I2543" s="8">
        <v>1.5</v>
      </c>
      <c r="J2543" s="3">
        <v>10242</v>
      </c>
      <c r="K2543" s="3">
        <v>50601</v>
      </c>
      <c r="L2543" s="17" t="str" cm="1">
        <f t="array" ref="L2543">_xlfn.IFS(MID(K2543,2,2)="01", "서울", MID(K2543,2,2)="02","경기",MID(K2543,2,2)="03","충청",MID(K2543,2,2)="04","충청",MID(K2543,2,2)="05","전라",MID(K2543,2,2)="06","전라",MID(K2543,2,2)="07","경북",MID(K2543,2,2)="08","경남",MID(K2543,2,2)="09","강원",MID(K2543,2,2)="10","제주",TRUE,"국외")</f>
        <v>전라</v>
      </c>
    </row>
    <row r="2544" spans="1:12" ht="17.25" thickBot="1">
      <c r="A2544" s="3" t="s">
        <v>2546</v>
      </c>
      <c r="B2544" s="3" t="s">
        <v>93</v>
      </c>
      <c r="C2544" s="3" t="s">
        <v>45</v>
      </c>
      <c r="D2544" s="4" t="s">
        <v>254</v>
      </c>
      <c r="E2544" s="4" t="s">
        <v>3</v>
      </c>
      <c r="F2544" s="4">
        <v>2001</v>
      </c>
      <c r="G2544" s="8">
        <v>-0.1</v>
      </c>
      <c r="H2544" s="4" t="s">
        <v>3</v>
      </c>
      <c r="I2544" s="8">
        <v>-0.1</v>
      </c>
      <c r="J2544" s="3">
        <f>2175</f>
        <v>2175</v>
      </c>
      <c r="K2544" s="3">
        <v>50805</v>
      </c>
      <c r="L2544" s="17" t="str" cm="1">
        <f t="array" ref="L2544">_xlfn.IFS(MID(K2544,2,2)="01", "서울", MID(K2544,2,2)="02","경기",MID(K2544,2,2)="03","충청",MID(K2544,2,2)="04","충청",MID(K2544,2,2)="05","전라",MID(K2544,2,2)="06","전라",MID(K2544,2,2)="07","경북",MID(K2544,2,2)="08","경남",MID(K2544,2,2)="09","강원",MID(K2544,2,2)="10","제주",TRUE,"국외")</f>
        <v>경남</v>
      </c>
    </row>
    <row r="2545" spans="1:12" ht="17.25" thickBot="1">
      <c r="A2545" s="3" t="s">
        <v>2547</v>
      </c>
      <c r="B2545" s="3" t="s">
        <v>93</v>
      </c>
      <c r="C2545" s="3" t="s">
        <v>119</v>
      </c>
      <c r="D2545" s="4" t="s">
        <v>254</v>
      </c>
      <c r="E2545" s="4" t="s">
        <v>2523</v>
      </c>
      <c r="F2545" s="4">
        <v>2001</v>
      </c>
      <c r="G2545" s="8">
        <v>-0.6</v>
      </c>
      <c r="H2545" s="4" t="s">
        <v>6</v>
      </c>
      <c r="I2545" s="8">
        <v>-0.6</v>
      </c>
      <c r="J2545" s="3">
        <f>2177</f>
        <v>2177</v>
      </c>
      <c r="K2545" s="3">
        <v>50805</v>
      </c>
      <c r="L2545" s="17" t="str" cm="1">
        <f t="array" ref="L2545">_xlfn.IFS(MID(K2545,2,2)="01", "서울", MID(K2545,2,2)="02","경기",MID(K2545,2,2)="03","충청",MID(K2545,2,2)="04","충청",MID(K2545,2,2)="05","전라",MID(K2545,2,2)="06","전라",MID(K2545,2,2)="07","경북",MID(K2545,2,2)="08","경남",MID(K2545,2,2)="09","강원",MID(K2545,2,2)="10","제주",TRUE,"국외")</f>
        <v>경남</v>
      </c>
    </row>
    <row r="2546" spans="1:12" ht="17.25" thickBot="1">
      <c r="A2546" s="3" t="s">
        <v>2548</v>
      </c>
      <c r="B2546" s="3" t="s">
        <v>14</v>
      </c>
      <c r="C2546" s="3" t="s">
        <v>538</v>
      </c>
      <c r="D2546" s="4" t="s">
        <v>254</v>
      </c>
      <c r="E2546" s="4" t="s">
        <v>2164</v>
      </c>
      <c r="F2546" s="4">
        <v>2005</v>
      </c>
      <c r="G2546" s="9"/>
      <c r="H2546" s="4" t="s">
        <v>18</v>
      </c>
      <c r="I2546" s="8">
        <v>26.3</v>
      </c>
      <c r="J2546" s="3">
        <v>10442</v>
      </c>
      <c r="K2546" s="3">
        <v>50703</v>
      </c>
      <c r="L2546" s="17" t="str" cm="1">
        <f t="array" ref="L2546">_xlfn.IFS(MID(K2546,2,2)="01", "서울", MID(K2546,2,2)="02","경기",MID(K2546,2,2)="03","충청",MID(K2546,2,2)="04","충청",MID(K2546,2,2)="05","전라",MID(K2546,2,2)="06","전라",MID(K2546,2,2)="07","경북",MID(K2546,2,2)="08","경남",MID(K2546,2,2)="09","강원",MID(K2546,2,2)="10","제주",TRUE,"국외")</f>
        <v>경북</v>
      </c>
    </row>
    <row r="2547" spans="1:12" ht="17.25" thickBot="1">
      <c r="A2547" s="3" t="s">
        <v>1601</v>
      </c>
      <c r="B2547" s="3"/>
      <c r="C2547" s="3"/>
      <c r="D2547" s="4" t="s">
        <v>254</v>
      </c>
      <c r="E2547" s="4" t="s">
        <v>2523</v>
      </c>
      <c r="F2547" s="4">
        <v>2002</v>
      </c>
      <c r="G2547" s="9"/>
      <c r="H2547" s="4" t="s">
        <v>26</v>
      </c>
      <c r="I2547" s="8">
        <v>0.1</v>
      </c>
      <c r="J2547" s="3">
        <f>2262</f>
        <v>2262</v>
      </c>
      <c r="K2547" s="3"/>
      <c r="L2547" s="17" t="str" cm="1">
        <f t="array" ref="L2547">_xlfn.IFS(MID(K2547,2,2)="01", "서울", MID(K2547,2,2)="02","경기",MID(K2547,2,2)="03","충청",MID(K2547,2,2)="04","충청",MID(K2547,2,2)="05","전라",MID(K2547,2,2)="06","전라",MID(K2547,2,2)="07","경북",MID(K2547,2,2)="08","경남",MID(K2547,2,2)="09","강원",MID(K2547,2,2)="10","제주",TRUE,"국외")</f>
        <v>국외</v>
      </c>
    </row>
    <row r="2548" spans="1:12" ht="17.25" thickBot="1">
      <c r="A2548" s="3" t="s">
        <v>2549</v>
      </c>
      <c r="B2548" s="3" t="s">
        <v>112</v>
      </c>
      <c r="C2548" s="3"/>
      <c r="D2548" s="4" t="s">
        <v>254</v>
      </c>
      <c r="E2548" s="4" t="s">
        <v>26</v>
      </c>
      <c r="F2548" s="4">
        <v>2001</v>
      </c>
      <c r="G2548" s="8">
        <v>-0.3</v>
      </c>
      <c r="H2548" s="4" t="s">
        <v>26</v>
      </c>
      <c r="I2548" s="8">
        <v>-0.3</v>
      </c>
      <c r="J2548" s="3">
        <f>2182</f>
        <v>2182</v>
      </c>
      <c r="K2548" s="3">
        <v>50113</v>
      </c>
      <c r="L2548" s="17" t="str" cm="1">
        <f t="array" ref="L2548">_xlfn.IFS(MID(K2548,2,2)="01", "서울", MID(K2548,2,2)="02","경기",MID(K2548,2,2)="03","충청",MID(K2548,2,2)="04","충청",MID(K2548,2,2)="05","전라",MID(K2548,2,2)="06","전라",MID(K2548,2,2)="07","경북",MID(K2548,2,2)="08","경남",MID(K2548,2,2)="09","강원",MID(K2548,2,2)="10","제주",TRUE,"국외")</f>
        <v>서울</v>
      </c>
    </row>
    <row r="2549" spans="1:12" ht="17.25" thickBot="1">
      <c r="A2549" s="3" t="s">
        <v>1698</v>
      </c>
      <c r="B2549" s="3" t="s">
        <v>464</v>
      </c>
      <c r="C2549" s="3"/>
      <c r="D2549" s="4" t="s">
        <v>254</v>
      </c>
      <c r="E2549" s="4" t="s">
        <v>9</v>
      </c>
      <c r="F2549" s="4">
        <v>2002</v>
      </c>
      <c r="G2549" s="9"/>
      <c r="H2549" s="4" t="s">
        <v>9</v>
      </c>
      <c r="I2549" s="8">
        <v>-1.6</v>
      </c>
      <c r="J2549" s="3">
        <v>10243</v>
      </c>
      <c r="K2549" s="3">
        <v>50706</v>
      </c>
      <c r="L2549" s="17" t="str" cm="1">
        <f t="array" ref="L2549">_xlfn.IFS(MID(K2549,2,2)="01", "서울", MID(K2549,2,2)="02","경기",MID(K2549,2,2)="03","충청",MID(K2549,2,2)="04","충청",MID(K2549,2,2)="05","전라",MID(K2549,2,2)="06","전라",MID(K2549,2,2)="07","경북",MID(K2549,2,2)="08","경남",MID(K2549,2,2)="09","강원",MID(K2549,2,2)="10","제주",TRUE,"국외")</f>
        <v>경북</v>
      </c>
    </row>
    <row r="2550" spans="1:12" ht="17.25" thickBot="1">
      <c r="A2550" s="3" t="s">
        <v>2550</v>
      </c>
      <c r="B2550" s="3" t="s">
        <v>128</v>
      </c>
      <c r="C2550" s="3" t="s">
        <v>739</v>
      </c>
      <c r="D2550" s="4" t="s">
        <v>254</v>
      </c>
      <c r="E2550" s="4" t="s">
        <v>23</v>
      </c>
      <c r="F2550" s="4">
        <v>2005</v>
      </c>
      <c r="G2550" s="9"/>
      <c r="H2550" s="4" t="s">
        <v>18</v>
      </c>
      <c r="I2550" s="8">
        <v>2.2999999999999998</v>
      </c>
      <c r="J2550" s="3">
        <v>10438</v>
      </c>
      <c r="K2550" s="3">
        <v>50901</v>
      </c>
      <c r="L2550" s="17" t="str" cm="1">
        <f t="array" ref="L2550">_xlfn.IFS(MID(K2550,2,2)="01", "서울", MID(K2550,2,2)="02","경기",MID(K2550,2,2)="03","충청",MID(K2550,2,2)="04","충청",MID(K2550,2,2)="05","전라",MID(K2550,2,2)="06","전라",MID(K2550,2,2)="07","경북",MID(K2550,2,2)="08","경남",MID(K2550,2,2)="09","강원",MID(K2550,2,2)="10","제주",TRUE,"국외")</f>
        <v>강원</v>
      </c>
    </row>
    <row r="2551" spans="1:12" ht="17.25" thickBot="1">
      <c r="A2551" s="3" t="s">
        <v>2551</v>
      </c>
      <c r="B2551" s="3" t="s">
        <v>34</v>
      </c>
      <c r="C2551" s="3"/>
      <c r="D2551" s="4" t="s">
        <v>254</v>
      </c>
      <c r="E2551" s="4" t="s">
        <v>3</v>
      </c>
      <c r="F2551" s="4">
        <v>2001</v>
      </c>
      <c r="G2551" s="8">
        <v>1.4</v>
      </c>
      <c r="H2551" s="4" t="s">
        <v>3</v>
      </c>
      <c r="I2551" s="8">
        <v>1.2</v>
      </c>
      <c r="J2551" s="3">
        <f>2205</f>
        <v>2205</v>
      </c>
      <c r="K2551" s="3">
        <v>50701</v>
      </c>
      <c r="L2551" s="17" t="str" cm="1">
        <f t="array" ref="L2551">_xlfn.IFS(MID(K2551,2,2)="01", "서울", MID(K2551,2,2)="02","경기",MID(K2551,2,2)="03","충청",MID(K2551,2,2)="04","충청",MID(K2551,2,2)="05","전라",MID(K2551,2,2)="06","전라",MID(K2551,2,2)="07","경북",MID(K2551,2,2)="08","경남",MID(K2551,2,2)="09","강원",MID(K2551,2,2)="10","제주",TRUE,"국외")</f>
        <v>경북</v>
      </c>
    </row>
    <row r="2552" spans="1:12" ht="17.25" thickBot="1">
      <c r="A2552" s="3" t="s">
        <v>2552</v>
      </c>
      <c r="B2552" s="3" t="s">
        <v>1497</v>
      </c>
      <c r="C2552" s="3"/>
      <c r="D2552" s="4" t="s">
        <v>254</v>
      </c>
      <c r="E2552" s="4" t="s">
        <v>9</v>
      </c>
      <c r="F2552" s="4">
        <v>2002</v>
      </c>
      <c r="G2552" s="9"/>
      <c r="H2552" s="4" t="s">
        <v>9</v>
      </c>
      <c r="I2552" s="8">
        <v>-1.2</v>
      </c>
      <c r="J2552" s="3">
        <f>2251</f>
        <v>2251</v>
      </c>
      <c r="K2552" s="3">
        <v>50112</v>
      </c>
      <c r="L2552" s="17" t="str" cm="1">
        <f t="array" ref="L2552">_xlfn.IFS(MID(K2552,2,2)="01", "서울", MID(K2552,2,2)="02","경기",MID(K2552,2,2)="03","충청",MID(K2552,2,2)="04","충청",MID(K2552,2,2)="05","전라",MID(K2552,2,2)="06","전라",MID(K2552,2,2)="07","경북",MID(K2552,2,2)="08","경남",MID(K2552,2,2)="09","강원",MID(K2552,2,2)="10","제주",TRUE,"국외")</f>
        <v>서울</v>
      </c>
    </row>
    <row r="2553" spans="1:12" ht="17.25" thickBot="1">
      <c r="A2553" s="3" t="s">
        <v>2553</v>
      </c>
      <c r="B2553" s="3" t="s">
        <v>335</v>
      </c>
      <c r="C2553" s="3" t="s">
        <v>329</v>
      </c>
      <c r="D2553" s="4" t="s">
        <v>254</v>
      </c>
      <c r="E2553" s="4" t="s">
        <v>3</v>
      </c>
      <c r="F2553" s="4">
        <v>2005</v>
      </c>
      <c r="G2553" s="9"/>
      <c r="H2553" s="4" t="s">
        <v>3</v>
      </c>
      <c r="I2553" s="8">
        <v>-0.3</v>
      </c>
      <c r="J2553" s="3">
        <v>10664</v>
      </c>
      <c r="K2553" s="3">
        <v>50804</v>
      </c>
      <c r="L2553" s="17" t="str" cm="1">
        <f t="array" ref="L2553">_xlfn.IFS(MID(K2553,2,2)="01", "서울", MID(K2553,2,2)="02","경기",MID(K2553,2,2)="03","충청",MID(K2553,2,2)="04","충청",MID(K2553,2,2)="05","전라",MID(K2553,2,2)="06","전라",MID(K2553,2,2)="07","경북",MID(K2553,2,2)="08","경남",MID(K2553,2,2)="09","강원",MID(K2553,2,2)="10","제주",TRUE,"국외")</f>
        <v>경남</v>
      </c>
    </row>
    <row r="2554" spans="1:12" ht="17.25" thickBot="1">
      <c r="A2554" s="3" t="s">
        <v>2554</v>
      </c>
      <c r="B2554" s="3" t="s">
        <v>335</v>
      </c>
      <c r="C2554" s="3" t="s">
        <v>122</v>
      </c>
      <c r="D2554" s="4" t="s">
        <v>254</v>
      </c>
      <c r="E2554" s="4" t="s">
        <v>2523</v>
      </c>
      <c r="F2554" s="4">
        <v>2005</v>
      </c>
      <c r="G2554" s="9"/>
      <c r="H2554" s="4" t="s">
        <v>6</v>
      </c>
      <c r="I2554" s="8">
        <v>-0.4</v>
      </c>
      <c r="J2554" s="3">
        <v>10796</v>
      </c>
      <c r="K2554" s="3">
        <v>50804</v>
      </c>
      <c r="L2554" s="17" t="str" cm="1">
        <f t="array" ref="L2554">_xlfn.IFS(MID(K2554,2,2)="01", "서울", MID(K2554,2,2)="02","경기",MID(K2554,2,2)="03","충청",MID(K2554,2,2)="04","충청",MID(K2554,2,2)="05","전라",MID(K2554,2,2)="06","전라",MID(K2554,2,2)="07","경북",MID(K2554,2,2)="08","경남",MID(K2554,2,2)="09","강원",MID(K2554,2,2)="10","제주",TRUE,"국외")</f>
        <v>경남</v>
      </c>
    </row>
    <row r="2555" spans="1:12" ht="17.25" thickBot="1">
      <c r="A2555" s="3" t="s">
        <v>2555</v>
      </c>
      <c r="B2555" s="3" t="s">
        <v>66</v>
      </c>
      <c r="C2555" s="3"/>
      <c r="D2555" s="4" t="s">
        <v>254</v>
      </c>
      <c r="E2555" s="4" t="s">
        <v>607</v>
      </c>
      <c r="F2555" s="4">
        <v>2002</v>
      </c>
      <c r="G2555" s="9"/>
      <c r="H2555" s="4" t="s">
        <v>607</v>
      </c>
      <c r="I2555" s="8">
        <v>25.1</v>
      </c>
      <c r="J2555" s="3">
        <v>10161</v>
      </c>
      <c r="K2555" s="3">
        <v>50110</v>
      </c>
      <c r="L2555" s="17" t="str" cm="1">
        <f t="array" ref="L2555">_xlfn.IFS(MID(K2555,2,2)="01", "서울", MID(K2555,2,2)="02","경기",MID(K2555,2,2)="03","충청",MID(K2555,2,2)="04","충청",MID(K2555,2,2)="05","전라",MID(K2555,2,2)="06","전라",MID(K2555,2,2)="07","경북",MID(K2555,2,2)="08","경남",MID(K2555,2,2)="09","강원",MID(K2555,2,2)="10","제주",TRUE,"국외")</f>
        <v>서울</v>
      </c>
    </row>
    <row r="2556" spans="1:12" ht="17.25" thickBot="1">
      <c r="A2556" s="3" t="s">
        <v>2556</v>
      </c>
      <c r="B2556" s="3" t="s">
        <v>241</v>
      </c>
      <c r="C2556" s="3"/>
      <c r="D2556" s="4" t="s">
        <v>254</v>
      </c>
      <c r="E2556" s="4" t="s">
        <v>607</v>
      </c>
      <c r="F2556" s="4">
        <v>2003</v>
      </c>
      <c r="G2556" s="9"/>
      <c r="H2556" s="4" t="s">
        <v>607</v>
      </c>
      <c r="I2556" s="8">
        <v>-1.8</v>
      </c>
      <c r="J2556" s="3">
        <v>10406</v>
      </c>
      <c r="K2556" s="3">
        <v>50202</v>
      </c>
      <c r="L2556" s="17" t="str" cm="1">
        <f t="array" ref="L2556">_xlfn.IFS(MID(K2556,2,2)="01", "서울", MID(K2556,2,2)="02","경기",MID(K2556,2,2)="03","충청",MID(K2556,2,2)="04","충청",MID(K2556,2,2)="05","전라",MID(K2556,2,2)="06","전라",MID(K2556,2,2)="07","경북",MID(K2556,2,2)="08","경남",MID(K2556,2,2)="09","강원",MID(K2556,2,2)="10","제주",TRUE,"국외")</f>
        <v>경기</v>
      </c>
    </row>
    <row r="2557" spans="1:12" ht="17.25" thickBot="1">
      <c r="A2557" s="3" t="s">
        <v>2557</v>
      </c>
      <c r="B2557" s="3" t="s">
        <v>358</v>
      </c>
      <c r="C2557" s="3" t="s">
        <v>221</v>
      </c>
      <c r="D2557" s="4" t="s">
        <v>254</v>
      </c>
      <c r="E2557" s="4" t="s">
        <v>23</v>
      </c>
      <c r="F2557" s="4">
        <v>2005</v>
      </c>
      <c r="G2557" s="9"/>
      <c r="H2557" s="4" t="s">
        <v>23</v>
      </c>
      <c r="I2557" s="8">
        <v>-0.1</v>
      </c>
      <c r="J2557" s="3">
        <v>10389</v>
      </c>
      <c r="K2557" s="3">
        <v>50902</v>
      </c>
      <c r="L2557" s="17" t="str" cm="1">
        <f t="array" ref="L2557">_xlfn.IFS(MID(K2557,2,2)="01", "서울", MID(K2557,2,2)="02","경기",MID(K2557,2,2)="03","충청",MID(K2557,2,2)="04","충청",MID(K2557,2,2)="05","전라",MID(K2557,2,2)="06","전라",MID(K2557,2,2)="07","경북",MID(K2557,2,2)="08","경남",MID(K2557,2,2)="09","강원",MID(K2557,2,2)="10","제주",TRUE,"국외")</f>
        <v>강원</v>
      </c>
    </row>
    <row r="2558" spans="1:12" ht="17.25" thickBot="1">
      <c r="A2558" s="3" t="s">
        <v>2558</v>
      </c>
      <c r="B2558" s="3" t="s">
        <v>2139</v>
      </c>
      <c r="C2558" s="3" t="s">
        <v>83</v>
      </c>
      <c r="D2558" s="4" t="s">
        <v>254</v>
      </c>
      <c r="E2558" s="4" t="s">
        <v>2164</v>
      </c>
      <c r="F2558" s="4">
        <v>2005</v>
      </c>
      <c r="G2558" s="9"/>
      <c r="H2558" s="4" t="s">
        <v>18</v>
      </c>
      <c r="I2558" s="8">
        <v>-1</v>
      </c>
      <c r="J2558" s="3">
        <v>10393</v>
      </c>
      <c r="K2558" s="3">
        <v>50104</v>
      </c>
      <c r="L2558" s="17" t="str" cm="1">
        <f t="array" ref="L2558">_xlfn.IFS(MID(K2558,2,2)="01", "서울", MID(K2558,2,2)="02","경기",MID(K2558,2,2)="03","충청",MID(K2558,2,2)="04","충청",MID(K2558,2,2)="05","전라",MID(K2558,2,2)="06","전라",MID(K2558,2,2)="07","경북",MID(K2558,2,2)="08","경남",MID(K2558,2,2)="09","강원",MID(K2558,2,2)="10","제주",TRUE,"국외")</f>
        <v>서울</v>
      </c>
    </row>
    <row r="2559" spans="1:12" ht="17.25" thickBot="1">
      <c r="A2559" s="3" t="s">
        <v>2559</v>
      </c>
      <c r="B2559" s="3" t="s">
        <v>66</v>
      </c>
      <c r="C2559" s="3"/>
      <c r="D2559" s="4" t="s">
        <v>254</v>
      </c>
      <c r="E2559" s="4" t="s">
        <v>607</v>
      </c>
      <c r="F2559" s="4">
        <v>2001</v>
      </c>
      <c r="G2559" s="8">
        <v>-0.2</v>
      </c>
      <c r="H2559" s="4" t="s">
        <v>607</v>
      </c>
      <c r="I2559" s="8">
        <v>-0.6</v>
      </c>
      <c r="J2559" s="3">
        <f>2212</f>
        <v>2212</v>
      </c>
      <c r="K2559" s="3">
        <v>50110</v>
      </c>
      <c r="L2559" s="17" t="str" cm="1">
        <f t="array" ref="L2559">_xlfn.IFS(MID(K2559,2,2)="01", "서울", MID(K2559,2,2)="02","경기",MID(K2559,2,2)="03","충청",MID(K2559,2,2)="04","충청",MID(K2559,2,2)="05","전라",MID(K2559,2,2)="06","전라",MID(K2559,2,2)="07","경북",MID(K2559,2,2)="08","경남",MID(K2559,2,2)="09","강원",MID(K2559,2,2)="10","제주",TRUE,"국외")</f>
        <v>서울</v>
      </c>
    </row>
    <row r="2560" spans="1:12" ht="17.25" thickBot="1">
      <c r="A2560" s="3" t="s">
        <v>2560</v>
      </c>
      <c r="B2560" s="3" t="s">
        <v>107</v>
      </c>
      <c r="C2560" s="3"/>
      <c r="D2560" s="4" t="s">
        <v>254</v>
      </c>
      <c r="E2560" s="4" t="s">
        <v>2523</v>
      </c>
      <c r="F2560" s="4">
        <v>2001</v>
      </c>
      <c r="G2560" s="8">
        <v>-0.6</v>
      </c>
      <c r="H2560" s="4" t="s">
        <v>6</v>
      </c>
      <c r="I2560" s="8">
        <v>-0.8</v>
      </c>
      <c r="J2560" s="3">
        <v>10006</v>
      </c>
      <c r="K2560" s="3">
        <v>50602</v>
      </c>
      <c r="L2560" s="17" t="str" cm="1">
        <f t="array" ref="L2560">_xlfn.IFS(MID(K2560,2,2)="01", "서울", MID(K2560,2,2)="02","경기",MID(K2560,2,2)="03","충청",MID(K2560,2,2)="04","충청",MID(K2560,2,2)="05","전라",MID(K2560,2,2)="06","전라",MID(K2560,2,2)="07","경북",MID(K2560,2,2)="08","경남",MID(K2560,2,2)="09","강원",MID(K2560,2,2)="10","제주",TRUE,"국외")</f>
        <v>전라</v>
      </c>
    </row>
    <row r="2561" spans="1:12" ht="17.25" thickBot="1">
      <c r="A2561" s="3" t="s">
        <v>2560</v>
      </c>
      <c r="B2561" s="3" t="s">
        <v>107</v>
      </c>
      <c r="C2561" s="3"/>
      <c r="D2561" s="4" t="s">
        <v>254</v>
      </c>
      <c r="E2561" s="4" t="s">
        <v>2523</v>
      </c>
      <c r="F2561" s="4">
        <v>2001</v>
      </c>
      <c r="G2561" s="8">
        <v>-0.7</v>
      </c>
      <c r="H2561" s="4" t="s">
        <v>6</v>
      </c>
      <c r="I2561" s="8">
        <v>-0.8</v>
      </c>
      <c r="J2561" s="3">
        <v>10006</v>
      </c>
      <c r="K2561" s="3">
        <v>50602</v>
      </c>
      <c r="L2561" s="17" t="str" cm="1">
        <f t="array" ref="L2561">_xlfn.IFS(MID(K2561,2,2)="01", "서울", MID(K2561,2,2)="02","경기",MID(K2561,2,2)="03","충청",MID(K2561,2,2)="04","충청",MID(K2561,2,2)="05","전라",MID(K2561,2,2)="06","전라",MID(K2561,2,2)="07","경북",MID(K2561,2,2)="08","경남",MID(K2561,2,2)="09","강원",MID(K2561,2,2)="10","제주",TRUE,"국외")</f>
        <v>전라</v>
      </c>
    </row>
    <row r="2562" spans="1:12" ht="17.25" thickBot="1">
      <c r="A2562" s="3" t="s">
        <v>2561</v>
      </c>
      <c r="B2562" s="3" t="s">
        <v>1</v>
      </c>
      <c r="C2562" s="3"/>
      <c r="D2562" s="4" t="s">
        <v>254</v>
      </c>
      <c r="E2562" s="4" t="s">
        <v>607</v>
      </c>
      <c r="F2562" s="4">
        <v>2003</v>
      </c>
      <c r="G2562" s="9"/>
      <c r="H2562" s="4" t="s">
        <v>607</v>
      </c>
      <c r="I2562" s="8">
        <v>-0.8</v>
      </c>
      <c r="J2562" s="3">
        <f>2292</f>
        <v>2292</v>
      </c>
      <c r="K2562" s="3">
        <v>50107</v>
      </c>
      <c r="L2562" s="17" t="str" cm="1">
        <f t="array" ref="L2562">_xlfn.IFS(MID(K2562,2,2)="01", "서울", MID(K2562,2,2)="02","경기",MID(K2562,2,2)="03","충청",MID(K2562,2,2)="04","충청",MID(K2562,2,2)="05","전라",MID(K2562,2,2)="06","전라",MID(K2562,2,2)="07","경북",MID(K2562,2,2)="08","경남",MID(K2562,2,2)="09","강원",MID(K2562,2,2)="10","제주",TRUE,"국외")</f>
        <v>서울</v>
      </c>
    </row>
    <row r="2563" spans="1:12" ht="17.25" thickBot="1">
      <c r="A2563" s="3" t="s">
        <v>2562</v>
      </c>
      <c r="B2563" s="3" t="s">
        <v>63</v>
      </c>
      <c r="C2563" s="3" t="s">
        <v>329</v>
      </c>
      <c r="D2563" s="4" t="s">
        <v>254</v>
      </c>
      <c r="E2563" s="4" t="s">
        <v>2523</v>
      </c>
      <c r="F2563" s="4">
        <v>2005</v>
      </c>
      <c r="G2563" s="9"/>
      <c r="H2563" s="4" t="s">
        <v>6</v>
      </c>
      <c r="I2563" s="8">
        <v>0.1</v>
      </c>
      <c r="J2563" s="3">
        <f>2347</f>
        <v>2347</v>
      </c>
      <c r="K2563" s="3">
        <v>50807</v>
      </c>
      <c r="L2563" s="17" t="str" cm="1">
        <f t="array" ref="L2563">_xlfn.IFS(MID(K2563,2,2)="01", "서울", MID(K2563,2,2)="02","경기",MID(K2563,2,2)="03","충청",MID(K2563,2,2)="04","충청",MID(K2563,2,2)="05","전라",MID(K2563,2,2)="06","전라",MID(K2563,2,2)="07","경북",MID(K2563,2,2)="08","경남",MID(K2563,2,2)="09","강원",MID(K2563,2,2)="10","제주",TRUE,"국외")</f>
        <v>경남</v>
      </c>
    </row>
    <row r="2564" spans="1:12" ht="17.25" thickBot="1">
      <c r="A2564" s="3" t="s">
        <v>2563</v>
      </c>
      <c r="B2564" s="3" t="s">
        <v>1</v>
      </c>
      <c r="C2564" s="3"/>
      <c r="D2564" s="4" t="s">
        <v>254</v>
      </c>
      <c r="E2564" s="4" t="s">
        <v>607</v>
      </c>
      <c r="F2564" s="4">
        <v>2001</v>
      </c>
      <c r="G2564" s="8">
        <v>-0.1</v>
      </c>
      <c r="H2564" s="4" t="s">
        <v>607</v>
      </c>
      <c r="I2564" s="8">
        <v>13.5</v>
      </c>
      <c r="J2564" s="3">
        <v>10112</v>
      </c>
      <c r="K2564" s="3">
        <v>50107</v>
      </c>
      <c r="L2564" s="17" t="str" cm="1">
        <f t="array" ref="L2564">_xlfn.IFS(MID(K2564,2,2)="01", "서울", MID(K2564,2,2)="02","경기",MID(K2564,2,2)="03","충청",MID(K2564,2,2)="04","충청",MID(K2564,2,2)="05","전라",MID(K2564,2,2)="06","전라",MID(K2564,2,2)="07","경북",MID(K2564,2,2)="08","경남",MID(K2564,2,2)="09","강원",MID(K2564,2,2)="10","제주",TRUE,"국외")</f>
        <v>서울</v>
      </c>
    </row>
    <row r="2565" spans="1:12" ht="17.25" thickBot="1">
      <c r="A2565" s="3" t="s">
        <v>2564</v>
      </c>
      <c r="B2565" s="3" t="s">
        <v>11</v>
      </c>
      <c r="C2565" s="3" t="s">
        <v>329</v>
      </c>
      <c r="D2565" s="4" t="s">
        <v>254</v>
      </c>
      <c r="E2565" s="4" t="s">
        <v>9</v>
      </c>
      <c r="F2565" s="4">
        <v>2005</v>
      </c>
      <c r="G2565" s="9"/>
      <c r="H2565" s="4" t="s">
        <v>9</v>
      </c>
      <c r="I2565" s="8">
        <v>0.1</v>
      </c>
      <c r="J2565" s="3">
        <f>2352</f>
        <v>2352</v>
      </c>
      <c r="K2565" s="3">
        <v>50802</v>
      </c>
      <c r="L2565" s="17" t="str" cm="1">
        <f t="array" ref="L2565">_xlfn.IFS(MID(K2565,2,2)="01", "서울", MID(K2565,2,2)="02","경기",MID(K2565,2,2)="03","충청",MID(K2565,2,2)="04","충청",MID(K2565,2,2)="05","전라",MID(K2565,2,2)="06","전라",MID(K2565,2,2)="07","경북",MID(K2565,2,2)="08","경남",MID(K2565,2,2)="09","강원",MID(K2565,2,2)="10","제주",TRUE,"국외")</f>
        <v>경남</v>
      </c>
    </row>
    <row r="2566" spans="1:12" ht="17.25" thickBot="1">
      <c r="A2566" s="3" t="s">
        <v>2565</v>
      </c>
      <c r="B2566" s="3" t="s">
        <v>1784</v>
      </c>
      <c r="C2566" s="3" t="s">
        <v>119</v>
      </c>
      <c r="D2566" s="4" t="s">
        <v>254</v>
      </c>
      <c r="E2566" s="4" t="s">
        <v>2523</v>
      </c>
      <c r="F2566" s="4">
        <v>2005</v>
      </c>
      <c r="G2566" s="9"/>
      <c r="H2566" s="4" t="s">
        <v>6</v>
      </c>
      <c r="I2566" s="8">
        <v>0</v>
      </c>
      <c r="J2566" s="3">
        <v>10076</v>
      </c>
      <c r="K2566" s="3">
        <v>50812</v>
      </c>
      <c r="L2566" s="17" t="str" cm="1">
        <f t="array" ref="L2566">_xlfn.IFS(MID(K2566,2,2)="01", "서울", MID(K2566,2,2)="02","경기",MID(K2566,2,2)="03","충청",MID(K2566,2,2)="04","충청",MID(K2566,2,2)="05","전라",MID(K2566,2,2)="06","전라",MID(K2566,2,2)="07","경북",MID(K2566,2,2)="08","경남",MID(K2566,2,2)="09","강원",MID(K2566,2,2)="10","제주",TRUE,"국외")</f>
        <v>경남</v>
      </c>
    </row>
    <row r="2567" spans="1:12" ht="17.25" thickBot="1">
      <c r="A2567" s="3" t="s">
        <v>2566</v>
      </c>
      <c r="B2567" s="3" t="s">
        <v>50</v>
      </c>
      <c r="C2567" s="3" t="s">
        <v>218</v>
      </c>
      <c r="D2567" s="4" t="s">
        <v>254</v>
      </c>
      <c r="E2567" s="4" t="s">
        <v>23</v>
      </c>
      <c r="F2567" s="4">
        <v>2006</v>
      </c>
      <c r="G2567" s="9"/>
      <c r="H2567" s="4" t="s">
        <v>23</v>
      </c>
      <c r="I2567" s="8">
        <v>-0.5</v>
      </c>
      <c r="J2567" s="3">
        <f>2382</f>
        <v>2382</v>
      </c>
      <c r="K2567" s="3">
        <v>50301</v>
      </c>
      <c r="L2567" s="17" t="str" cm="1">
        <f t="array" ref="L2567">_xlfn.IFS(MID(K2567,2,2)="01", "서울", MID(K2567,2,2)="02","경기",MID(K2567,2,2)="03","충청",MID(K2567,2,2)="04","충청",MID(K2567,2,2)="05","전라",MID(K2567,2,2)="06","전라",MID(K2567,2,2)="07","경북",MID(K2567,2,2)="08","경남",MID(K2567,2,2)="09","강원",MID(K2567,2,2)="10","제주",TRUE,"국외")</f>
        <v>충청</v>
      </c>
    </row>
    <row r="2568" spans="1:12" ht="17.25" thickBot="1">
      <c r="A2568" s="3" t="s">
        <v>339</v>
      </c>
      <c r="B2568" s="3" t="s">
        <v>78</v>
      </c>
      <c r="C2568" s="3" t="s">
        <v>739</v>
      </c>
      <c r="D2568" s="4" t="s">
        <v>254</v>
      </c>
      <c r="E2568" s="4" t="s">
        <v>3</v>
      </c>
      <c r="F2568" s="4">
        <v>2006</v>
      </c>
      <c r="G2568" s="9"/>
      <c r="H2568" s="4" t="s">
        <v>3</v>
      </c>
      <c r="I2568" s="8">
        <v>-0.2</v>
      </c>
      <c r="J2568" s="3">
        <v>10665</v>
      </c>
      <c r="K2568" s="3">
        <v>50401</v>
      </c>
      <c r="L2568" s="17" t="str" cm="1">
        <f t="array" ref="L2568">_xlfn.IFS(MID(K2568,2,2)="01", "서울", MID(K2568,2,2)="02","경기",MID(K2568,2,2)="03","충청",MID(K2568,2,2)="04","충청",MID(K2568,2,2)="05","전라",MID(K2568,2,2)="06","전라",MID(K2568,2,2)="07","경북",MID(K2568,2,2)="08","경남",MID(K2568,2,2)="09","강원",MID(K2568,2,2)="10","제주",TRUE,"국외")</f>
        <v>충청</v>
      </c>
    </row>
    <row r="2569" spans="1:12" ht="17.25" thickBot="1">
      <c r="A2569" s="3" t="s">
        <v>2567</v>
      </c>
      <c r="B2569" s="3"/>
      <c r="C2569" s="3"/>
      <c r="D2569" s="4" t="s">
        <v>181</v>
      </c>
      <c r="E2569" s="4" t="s">
        <v>6</v>
      </c>
      <c r="F2569" s="4">
        <v>2001</v>
      </c>
      <c r="G2569" s="8">
        <v>3.1</v>
      </c>
      <c r="H2569" s="4" t="s">
        <v>26</v>
      </c>
      <c r="I2569" s="8">
        <v>13.5</v>
      </c>
      <c r="J2569" s="3">
        <f>2196</f>
        <v>2196</v>
      </c>
      <c r="K2569" s="3"/>
      <c r="L2569" s="17" t="str" cm="1">
        <f t="array" ref="L2569">_xlfn.IFS(MID(K2569,2,2)="01", "서울", MID(K2569,2,2)="02","경기",MID(K2569,2,2)="03","충청",MID(K2569,2,2)="04","충청",MID(K2569,2,2)="05","전라",MID(K2569,2,2)="06","전라",MID(K2569,2,2)="07","경북",MID(K2569,2,2)="08","경남",MID(K2569,2,2)="09","강원",MID(K2569,2,2)="10","제주",TRUE,"국외")</f>
        <v>국외</v>
      </c>
    </row>
    <row r="2570" spans="1:12" ht="17.25" thickBot="1">
      <c r="A2570" s="3" t="s">
        <v>2568</v>
      </c>
      <c r="B2570" s="3"/>
      <c r="C2570" s="3"/>
      <c r="D2570" s="4" t="s">
        <v>181</v>
      </c>
      <c r="E2570" s="4" t="s">
        <v>6</v>
      </c>
      <c r="F2570" s="4">
        <v>2001</v>
      </c>
      <c r="G2570" s="8">
        <v>2.8</v>
      </c>
      <c r="H2570" s="4" t="s">
        <v>2523</v>
      </c>
      <c r="I2570" s="8">
        <v>2.8</v>
      </c>
      <c r="J2570" s="3">
        <f>2174</f>
        <v>2174</v>
      </c>
      <c r="K2570" s="3"/>
      <c r="L2570" s="17" t="str" cm="1">
        <f t="array" ref="L2570">_xlfn.IFS(MID(K2570,2,2)="01", "서울", MID(K2570,2,2)="02","경기",MID(K2570,2,2)="03","충청",MID(K2570,2,2)="04","충청",MID(K2570,2,2)="05","전라",MID(K2570,2,2)="06","전라",MID(K2570,2,2)="07","경북",MID(K2570,2,2)="08","경남",MID(K2570,2,2)="09","강원",MID(K2570,2,2)="10","제주",TRUE,"국외")</f>
        <v>국외</v>
      </c>
    </row>
    <row r="2571" spans="1:12" ht="17.25" thickBot="1">
      <c r="A2571" s="3" t="s">
        <v>2569</v>
      </c>
      <c r="B2571" s="3"/>
      <c r="C2571" s="3"/>
      <c r="D2571" s="4" t="s">
        <v>181</v>
      </c>
      <c r="E2571" s="4" t="s">
        <v>6</v>
      </c>
      <c r="F2571" s="4">
        <v>2001</v>
      </c>
      <c r="G2571" s="8">
        <v>0.8</v>
      </c>
      <c r="H2571" s="4" t="s">
        <v>2523</v>
      </c>
      <c r="I2571" s="8">
        <v>1.7</v>
      </c>
      <c r="J2571" s="3">
        <f>2198</f>
        <v>2198</v>
      </c>
      <c r="K2571" s="3"/>
      <c r="L2571" s="17" t="str" cm="1">
        <f t="array" ref="L2571">_xlfn.IFS(MID(K2571,2,2)="01", "서울", MID(K2571,2,2)="02","경기",MID(K2571,2,2)="03","충청",MID(K2571,2,2)="04","충청",MID(K2571,2,2)="05","전라",MID(K2571,2,2)="06","전라",MID(K2571,2,2)="07","경북",MID(K2571,2,2)="08","경남",MID(K2571,2,2)="09","강원",MID(K2571,2,2)="10","제주",TRUE,"국외")</f>
        <v>국외</v>
      </c>
    </row>
    <row r="2572" spans="1:12" ht="17.25" thickBot="1">
      <c r="A2572" s="3" t="s">
        <v>2569</v>
      </c>
      <c r="B2572" s="3"/>
      <c r="C2572" s="3"/>
      <c r="D2572" s="4" t="s">
        <v>181</v>
      </c>
      <c r="E2572" s="4" t="s">
        <v>6</v>
      </c>
      <c r="F2572" s="4">
        <v>2001</v>
      </c>
      <c r="G2572" s="8">
        <v>0.8</v>
      </c>
      <c r="H2572" s="4" t="s">
        <v>2523</v>
      </c>
      <c r="I2572" s="8">
        <v>1.7</v>
      </c>
      <c r="J2572" s="3">
        <f>2198</f>
        <v>2198</v>
      </c>
      <c r="K2572" s="3"/>
      <c r="L2572" s="17" t="str" cm="1">
        <f t="array" ref="L2572">_xlfn.IFS(MID(K2572,2,2)="01", "서울", MID(K2572,2,2)="02","경기",MID(K2572,2,2)="03","충청",MID(K2572,2,2)="04","충청",MID(K2572,2,2)="05","전라",MID(K2572,2,2)="06","전라",MID(K2572,2,2)="07","경북",MID(K2572,2,2)="08","경남",MID(K2572,2,2)="09","강원",MID(K2572,2,2)="10","제주",TRUE,"국외")</f>
        <v>국외</v>
      </c>
    </row>
    <row r="2573" spans="1:12" ht="17.25" thickBot="1">
      <c r="A2573" s="3" t="s">
        <v>2570</v>
      </c>
      <c r="B2573" s="3"/>
      <c r="C2573" s="3"/>
      <c r="D2573" s="4" t="s">
        <v>181</v>
      </c>
      <c r="E2573" s="4" t="s">
        <v>6</v>
      </c>
      <c r="F2573" s="4">
        <v>2001</v>
      </c>
      <c r="G2573" s="8">
        <v>-0.2</v>
      </c>
      <c r="H2573" s="4" t="s">
        <v>6</v>
      </c>
      <c r="I2573" s="8">
        <v>-0.2</v>
      </c>
      <c r="J2573" s="3">
        <f>2201</f>
        <v>2201</v>
      </c>
      <c r="K2573" s="3"/>
      <c r="L2573" s="17" t="str" cm="1">
        <f t="array" ref="L2573">_xlfn.IFS(MID(K2573,2,2)="01", "서울", MID(K2573,2,2)="02","경기",MID(K2573,2,2)="03","충청",MID(K2573,2,2)="04","충청",MID(K2573,2,2)="05","전라",MID(K2573,2,2)="06","전라",MID(K2573,2,2)="07","경북",MID(K2573,2,2)="08","경남",MID(K2573,2,2)="09","강원",MID(K2573,2,2)="10","제주",TRUE,"국외")</f>
        <v>국외</v>
      </c>
    </row>
    <row r="2574" spans="1:12" ht="17.25" thickBot="1">
      <c r="A2574" s="3" t="s">
        <v>2571</v>
      </c>
      <c r="B2574" s="3"/>
      <c r="C2574" s="3"/>
      <c r="D2574" s="4" t="s">
        <v>181</v>
      </c>
      <c r="E2574" s="4" t="s">
        <v>6</v>
      </c>
      <c r="F2574" s="4">
        <v>2001</v>
      </c>
      <c r="G2574" s="8">
        <v>-0.2</v>
      </c>
      <c r="H2574" s="4" t="s">
        <v>6</v>
      </c>
      <c r="I2574" s="8">
        <v>-0.2</v>
      </c>
      <c r="J2574" s="3">
        <f>2220</f>
        <v>2220</v>
      </c>
      <c r="K2574" s="3"/>
      <c r="L2574" s="17" t="str" cm="1">
        <f t="array" ref="L2574">_xlfn.IFS(MID(K2574,2,2)="01", "서울", MID(K2574,2,2)="02","경기",MID(K2574,2,2)="03","충청",MID(K2574,2,2)="04","충청",MID(K2574,2,2)="05","전라",MID(K2574,2,2)="06","전라",MID(K2574,2,2)="07","경북",MID(K2574,2,2)="08","경남",MID(K2574,2,2)="09","강원",MID(K2574,2,2)="10","제주",TRUE,"국외")</f>
        <v>국외</v>
      </c>
    </row>
    <row r="2575" spans="1:12" ht="17.25" thickBot="1">
      <c r="A2575" s="3" t="s">
        <v>2572</v>
      </c>
      <c r="B2575" s="3"/>
      <c r="C2575" s="3"/>
      <c r="D2575" s="4" t="s">
        <v>181</v>
      </c>
      <c r="E2575" s="4" t="s">
        <v>20</v>
      </c>
      <c r="F2575" s="4">
        <v>2001</v>
      </c>
      <c r="G2575" s="8">
        <v>2.2000000000000002</v>
      </c>
      <c r="H2575" s="4" t="s">
        <v>20</v>
      </c>
      <c r="I2575" s="8">
        <v>2.2000000000000002</v>
      </c>
      <c r="J2575" s="3">
        <f>2202</f>
        <v>2202</v>
      </c>
      <c r="K2575" s="3"/>
      <c r="L2575" s="17" t="str" cm="1">
        <f t="array" ref="L2575">_xlfn.IFS(MID(K2575,2,2)="01", "서울", MID(K2575,2,2)="02","경기",MID(K2575,2,2)="03","충청",MID(K2575,2,2)="04","충청",MID(K2575,2,2)="05","전라",MID(K2575,2,2)="06","전라",MID(K2575,2,2)="07","경북",MID(K2575,2,2)="08","경남",MID(K2575,2,2)="09","강원",MID(K2575,2,2)="10","제주",TRUE,"국외")</f>
        <v>국외</v>
      </c>
    </row>
    <row r="2576" spans="1:12" ht="17.25" thickBot="1">
      <c r="A2576" s="3" t="s">
        <v>2118</v>
      </c>
      <c r="B2576" s="3"/>
      <c r="C2576" s="3"/>
      <c r="D2576" s="4" t="s">
        <v>181</v>
      </c>
      <c r="E2576" s="4" t="s">
        <v>20</v>
      </c>
      <c r="F2576" s="4">
        <v>2001</v>
      </c>
      <c r="G2576" s="8">
        <v>2.4</v>
      </c>
      <c r="H2576" s="4" t="s">
        <v>20</v>
      </c>
      <c r="I2576" s="8">
        <v>2.4</v>
      </c>
      <c r="J2576" s="3">
        <f>2207</f>
        <v>2207</v>
      </c>
      <c r="K2576" s="3"/>
      <c r="L2576" s="17" t="str" cm="1">
        <f t="array" ref="L2576">_xlfn.IFS(MID(K2576,2,2)="01", "서울", MID(K2576,2,2)="02","경기",MID(K2576,2,2)="03","충청",MID(K2576,2,2)="04","충청",MID(K2576,2,2)="05","전라",MID(K2576,2,2)="06","전라",MID(K2576,2,2)="07","경북",MID(K2576,2,2)="08","경남",MID(K2576,2,2)="09","강원",MID(K2576,2,2)="10","제주",TRUE,"국외")</f>
        <v>국외</v>
      </c>
    </row>
    <row r="2577" spans="1:12" ht="17.25" thickBot="1">
      <c r="A2577" s="3" t="s">
        <v>2053</v>
      </c>
      <c r="B2577" s="3"/>
      <c r="C2577" s="3"/>
      <c r="D2577" s="4" t="s">
        <v>181</v>
      </c>
      <c r="E2577" s="4" t="s">
        <v>607</v>
      </c>
      <c r="F2577" s="4">
        <v>2001</v>
      </c>
      <c r="G2577" s="8">
        <v>4.7</v>
      </c>
      <c r="H2577" s="4" t="s">
        <v>607</v>
      </c>
      <c r="I2577" s="8">
        <v>5.7</v>
      </c>
      <c r="J2577" s="3">
        <f>2209</f>
        <v>2209</v>
      </c>
      <c r="K2577" s="3"/>
      <c r="L2577" s="17" t="str" cm="1">
        <f t="array" ref="L2577">_xlfn.IFS(MID(K2577,2,2)="01", "서울", MID(K2577,2,2)="02","경기",MID(K2577,2,2)="03","충청",MID(K2577,2,2)="04","충청",MID(K2577,2,2)="05","전라",MID(K2577,2,2)="06","전라",MID(K2577,2,2)="07","경북",MID(K2577,2,2)="08","경남",MID(K2577,2,2)="09","강원",MID(K2577,2,2)="10","제주",TRUE,"국외")</f>
        <v>국외</v>
      </c>
    </row>
    <row r="2578" spans="1:12" ht="17.25" thickBot="1">
      <c r="A2578" s="3" t="s">
        <v>2573</v>
      </c>
      <c r="B2578" s="3"/>
      <c r="C2578" s="3"/>
      <c r="D2578" s="4" t="s">
        <v>181</v>
      </c>
      <c r="E2578" s="4" t="s">
        <v>607</v>
      </c>
      <c r="F2578" s="4">
        <v>2001</v>
      </c>
      <c r="G2578" s="8">
        <v>3.8</v>
      </c>
      <c r="H2578" s="4" t="s">
        <v>607</v>
      </c>
      <c r="I2578" s="8">
        <v>4.9000000000000004</v>
      </c>
      <c r="J2578" s="3">
        <f>2179</f>
        <v>2179</v>
      </c>
      <c r="K2578" s="3"/>
      <c r="L2578" s="17" t="str" cm="1">
        <f t="array" ref="L2578">_xlfn.IFS(MID(K2578,2,2)="01", "서울", MID(K2578,2,2)="02","경기",MID(K2578,2,2)="03","충청",MID(K2578,2,2)="04","충청",MID(K2578,2,2)="05","전라",MID(K2578,2,2)="06","전라",MID(K2578,2,2)="07","경북",MID(K2578,2,2)="08","경남",MID(K2578,2,2)="09","강원",MID(K2578,2,2)="10","제주",TRUE,"국외")</f>
        <v>국외</v>
      </c>
    </row>
    <row r="2579" spans="1:12" ht="17.25" thickBot="1">
      <c r="A2579" s="3" t="s">
        <v>2574</v>
      </c>
      <c r="B2579" s="3"/>
      <c r="C2579" s="3"/>
      <c r="D2579" s="4" t="s">
        <v>181</v>
      </c>
      <c r="E2579" s="4" t="s">
        <v>26</v>
      </c>
      <c r="F2579" s="4">
        <v>2001</v>
      </c>
      <c r="G2579" s="8">
        <v>-0.2</v>
      </c>
      <c r="H2579" s="4" t="s">
        <v>26</v>
      </c>
      <c r="I2579" s="8">
        <v>-0.2</v>
      </c>
      <c r="J2579" s="3">
        <f>2169</f>
        <v>2169</v>
      </c>
      <c r="K2579" s="3"/>
      <c r="L2579" s="17" t="str" cm="1">
        <f t="array" ref="L2579">_xlfn.IFS(MID(K2579,2,2)="01", "서울", MID(K2579,2,2)="02","경기",MID(K2579,2,2)="03","충청",MID(K2579,2,2)="04","충청",MID(K2579,2,2)="05","전라",MID(K2579,2,2)="06","전라",MID(K2579,2,2)="07","경북",MID(K2579,2,2)="08","경남",MID(K2579,2,2)="09","강원",MID(K2579,2,2)="10","제주",TRUE,"국외")</f>
        <v>국외</v>
      </c>
    </row>
    <row r="2580" spans="1:12" ht="17.25" thickBot="1">
      <c r="A2580" s="3" t="s">
        <v>2575</v>
      </c>
      <c r="B2580" s="3"/>
      <c r="C2580" s="3"/>
      <c r="D2580" s="4" t="s">
        <v>181</v>
      </c>
      <c r="E2580" s="4" t="s">
        <v>26</v>
      </c>
      <c r="F2580" s="4">
        <v>2001</v>
      </c>
      <c r="G2580" s="8">
        <v>-0.1</v>
      </c>
      <c r="H2580" s="4" t="s">
        <v>26</v>
      </c>
      <c r="I2580" s="8">
        <v>-0.1</v>
      </c>
      <c r="J2580" s="3">
        <f>2208</f>
        <v>2208</v>
      </c>
      <c r="K2580" s="3"/>
      <c r="L2580" s="17" t="str" cm="1">
        <f t="array" ref="L2580">_xlfn.IFS(MID(K2580,2,2)="01", "서울", MID(K2580,2,2)="02","경기",MID(K2580,2,2)="03","충청",MID(K2580,2,2)="04","충청",MID(K2580,2,2)="05","전라",MID(K2580,2,2)="06","전라",MID(K2580,2,2)="07","경북",MID(K2580,2,2)="08","경남",MID(K2580,2,2)="09","강원",MID(K2580,2,2)="10","제주",TRUE,"국외")</f>
        <v>국외</v>
      </c>
    </row>
    <row r="2581" spans="1:12" ht="17.25" thickBot="1">
      <c r="A2581" s="3" t="s">
        <v>2120</v>
      </c>
      <c r="B2581" s="3"/>
      <c r="C2581" s="3"/>
      <c r="D2581" s="4" t="s">
        <v>181</v>
      </c>
      <c r="E2581" s="4" t="s">
        <v>9</v>
      </c>
      <c r="F2581" s="4">
        <v>2001</v>
      </c>
      <c r="G2581" s="8">
        <v>1.5</v>
      </c>
      <c r="H2581" s="4" t="s">
        <v>9</v>
      </c>
      <c r="I2581" s="8">
        <v>1.5</v>
      </c>
      <c r="J2581" s="3">
        <f>2178</f>
        <v>2178</v>
      </c>
      <c r="K2581" s="3"/>
      <c r="L2581" s="17" t="str" cm="1">
        <f t="array" ref="L2581">_xlfn.IFS(MID(K2581,2,2)="01", "서울", MID(K2581,2,2)="02","경기",MID(K2581,2,2)="03","충청",MID(K2581,2,2)="04","충청",MID(K2581,2,2)="05","전라",MID(K2581,2,2)="06","전라",MID(K2581,2,2)="07","경북",MID(K2581,2,2)="08","경남",MID(K2581,2,2)="09","강원",MID(K2581,2,2)="10","제주",TRUE,"국외")</f>
        <v>국외</v>
      </c>
    </row>
    <row r="2582" spans="1:12" ht="17.25" thickBot="1">
      <c r="A2582" s="3" t="s">
        <v>2121</v>
      </c>
      <c r="B2582" s="3"/>
      <c r="C2582" s="3"/>
      <c r="D2582" s="4" t="s">
        <v>181</v>
      </c>
      <c r="E2582" s="4" t="s">
        <v>9</v>
      </c>
      <c r="F2582" s="4">
        <v>2001</v>
      </c>
      <c r="G2582" s="8">
        <v>0.5</v>
      </c>
      <c r="H2582" s="4" t="s">
        <v>9</v>
      </c>
      <c r="I2582" s="8">
        <v>0.5</v>
      </c>
      <c r="J2582" s="3">
        <f>2197</f>
        <v>2197</v>
      </c>
      <c r="K2582" s="3"/>
      <c r="L2582" s="17" t="str" cm="1">
        <f t="array" ref="L2582">_xlfn.IFS(MID(K2582,2,2)="01", "서울", MID(K2582,2,2)="02","경기",MID(K2582,2,2)="03","충청",MID(K2582,2,2)="04","충청",MID(K2582,2,2)="05","전라",MID(K2582,2,2)="06","전라",MID(K2582,2,2)="07","경북",MID(K2582,2,2)="08","경남",MID(K2582,2,2)="09","강원",MID(K2582,2,2)="10","제주",TRUE,"국외")</f>
        <v>국외</v>
      </c>
    </row>
    <row r="2583" spans="1:12" ht="17.25" thickBot="1">
      <c r="A2583" s="3" t="s">
        <v>2576</v>
      </c>
      <c r="B2583" s="3"/>
      <c r="C2583" s="3"/>
      <c r="D2583" s="4" t="s">
        <v>181</v>
      </c>
      <c r="E2583" s="4" t="s">
        <v>23</v>
      </c>
      <c r="F2583" s="4">
        <v>2001</v>
      </c>
      <c r="G2583" s="8">
        <v>5.6</v>
      </c>
      <c r="H2583" s="4" t="s">
        <v>23</v>
      </c>
      <c r="I2583" s="8">
        <v>5.6</v>
      </c>
      <c r="J2583" s="3">
        <f>2199</f>
        <v>2199</v>
      </c>
      <c r="K2583" s="3"/>
      <c r="L2583" s="17" t="str" cm="1">
        <f t="array" ref="L2583">_xlfn.IFS(MID(K2583,2,2)="01", "서울", MID(K2583,2,2)="02","경기",MID(K2583,2,2)="03","충청",MID(K2583,2,2)="04","충청",MID(K2583,2,2)="05","전라",MID(K2583,2,2)="06","전라",MID(K2583,2,2)="07","경북",MID(K2583,2,2)="08","경남",MID(K2583,2,2)="09","강원",MID(K2583,2,2)="10","제주",TRUE,"국외")</f>
        <v>국외</v>
      </c>
    </row>
    <row r="2584" spans="1:12" ht="17.25" thickBot="1">
      <c r="A2584" s="3" t="s">
        <v>2515</v>
      </c>
      <c r="B2584" s="3"/>
      <c r="C2584" s="3"/>
      <c r="D2584" s="4" t="s">
        <v>181</v>
      </c>
      <c r="E2584" s="4" t="s">
        <v>23</v>
      </c>
      <c r="F2584" s="4">
        <v>2001</v>
      </c>
      <c r="G2584" s="8">
        <v>-0.3</v>
      </c>
      <c r="H2584" s="4" t="s">
        <v>23</v>
      </c>
      <c r="I2584" s="8">
        <v>-0.3</v>
      </c>
      <c r="J2584" s="3">
        <f>2224</f>
        <v>2224</v>
      </c>
      <c r="K2584" s="3"/>
      <c r="L2584" s="17" t="str" cm="1">
        <f t="array" ref="L2584">_xlfn.IFS(MID(K2584,2,2)="01", "서울", MID(K2584,2,2)="02","경기",MID(K2584,2,2)="03","충청",MID(K2584,2,2)="04","충청",MID(K2584,2,2)="05","전라",MID(K2584,2,2)="06","전라",MID(K2584,2,2)="07","경북",MID(K2584,2,2)="08","경남",MID(K2584,2,2)="09","강원",MID(K2584,2,2)="10","제주",TRUE,"국외")</f>
        <v>국외</v>
      </c>
    </row>
    <row r="2585" spans="1:12" ht="17.25" thickBot="1">
      <c r="A2585" s="3" t="s">
        <v>2577</v>
      </c>
      <c r="B2585" s="3"/>
      <c r="C2585" s="3"/>
      <c r="D2585" s="4" t="s">
        <v>181</v>
      </c>
      <c r="E2585" s="4" t="s">
        <v>23</v>
      </c>
      <c r="F2585" s="4">
        <v>2001</v>
      </c>
      <c r="G2585" s="8">
        <v>4.2</v>
      </c>
      <c r="H2585" s="4" t="s">
        <v>23</v>
      </c>
      <c r="I2585" s="8">
        <v>4.2</v>
      </c>
      <c r="J2585" s="3">
        <f>2189</f>
        <v>2189</v>
      </c>
      <c r="K2585" s="3"/>
      <c r="L2585" s="17" t="str" cm="1">
        <f t="array" ref="L2585">_xlfn.IFS(MID(K2585,2,2)="01", "서울", MID(K2585,2,2)="02","경기",MID(K2585,2,2)="03","충청",MID(K2585,2,2)="04","충청",MID(K2585,2,2)="05","전라",MID(K2585,2,2)="06","전라",MID(K2585,2,2)="07","경북",MID(K2585,2,2)="08","경남",MID(K2585,2,2)="09","강원",MID(K2585,2,2)="10","제주",TRUE,"국외")</f>
        <v>국외</v>
      </c>
    </row>
    <row r="2586" spans="1:12" ht="17.25" thickBot="1">
      <c r="A2586" s="3" t="s">
        <v>2578</v>
      </c>
      <c r="B2586" s="3"/>
      <c r="C2586" s="3"/>
      <c r="D2586" s="4" t="s">
        <v>181</v>
      </c>
      <c r="E2586" s="4" t="s">
        <v>23</v>
      </c>
      <c r="F2586" s="4">
        <v>2001</v>
      </c>
      <c r="G2586" s="8">
        <v>0.2</v>
      </c>
      <c r="H2586" s="4" t="s">
        <v>23</v>
      </c>
      <c r="I2586" s="8">
        <v>0.2</v>
      </c>
      <c r="J2586" s="3">
        <f>2171</f>
        <v>2171</v>
      </c>
      <c r="K2586" s="3"/>
      <c r="L2586" s="17" t="str" cm="1">
        <f t="array" ref="L2586">_xlfn.IFS(MID(K2586,2,2)="01", "서울", MID(K2586,2,2)="02","경기",MID(K2586,2,2)="03","충청",MID(K2586,2,2)="04","충청",MID(K2586,2,2)="05","전라",MID(K2586,2,2)="06","전라",MID(K2586,2,2)="07","경북",MID(K2586,2,2)="08","경남",MID(K2586,2,2)="09","강원",MID(K2586,2,2)="10","제주",TRUE,"국외")</f>
        <v>국외</v>
      </c>
    </row>
    <row r="2587" spans="1:12" ht="17.25" thickBot="1">
      <c r="A2587" s="3" t="s">
        <v>2579</v>
      </c>
      <c r="B2587" s="3"/>
      <c r="C2587" s="3"/>
      <c r="D2587" s="4" t="s">
        <v>181</v>
      </c>
      <c r="E2587" s="4" t="s">
        <v>3</v>
      </c>
      <c r="F2587" s="4">
        <v>2001</v>
      </c>
      <c r="G2587" s="8">
        <v>0.7</v>
      </c>
      <c r="H2587" s="4" t="s">
        <v>3</v>
      </c>
      <c r="I2587" s="8">
        <v>0.7</v>
      </c>
      <c r="J2587" s="3">
        <f>2221</f>
        <v>2221</v>
      </c>
      <c r="K2587" s="3"/>
      <c r="L2587" s="17" t="str" cm="1">
        <f t="array" ref="L2587">_xlfn.IFS(MID(K2587,2,2)="01", "서울", MID(K2587,2,2)="02","경기",MID(K2587,2,2)="03","충청",MID(K2587,2,2)="04","충청",MID(K2587,2,2)="05","전라",MID(K2587,2,2)="06","전라",MID(K2587,2,2)="07","경북",MID(K2587,2,2)="08","경남",MID(K2587,2,2)="09","강원",MID(K2587,2,2)="10","제주",TRUE,"국외")</f>
        <v>국외</v>
      </c>
    </row>
    <row r="2588" spans="1:12" ht="17.25" thickBot="1">
      <c r="A2588" s="3" t="s">
        <v>2580</v>
      </c>
      <c r="B2588" s="3"/>
      <c r="C2588" s="3"/>
      <c r="D2588" s="4" t="s">
        <v>181</v>
      </c>
      <c r="E2588" s="4" t="s">
        <v>3</v>
      </c>
      <c r="F2588" s="4">
        <v>2001</v>
      </c>
      <c r="G2588" s="8">
        <v>-0.7</v>
      </c>
      <c r="H2588" s="4" t="s">
        <v>3</v>
      </c>
      <c r="I2588" s="8">
        <v>-0.7</v>
      </c>
      <c r="J2588" s="3">
        <f>2214</f>
        <v>2214</v>
      </c>
      <c r="K2588" s="3"/>
      <c r="L2588" s="17" t="str" cm="1">
        <f t="array" ref="L2588">_xlfn.IFS(MID(K2588,2,2)="01", "서울", MID(K2588,2,2)="02","경기",MID(K2588,2,2)="03","충청",MID(K2588,2,2)="04","충청",MID(K2588,2,2)="05","전라",MID(K2588,2,2)="06","전라",MID(K2588,2,2)="07","경북",MID(K2588,2,2)="08","경남",MID(K2588,2,2)="09","강원",MID(K2588,2,2)="10","제주",TRUE,"국외")</f>
        <v>국외</v>
      </c>
    </row>
    <row r="2589" spans="1:12" ht="17.25" thickBot="1">
      <c r="A2589" s="3" t="s">
        <v>2581</v>
      </c>
      <c r="B2589" s="3"/>
      <c r="C2589" s="3"/>
      <c r="D2589" s="4" t="s">
        <v>181</v>
      </c>
      <c r="E2589" s="4" t="s">
        <v>3</v>
      </c>
      <c r="F2589" s="4">
        <v>2001</v>
      </c>
      <c r="G2589" s="8">
        <v>0.2</v>
      </c>
      <c r="H2589" s="4" t="s">
        <v>3</v>
      </c>
      <c r="I2589" s="8">
        <v>0.2</v>
      </c>
      <c r="J2589" s="3">
        <f>2213</f>
        <v>2213</v>
      </c>
      <c r="K2589" s="3"/>
      <c r="L2589" s="17" t="str" cm="1">
        <f t="array" ref="L2589">_xlfn.IFS(MID(K2589,2,2)="01", "서울", MID(K2589,2,2)="02","경기",MID(K2589,2,2)="03","충청",MID(K2589,2,2)="04","충청",MID(K2589,2,2)="05","전라",MID(K2589,2,2)="06","전라",MID(K2589,2,2)="07","경북",MID(K2589,2,2)="08","경남",MID(K2589,2,2)="09","강원",MID(K2589,2,2)="10","제주",TRUE,"국외")</f>
        <v>국외</v>
      </c>
    </row>
    <row r="2590" spans="1:12" ht="17.25" thickBot="1">
      <c r="A2590" s="3" t="s">
        <v>2582</v>
      </c>
      <c r="B2590" s="3"/>
      <c r="C2590" s="3"/>
      <c r="D2590" s="4" t="s">
        <v>181</v>
      </c>
      <c r="E2590" s="4" t="s">
        <v>3</v>
      </c>
      <c r="F2590" s="4">
        <v>2001</v>
      </c>
      <c r="G2590" s="8">
        <v>3</v>
      </c>
      <c r="H2590" s="4" t="s">
        <v>3</v>
      </c>
      <c r="I2590" s="8">
        <v>3</v>
      </c>
      <c r="J2590" s="3">
        <f>2200</f>
        <v>2200</v>
      </c>
      <c r="K2590" s="3"/>
      <c r="L2590" s="17" t="str" cm="1">
        <f t="array" ref="L2590">_xlfn.IFS(MID(K2590,2,2)="01", "서울", MID(K2590,2,2)="02","경기",MID(K2590,2,2)="03","충청",MID(K2590,2,2)="04","충청",MID(K2590,2,2)="05","전라",MID(K2590,2,2)="06","전라",MID(K2590,2,2)="07","경북",MID(K2590,2,2)="08","경남",MID(K2590,2,2)="09","강원",MID(K2590,2,2)="10","제주",TRUE,"국외")</f>
        <v>국외</v>
      </c>
    </row>
    <row r="2591" spans="1:12" ht="17.25" thickBot="1">
      <c r="A2591" s="3" t="s">
        <v>2583</v>
      </c>
      <c r="B2591" s="3"/>
      <c r="C2591" s="3"/>
      <c r="D2591" s="4" t="s">
        <v>181</v>
      </c>
      <c r="E2591" s="4" t="s">
        <v>3</v>
      </c>
      <c r="F2591" s="4">
        <v>2001</v>
      </c>
      <c r="G2591" s="8">
        <v>0</v>
      </c>
      <c r="H2591" s="4" t="s">
        <v>3</v>
      </c>
      <c r="I2591" s="8">
        <v>0</v>
      </c>
      <c r="J2591" s="3">
        <f>2195</f>
        <v>2195</v>
      </c>
      <c r="K2591" s="3"/>
      <c r="L2591" s="17" t="str" cm="1">
        <f t="array" ref="L2591">_xlfn.IFS(MID(K2591,2,2)="01", "서울", MID(K2591,2,2)="02","경기",MID(K2591,2,2)="03","충청",MID(K2591,2,2)="04","충청",MID(K2591,2,2)="05","전라",MID(K2591,2,2)="06","전라",MID(K2591,2,2)="07","경북",MID(K2591,2,2)="08","경남",MID(K2591,2,2)="09","강원",MID(K2591,2,2)="10","제주",TRUE,"국외")</f>
        <v>국외</v>
      </c>
    </row>
    <row r="2592" spans="1:12" ht="17.25" thickBot="1">
      <c r="A2592" s="3" t="s">
        <v>1285</v>
      </c>
      <c r="B2592" s="3"/>
      <c r="C2592" s="3"/>
      <c r="D2592" s="4" t="s">
        <v>181</v>
      </c>
      <c r="E2592" s="4" t="s">
        <v>3</v>
      </c>
      <c r="F2592" s="4">
        <v>2001</v>
      </c>
      <c r="G2592" s="8">
        <v>-0.2</v>
      </c>
      <c r="H2592" s="4" t="s">
        <v>3</v>
      </c>
      <c r="I2592" s="8">
        <v>-0.2</v>
      </c>
      <c r="J2592" s="3">
        <f>2210</f>
        <v>2210</v>
      </c>
      <c r="K2592" s="3"/>
      <c r="L2592" s="17" t="str" cm="1">
        <f t="array" ref="L2592">_xlfn.IFS(MID(K2592,2,2)="01", "서울", MID(K2592,2,2)="02","경기",MID(K2592,2,2)="03","충청",MID(K2592,2,2)="04","충청",MID(K2592,2,2)="05","전라",MID(K2592,2,2)="06","전라",MID(K2592,2,2)="07","경북",MID(K2592,2,2)="08","경남",MID(K2592,2,2)="09","강원",MID(K2592,2,2)="10","제주",TRUE,"국외")</f>
        <v>국외</v>
      </c>
    </row>
    <row r="2593" spans="1:12" ht="17.25" thickBot="1">
      <c r="A2593" s="3" t="s">
        <v>2584</v>
      </c>
      <c r="B2593" s="3"/>
      <c r="C2593" s="3"/>
      <c r="D2593" s="4" t="s">
        <v>181</v>
      </c>
      <c r="E2593" s="4" t="s">
        <v>2164</v>
      </c>
      <c r="F2593" s="4">
        <v>2001</v>
      </c>
      <c r="G2593" s="8">
        <v>-0.6</v>
      </c>
      <c r="H2593" s="4" t="s">
        <v>2164</v>
      </c>
      <c r="I2593" s="8">
        <v>-0.6</v>
      </c>
      <c r="J2593" s="3">
        <f>2211</f>
        <v>2211</v>
      </c>
      <c r="K2593" s="3"/>
      <c r="L2593" s="17" t="str" cm="1">
        <f t="array" ref="L2593">_xlfn.IFS(MID(K2593,2,2)="01", "서울", MID(K2593,2,2)="02","경기",MID(K2593,2,2)="03","충청",MID(K2593,2,2)="04","충청",MID(K2593,2,2)="05","전라",MID(K2593,2,2)="06","전라",MID(K2593,2,2)="07","경북",MID(K2593,2,2)="08","경남",MID(K2593,2,2)="09","강원",MID(K2593,2,2)="10","제주",TRUE,"국외")</f>
        <v>국외</v>
      </c>
    </row>
    <row r="2594" spans="1:12" ht="17.25" thickBot="1">
      <c r="A2594" s="3" t="s">
        <v>2585</v>
      </c>
      <c r="B2594" s="3"/>
      <c r="C2594" s="3"/>
      <c r="D2594" s="4" t="s">
        <v>181</v>
      </c>
      <c r="E2594" s="4" t="s">
        <v>2164</v>
      </c>
      <c r="F2594" s="4">
        <v>2001</v>
      </c>
      <c r="G2594" s="8">
        <v>2.2000000000000002</v>
      </c>
      <c r="H2594" s="4" t="s">
        <v>2164</v>
      </c>
      <c r="I2594" s="8">
        <v>2.2000000000000002</v>
      </c>
      <c r="J2594" s="3">
        <f>2223</f>
        <v>2223</v>
      </c>
      <c r="K2594" s="3"/>
      <c r="L2594" s="17" t="str" cm="1">
        <f t="array" ref="L2594">_xlfn.IFS(MID(K2594,2,2)="01", "서울", MID(K2594,2,2)="02","경기",MID(K2594,2,2)="03","충청",MID(K2594,2,2)="04","충청",MID(K2594,2,2)="05","전라",MID(K2594,2,2)="06","전라",MID(K2594,2,2)="07","경북",MID(K2594,2,2)="08","경남",MID(K2594,2,2)="09","강원",MID(K2594,2,2)="10","제주",TRUE,"국외")</f>
        <v>국외</v>
      </c>
    </row>
    <row r="2595" spans="1:12" ht="17.25" thickBot="1">
      <c r="A2595" s="3" t="s">
        <v>2586</v>
      </c>
      <c r="B2595" s="3"/>
      <c r="C2595" s="3"/>
      <c r="D2595" s="4" t="s">
        <v>181</v>
      </c>
      <c r="E2595" s="4" t="s">
        <v>2164</v>
      </c>
      <c r="F2595" s="4">
        <v>2001</v>
      </c>
      <c r="G2595" s="8">
        <v>0.2</v>
      </c>
      <c r="H2595" s="4" t="s">
        <v>2164</v>
      </c>
      <c r="I2595" s="8">
        <v>0.2</v>
      </c>
      <c r="J2595" s="3">
        <f>2188</f>
        <v>2188</v>
      </c>
      <c r="K2595" s="3"/>
      <c r="L2595" s="17" t="str" cm="1">
        <f t="array" ref="L2595">_xlfn.IFS(MID(K2595,2,2)="01", "서울", MID(K2595,2,2)="02","경기",MID(K2595,2,2)="03","충청",MID(K2595,2,2)="04","충청",MID(K2595,2,2)="05","전라",MID(K2595,2,2)="06","전라",MID(K2595,2,2)="07","경북",MID(K2595,2,2)="08","경남",MID(K2595,2,2)="09","강원",MID(K2595,2,2)="10","제주",TRUE,"국외")</f>
        <v>국외</v>
      </c>
    </row>
    <row r="2596" spans="1:12" ht="17.25" thickBot="1">
      <c r="A2596" s="3" t="s">
        <v>2118</v>
      </c>
      <c r="B2596" s="3"/>
      <c r="C2596" s="3"/>
      <c r="D2596" s="4" t="s">
        <v>181</v>
      </c>
      <c r="E2596" s="4" t="s">
        <v>20</v>
      </c>
      <c r="F2596" s="4">
        <v>2007</v>
      </c>
      <c r="G2596" s="9"/>
      <c r="H2596" s="4" t="s">
        <v>20</v>
      </c>
      <c r="I2596" s="8">
        <v>3.1</v>
      </c>
      <c r="J2596" s="3">
        <f>2407</f>
        <v>2407</v>
      </c>
      <c r="K2596" s="3"/>
      <c r="L2596" s="17" t="str" cm="1">
        <f t="array" ref="L2596">_xlfn.IFS(MID(K2596,2,2)="01", "서울", MID(K2596,2,2)="02","경기",MID(K2596,2,2)="03","충청",MID(K2596,2,2)="04","충청",MID(K2596,2,2)="05","전라",MID(K2596,2,2)="06","전라",MID(K2596,2,2)="07","경북",MID(K2596,2,2)="08","경남",MID(K2596,2,2)="09","강원",MID(K2596,2,2)="10","제주",TRUE,"국외")</f>
        <v>국외</v>
      </c>
    </row>
    <row r="2597" spans="1:12" ht="17.25" thickBot="1">
      <c r="A2597" s="3" t="s">
        <v>2587</v>
      </c>
      <c r="B2597" s="3"/>
      <c r="C2597" s="3"/>
      <c r="D2597" s="4" t="s">
        <v>181</v>
      </c>
      <c r="E2597" s="4" t="s">
        <v>23</v>
      </c>
      <c r="F2597" s="4">
        <v>2001</v>
      </c>
      <c r="G2597" s="8">
        <v>2.1</v>
      </c>
      <c r="H2597" s="4" t="s">
        <v>20</v>
      </c>
      <c r="I2597" s="8">
        <v>8.4</v>
      </c>
      <c r="J2597" s="3">
        <f>2170</f>
        <v>2170</v>
      </c>
      <c r="K2597" s="3"/>
      <c r="L2597" s="17" t="str" cm="1">
        <f t="array" ref="L2597">_xlfn.IFS(MID(K2597,2,2)="01", "서울", MID(K2597,2,2)="02","경기",MID(K2597,2,2)="03","충청",MID(K2597,2,2)="04","충청",MID(K2597,2,2)="05","전라",MID(K2597,2,2)="06","전라",MID(K2597,2,2)="07","경북",MID(K2597,2,2)="08","경남",MID(K2597,2,2)="09","강원",MID(K2597,2,2)="10","제주",TRUE,"국외")</f>
        <v>국외</v>
      </c>
    </row>
    <row r="2598" spans="1:12" ht="17.25" thickBot="1">
      <c r="A2598" s="3" t="s">
        <v>2588</v>
      </c>
      <c r="B2598" s="3" t="s">
        <v>74</v>
      </c>
      <c r="C2598" s="3" t="s">
        <v>538</v>
      </c>
      <c r="D2598" s="4" t="s">
        <v>1777</v>
      </c>
      <c r="E2598" s="4" t="s">
        <v>3</v>
      </c>
      <c r="F2598" s="4">
        <v>2001</v>
      </c>
      <c r="G2598" s="8">
        <v>0</v>
      </c>
      <c r="H2598" s="4" t="s">
        <v>3</v>
      </c>
      <c r="I2598" s="8">
        <v>0</v>
      </c>
      <c r="J2598" s="3">
        <f>2183</f>
        <v>2183</v>
      </c>
      <c r="K2598" s="3">
        <v>50102</v>
      </c>
      <c r="L2598" s="17" t="str" cm="1">
        <f t="array" ref="L2598">_xlfn.IFS(MID(K2598,2,2)="01", "서울", MID(K2598,2,2)="02","경기",MID(K2598,2,2)="03","충청",MID(K2598,2,2)="04","충청",MID(K2598,2,2)="05","전라",MID(K2598,2,2)="06","전라",MID(K2598,2,2)="07","경북",MID(K2598,2,2)="08","경남",MID(K2598,2,2)="09","강원",MID(K2598,2,2)="10","제주",TRUE,"국외")</f>
        <v>서울</v>
      </c>
    </row>
    <row r="2599" spans="1:12" ht="17.25" thickBot="1">
      <c r="A2599" s="3" t="s">
        <v>2589</v>
      </c>
      <c r="B2599" s="3" t="s">
        <v>34</v>
      </c>
      <c r="C2599" s="3" t="s">
        <v>483</v>
      </c>
      <c r="D2599" s="4" t="s">
        <v>1777</v>
      </c>
      <c r="E2599" s="4" t="s">
        <v>3</v>
      </c>
      <c r="F2599" s="4">
        <v>2001</v>
      </c>
      <c r="G2599" s="8">
        <v>0</v>
      </c>
      <c r="H2599" s="4" t="s">
        <v>3</v>
      </c>
      <c r="I2599" s="8">
        <v>0</v>
      </c>
      <c r="J2599" s="3">
        <f>2166</f>
        <v>2166</v>
      </c>
      <c r="K2599" s="3">
        <v>50701</v>
      </c>
      <c r="L2599" s="17" t="str" cm="1">
        <f t="array" ref="L2599">_xlfn.IFS(MID(K2599,2,2)="01", "서울", MID(K2599,2,2)="02","경기",MID(K2599,2,2)="03","충청",MID(K2599,2,2)="04","충청",MID(K2599,2,2)="05","전라",MID(K2599,2,2)="06","전라",MID(K2599,2,2)="07","경북",MID(K2599,2,2)="08","경남",MID(K2599,2,2)="09","강원",MID(K2599,2,2)="10","제주",TRUE,"국외")</f>
        <v>경북</v>
      </c>
    </row>
    <row r="2600" spans="1:12" ht="17.25" thickBot="1">
      <c r="A2600" s="3" t="s">
        <v>2590</v>
      </c>
      <c r="B2600" s="3" t="s">
        <v>158</v>
      </c>
      <c r="C2600" s="3"/>
      <c r="D2600" s="4" t="s">
        <v>205</v>
      </c>
      <c r="E2600" s="4" t="s">
        <v>607</v>
      </c>
      <c r="F2600" s="4">
        <v>2002</v>
      </c>
      <c r="G2600" s="9"/>
      <c r="H2600" s="4" t="s">
        <v>3</v>
      </c>
      <c r="I2600" s="8">
        <v>15.4</v>
      </c>
      <c r="J2600" s="3">
        <v>10558</v>
      </c>
      <c r="K2600" s="3">
        <v>50501</v>
      </c>
      <c r="L2600" s="17" t="str" cm="1">
        <f t="array" ref="L2600">_xlfn.IFS(MID(K2600,2,2)="01", "서울", MID(K2600,2,2)="02","경기",MID(K2600,2,2)="03","충청",MID(K2600,2,2)="04","충청",MID(K2600,2,2)="05","전라",MID(K2600,2,2)="06","전라",MID(K2600,2,2)="07","경북",MID(K2600,2,2)="08","경남",MID(K2600,2,2)="09","강원",MID(K2600,2,2)="10","제주",TRUE,"국외")</f>
        <v>전라</v>
      </c>
    </row>
    <row r="2601" spans="1:12" ht="17.25" thickBot="1">
      <c r="A2601" s="3" t="s">
        <v>2591</v>
      </c>
      <c r="B2601" s="3" t="s">
        <v>40</v>
      </c>
      <c r="C2601" s="3" t="s">
        <v>218</v>
      </c>
      <c r="D2601" s="4" t="s">
        <v>243</v>
      </c>
      <c r="E2601" s="4" t="s">
        <v>20</v>
      </c>
      <c r="F2601" s="4">
        <v>2000</v>
      </c>
      <c r="G2601" s="8">
        <v>-0.2</v>
      </c>
      <c r="H2601" s="4" t="s">
        <v>26</v>
      </c>
      <c r="I2601" s="8">
        <v>5.6</v>
      </c>
      <c r="J2601" s="3">
        <v>10041</v>
      </c>
      <c r="K2601" s="3">
        <v>50108</v>
      </c>
      <c r="L2601" s="17" t="str" cm="1">
        <f t="array" ref="L2601">_xlfn.IFS(MID(K2601,2,2)="01", "서울", MID(K2601,2,2)="02","경기",MID(K2601,2,2)="03","충청",MID(K2601,2,2)="04","충청",MID(K2601,2,2)="05","전라",MID(K2601,2,2)="06","전라",MID(K2601,2,2)="07","경북",MID(K2601,2,2)="08","경남",MID(K2601,2,2)="09","강원",MID(K2601,2,2)="10","제주",TRUE,"국외")</f>
        <v>서울</v>
      </c>
    </row>
    <row r="2602" spans="1:12" ht="17.25" thickBot="1">
      <c r="A2602" s="3" t="s">
        <v>2592</v>
      </c>
      <c r="B2602" s="3" t="s">
        <v>11</v>
      </c>
      <c r="C2602" s="3"/>
      <c r="D2602" s="4" t="s">
        <v>243</v>
      </c>
      <c r="E2602" s="4" t="s">
        <v>9</v>
      </c>
      <c r="F2602" s="4">
        <v>2000</v>
      </c>
      <c r="G2602" s="8">
        <v>-1.1000000000000001</v>
      </c>
      <c r="H2602" s="4" t="s">
        <v>9</v>
      </c>
      <c r="I2602" s="8">
        <v>-1</v>
      </c>
      <c r="J2602" s="3">
        <f>2146</f>
        <v>2146</v>
      </c>
      <c r="K2602" s="3">
        <v>50802</v>
      </c>
      <c r="L2602" s="17" t="str" cm="1">
        <f t="array" ref="L2602">_xlfn.IFS(MID(K2602,2,2)="01", "서울", MID(K2602,2,2)="02","경기",MID(K2602,2,2)="03","충청",MID(K2602,2,2)="04","충청",MID(K2602,2,2)="05","전라",MID(K2602,2,2)="06","전라",MID(K2602,2,2)="07","경북",MID(K2602,2,2)="08","경남",MID(K2602,2,2)="09","강원",MID(K2602,2,2)="10","제주",TRUE,"국외")</f>
        <v>경남</v>
      </c>
    </row>
    <row r="2603" spans="1:12" ht="17.25" thickBot="1">
      <c r="A2603" s="3" t="s">
        <v>1049</v>
      </c>
      <c r="B2603" s="3" t="s">
        <v>158</v>
      </c>
      <c r="C2603" s="3"/>
      <c r="D2603" s="4" t="s">
        <v>243</v>
      </c>
      <c r="E2603" s="4" t="s">
        <v>607</v>
      </c>
      <c r="F2603" s="4">
        <v>2000</v>
      </c>
      <c r="G2603" s="8">
        <v>2</v>
      </c>
      <c r="H2603" s="4" t="s">
        <v>607</v>
      </c>
      <c r="I2603" s="8">
        <v>24.6</v>
      </c>
      <c r="J2603" s="3">
        <v>10147</v>
      </c>
      <c r="K2603" s="3">
        <v>50501</v>
      </c>
      <c r="L2603" s="17" t="str" cm="1">
        <f t="array" ref="L2603">_xlfn.IFS(MID(K2603,2,2)="01", "서울", MID(K2603,2,2)="02","경기",MID(K2603,2,2)="03","충청",MID(K2603,2,2)="04","충청",MID(K2603,2,2)="05","전라",MID(K2603,2,2)="06","전라",MID(K2603,2,2)="07","경북",MID(K2603,2,2)="08","경남",MID(K2603,2,2)="09","강원",MID(K2603,2,2)="10","제주",TRUE,"국외")</f>
        <v>전라</v>
      </c>
    </row>
    <row r="2604" spans="1:12" ht="17.25" thickBot="1">
      <c r="A2604" s="3" t="s">
        <v>2593</v>
      </c>
      <c r="B2604" s="3" t="s">
        <v>25</v>
      </c>
      <c r="C2604" s="3"/>
      <c r="D2604" s="4" t="s">
        <v>243</v>
      </c>
      <c r="E2604" s="4" t="s">
        <v>3</v>
      </c>
      <c r="F2604" s="4">
        <v>2000</v>
      </c>
      <c r="G2604" s="8">
        <v>2.4</v>
      </c>
      <c r="H2604" s="4" t="s">
        <v>3</v>
      </c>
      <c r="I2604" s="8">
        <v>6.2</v>
      </c>
      <c r="J2604" s="3">
        <v>10226</v>
      </c>
      <c r="K2604" s="3">
        <v>50403</v>
      </c>
      <c r="L2604" s="17" t="str" cm="1">
        <f t="array" ref="L2604">_xlfn.IFS(MID(K2604,2,2)="01", "서울", MID(K2604,2,2)="02","경기",MID(K2604,2,2)="03","충청",MID(K2604,2,2)="04","충청",MID(K2604,2,2)="05","전라",MID(K2604,2,2)="06","전라",MID(K2604,2,2)="07","경북",MID(K2604,2,2)="08","경남",MID(K2604,2,2)="09","강원",MID(K2604,2,2)="10","제주",TRUE,"국외")</f>
        <v>충청</v>
      </c>
    </row>
    <row r="2605" spans="1:12" ht="17.25" thickBot="1">
      <c r="A2605" s="3" t="s">
        <v>1704</v>
      </c>
      <c r="B2605" s="3" t="s">
        <v>2491</v>
      </c>
      <c r="C2605" s="3" t="s">
        <v>208</v>
      </c>
      <c r="D2605" s="4" t="s">
        <v>243</v>
      </c>
      <c r="E2605" s="4" t="s">
        <v>2523</v>
      </c>
      <c r="F2605" s="4">
        <v>2005</v>
      </c>
      <c r="G2605" s="9"/>
      <c r="H2605" s="4" t="s">
        <v>6</v>
      </c>
      <c r="I2605" s="8">
        <v>0</v>
      </c>
      <c r="J2605" s="3">
        <f>2340</f>
        <v>2340</v>
      </c>
      <c r="K2605" s="3">
        <v>50608</v>
      </c>
      <c r="L2605" s="17" t="str" cm="1">
        <f t="array" ref="L2605">_xlfn.IFS(MID(K2605,2,2)="01", "서울", MID(K2605,2,2)="02","경기",MID(K2605,2,2)="03","충청",MID(K2605,2,2)="04","충청",MID(K2605,2,2)="05","전라",MID(K2605,2,2)="06","전라",MID(K2605,2,2)="07","경북",MID(K2605,2,2)="08","경남",MID(K2605,2,2)="09","강원",MID(K2605,2,2)="10","제주",TRUE,"국외")</f>
        <v>전라</v>
      </c>
    </row>
    <row r="2606" spans="1:12" ht="17.25" thickBot="1">
      <c r="A2606" s="3" t="s">
        <v>2594</v>
      </c>
      <c r="B2606" s="3" t="s">
        <v>1834</v>
      </c>
      <c r="C2606" s="3"/>
      <c r="D2606" s="4" t="s">
        <v>243</v>
      </c>
      <c r="E2606" s="4" t="s">
        <v>2164</v>
      </c>
      <c r="F2606" s="4">
        <v>2005</v>
      </c>
      <c r="G2606" s="9"/>
      <c r="H2606" s="4" t="s">
        <v>2164</v>
      </c>
      <c r="I2606" s="8">
        <v>0</v>
      </c>
      <c r="J2606" s="3">
        <f>2346</f>
        <v>2346</v>
      </c>
      <c r="K2606" s="3">
        <v>50904</v>
      </c>
      <c r="L2606" s="17" t="str" cm="1">
        <f t="array" ref="L2606">_xlfn.IFS(MID(K2606,2,2)="01", "서울", MID(K2606,2,2)="02","경기",MID(K2606,2,2)="03","충청",MID(K2606,2,2)="04","충청",MID(K2606,2,2)="05","전라",MID(K2606,2,2)="06","전라",MID(K2606,2,2)="07","경북",MID(K2606,2,2)="08","경남",MID(K2606,2,2)="09","강원",MID(K2606,2,2)="10","제주",TRUE,"국외")</f>
        <v>강원</v>
      </c>
    </row>
    <row r="2607" spans="1:12" ht="17.25" thickBot="1">
      <c r="A2607" s="3" t="s">
        <v>2595</v>
      </c>
      <c r="B2607" s="3" t="s">
        <v>34</v>
      </c>
      <c r="C2607" s="3"/>
      <c r="D2607" s="4" t="s">
        <v>243</v>
      </c>
      <c r="E2607" s="4" t="s">
        <v>23</v>
      </c>
      <c r="F2607" s="4">
        <v>2000</v>
      </c>
      <c r="G2607" s="8">
        <v>-0.6</v>
      </c>
      <c r="H2607" s="4" t="s">
        <v>23</v>
      </c>
      <c r="I2607" s="8">
        <v>32.4</v>
      </c>
      <c r="J2607" s="3">
        <v>10362</v>
      </c>
      <c r="K2607" s="3">
        <v>50701</v>
      </c>
      <c r="L2607" s="17" t="str" cm="1">
        <f t="array" ref="L2607">_xlfn.IFS(MID(K2607,2,2)="01", "서울", MID(K2607,2,2)="02","경기",MID(K2607,2,2)="03","충청",MID(K2607,2,2)="04","충청",MID(K2607,2,2)="05","전라",MID(K2607,2,2)="06","전라",MID(K2607,2,2)="07","경북",MID(K2607,2,2)="08","경남",MID(K2607,2,2)="09","강원",MID(K2607,2,2)="10","제주",TRUE,"국외")</f>
        <v>경북</v>
      </c>
    </row>
    <row r="2608" spans="1:12" ht="17.25" thickBot="1">
      <c r="A2608" s="3" t="s">
        <v>2596</v>
      </c>
      <c r="B2608" s="3" t="s">
        <v>2524</v>
      </c>
      <c r="C2608" s="3"/>
      <c r="D2608" s="4" t="s">
        <v>254</v>
      </c>
      <c r="E2608" s="4" t="s">
        <v>20</v>
      </c>
      <c r="F2608" s="4">
        <v>2000</v>
      </c>
      <c r="G2608" s="8">
        <v>0</v>
      </c>
      <c r="H2608" s="4" t="s">
        <v>20</v>
      </c>
      <c r="I2608" s="8">
        <v>-1.1000000000000001</v>
      </c>
      <c r="J2608" s="3">
        <f>2155</f>
        <v>2155</v>
      </c>
      <c r="K2608" s="3">
        <v>50711</v>
      </c>
      <c r="L2608" s="17" t="str" cm="1">
        <f t="array" ref="L2608">_xlfn.IFS(MID(K2608,2,2)="01", "서울", MID(K2608,2,2)="02","경기",MID(K2608,2,2)="03","충청",MID(K2608,2,2)="04","충청",MID(K2608,2,2)="05","전라",MID(K2608,2,2)="06","전라",MID(K2608,2,2)="07","경북",MID(K2608,2,2)="08","경남",MID(K2608,2,2)="09","강원",MID(K2608,2,2)="10","제주",TRUE,"국외")</f>
        <v>경북</v>
      </c>
    </row>
    <row r="2609" spans="1:12" ht="17.25" thickBot="1">
      <c r="A2609" s="3" t="s">
        <v>2597</v>
      </c>
      <c r="B2609" s="3" t="s">
        <v>5</v>
      </c>
      <c r="C2609" s="3"/>
      <c r="D2609" s="4" t="s">
        <v>254</v>
      </c>
      <c r="E2609" s="4" t="s">
        <v>23</v>
      </c>
      <c r="F2609" s="4">
        <v>2000</v>
      </c>
      <c r="G2609" s="8">
        <v>0.4</v>
      </c>
      <c r="H2609" s="4" t="s">
        <v>9</v>
      </c>
      <c r="I2609" s="8">
        <v>28</v>
      </c>
      <c r="J2609" s="3">
        <v>10239</v>
      </c>
      <c r="K2609" s="3">
        <v>50114</v>
      </c>
      <c r="L2609" s="17" t="str" cm="1">
        <f t="array" ref="L2609">_xlfn.IFS(MID(K2609,2,2)="01", "서울", MID(K2609,2,2)="02","경기",MID(K2609,2,2)="03","충청",MID(K2609,2,2)="04","충청",MID(K2609,2,2)="05","전라",MID(K2609,2,2)="06","전라",MID(K2609,2,2)="07","경북",MID(K2609,2,2)="08","경남",MID(K2609,2,2)="09","강원",MID(K2609,2,2)="10","제주",TRUE,"국외")</f>
        <v>서울</v>
      </c>
    </row>
    <row r="2610" spans="1:12" ht="17.25" thickBot="1">
      <c r="A2610" s="3" t="s">
        <v>2598</v>
      </c>
      <c r="B2610" s="3" t="s">
        <v>36</v>
      </c>
      <c r="C2610" s="3" t="s">
        <v>2599</v>
      </c>
      <c r="D2610" s="4" t="s">
        <v>254</v>
      </c>
      <c r="E2610" s="4" t="s">
        <v>607</v>
      </c>
      <c r="F2610" s="4">
        <v>2000</v>
      </c>
      <c r="G2610" s="8">
        <v>2.7</v>
      </c>
      <c r="H2610" s="4" t="s">
        <v>3</v>
      </c>
      <c r="I2610" s="8">
        <v>6</v>
      </c>
      <c r="J2610" s="3">
        <v>10592</v>
      </c>
      <c r="K2610" s="3">
        <v>50402</v>
      </c>
      <c r="L2610" s="17" t="str" cm="1">
        <f t="array" ref="L2610">_xlfn.IFS(MID(K2610,2,2)="01", "서울", MID(K2610,2,2)="02","경기",MID(K2610,2,2)="03","충청",MID(K2610,2,2)="04","충청",MID(K2610,2,2)="05","전라",MID(K2610,2,2)="06","전라",MID(K2610,2,2)="07","경북",MID(K2610,2,2)="08","경남",MID(K2610,2,2)="09","강원",MID(K2610,2,2)="10","제주",TRUE,"국외")</f>
        <v>충청</v>
      </c>
    </row>
    <row r="2611" spans="1:12" ht="17.25" thickBot="1">
      <c r="A2611" s="3" t="s">
        <v>2600</v>
      </c>
      <c r="B2611" s="3" t="s">
        <v>14</v>
      </c>
      <c r="C2611" s="3"/>
      <c r="D2611" s="4" t="s">
        <v>254</v>
      </c>
      <c r="E2611" s="4" t="s">
        <v>3</v>
      </c>
      <c r="F2611" s="4">
        <v>2000</v>
      </c>
      <c r="G2611" s="8">
        <v>-0.3</v>
      </c>
      <c r="H2611" s="4" t="s">
        <v>3</v>
      </c>
      <c r="I2611" s="8">
        <v>48</v>
      </c>
      <c r="J2611" s="3">
        <v>10559</v>
      </c>
      <c r="K2611" s="3">
        <v>50703</v>
      </c>
      <c r="L2611" s="17" t="str" cm="1">
        <f t="array" ref="L2611">_xlfn.IFS(MID(K2611,2,2)="01", "서울", MID(K2611,2,2)="02","경기",MID(K2611,2,2)="03","충청",MID(K2611,2,2)="04","충청",MID(K2611,2,2)="05","전라",MID(K2611,2,2)="06","전라",MID(K2611,2,2)="07","경북",MID(K2611,2,2)="08","경남",MID(K2611,2,2)="09","강원",MID(K2611,2,2)="10","제주",TRUE,"국외")</f>
        <v>경북</v>
      </c>
    </row>
    <row r="2612" spans="1:12" ht="17.25" thickBot="1">
      <c r="A2612" s="3" t="s">
        <v>2601</v>
      </c>
      <c r="B2612" s="3" t="s">
        <v>52</v>
      </c>
      <c r="C2612" s="3"/>
      <c r="D2612" s="4" t="s">
        <v>254</v>
      </c>
      <c r="E2612" s="4" t="s">
        <v>2164</v>
      </c>
      <c r="F2612" s="4">
        <v>2003</v>
      </c>
      <c r="G2612" s="9"/>
      <c r="H2612" s="4" t="s">
        <v>2164</v>
      </c>
      <c r="I2612" s="8">
        <v>-3.8</v>
      </c>
      <c r="J2612" s="3">
        <v>10447</v>
      </c>
      <c r="K2612" s="3">
        <v>50803</v>
      </c>
      <c r="L2612" s="17" t="str" cm="1">
        <f t="array" ref="L2612">_xlfn.IFS(MID(K2612,2,2)="01", "서울", MID(K2612,2,2)="02","경기",MID(K2612,2,2)="03","충청",MID(K2612,2,2)="04","충청",MID(K2612,2,2)="05","전라",MID(K2612,2,2)="06","전라",MID(K2612,2,2)="07","경북",MID(K2612,2,2)="08","경남",MID(K2612,2,2)="09","강원",MID(K2612,2,2)="10","제주",TRUE,"국외")</f>
        <v>경남</v>
      </c>
    </row>
    <row r="2613" spans="1:12" ht="17.25" thickBot="1">
      <c r="A2613" s="3" t="s">
        <v>1119</v>
      </c>
      <c r="B2613" s="3" t="s">
        <v>22</v>
      </c>
      <c r="C2613" s="3"/>
      <c r="D2613" s="4" t="s">
        <v>254</v>
      </c>
      <c r="E2613" s="4" t="s">
        <v>20</v>
      </c>
      <c r="F2613" s="4">
        <v>2000</v>
      </c>
      <c r="G2613" s="8">
        <v>-0.4</v>
      </c>
      <c r="H2613" s="4" t="s">
        <v>20</v>
      </c>
      <c r="I2613" s="8">
        <v>0.3</v>
      </c>
      <c r="J2613" s="3">
        <v>10502</v>
      </c>
      <c r="K2613" s="3">
        <v>50209</v>
      </c>
      <c r="L2613" s="17" t="str" cm="1">
        <f t="array" ref="L2613">_xlfn.IFS(MID(K2613,2,2)="01", "서울", MID(K2613,2,2)="02","경기",MID(K2613,2,2)="03","충청",MID(K2613,2,2)="04","충청",MID(K2613,2,2)="05","전라",MID(K2613,2,2)="06","전라",MID(K2613,2,2)="07","경북",MID(K2613,2,2)="08","경남",MID(K2613,2,2)="09","강원",MID(K2613,2,2)="10","제주",TRUE,"국외")</f>
        <v>경기</v>
      </c>
    </row>
    <row r="2614" spans="1:12" ht="17.25" thickBot="1">
      <c r="A2614" s="3" t="s">
        <v>2602</v>
      </c>
      <c r="B2614" s="3" t="s">
        <v>5</v>
      </c>
      <c r="C2614" s="3" t="s">
        <v>133</v>
      </c>
      <c r="D2614" s="4" t="s">
        <v>254</v>
      </c>
      <c r="E2614" s="4" t="s">
        <v>26</v>
      </c>
      <c r="F2614" s="4">
        <v>2004</v>
      </c>
      <c r="G2614" s="9"/>
      <c r="H2614" s="4" t="s">
        <v>26</v>
      </c>
      <c r="I2614" s="8">
        <v>-0.2</v>
      </c>
      <c r="J2614" s="3">
        <f>2312</f>
        <v>2312</v>
      </c>
      <c r="K2614" s="3">
        <v>50114</v>
      </c>
      <c r="L2614" s="17" t="str" cm="1">
        <f t="array" ref="L2614">_xlfn.IFS(MID(K2614,2,2)="01", "서울", MID(K2614,2,2)="02","경기",MID(K2614,2,2)="03","충청",MID(K2614,2,2)="04","충청",MID(K2614,2,2)="05","전라",MID(K2614,2,2)="06","전라",MID(K2614,2,2)="07","경북",MID(K2614,2,2)="08","경남",MID(K2614,2,2)="09","강원",MID(K2614,2,2)="10","제주",TRUE,"국외")</f>
        <v>서울</v>
      </c>
    </row>
    <row r="2615" spans="1:12" ht="17.25" thickBot="1">
      <c r="A2615" s="3" t="s">
        <v>2603</v>
      </c>
      <c r="B2615" s="3" t="s">
        <v>332</v>
      </c>
      <c r="C2615" s="3"/>
      <c r="D2615" s="4" t="s">
        <v>254</v>
      </c>
      <c r="E2615" s="4" t="s">
        <v>9</v>
      </c>
      <c r="F2615" s="4">
        <v>2000</v>
      </c>
      <c r="G2615" s="8">
        <v>0</v>
      </c>
      <c r="H2615" s="4" t="s">
        <v>9</v>
      </c>
      <c r="I2615" s="8">
        <v>2.2999999999999998</v>
      </c>
      <c r="J2615" s="3">
        <v>10241</v>
      </c>
      <c r="K2615" s="3">
        <v>50705</v>
      </c>
      <c r="L2615" s="17" t="str" cm="1">
        <f t="array" ref="L2615">_xlfn.IFS(MID(K2615,2,2)="01", "서울", MID(K2615,2,2)="02","경기",MID(K2615,2,2)="03","충청",MID(K2615,2,2)="04","충청",MID(K2615,2,2)="05","전라",MID(K2615,2,2)="06","전라",MID(K2615,2,2)="07","경북",MID(K2615,2,2)="08","경남",MID(K2615,2,2)="09","강원",MID(K2615,2,2)="10","제주",TRUE,"국외")</f>
        <v>경북</v>
      </c>
    </row>
    <row r="2616" spans="1:12" ht="17.25" thickBot="1">
      <c r="A2616" s="3" t="s">
        <v>2604</v>
      </c>
      <c r="B2616" s="3" t="s">
        <v>81</v>
      </c>
      <c r="C2616" s="3"/>
      <c r="D2616" s="4" t="s">
        <v>254</v>
      </c>
      <c r="E2616" s="4" t="s">
        <v>23</v>
      </c>
      <c r="F2616" s="4">
        <v>2002</v>
      </c>
      <c r="G2616" s="9"/>
      <c r="H2616" s="4" t="s">
        <v>9</v>
      </c>
      <c r="I2616" s="8">
        <v>-0.2</v>
      </c>
      <c r="J2616" s="3">
        <f>2237</f>
        <v>2237</v>
      </c>
      <c r="K2616" s="3">
        <v>50105</v>
      </c>
      <c r="L2616" s="17" t="str" cm="1">
        <f t="array" ref="L2616">_xlfn.IFS(MID(K2616,2,2)="01", "서울", MID(K2616,2,2)="02","경기",MID(K2616,2,2)="03","충청",MID(K2616,2,2)="04","충청",MID(K2616,2,2)="05","전라",MID(K2616,2,2)="06","전라",MID(K2616,2,2)="07","경북",MID(K2616,2,2)="08","경남",MID(K2616,2,2)="09","강원",MID(K2616,2,2)="10","제주",TRUE,"국외")</f>
        <v>서울</v>
      </c>
    </row>
    <row r="2617" spans="1:12" ht="17.25" thickBot="1">
      <c r="A2617" s="3" t="s">
        <v>2605</v>
      </c>
      <c r="B2617" s="3" t="s">
        <v>1497</v>
      </c>
      <c r="C2617" s="3"/>
      <c r="D2617" s="4" t="s">
        <v>254</v>
      </c>
      <c r="E2617" s="4" t="s">
        <v>607</v>
      </c>
      <c r="F2617" s="4">
        <v>2000</v>
      </c>
      <c r="G2617" s="8">
        <v>-0.3</v>
      </c>
      <c r="H2617" s="4" t="s">
        <v>607</v>
      </c>
      <c r="I2617" s="8">
        <v>7.1</v>
      </c>
      <c r="J2617" s="3">
        <v>10139</v>
      </c>
      <c r="K2617" s="3">
        <v>50112</v>
      </c>
      <c r="L2617" s="17" t="str" cm="1">
        <f t="array" ref="L2617">_xlfn.IFS(MID(K2617,2,2)="01", "서울", MID(K2617,2,2)="02","경기",MID(K2617,2,2)="03","충청",MID(K2617,2,2)="04","충청",MID(K2617,2,2)="05","전라",MID(K2617,2,2)="06","전라",MID(K2617,2,2)="07","경북",MID(K2617,2,2)="08","경남",MID(K2617,2,2)="09","강원",MID(K2617,2,2)="10","제주",TRUE,"국외")</f>
        <v>서울</v>
      </c>
    </row>
    <row r="2618" spans="1:12" ht="17.25" thickBot="1">
      <c r="A2618" s="3" t="s">
        <v>2606</v>
      </c>
      <c r="B2618" s="3" t="s">
        <v>332</v>
      </c>
      <c r="C2618" s="3"/>
      <c r="D2618" s="4" t="s">
        <v>254</v>
      </c>
      <c r="E2618" s="4" t="s">
        <v>2523</v>
      </c>
      <c r="F2618" s="4">
        <v>2000</v>
      </c>
      <c r="G2618" s="8">
        <v>-0.5</v>
      </c>
      <c r="H2618" s="4" t="s">
        <v>9</v>
      </c>
      <c r="I2618" s="8">
        <v>15.7</v>
      </c>
      <c r="J2618" s="3">
        <v>10269</v>
      </c>
      <c r="K2618" s="3">
        <v>50705</v>
      </c>
      <c r="L2618" s="17" t="str" cm="1">
        <f t="array" ref="L2618">_xlfn.IFS(MID(K2618,2,2)="01", "서울", MID(K2618,2,2)="02","경기",MID(K2618,2,2)="03","충청",MID(K2618,2,2)="04","충청",MID(K2618,2,2)="05","전라",MID(K2618,2,2)="06","전라",MID(K2618,2,2)="07","경북",MID(K2618,2,2)="08","경남",MID(K2618,2,2)="09","강원",MID(K2618,2,2)="10","제주",TRUE,"국외")</f>
        <v>경북</v>
      </c>
    </row>
    <row r="2619" spans="1:12" ht="17.25" thickBot="1">
      <c r="A2619" s="3" t="s">
        <v>2607</v>
      </c>
      <c r="B2619" s="3" t="s">
        <v>25</v>
      </c>
      <c r="C2619" s="3"/>
      <c r="D2619" s="4" t="s">
        <v>254</v>
      </c>
      <c r="E2619" s="4" t="s">
        <v>2164</v>
      </c>
      <c r="F2619" s="4">
        <v>2005</v>
      </c>
      <c r="G2619" s="9"/>
      <c r="H2619" s="4" t="s">
        <v>18</v>
      </c>
      <c r="I2619" s="8">
        <v>0.3</v>
      </c>
      <c r="J2619" s="3">
        <v>10413</v>
      </c>
      <c r="K2619" s="3">
        <v>50403</v>
      </c>
      <c r="L2619" s="17" t="str" cm="1">
        <f t="array" ref="L2619">_xlfn.IFS(MID(K2619,2,2)="01", "서울", MID(K2619,2,2)="02","경기",MID(K2619,2,2)="03","충청",MID(K2619,2,2)="04","충청",MID(K2619,2,2)="05","전라",MID(K2619,2,2)="06","전라",MID(K2619,2,2)="07","경북",MID(K2619,2,2)="08","경남",MID(K2619,2,2)="09","강원",MID(K2619,2,2)="10","제주",TRUE,"국외")</f>
        <v>충청</v>
      </c>
    </row>
    <row r="2620" spans="1:12" ht="17.25" thickBot="1">
      <c r="A2620" s="3" t="s">
        <v>1302</v>
      </c>
      <c r="B2620" s="3" t="s">
        <v>11</v>
      </c>
      <c r="C2620" s="3" t="s">
        <v>211</v>
      </c>
      <c r="D2620" s="4" t="s">
        <v>254</v>
      </c>
      <c r="E2620" s="4" t="s">
        <v>20</v>
      </c>
      <c r="F2620" s="4">
        <v>2004</v>
      </c>
      <c r="G2620" s="9"/>
      <c r="H2620" s="4" t="s">
        <v>20</v>
      </c>
      <c r="I2620" s="8">
        <v>3.1</v>
      </c>
      <c r="J2620" s="3">
        <v>10467</v>
      </c>
      <c r="K2620" s="3">
        <v>50802</v>
      </c>
      <c r="L2620" s="17" t="str" cm="1">
        <f t="array" ref="L2620">_xlfn.IFS(MID(K2620,2,2)="01", "서울", MID(K2620,2,2)="02","경기",MID(K2620,2,2)="03","충청",MID(K2620,2,2)="04","충청",MID(K2620,2,2)="05","전라",MID(K2620,2,2)="06","전라",MID(K2620,2,2)="07","경북",MID(K2620,2,2)="08","경남",MID(K2620,2,2)="09","강원",MID(K2620,2,2)="10","제주",TRUE,"국외")</f>
        <v>경남</v>
      </c>
    </row>
    <row r="2621" spans="1:12" ht="17.25" thickBot="1">
      <c r="A2621" s="3" t="s">
        <v>2608</v>
      </c>
      <c r="B2621" s="3" t="s">
        <v>11</v>
      </c>
      <c r="C2621" s="3" t="s">
        <v>739</v>
      </c>
      <c r="D2621" s="4" t="s">
        <v>254</v>
      </c>
      <c r="E2621" s="4" t="s">
        <v>9</v>
      </c>
      <c r="F2621" s="4">
        <v>2004</v>
      </c>
      <c r="G2621" s="9"/>
      <c r="H2621" s="4" t="s">
        <v>9</v>
      </c>
      <c r="I2621" s="8">
        <v>-0.2</v>
      </c>
      <c r="J2621" s="3">
        <v>10260</v>
      </c>
      <c r="K2621" s="3">
        <v>50802</v>
      </c>
      <c r="L2621" s="17" t="str" cm="1">
        <f t="array" ref="L2621">_xlfn.IFS(MID(K2621,2,2)="01", "서울", MID(K2621,2,2)="02","경기",MID(K2621,2,2)="03","충청",MID(K2621,2,2)="04","충청",MID(K2621,2,2)="05","전라",MID(K2621,2,2)="06","전라",MID(K2621,2,2)="07","경북",MID(K2621,2,2)="08","경남",MID(K2621,2,2)="09","강원",MID(K2621,2,2)="10","제주",TRUE,"국외")</f>
        <v>경남</v>
      </c>
    </row>
    <row r="2622" spans="1:12" ht="17.25" thickBot="1">
      <c r="A2622" s="3" t="s">
        <v>2609</v>
      </c>
      <c r="B2622" s="3" t="s">
        <v>335</v>
      </c>
      <c r="C2622" s="3"/>
      <c r="D2622" s="4" t="s">
        <v>254</v>
      </c>
      <c r="E2622" s="4" t="s">
        <v>607</v>
      </c>
      <c r="F2622" s="4">
        <v>2000</v>
      </c>
      <c r="G2622" s="8">
        <v>-0.1</v>
      </c>
      <c r="H2622" s="4" t="s">
        <v>607</v>
      </c>
      <c r="I2622" s="8">
        <v>-0.1</v>
      </c>
      <c r="J2622" s="3">
        <f>2152</f>
        <v>2152</v>
      </c>
      <c r="K2622" s="3">
        <v>50804</v>
      </c>
      <c r="L2622" s="17" t="str" cm="1">
        <f t="array" ref="L2622">_xlfn.IFS(MID(K2622,2,2)="01", "서울", MID(K2622,2,2)="02","경기",MID(K2622,2,2)="03","충청",MID(K2622,2,2)="04","충청",MID(K2622,2,2)="05","전라",MID(K2622,2,2)="06","전라",MID(K2622,2,2)="07","경북",MID(K2622,2,2)="08","경남",MID(K2622,2,2)="09","강원",MID(K2622,2,2)="10","제주",TRUE,"국외")</f>
        <v>경남</v>
      </c>
    </row>
    <row r="2623" spans="1:12" ht="17.25" thickBot="1">
      <c r="A2623" s="3" t="s">
        <v>2610</v>
      </c>
      <c r="B2623" s="3" t="s">
        <v>70</v>
      </c>
      <c r="C2623" s="3" t="s">
        <v>208</v>
      </c>
      <c r="D2623" s="4" t="s">
        <v>254</v>
      </c>
      <c r="E2623" s="4" t="s">
        <v>3</v>
      </c>
      <c r="F2623" s="4">
        <v>2004</v>
      </c>
      <c r="G2623" s="9"/>
      <c r="H2623" s="4" t="s">
        <v>3</v>
      </c>
      <c r="I2623" s="8">
        <v>0.1</v>
      </c>
      <c r="J2623" s="3">
        <f>2304</f>
        <v>2304</v>
      </c>
      <c r="K2623" s="3">
        <v>50103</v>
      </c>
      <c r="L2623" s="17" t="str" cm="1">
        <f t="array" ref="L2623">_xlfn.IFS(MID(K2623,2,2)="01", "서울", MID(K2623,2,2)="02","경기",MID(K2623,2,2)="03","충청",MID(K2623,2,2)="04","충청",MID(K2623,2,2)="05","전라",MID(K2623,2,2)="06","전라",MID(K2623,2,2)="07","경북",MID(K2623,2,2)="08","경남",MID(K2623,2,2)="09","강원",MID(K2623,2,2)="10","제주",TRUE,"국외")</f>
        <v>서울</v>
      </c>
    </row>
    <row r="2624" spans="1:12" ht="17.25" thickBot="1">
      <c r="A2624" s="3" t="s">
        <v>2611</v>
      </c>
      <c r="B2624" s="3" t="s">
        <v>147</v>
      </c>
      <c r="C2624" s="3" t="s">
        <v>133</v>
      </c>
      <c r="D2624" s="4" t="s">
        <v>254</v>
      </c>
      <c r="E2624" s="4" t="s">
        <v>2164</v>
      </c>
      <c r="F2624" s="4">
        <v>2005</v>
      </c>
      <c r="G2624" s="9"/>
      <c r="H2624" s="4" t="s">
        <v>28</v>
      </c>
      <c r="I2624" s="8">
        <v>28.4</v>
      </c>
      <c r="J2624" s="3">
        <v>10627</v>
      </c>
      <c r="K2624" s="3">
        <v>50208</v>
      </c>
      <c r="L2624" s="17" t="str" cm="1">
        <f t="array" ref="L2624">_xlfn.IFS(MID(K2624,2,2)="01", "서울", MID(K2624,2,2)="02","경기",MID(K2624,2,2)="03","충청",MID(K2624,2,2)="04","충청",MID(K2624,2,2)="05","전라",MID(K2624,2,2)="06","전라",MID(K2624,2,2)="07","경북",MID(K2624,2,2)="08","경남",MID(K2624,2,2)="09","강원",MID(K2624,2,2)="10","제주",TRUE,"국외")</f>
        <v>경기</v>
      </c>
    </row>
    <row r="2625" spans="1:12" ht="17.25" thickBot="1">
      <c r="A2625" s="3" t="s">
        <v>2612</v>
      </c>
      <c r="B2625" s="3" t="s">
        <v>1834</v>
      </c>
      <c r="C2625" s="3" t="s">
        <v>83</v>
      </c>
      <c r="D2625" s="4" t="s">
        <v>254</v>
      </c>
      <c r="E2625" s="4" t="s">
        <v>9</v>
      </c>
      <c r="F2625" s="4">
        <v>2004</v>
      </c>
      <c r="G2625" s="9"/>
      <c r="H2625" s="4" t="s">
        <v>9</v>
      </c>
      <c r="I2625" s="8">
        <v>-0.1</v>
      </c>
      <c r="J2625" s="3">
        <f>2322</f>
        <v>2322</v>
      </c>
      <c r="K2625" s="3">
        <v>50904</v>
      </c>
      <c r="L2625" s="17" t="str" cm="1">
        <f t="array" ref="L2625">_xlfn.IFS(MID(K2625,2,2)="01", "서울", MID(K2625,2,2)="02","경기",MID(K2625,2,2)="03","충청",MID(K2625,2,2)="04","충청",MID(K2625,2,2)="05","전라",MID(K2625,2,2)="06","전라",MID(K2625,2,2)="07","경북",MID(K2625,2,2)="08","경남",MID(K2625,2,2)="09","강원",MID(K2625,2,2)="10","제주",TRUE,"국외")</f>
        <v>강원</v>
      </c>
    </row>
    <row r="2626" spans="1:12" ht="17.25" thickBot="1">
      <c r="A2626" s="3" t="s">
        <v>2613</v>
      </c>
      <c r="B2626" s="3" t="s">
        <v>36</v>
      </c>
      <c r="C2626" s="3" t="s">
        <v>99</v>
      </c>
      <c r="D2626" s="4" t="s">
        <v>254</v>
      </c>
      <c r="E2626" s="4" t="s">
        <v>3</v>
      </c>
      <c r="F2626" s="4">
        <v>2004</v>
      </c>
      <c r="G2626" s="9"/>
      <c r="H2626" s="4" t="s">
        <v>3</v>
      </c>
      <c r="I2626" s="8">
        <v>2.7</v>
      </c>
      <c r="J2626" s="3">
        <v>10666</v>
      </c>
      <c r="K2626" s="3">
        <v>50402</v>
      </c>
      <c r="L2626" s="17" t="str" cm="1">
        <f t="array" ref="L2626">_xlfn.IFS(MID(K2626,2,2)="01", "서울", MID(K2626,2,2)="02","경기",MID(K2626,2,2)="03","충청",MID(K2626,2,2)="04","충청",MID(K2626,2,2)="05","전라",MID(K2626,2,2)="06","전라",MID(K2626,2,2)="07","경북",MID(K2626,2,2)="08","경남",MID(K2626,2,2)="09","강원",MID(K2626,2,2)="10","제주",TRUE,"국외")</f>
        <v>충청</v>
      </c>
    </row>
    <row r="2627" spans="1:12" ht="17.25" thickBot="1">
      <c r="A2627" s="3" t="s">
        <v>2614</v>
      </c>
      <c r="B2627" s="3" t="s">
        <v>2524</v>
      </c>
      <c r="C2627" s="3" t="s">
        <v>739</v>
      </c>
      <c r="D2627" s="4" t="s">
        <v>254</v>
      </c>
      <c r="E2627" s="4" t="s">
        <v>2523</v>
      </c>
      <c r="F2627" s="4">
        <v>2005</v>
      </c>
      <c r="G2627" s="9"/>
      <c r="H2627" s="4" t="s">
        <v>6</v>
      </c>
      <c r="I2627" s="8">
        <v>-0.3</v>
      </c>
      <c r="J2627" s="3">
        <v>10017</v>
      </c>
      <c r="K2627" s="3">
        <v>50711</v>
      </c>
      <c r="L2627" s="17" t="str" cm="1">
        <f t="array" ref="L2627">_xlfn.IFS(MID(K2627,2,2)="01", "서울", MID(K2627,2,2)="02","경기",MID(K2627,2,2)="03","충청",MID(K2627,2,2)="04","충청",MID(K2627,2,2)="05","전라",MID(K2627,2,2)="06","전라",MID(K2627,2,2)="07","경북",MID(K2627,2,2)="08","경남",MID(K2627,2,2)="09","강원",MID(K2627,2,2)="10","제주",TRUE,"국외")</f>
        <v>경북</v>
      </c>
    </row>
    <row r="2628" spans="1:12" ht="17.25" thickBot="1">
      <c r="A2628" s="3" t="s">
        <v>2615</v>
      </c>
      <c r="B2628" s="3" t="s">
        <v>22</v>
      </c>
      <c r="C2628" s="3" t="s">
        <v>208</v>
      </c>
      <c r="D2628" s="4" t="s">
        <v>254</v>
      </c>
      <c r="E2628" s="4" t="s">
        <v>20</v>
      </c>
      <c r="F2628" s="4">
        <v>2004</v>
      </c>
      <c r="G2628" s="9"/>
      <c r="H2628" s="4" t="s">
        <v>20</v>
      </c>
      <c r="I2628" s="8">
        <v>-1</v>
      </c>
      <c r="J2628" s="3">
        <v>10517</v>
      </c>
      <c r="K2628" s="3">
        <v>50209</v>
      </c>
      <c r="L2628" s="17" t="str" cm="1">
        <f t="array" ref="L2628">_xlfn.IFS(MID(K2628,2,2)="01", "서울", MID(K2628,2,2)="02","경기",MID(K2628,2,2)="03","충청",MID(K2628,2,2)="04","충청",MID(K2628,2,2)="05","전라",MID(K2628,2,2)="06","전라",MID(K2628,2,2)="07","경북",MID(K2628,2,2)="08","경남",MID(K2628,2,2)="09","강원",MID(K2628,2,2)="10","제주",TRUE,"국외")</f>
        <v>경기</v>
      </c>
    </row>
    <row r="2629" spans="1:12" ht="17.25" thickBot="1">
      <c r="A2629" s="3" t="s">
        <v>2616</v>
      </c>
      <c r="B2629" s="3" t="s">
        <v>81</v>
      </c>
      <c r="C2629" s="3" t="s">
        <v>122</v>
      </c>
      <c r="D2629" s="4" t="s">
        <v>254</v>
      </c>
      <c r="E2629" s="4" t="s">
        <v>26</v>
      </c>
      <c r="F2629" s="4">
        <v>2006</v>
      </c>
      <c r="G2629" s="9"/>
      <c r="H2629" s="4" t="s">
        <v>26</v>
      </c>
      <c r="I2629" s="8">
        <v>-0.3</v>
      </c>
      <c r="J2629" s="3">
        <f>2392</f>
        <v>2392</v>
      </c>
      <c r="K2629" s="3">
        <v>50105</v>
      </c>
      <c r="L2629" s="17" t="str" cm="1">
        <f t="array" ref="L2629">_xlfn.IFS(MID(K2629,2,2)="01", "서울", MID(K2629,2,2)="02","경기",MID(K2629,2,2)="03","충청",MID(K2629,2,2)="04","충청",MID(K2629,2,2)="05","전라",MID(K2629,2,2)="06","전라",MID(K2629,2,2)="07","경북",MID(K2629,2,2)="08","경남",MID(K2629,2,2)="09","강원",MID(K2629,2,2)="10","제주",TRUE,"국외")</f>
        <v>서울</v>
      </c>
    </row>
    <row r="2630" spans="1:12" ht="17.25" thickBot="1">
      <c r="A2630" s="3" t="s">
        <v>2617</v>
      </c>
      <c r="B2630" s="3" t="s">
        <v>11</v>
      </c>
      <c r="C2630" s="3" t="s">
        <v>119</v>
      </c>
      <c r="D2630" s="4" t="s">
        <v>254</v>
      </c>
      <c r="E2630" s="4" t="s">
        <v>9</v>
      </c>
      <c r="F2630" s="4">
        <v>2004</v>
      </c>
      <c r="G2630" s="9"/>
      <c r="H2630" s="4" t="s">
        <v>9</v>
      </c>
      <c r="I2630" s="8">
        <v>-0.7</v>
      </c>
      <c r="J2630" s="3">
        <v>10245</v>
      </c>
      <c r="K2630" s="3">
        <v>50802</v>
      </c>
      <c r="L2630" s="17" t="str" cm="1">
        <f t="array" ref="L2630">_xlfn.IFS(MID(K2630,2,2)="01", "서울", MID(K2630,2,2)="02","경기",MID(K2630,2,2)="03","충청",MID(K2630,2,2)="04","충청",MID(K2630,2,2)="05","전라",MID(K2630,2,2)="06","전라",MID(K2630,2,2)="07","경북",MID(K2630,2,2)="08","경남",MID(K2630,2,2)="09","강원",MID(K2630,2,2)="10","제주",TRUE,"국외")</f>
        <v>경남</v>
      </c>
    </row>
    <row r="2631" spans="1:12" ht="17.25" thickBot="1">
      <c r="A2631" s="3" t="s">
        <v>2618</v>
      </c>
      <c r="B2631" s="3" t="s">
        <v>1497</v>
      </c>
      <c r="C2631" s="3" t="s">
        <v>45</v>
      </c>
      <c r="D2631" s="4" t="s">
        <v>254</v>
      </c>
      <c r="E2631" s="4" t="s">
        <v>3</v>
      </c>
      <c r="F2631" s="4">
        <v>2004</v>
      </c>
      <c r="G2631" s="9"/>
      <c r="H2631" s="4" t="s">
        <v>3</v>
      </c>
      <c r="I2631" s="8">
        <v>0</v>
      </c>
      <c r="J2631" s="3">
        <f>2317</f>
        <v>2317</v>
      </c>
      <c r="K2631" s="3">
        <v>50112</v>
      </c>
      <c r="L2631" s="17" t="str" cm="1">
        <f t="array" ref="L2631">_xlfn.IFS(MID(K2631,2,2)="01", "서울", MID(K2631,2,2)="02","경기",MID(K2631,2,2)="03","충청",MID(K2631,2,2)="04","충청",MID(K2631,2,2)="05","전라",MID(K2631,2,2)="06","전라",MID(K2631,2,2)="07","경북",MID(K2631,2,2)="08","경남",MID(K2631,2,2)="09","강원",MID(K2631,2,2)="10","제주",TRUE,"국외")</f>
        <v>서울</v>
      </c>
    </row>
    <row r="2632" spans="1:12" ht="17.25" thickBot="1">
      <c r="A2632" s="3" t="s">
        <v>2619</v>
      </c>
      <c r="B2632" s="3" t="s">
        <v>145</v>
      </c>
      <c r="C2632" s="3" t="s">
        <v>122</v>
      </c>
      <c r="D2632" s="4" t="s">
        <v>254</v>
      </c>
      <c r="E2632" s="4" t="s">
        <v>20</v>
      </c>
      <c r="F2632" s="4">
        <v>2004</v>
      </c>
      <c r="G2632" s="9"/>
      <c r="H2632" s="4" t="s">
        <v>6</v>
      </c>
      <c r="I2632" s="8">
        <v>6.2</v>
      </c>
      <c r="J2632" s="3">
        <v>10011</v>
      </c>
      <c r="K2632" s="3">
        <v>50106</v>
      </c>
      <c r="L2632" s="17" t="str" cm="1">
        <f t="array" ref="L2632">_xlfn.IFS(MID(K2632,2,2)="01", "서울", MID(K2632,2,2)="02","경기",MID(K2632,2,2)="03","충청",MID(K2632,2,2)="04","충청",MID(K2632,2,2)="05","전라",MID(K2632,2,2)="06","전라",MID(K2632,2,2)="07","경북",MID(K2632,2,2)="08","경남",MID(K2632,2,2)="09","강원",MID(K2632,2,2)="10","제주",TRUE,"국외")</f>
        <v>서울</v>
      </c>
    </row>
    <row r="2633" spans="1:12" ht="17.25" thickBot="1">
      <c r="A2633" s="3" t="s">
        <v>2620</v>
      </c>
      <c r="B2633" s="3" t="s">
        <v>1497</v>
      </c>
      <c r="C2633" s="3" t="s">
        <v>45</v>
      </c>
      <c r="D2633" s="4" t="s">
        <v>254</v>
      </c>
      <c r="E2633" s="4" t="s">
        <v>26</v>
      </c>
      <c r="F2633" s="4">
        <v>2004</v>
      </c>
      <c r="G2633" s="9"/>
      <c r="H2633" s="4" t="s">
        <v>26</v>
      </c>
      <c r="I2633" s="8">
        <v>0</v>
      </c>
      <c r="J2633" s="3">
        <f>2321</f>
        <v>2321</v>
      </c>
      <c r="K2633" s="3">
        <v>50112</v>
      </c>
      <c r="L2633" s="17" t="str" cm="1">
        <f t="array" ref="L2633">_xlfn.IFS(MID(K2633,2,2)="01", "서울", MID(K2633,2,2)="02","경기",MID(K2633,2,2)="03","충청",MID(K2633,2,2)="04","충청",MID(K2633,2,2)="05","전라",MID(K2633,2,2)="06","전라",MID(K2633,2,2)="07","경북",MID(K2633,2,2)="08","경남",MID(K2633,2,2)="09","강원",MID(K2633,2,2)="10","제주",TRUE,"국외")</f>
        <v>서울</v>
      </c>
    </row>
    <row r="2634" spans="1:12" ht="17.25" thickBot="1">
      <c r="A2634" s="3" t="s">
        <v>2621</v>
      </c>
      <c r="B2634" s="3" t="s">
        <v>107</v>
      </c>
      <c r="C2634" s="3" t="s">
        <v>83</v>
      </c>
      <c r="D2634" s="4" t="s">
        <v>254</v>
      </c>
      <c r="E2634" s="4" t="s">
        <v>3</v>
      </c>
      <c r="F2634" s="4">
        <v>2004</v>
      </c>
      <c r="G2634" s="9"/>
      <c r="H2634" s="4" t="s">
        <v>607</v>
      </c>
      <c r="I2634" s="8">
        <v>6</v>
      </c>
      <c r="J2634" s="3">
        <v>10675</v>
      </c>
      <c r="K2634" s="3">
        <v>50602</v>
      </c>
      <c r="L2634" s="17" t="str" cm="1">
        <f t="array" ref="L2634">_xlfn.IFS(MID(K2634,2,2)="01", "서울", MID(K2634,2,2)="02","경기",MID(K2634,2,2)="03","충청",MID(K2634,2,2)="04","충청",MID(K2634,2,2)="05","전라",MID(K2634,2,2)="06","전라",MID(K2634,2,2)="07","경북",MID(K2634,2,2)="08","경남",MID(K2634,2,2)="09","강원",MID(K2634,2,2)="10","제주",TRUE,"국외")</f>
        <v>전라</v>
      </c>
    </row>
    <row r="2635" spans="1:12" ht="17.25" thickBot="1">
      <c r="A2635" s="3" t="s">
        <v>1435</v>
      </c>
      <c r="B2635" s="3" t="s">
        <v>158</v>
      </c>
      <c r="C2635" s="3" t="s">
        <v>1347</v>
      </c>
      <c r="D2635" s="4" t="s">
        <v>254</v>
      </c>
      <c r="E2635" s="4" t="s">
        <v>2523</v>
      </c>
      <c r="F2635" s="4">
        <v>2001</v>
      </c>
      <c r="G2635" s="9"/>
      <c r="H2635" s="4" t="s">
        <v>6</v>
      </c>
      <c r="I2635" s="8">
        <v>9.6</v>
      </c>
      <c r="J2635" s="3">
        <v>10007</v>
      </c>
      <c r="K2635" s="3">
        <v>50501</v>
      </c>
      <c r="L2635" s="17" t="str" cm="1">
        <f t="array" ref="L2635">_xlfn.IFS(MID(K2635,2,2)="01", "서울", MID(K2635,2,2)="02","경기",MID(K2635,2,2)="03","충청",MID(K2635,2,2)="04","충청",MID(K2635,2,2)="05","전라",MID(K2635,2,2)="06","전라",MID(K2635,2,2)="07","경북",MID(K2635,2,2)="08","경남",MID(K2635,2,2)="09","강원",MID(K2635,2,2)="10","제주",TRUE,"국외")</f>
        <v>전라</v>
      </c>
    </row>
    <row r="2636" spans="1:12" ht="17.25" thickBot="1">
      <c r="A2636" s="3" t="s">
        <v>2622</v>
      </c>
      <c r="B2636" s="3" t="s">
        <v>32</v>
      </c>
      <c r="C2636" s="3"/>
      <c r="D2636" s="4" t="s">
        <v>254</v>
      </c>
      <c r="E2636" s="4" t="s">
        <v>2164</v>
      </c>
      <c r="F2636" s="4">
        <v>2002</v>
      </c>
      <c r="G2636" s="9"/>
      <c r="H2636" s="4" t="s">
        <v>2164</v>
      </c>
      <c r="I2636" s="8">
        <v>-1.8</v>
      </c>
      <c r="J2636" s="3">
        <v>10428</v>
      </c>
      <c r="K2636" s="3">
        <v>50111</v>
      </c>
      <c r="L2636" s="17" t="str" cm="1">
        <f t="array" ref="L2636">_xlfn.IFS(MID(K2636,2,2)="01", "서울", MID(K2636,2,2)="02","경기",MID(K2636,2,2)="03","충청",MID(K2636,2,2)="04","충청",MID(K2636,2,2)="05","전라",MID(K2636,2,2)="06","전라",MID(K2636,2,2)="07","경북",MID(K2636,2,2)="08","경남",MID(K2636,2,2)="09","강원",MID(K2636,2,2)="10","제주",TRUE,"국외")</f>
        <v>서울</v>
      </c>
    </row>
    <row r="2637" spans="1:12" ht="17.25" thickBot="1">
      <c r="A2637" s="3" t="s">
        <v>2623</v>
      </c>
      <c r="B2637" s="3" t="s">
        <v>93</v>
      </c>
      <c r="C2637" s="3" t="s">
        <v>90</v>
      </c>
      <c r="D2637" s="4" t="s">
        <v>254</v>
      </c>
      <c r="E2637" s="4" t="s">
        <v>23</v>
      </c>
      <c r="F2637" s="4"/>
      <c r="G2637" s="9"/>
      <c r="H2637" s="4"/>
      <c r="I2637" s="9"/>
      <c r="J2637" s="3">
        <v>15792</v>
      </c>
      <c r="K2637" s="3">
        <v>50805</v>
      </c>
      <c r="L2637" s="17" t="str" cm="1">
        <f t="array" ref="L2637">_xlfn.IFS(MID(K2637,2,2)="01", "서울", MID(K2637,2,2)="02","경기",MID(K2637,2,2)="03","충청",MID(K2637,2,2)="04","충청",MID(K2637,2,2)="05","전라",MID(K2637,2,2)="06","전라",MID(K2637,2,2)="07","경북",MID(K2637,2,2)="08","경남",MID(K2637,2,2)="09","강원",MID(K2637,2,2)="10","제주",TRUE,"국외")</f>
        <v>경남</v>
      </c>
    </row>
    <row r="2638" spans="1:12" ht="17.25" thickBot="1">
      <c r="A2638" s="3" t="s">
        <v>2015</v>
      </c>
      <c r="B2638" s="3" t="s">
        <v>5</v>
      </c>
      <c r="C2638" s="3" t="s">
        <v>329</v>
      </c>
      <c r="D2638" s="4" t="s">
        <v>254</v>
      </c>
      <c r="E2638" s="4" t="s">
        <v>20</v>
      </c>
      <c r="F2638" s="4">
        <v>2004</v>
      </c>
      <c r="G2638" s="9"/>
      <c r="H2638" s="4" t="s">
        <v>20</v>
      </c>
      <c r="I2638" s="8">
        <v>1.2</v>
      </c>
      <c r="J2638" s="3">
        <v>10509</v>
      </c>
      <c r="K2638" s="3">
        <v>50114</v>
      </c>
      <c r="L2638" s="17" t="str" cm="1">
        <f t="array" ref="L2638">_xlfn.IFS(MID(K2638,2,2)="01", "서울", MID(K2638,2,2)="02","경기",MID(K2638,2,2)="03","충청",MID(K2638,2,2)="04","충청",MID(K2638,2,2)="05","전라",MID(K2638,2,2)="06","전라",MID(K2638,2,2)="07","경북",MID(K2638,2,2)="08","경남",MID(K2638,2,2)="09","강원",MID(K2638,2,2)="10","제주",TRUE,"국외")</f>
        <v>서울</v>
      </c>
    </row>
    <row r="2639" spans="1:12" ht="17.25" thickBot="1">
      <c r="A2639" s="3" t="s">
        <v>2624</v>
      </c>
      <c r="B2639" s="3" t="s">
        <v>1950</v>
      </c>
      <c r="C2639" s="3" t="s">
        <v>174</v>
      </c>
      <c r="D2639" s="4" t="s">
        <v>254</v>
      </c>
      <c r="E2639" s="4" t="s">
        <v>26</v>
      </c>
      <c r="F2639" s="4">
        <v>2000</v>
      </c>
      <c r="G2639" s="8">
        <v>-0.2</v>
      </c>
      <c r="H2639" s="4" t="s">
        <v>26</v>
      </c>
      <c r="I2639" s="8">
        <v>0.5</v>
      </c>
      <c r="J2639" s="3">
        <f>2158</f>
        <v>2158</v>
      </c>
      <c r="K2639" s="3">
        <v>50115</v>
      </c>
      <c r="L2639" s="17" t="str" cm="1">
        <f t="array" ref="L2639">_xlfn.IFS(MID(K2639,2,2)="01", "서울", MID(K2639,2,2)="02","경기",MID(K2639,2,2)="03","충청",MID(K2639,2,2)="04","충청",MID(K2639,2,2)="05","전라",MID(K2639,2,2)="06","전라",MID(K2639,2,2)="07","경북",MID(K2639,2,2)="08","경남",MID(K2639,2,2)="09","강원",MID(K2639,2,2)="10","제주",TRUE,"국외")</f>
        <v>서울</v>
      </c>
    </row>
    <row r="2640" spans="1:12" ht="17.25" thickBot="1">
      <c r="A2640" s="3" t="s">
        <v>2625</v>
      </c>
      <c r="B2640" s="3" t="s">
        <v>78</v>
      </c>
      <c r="C2640" s="3" t="s">
        <v>99</v>
      </c>
      <c r="D2640" s="4" t="s">
        <v>254</v>
      </c>
      <c r="E2640" s="4" t="s">
        <v>9</v>
      </c>
      <c r="F2640" s="4">
        <v>2005</v>
      </c>
      <c r="G2640" s="9"/>
      <c r="H2640" s="4" t="s">
        <v>26</v>
      </c>
      <c r="I2640" s="8">
        <v>0</v>
      </c>
      <c r="J2640" s="3">
        <f>2353</f>
        <v>2353</v>
      </c>
      <c r="K2640" s="3">
        <v>50401</v>
      </c>
      <c r="L2640" s="17" t="str" cm="1">
        <f t="array" ref="L2640">_xlfn.IFS(MID(K2640,2,2)="01", "서울", MID(K2640,2,2)="02","경기",MID(K2640,2,2)="03","충청",MID(K2640,2,2)="04","충청",MID(K2640,2,2)="05","전라",MID(K2640,2,2)="06","전라",MID(K2640,2,2)="07","경북",MID(K2640,2,2)="08","경남",MID(K2640,2,2)="09","강원",MID(K2640,2,2)="10","제주",TRUE,"국외")</f>
        <v>충청</v>
      </c>
    </row>
    <row r="2641" spans="1:12" ht="17.25" thickBot="1">
      <c r="A2641" s="3" t="s">
        <v>2626</v>
      </c>
      <c r="B2641" s="3" t="s">
        <v>2139</v>
      </c>
      <c r="C2641" s="3"/>
      <c r="D2641" s="4" t="s">
        <v>254</v>
      </c>
      <c r="E2641" s="4" t="s">
        <v>3</v>
      </c>
      <c r="F2641" s="4">
        <v>2000</v>
      </c>
      <c r="G2641" s="8">
        <v>-0.9</v>
      </c>
      <c r="H2641" s="4" t="s">
        <v>3</v>
      </c>
      <c r="I2641" s="8">
        <v>-0.3</v>
      </c>
      <c r="J2641" s="3">
        <f>2162</f>
        <v>2162</v>
      </c>
      <c r="K2641" s="3">
        <v>50104</v>
      </c>
      <c r="L2641" s="17" t="str" cm="1">
        <f t="array" ref="L2641">_xlfn.IFS(MID(K2641,2,2)="01", "서울", MID(K2641,2,2)="02","경기",MID(K2641,2,2)="03","충청",MID(K2641,2,2)="04","충청",MID(K2641,2,2)="05","전라",MID(K2641,2,2)="06","전라",MID(K2641,2,2)="07","경북",MID(K2641,2,2)="08","경남",MID(K2641,2,2)="09","강원",MID(K2641,2,2)="10","제주",TRUE,"국외")</f>
        <v>서울</v>
      </c>
    </row>
    <row r="2642" spans="1:12" ht="17.25" thickBot="1">
      <c r="A2642" s="3" t="s">
        <v>2627</v>
      </c>
      <c r="B2642" s="3" t="s">
        <v>2139</v>
      </c>
      <c r="C2642" s="3" t="s">
        <v>218</v>
      </c>
      <c r="D2642" s="4" t="s">
        <v>254</v>
      </c>
      <c r="E2642" s="4" t="s">
        <v>20</v>
      </c>
      <c r="F2642" s="4">
        <v>2004</v>
      </c>
      <c r="G2642" s="9"/>
      <c r="H2642" s="4" t="s">
        <v>20</v>
      </c>
      <c r="I2642" s="8">
        <v>-0.1</v>
      </c>
      <c r="J2642" s="3">
        <f>2320</f>
        <v>2320</v>
      </c>
      <c r="K2642" s="3">
        <v>50104</v>
      </c>
      <c r="L2642" s="17" t="str" cm="1">
        <f t="array" ref="L2642">_xlfn.IFS(MID(K2642,2,2)="01", "서울", MID(K2642,2,2)="02","경기",MID(K2642,2,2)="03","충청",MID(K2642,2,2)="04","충청",MID(K2642,2,2)="05","전라",MID(K2642,2,2)="06","전라",MID(K2642,2,2)="07","경북",MID(K2642,2,2)="08","경남",MID(K2642,2,2)="09","강원",MID(K2642,2,2)="10","제주",TRUE,"국외")</f>
        <v>서울</v>
      </c>
    </row>
    <row r="2643" spans="1:12" ht="17.25" thickBot="1">
      <c r="A2643" s="3" t="s">
        <v>2628</v>
      </c>
      <c r="B2643" s="3" t="s">
        <v>42</v>
      </c>
      <c r="C2643" s="3" t="s">
        <v>133</v>
      </c>
      <c r="D2643" s="4" t="s">
        <v>254</v>
      </c>
      <c r="E2643" s="4" t="s">
        <v>607</v>
      </c>
      <c r="F2643" s="4">
        <v>2004</v>
      </c>
      <c r="G2643" s="9"/>
      <c r="H2643" s="4" t="s">
        <v>607</v>
      </c>
      <c r="I2643" s="8">
        <v>21.3</v>
      </c>
      <c r="J2643" s="3">
        <v>10096</v>
      </c>
      <c r="K2643" s="3">
        <v>50502</v>
      </c>
      <c r="L2643" s="17" t="str" cm="1">
        <f t="array" ref="L2643">_xlfn.IFS(MID(K2643,2,2)="01", "서울", MID(K2643,2,2)="02","경기",MID(K2643,2,2)="03","충청",MID(K2643,2,2)="04","충청",MID(K2643,2,2)="05","전라",MID(K2643,2,2)="06","전라",MID(K2643,2,2)="07","경북",MID(K2643,2,2)="08","경남",MID(K2643,2,2)="09","강원",MID(K2643,2,2)="10","제주",TRUE,"국외")</f>
        <v>전라</v>
      </c>
    </row>
    <row r="2644" spans="1:12" ht="17.25" thickBot="1">
      <c r="A2644" s="3" t="s">
        <v>2629</v>
      </c>
      <c r="B2644" s="3" t="s">
        <v>25</v>
      </c>
      <c r="C2644" s="3" t="s">
        <v>83</v>
      </c>
      <c r="D2644" s="4" t="s">
        <v>254</v>
      </c>
      <c r="E2644" s="4" t="s">
        <v>3</v>
      </c>
      <c r="F2644" s="4">
        <v>2004</v>
      </c>
      <c r="G2644" s="9"/>
      <c r="H2644" s="4" t="s">
        <v>3</v>
      </c>
      <c r="I2644" s="8">
        <v>0.2</v>
      </c>
      <c r="J2644" s="3">
        <f>2316</f>
        <v>2316</v>
      </c>
      <c r="K2644" s="3">
        <v>50403</v>
      </c>
      <c r="L2644" s="17" t="str" cm="1">
        <f t="array" ref="L2644">_xlfn.IFS(MID(K2644,2,2)="01", "서울", MID(K2644,2,2)="02","경기",MID(K2644,2,2)="03","충청",MID(K2644,2,2)="04","충청",MID(K2644,2,2)="05","전라",MID(K2644,2,2)="06","전라",MID(K2644,2,2)="07","경북",MID(K2644,2,2)="08","경남",MID(K2644,2,2)="09","강원",MID(K2644,2,2)="10","제주",TRUE,"국외")</f>
        <v>충청</v>
      </c>
    </row>
    <row r="2645" spans="1:12" ht="17.25" thickBot="1">
      <c r="A2645" s="3" t="s">
        <v>2630</v>
      </c>
      <c r="B2645" s="3" t="s">
        <v>228</v>
      </c>
      <c r="C2645" s="3" t="s">
        <v>208</v>
      </c>
      <c r="D2645" s="4" t="s">
        <v>254</v>
      </c>
      <c r="E2645" s="4" t="s">
        <v>20</v>
      </c>
      <c r="F2645" s="4">
        <v>2005</v>
      </c>
      <c r="G2645" s="9"/>
      <c r="H2645" s="4" t="s">
        <v>20</v>
      </c>
      <c r="I2645" s="8">
        <v>-0.1</v>
      </c>
      <c r="J2645" s="3">
        <f>2360</f>
        <v>2360</v>
      </c>
      <c r="K2645" s="3">
        <v>50702</v>
      </c>
      <c r="L2645" s="17" t="str" cm="1">
        <f t="array" ref="L2645">_xlfn.IFS(MID(K2645,2,2)="01", "서울", MID(K2645,2,2)="02","경기",MID(K2645,2,2)="03","충청",MID(K2645,2,2)="04","충청",MID(K2645,2,2)="05","전라",MID(K2645,2,2)="06","전라",MID(K2645,2,2)="07","경북",MID(K2645,2,2)="08","경남",MID(K2645,2,2)="09","강원",MID(K2645,2,2)="10","제주",TRUE,"국외")</f>
        <v>경북</v>
      </c>
    </row>
    <row r="2646" spans="1:12" ht="17.25" thickBot="1">
      <c r="A2646" s="3" t="s">
        <v>2631</v>
      </c>
      <c r="B2646" s="3" t="s">
        <v>63</v>
      </c>
      <c r="C2646" s="3" t="s">
        <v>119</v>
      </c>
      <c r="D2646" s="4" t="s">
        <v>254</v>
      </c>
      <c r="E2646" s="4" t="s">
        <v>9</v>
      </c>
      <c r="F2646" s="4">
        <v>2000</v>
      </c>
      <c r="G2646" s="8">
        <v>0.8</v>
      </c>
      <c r="H2646" s="4" t="s">
        <v>9</v>
      </c>
      <c r="I2646" s="8">
        <v>0.8</v>
      </c>
      <c r="J2646" s="3">
        <f>2156</f>
        <v>2156</v>
      </c>
      <c r="K2646" s="3">
        <v>50807</v>
      </c>
      <c r="L2646" s="17" t="str" cm="1">
        <f t="array" ref="L2646">_xlfn.IFS(MID(K2646,2,2)="01", "서울", MID(K2646,2,2)="02","경기",MID(K2646,2,2)="03","충청",MID(K2646,2,2)="04","충청",MID(K2646,2,2)="05","전라",MID(K2646,2,2)="06","전라",MID(K2646,2,2)="07","경북",MID(K2646,2,2)="08","경남",MID(K2646,2,2)="09","강원",MID(K2646,2,2)="10","제주",TRUE,"국외")</f>
        <v>경남</v>
      </c>
    </row>
    <row r="2647" spans="1:12" ht="17.25" thickBot="1">
      <c r="A2647" s="3" t="s">
        <v>2632</v>
      </c>
      <c r="B2647" s="3" t="s">
        <v>241</v>
      </c>
      <c r="C2647" s="3" t="s">
        <v>549</v>
      </c>
      <c r="D2647" s="4" t="s">
        <v>254</v>
      </c>
      <c r="E2647" s="4" t="s">
        <v>3</v>
      </c>
      <c r="F2647" s="4">
        <v>2001</v>
      </c>
      <c r="G2647" s="9"/>
      <c r="H2647" s="4" t="s">
        <v>3</v>
      </c>
      <c r="I2647" s="8">
        <v>-0.6</v>
      </c>
      <c r="J2647" s="3">
        <f>2173</f>
        <v>2173</v>
      </c>
      <c r="K2647" s="3">
        <v>50202</v>
      </c>
      <c r="L2647" s="17" t="str" cm="1">
        <f t="array" ref="L2647">_xlfn.IFS(MID(K2647,2,2)="01", "서울", MID(K2647,2,2)="02","경기",MID(K2647,2,2)="03","충청",MID(K2647,2,2)="04","충청",MID(K2647,2,2)="05","전라",MID(K2647,2,2)="06","전라",MID(K2647,2,2)="07","경북",MID(K2647,2,2)="08","경남",MID(K2647,2,2)="09","강원",MID(K2647,2,2)="10","제주",TRUE,"국외")</f>
        <v>경기</v>
      </c>
    </row>
    <row r="2648" spans="1:12" ht="17.25" thickBot="1">
      <c r="A2648" s="3" t="s">
        <v>2633</v>
      </c>
      <c r="B2648" s="3" t="s">
        <v>96</v>
      </c>
      <c r="C2648" s="3" t="s">
        <v>172</v>
      </c>
      <c r="D2648" s="4" t="s">
        <v>254</v>
      </c>
      <c r="E2648" s="4" t="s">
        <v>2523</v>
      </c>
      <c r="F2648" s="4">
        <v>2005</v>
      </c>
      <c r="G2648" s="9"/>
      <c r="H2648" s="4" t="s">
        <v>6</v>
      </c>
      <c r="I2648" s="8">
        <v>-0.1</v>
      </c>
      <c r="J2648" s="3">
        <f>2348</f>
        <v>2348</v>
      </c>
      <c r="K2648" s="3">
        <v>50601</v>
      </c>
      <c r="L2648" s="17" t="str" cm="1">
        <f t="array" ref="L2648">_xlfn.IFS(MID(K2648,2,2)="01", "서울", MID(K2648,2,2)="02","경기",MID(K2648,2,2)="03","충청",MID(K2648,2,2)="04","충청",MID(K2648,2,2)="05","전라",MID(K2648,2,2)="06","전라",MID(K2648,2,2)="07","경북",MID(K2648,2,2)="08","경남",MID(K2648,2,2)="09","강원",MID(K2648,2,2)="10","제주",TRUE,"국외")</f>
        <v>전라</v>
      </c>
    </row>
    <row r="2649" spans="1:12" ht="17.25" thickBot="1">
      <c r="A2649" s="3" t="s">
        <v>2634</v>
      </c>
      <c r="B2649" s="3" t="s">
        <v>74</v>
      </c>
      <c r="C2649" s="3"/>
      <c r="D2649" s="4" t="s">
        <v>254</v>
      </c>
      <c r="E2649" s="4" t="s">
        <v>2164</v>
      </c>
      <c r="F2649" s="4">
        <v>2000</v>
      </c>
      <c r="G2649" s="8">
        <v>1.3</v>
      </c>
      <c r="H2649" s="4" t="s">
        <v>2164</v>
      </c>
      <c r="I2649" s="8">
        <v>22.5</v>
      </c>
      <c r="J2649" s="3">
        <v>10444</v>
      </c>
      <c r="K2649" s="3">
        <v>50102</v>
      </c>
      <c r="L2649" s="17" t="str" cm="1">
        <f t="array" ref="L2649">_xlfn.IFS(MID(K2649,2,2)="01", "서울", MID(K2649,2,2)="02","경기",MID(K2649,2,2)="03","충청",MID(K2649,2,2)="04","충청",MID(K2649,2,2)="05","전라",MID(K2649,2,2)="06","전라",MID(K2649,2,2)="07","경북",MID(K2649,2,2)="08","경남",MID(K2649,2,2)="09","강원",MID(K2649,2,2)="10","제주",TRUE,"국외")</f>
        <v>서울</v>
      </c>
    </row>
    <row r="2650" spans="1:12" ht="17.25" thickBot="1">
      <c r="A2650" s="3" t="s">
        <v>2635</v>
      </c>
      <c r="B2650" s="3" t="s">
        <v>81</v>
      </c>
      <c r="C2650" s="3" t="s">
        <v>739</v>
      </c>
      <c r="D2650" s="4" t="s">
        <v>254</v>
      </c>
      <c r="E2650" s="4" t="s">
        <v>20</v>
      </c>
      <c r="F2650" s="4">
        <v>2004</v>
      </c>
      <c r="G2650" s="9"/>
      <c r="H2650" s="4" t="s">
        <v>20</v>
      </c>
      <c r="I2650" s="8">
        <v>1</v>
      </c>
      <c r="J2650" s="3">
        <v>10518</v>
      </c>
      <c r="K2650" s="3">
        <v>50105</v>
      </c>
      <c r="L2650" s="17" t="str" cm="1">
        <f t="array" ref="L2650">_xlfn.IFS(MID(K2650,2,2)="01", "서울", MID(K2650,2,2)="02","경기",MID(K2650,2,2)="03","충청",MID(K2650,2,2)="04","충청",MID(K2650,2,2)="05","전라",MID(K2650,2,2)="06","전라",MID(K2650,2,2)="07","경북",MID(K2650,2,2)="08","경남",MID(K2650,2,2)="09","강원",MID(K2650,2,2)="10","제주",TRUE,"국외")</f>
        <v>서울</v>
      </c>
    </row>
    <row r="2651" spans="1:12" ht="17.25" thickBot="1">
      <c r="A2651" s="3" t="s">
        <v>2636</v>
      </c>
      <c r="B2651" s="3" t="s">
        <v>42</v>
      </c>
      <c r="C2651" s="3" t="s">
        <v>1471</v>
      </c>
      <c r="D2651" s="4" t="s">
        <v>254</v>
      </c>
      <c r="E2651" s="4" t="s">
        <v>607</v>
      </c>
      <c r="F2651" s="4">
        <v>2000</v>
      </c>
      <c r="G2651" s="8">
        <v>-0.5</v>
      </c>
      <c r="H2651" s="4" t="s">
        <v>607</v>
      </c>
      <c r="I2651" s="8">
        <v>1.5</v>
      </c>
      <c r="J2651" s="3">
        <v>10138</v>
      </c>
      <c r="K2651" s="3">
        <v>50502</v>
      </c>
      <c r="L2651" s="17" t="str" cm="1">
        <f t="array" ref="L2651">_xlfn.IFS(MID(K2651,2,2)="01", "서울", MID(K2651,2,2)="02","경기",MID(K2651,2,2)="03","충청",MID(K2651,2,2)="04","충청",MID(K2651,2,2)="05","전라",MID(K2651,2,2)="06","전라",MID(K2651,2,2)="07","경북",MID(K2651,2,2)="08","경남",MID(K2651,2,2)="09","강원",MID(K2651,2,2)="10","제주",TRUE,"국외")</f>
        <v>전라</v>
      </c>
    </row>
    <row r="2652" spans="1:12" ht="17.25" thickBot="1">
      <c r="A2652" s="3" t="s">
        <v>2637</v>
      </c>
      <c r="B2652" s="3" t="s">
        <v>107</v>
      </c>
      <c r="C2652" s="3" t="s">
        <v>133</v>
      </c>
      <c r="D2652" s="4" t="s">
        <v>254</v>
      </c>
      <c r="E2652" s="4" t="s">
        <v>3</v>
      </c>
      <c r="F2652" s="4">
        <v>2002</v>
      </c>
      <c r="G2652" s="9"/>
      <c r="H2652" s="4" t="s">
        <v>3</v>
      </c>
      <c r="I2652" s="8">
        <v>0.4</v>
      </c>
      <c r="J2652" s="3">
        <f>2244</f>
        <v>2244</v>
      </c>
      <c r="K2652" s="3">
        <v>50602</v>
      </c>
      <c r="L2652" s="17" t="str" cm="1">
        <f t="array" ref="L2652">_xlfn.IFS(MID(K2652,2,2)="01", "서울", MID(K2652,2,2)="02","경기",MID(K2652,2,2)="03","충청",MID(K2652,2,2)="04","충청",MID(K2652,2,2)="05","전라",MID(K2652,2,2)="06","전라",MID(K2652,2,2)="07","경북",MID(K2652,2,2)="08","경남",MID(K2652,2,2)="09","강원",MID(K2652,2,2)="10","제주",TRUE,"국외")</f>
        <v>전라</v>
      </c>
    </row>
    <row r="2653" spans="1:12" ht="17.25" thickBot="1">
      <c r="A2653" s="3" t="s">
        <v>2594</v>
      </c>
      <c r="B2653" s="3" t="s">
        <v>8</v>
      </c>
      <c r="C2653" s="3" t="s">
        <v>211</v>
      </c>
      <c r="D2653" s="4" t="s">
        <v>254</v>
      </c>
      <c r="E2653" s="4" t="s">
        <v>3</v>
      </c>
      <c r="F2653" s="4">
        <v>2000</v>
      </c>
      <c r="G2653" s="8">
        <v>-0.1</v>
      </c>
      <c r="H2653" s="4" t="s">
        <v>3</v>
      </c>
      <c r="I2653" s="8">
        <v>0</v>
      </c>
      <c r="J2653" s="3">
        <f>2127</f>
        <v>2127</v>
      </c>
      <c r="K2653" s="3">
        <v>50116</v>
      </c>
      <c r="L2653" s="17" t="str" cm="1">
        <f t="array" ref="L2653">_xlfn.IFS(MID(K2653,2,2)="01", "서울", MID(K2653,2,2)="02","경기",MID(K2653,2,2)="03","충청",MID(K2653,2,2)="04","충청",MID(K2653,2,2)="05","전라",MID(K2653,2,2)="06","전라",MID(K2653,2,2)="07","경북",MID(K2653,2,2)="08","경남",MID(K2653,2,2)="09","강원",MID(K2653,2,2)="10","제주",TRUE,"국외")</f>
        <v>서울</v>
      </c>
    </row>
    <row r="2654" spans="1:12" ht="17.25" thickBot="1">
      <c r="A2654" s="3" t="s">
        <v>2638</v>
      </c>
      <c r="B2654" s="3"/>
      <c r="C2654" s="3"/>
      <c r="D2654" s="4" t="s">
        <v>181</v>
      </c>
      <c r="E2654" s="4" t="s">
        <v>20</v>
      </c>
      <c r="F2654" s="4">
        <v>2000</v>
      </c>
      <c r="G2654" s="8">
        <v>6.9</v>
      </c>
      <c r="H2654" s="4" t="s">
        <v>20</v>
      </c>
      <c r="I2654" s="8">
        <v>9.6999999999999993</v>
      </c>
      <c r="J2654" s="3">
        <f>2161</f>
        <v>2161</v>
      </c>
      <c r="K2654" s="3"/>
      <c r="L2654" s="17" t="str" cm="1">
        <f t="array" ref="L2654">_xlfn.IFS(MID(K2654,2,2)="01", "서울", MID(K2654,2,2)="02","경기",MID(K2654,2,2)="03","충청",MID(K2654,2,2)="04","충청",MID(K2654,2,2)="05","전라",MID(K2654,2,2)="06","전라",MID(K2654,2,2)="07","경북",MID(K2654,2,2)="08","경남",MID(K2654,2,2)="09","강원",MID(K2654,2,2)="10","제주",TRUE,"국외")</f>
        <v>국외</v>
      </c>
    </row>
    <row r="2655" spans="1:12" ht="17.25" thickBot="1">
      <c r="A2655" s="3" t="s">
        <v>2639</v>
      </c>
      <c r="B2655" s="3"/>
      <c r="C2655" s="3"/>
      <c r="D2655" s="4" t="s">
        <v>181</v>
      </c>
      <c r="E2655" s="4" t="s">
        <v>607</v>
      </c>
      <c r="F2655" s="4">
        <v>2000</v>
      </c>
      <c r="G2655" s="8">
        <v>-0.1</v>
      </c>
      <c r="H2655" s="4" t="s">
        <v>607</v>
      </c>
      <c r="I2655" s="8">
        <v>-0.1</v>
      </c>
      <c r="J2655" s="3">
        <f>2115</f>
        <v>2115</v>
      </c>
      <c r="K2655" s="3"/>
      <c r="L2655" s="17" t="str" cm="1">
        <f t="array" ref="L2655">_xlfn.IFS(MID(K2655,2,2)="01", "서울", MID(K2655,2,2)="02","경기",MID(K2655,2,2)="03","충청",MID(K2655,2,2)="04","충청",MID(K2655,2,2)="05","전라",MID(K2655,2,2)="06","전라",MID(K2655,2,2)="07","경북",MID(K2655,2,2)="08","경남",MID(K2655,2,2)="09","강원",MID(K2655,2,2)="10","제주",TRUE,"국외")</f>
        <v>국외</v>
      </c>
    </row>
    <row r="2656" spans="1:12" ht="17.25" thickBot="1">
      <c r="A2656" s="3" t="s">
        <v>2640</v>
      </c>
      <c r="B2656" s="3"/>
      <c r="C2656" s="3"/>
      <c r="D2656" s="4" t="s">
        <v>181</v>
      </c>
      <c r="E2656" s="4" t="s">
        <v>607</v>
      </c>
      <c r="F2656" s="4">
        <v>2000</v>
      </c>
      <c r="G2656" s="8">
        <v>5.7</v>
      </c>
      <c r="H2656" s="4" t="s">
        <v>607</v>
      </c>
      <c r="I2656" s="8">
        <v>23.3</v>
      </c>
      <c r="J2656" s="3">
        <f>2120</f>
        <v>2120</v>
      </c>
      <c r="K2656" s="3"/>
      <c r="L2656" s="17" t="str" cm="1">
        <f t="array" ref="L2656">_xlfn.IFS(MID(K2656,2,2)="01", "서울", MID(K2656,2,2)="02","경기",MID(K2656,2,2)="03","충청",MID(K2656,2,2)="04","충청",MID(K2656,2,2)="05","전라",MID(K2656,2,2)="06","전라",MID(K2656,2,2)="07","경북",MID(K2656,2,2)="08","경남",MID(K2656,2,2)="09","강원",MID(K2656,2,2)="10","제주",TRUE,"국외")</f>
        <v>국외</v>
      </c>
    </row>
    <row r="2657" spans="1:12" ht="17.25" thickBot="1">
      <c r="A2657" s="3" t="s">
        <v>2641</v>
      </c>
      <c r="B2657" s="3"/>
      <c r="C2657" s="3"/>
      <c r="D2657" s="4" t="s">
        <v>181</v>
      </c>
      <c r="E2657" s="4" t="s">
        <v>607</v>
      </c>
      <c r="F2657" s="4">
        <v>2000</v>
      </c>
      <c r="G2657" s="8">
        <v>0.3</v>
      </c>
      <c r="H2657" s="4" t="s">
        <v>607</v>
      </c>
      <c r="I2657" s="8">
        <v>0.3</v>
      </c>
      <c r="J2657" s="3">
        <f>2143</f>
        <v>2143</v>
      </c>
      <c r="K2657" s="3"/>
      <c r="L2657" s="17" t="str" cm="1">
        <f t="array" ref="L2657">_xlfn.IFS(MID(K2657,2,2)="01", "서울", MID(K2657,2,2)="02","경기",MID(K2657,2,2)="03","충청",MID(K2657,2,2)="04","충청",MID(K2657,2,2)="05","전라",MID(K2657,2,2)="06","전라",MID(K2657,2,2)="07","경북",MID(K2657,2,2)="08","경남",MID(K2657,2,2)="09","강원",MID(K2657,2,2)="10","제주",TRUE,"국외")</f>
        <v>국외</v>
      </c>
    </row>
    <row r="2658" spans="1:12" ht="17.25" thickBot="1">
      <c r="A2658" s="3" t="s">
        <v>2642</v>
      </c>
      <c r="B2658" s="3"/>
      <c r="C2658" s="3"/>
      <c r="D2658" s="4" t="s">
        <v>181</v>
      </c>
      <c r="E2658" s="4" t="s">
        <v>607</v>
      </c>
      <c r="F2658" s="4">
        <v>2000</v>
      </c>
      <c r="G2658" s="8">
        <v>1.4</v>
      </c>
      <c r="H2658" s="4" t="s">
        <v>607</v>
      </c>
      <c r="I2658" s="8">
        <v>1.4</v>
      </c>
      <c r="J2658" s="3">
        <f>2141</f>
        <v>2141</v>
      </c>
      <c r="K2658" s="3"/>
      <c r="L2658" s="17" t="str" cm="1">
        <f t="array" ref="L2658">_xlfn.IFS(MID(K2658,2,2)="01", "서울", MID(K2658,2,2)="02","경기",MID(K2658,2,2)="03","충청",MID(K2658,2,2)="04","충청",MID(K2658,2,2)="05","전라",MID(K2658,2,2)="06","전라",MID(K2658,2,2)="07","경북",MID(K2658,2,2)="08","경남",MID(K2658,2,2)="09","강원",MID(K2658,2,2)="10","제주",TRUE,"국외")</f>
        <v>국외</v>
      </c>
    </row>
    <row r="2659" spans="1:12" ht="17.25" thickBot="1">
      <c r="A2659" s="3" t="s">
        <v>2643</v>
      </c>
      <c r="B2659" s="3"/>
      <c r="C2659" s="3"/>
      <c r="D2659" s="4" t="s">
        <v>181</v>
      </c>
      <c r="E2659" s="4" t="s">
        <v>607</v>
      </c>
      <c r="F2659" s="4">
        <v>2000</v>
      </c>
      <c r="G2659" s="8">
        <v>-0.3</v>
      </c>
      <c r="H2659" s="4" t="s">
        <v>26</v>
      </c>
      <c r="I2659" s="8">
        <v>3</v>
      </c>
      <c r="J2659" s="3">
        <f>2135</f>
        <v>2135</v>
      </c>
      <c r="K2659" s="3"/>
      <c r="L2659" s="17" t="str" cm="1">
        <f t="array" ref="L2659">_xlfn.IFS(MID(K2659,2,2)="01", "서울", MID(K2659,2,2)="02","경기",MID(K2659,2,2)="03","충청",MID(K2659,2,2)="04","충청",MID(K2659,2,2)="05","전라",MID(K2659,2,2)="06","전라",MID(K2659,2,2)="07","경북",MID(K2659,2,2)="08","경남",MID(K2659,2,2)="09","강원",MID(K2659,2,2)="10","제주",TRUE,"국외")</f>
        <v>국외</v>
      </c>
    </row>
    <row r="2660" spans="1:12" ht="17.25" thickBot="1">
      <c r="A2660" s="3" t="s">
        <v>2644</v>
      </c>
      <c r="B2660" s="3"/>
      <c r="C2660" s="3"/>
      <c r="D2660" s="4" t="s">
        <v>181</v>
      </c>
      <c r="E2660" s="4" t="s">
        <v>26</v>
      </c>
      <c r="F2660" s="4">
        <v>2000</v>
      </c>
      <c r="G2660" s="8">
        <v>1.9</v>
      </c>
      <c r="H2660" s="4" t="s">
        <v>26</v>
      </c>
      <c r="I2660" s="8">
        <v>1.6</v>
      </c>
      <c r="J2660" s="3">
        <f>2160</f>
        <v>2160</v>
      </c>
      <c r="K2660" s="3"/>
      <c r="L2660" s="17" t="str" cm="1">
        <f t="array" ref="L2660">_xlfn.IFS(MID(K2660,2,2)="01", "서울", MID(K2660,2,2)="02","경기",MID(K2660,2,2)="03","충청",MID(K2660,2,2)="04","충청",MID(K2660,2,2)="05","전라",MID(K2660,2,2)="06","전라",MID(K2660,2,2)="07","경북",MID(K2660,2,2)="08","경남",MID(K2660,2,2)="09","강원",MID(K2660,2,2)="10","제주",TRUE,"국외")</f>
        <v>국외</v>
      </c>
    </row>
    <row r="2661" spans="1:12" ht="17.25" thickBot="1">
      <c r="A2661" s="3" t="s">
        <v>2645</v>
      </c>
      <c r="B2661" s="3"/>
      <c r="C2661" s="3" t="s">
        <v>722</v>
      </c>
      <c r="D2661" s="4" t="s">
        <v>181</v>
      </c>
      <c r="E2661" s="4" t="s">
        <v>9</v>
      </c>
      <c r="F2661" s="4">
        <v>2000</v>
      </c>
      <c r="G2661" s="8">
        <v>0.3</v>
      </c>
      <c r="H2661" s="4" t="s">
        <v>9</v>
      </c>
      <c r="I2661" s="8">
        <v>0.3</v>
      </c>
      <c r="J2661" s="3">
        <f>2124</f>
        <v>2124</v>
      </c>
      <c r="K2661" s="3"/>
      <c r="L2661" s="17" t="str" cm="1">
        <f t="array" ref="L2661">_xlfn.IFS(MID(K2661,2,2)="01", "서울", MID(K2661,2,2)="02","경기",MID(K2661,2,2)="03","충청",MID(K2661,2,2)="04","충청",MID(K2661,2,2)="05","전라",MID(K2661,2,2)="06","전라",MID(K2661,2,2)="07","경북",MID(K2661,2,2)="08","경남",MID(K2661,2,2)="09","강원",MID(K2661,2,2)="10","제주",TRUE,"국외")</f>
        <v>국외</v>
      </c>
    </row>
    <row r="2662" spans="1:12" ht="17.25" thickBot="1">
      <c r="A2662" s="3" t="s">
        <v>719</v>
      </c>
      <c r="B2662" s="3"/>
      <c r="C2662" s="3" t="s">
        <v>722</v>
      </c>
      <c r="D2662" s="4" t="s">
        <v>181</v>
      </c>
      <c r="E2662" s="4" t="s">
        <v>9</v>
      </c>
      <c r="F2662" s="4">
        <v>2000</v>
      </c>
      <c r="G2662" s="8">
        <v>1.7</v>
      </c>
      <c r="H2662" s="4" t="s">
        <v>9</v>
      </c>
      <c r="I2662" s="8">
        <v>1.7</v>
      </c>
      <c r="J2662" s="3">
        <f>2144</f>
        <v>2144</v>
      </c>
      <c r="K2662" s="3"/>
      <c r="L2662" s="17" t="str" cm="1">
        <f t="array" ref="L2662">_xlfn.IFS(MID(K2662,2,2)="01", "서울", MID(K2662,2,2)="02","경기",MID(K2662,2,2)="03","충청",MID(K2662,2,2)="04","충청",MID(K2662,2,2)="05","전라",MID(K2662,2,2)="06","전라",MID(K2662,2,2)="07","경북",MID(K2662,2,2)="08","경남",MID(K2662,2,2)="09","강원",MID(K2662,2,2)="10","제주",TRUE,"국외")</f>
        <v>국외</v>
      </c>
    </row>
    <row r="2663" spans="1:12" ht="17.25" thickBot="1">
      <c r="A2663" s="3" t="s">
        <v>385</v>
      </c>
      <c r="B2663" s="3"/>
      <c r="C2663" s="3"/>
      <c r="D2663" s="4" t="s">
        <v>181</v>
      </c>
      <c r="E2663" s="4" t="s">
        <v>23</v>
      </c>
      <c r="F2663" s="4">
        <v>2000</v>
      </c>
      <c r="G2663" s="8">
        <v>1.4</v>
      </c>
      <c r="H2663" s="4" t="s">
        <v>23</v>
      </c>
      <c r="I2663" s="8">
        <v>1.4</v>
      </c>
      <c r="J2663" s="3">
        <f>2145</f>
        <v>2145</v>
      </c>
      <c r="K2663" s="3"/>
      <c r="L2663" s="17" t="str" cm="1">
        <f t="array" ref="L2663">_xlfn.IFS(MID(K2663,2,2)="01", "서울", MID(K2663,2,2)="02","경기",MID(K2663,2,2)="03","충청",MID(K2663,2,2)="04","충청",MID(K2663,2,2)="05","전라",MID(K2663,2,2)="06","전라",MID(K2663,2,2)="07","경북",MID(K2663,2,2)="08","경남",MID(K2663,2,2)="09","강원",MID(K2663,2,2)="10","제주",TRUE,"국외")</f>
        <v>국외</v>
      </c>
    </row>
    <row r="2664" spans="1:12" ht="17.25" thickBot="1">
      <c r="A2664" s="3" t="s">
        <v>576</v>
      </c>
      <c r="B2664" s="3"/>
      <c r="C2664" s="3"/>
      <c r="D2664" s="4" t="s">
        <v>181</v>
      </c>
      <c r="E2664" s="4" t="s">
        <v>23</v>
      </c>
      <c r="F2664" s="4">
        <v>2000</v>
      </c>
      <c r="G2664" s="8">
        <v>4.8</v>
      </c>
      <c r="H2664" s="4" t="s">
        <v>23</v>
      </c>
      <c r="I2664" s="8">
        <v>4.8</v>
      </c>
      <c r="J2664" s="3">
        <f>2142</f>
        <v>2142</v>
      </c>
      <c r="K2664" s="3"/>
      <c r="L2664" s="17" t="str" cm="1">
        <f t="array" ref="L2664">_xlfn.IFS(MID(K2664,2,2)="01", "서울", MID(K2664,2,2)="02","경기",MID(K2664,2,2)="03","충청",MID(K2664,2,2)="04","충청",MID(K2664,2,2)="05","전라",MID(K2664,2,2)="06","전라",MID(K2664,2,2)="07","경북",MID(K2664,2,2)="08","경남",MID(K2664,2,2)="09","강원",MID(K2664,2,2)="10","제주",TRUE,"국외")</f>
        <v>국외</v>
      </c>
    </row>
    <row r="2665" spans="1:12" ht="17.25" thickBot="1">
      <c r="A2665" s="3" t="s">
        <v>2646</v>
      </c>
      <c r="B2665" s="3"/>
      <c r="C2665" s="3"/>
      <c r="D2665" s="4" t="s">
        <v>181</v>
      </c>
      <c r="E2665" s="4" t="s">
        <v>20</v>
      </c>
      <c r="F2665" s="4">
        <v>2000</v>
      </c>
      <c r="G2665" s="8">
        <v>-0.2</v>
      </c>
      <c r="H2665" s="4" t="s">
        <v>20</v>
      </c>
      <c r="I2665" s="8">
        <v>-0.3</v>
      </c>
      <c r="J2665" s="3">
        <f>2136</f>
        <v>2136</v>
      </c>
      <c r="K2665" s="3"/>
      <c r="L2665" s="17" t="str" cm="1">
        <f t="array" ref="L2665">_xlfn.IFS(MID(K2665,2,2)="01", "서울", MID(K2665,2,2)="02","경기",MID(K2665,2,2)="03","충청",MID(K2665,2,2)="04","충청",MID(K2665,2,2)="05","전라",MID(K2665,2,2)="06","전라",MID(K2665,2,2)="07","경북",MID(K2665,2,2)="08","경남",MID(K2665,2,2)="09","강원",MID(K2665,2,2)="10","제주",TRUE,"국외")</f>
        <v>국외</v>
      </c>
    </row>
    <row r="2666" spans="1:12" ht="17.25" thickBot="1">
      <c r="A2666" s="3" t="s">
        <v>2647</v>
      </c>
      <c r="B2666" s="3"/>
      <c r="C2666" s="3"/>
      <c r="D2666" s="4" t="s">
        <v>181</v>
      </c>
      <c r="E2666" s="4" t="s">
        <v>2523</v>
      </c>
      <c r="F2666" s="4">
        <v>2000</v>
      </c>
      <c r="G2666" s="8">
        <v>2.6</v>
      </c>
      <c r="H2666" s="4" t="s">
        <v>2523</v>
      </c>
      <c r="I2666" s="8">
        <v>2.2000000000000002</v>
      </c>
      <c r="J2666" s="3">
        <f>2138</f>
        <v>2138</v>
      </c>
      <c r="K2666" s="3"/>
      <c r="L2666" s="17" t="str" cm="1">
        <f t="array" ref="L2666">_xlfn.IFS(MID(K2666,2,2)="01", "서울", MID(K2666,2,2)="02","경기",MID(K2666,2,2)="03","충청",MID(K2666,2,2)="04","충청",MID(K2666,2,2)="05","전라",MID(K2666,2,2)="06","전라",MID(K2666,2,2)="07","경북",MID(K2666,2,2)="08","경남",MID(K2666,2,2)="09","강원",MID(K2666,2,2)="10","제주",TRUE,"국외")</f>
        <v>국외</v>
      </c>
    </row>
    <row r="2667" spans="1:12" ht="17.25" thickBot="1">
      <c r="A2667" s="3" t="s">
        <v>2648</v>
      </c>
      <c r="B2667" s="3"/>
      <c r="C2667" s="3"/>
      <c r="D2667" s="4" t="s">
        <v>181</v>
      </c>
      <c r="E2667" s="4" t="s">
        <v>2523</v>
      </c>
      <c r="F2667" s="4">
        <v>2000</v>
      </c>
      <c r="G2667" s="8">
        <v>0.8</v>
      </c>
      <c r="H2667" s="4" t="s">
        <v>2523</v>
      </c>
      <c r="I2667" s="8">
        <v>0.8</v>
      </c>
      <c r="J2667" s="3">
        <f>2116</f>
        <v>2116</v>
      </c>
      <c r="K2667" s="3"/>
      <c r="L2667" s="17" t="str" cm="1">
        <f t="array" ref="L2667">_xlfn.IFS(MID(K2667,2,2)="01", "서울", MID(K2667,2,2)="02","경기",MID(K2667,2,2)="03","충청",MID(K2667,2,2)="04","충청",MID(K2667,2,2)="05","전라",MID(K2667,2,2)="06","전라",MID(K2667,2,2)="07","경북",MID(K2667,2,2)="08","경남",MID(K2667,2,2)="09","강원",MID(K2667,2,2)="10","제주",TRUE,"국외")</f>
        <v>국외</v>
      </c>
    </row>
    <row r="2668" spans="1:12" ht="17.25" thickBot="1">
      <c r="A2668" s="3" t="s">
        <v>1775</v>
      </c>
      <c r="B2668" s="3"/>
      <c r="C2668" s="3"/>
      <c r="D2668" s="4" t="s">
        <v>181</v>
      </c>
      <c r="E2668" s="4" t="s">
        <v>2523</v>
      </c>
      <c r="F2668" s="4">
        <v>2000</v>
      </c>
      <c r="G2668" s="8">
        <v>0.4</v>
      </c>
      <c r="H2668" s="4" t="s">
        <v>2523</v>
      </c>
      <c r="I2668" s="8">
        <v>0.4</v>
      </c>
      <c r="J2668" s="3">
        <f>2119</f>
        <v>2119</v>
      </c>
      <c r="K2668" s="3"/>
      <c r="L2668" s="17" t="str" cm="1">
        <f t="array" ref="L2668">_xlfn.IFS(MID(K2668,2,2)="01", "서울", MID(K2668,2,2)="02","경기",MID(K2668,2,2)="03","충청",MID(K2668,2,2)="04","충청",MID(K2668,2,2)="05","전라",MID(K2668,2,2)="06","전라",MID(K2668,2,2)="07","경북",MID(K2668,2,2)="08","경남",MID(K2668,2,2)="09","강원",MID(K2668,2,2)="10","제주",TRUE,"국외")</f>
        <v>국외</v>
      </c>
    </row>
    <row r="2669" spans="1:12" ht="17.25" thickBot="1">
      <c r="A2669" s="3" t="s">
        <v>2649</v>
      </c>
      <c r="B2669" s="3"/>
      <c r="C2669" s="3"/>
      <c r="D2669" s="4" t="s">
        <v>181</v>
      </c>
      <c r="E2669" s="4" t="s">
        <v>2523</v>
      </c>
      <c r="F2669" s="4">
        <v>2000</v>
      </c>
      <c r="G2669" s="8">
        <v>-0.6</v>
      </c>
      <c r="H2669" s="4" t="s">
        <v>2523</v>
      </c>
      <c r="I2669" s="8">
        <v>-0.6</v>
      </c>
      <c r="J2669" s="3">
        <f>2140</f>
        <v>2140</v>
      </c>
      <c r="K2669" s="3"/>
      <c r="L2669" s="17" t="str" cm="1">
        <f t="array" ref="L2669">_xlfn.IFS(MID(K2669,2,2)="01", "서울", MID(K2669,2,2)="02","경기",MID(K2669,2,2)="03","충청",MID(K2669,2,2)="04","충청",MID(K2669,2,2)="05","전라",MID(K2669,2,2)="06","전라",MID(K2669,2,2)="07","경북",MID(K2669,2,2)="08","경남",MID(K2669,2,2)="09","강원",MID(K2669,2,2)="10","제주",TRUE,"국외")</f>
        <v>국외</v>
      </c>
    </row>
    <row r="2670" spans="1:12" ht="17.25" thickBot="1">
      <c r="A2670" s="3" t="s">
        <v>2650</v>
      </c>
      <c r="B2670" s="3"/>
      <c r="C2670" s="3"/>
      <c r="D2670" s="4" t="s">
        <v>181</v>
      </c>
      <c r="E2670" s="4" t="s">
        <v>2164</v>
      </c>
      <c r="F2670" s="4">
        <v>2000</v>
      </c>
      <c r="G2670" s="8">
        <v>2.2000000000000002</v>
      </c>
      <c r="H2670" s="4" t="s">
        <v>2164</v>
      </c>
      <c r="I2670" s="8">
        <v>3.4</v>
      </c>
      <c r="J2670" s="3">
        <f>2137</f>
        <v>2137</v>
      </c>
      <c r="K2670" s="3"/>
      <c r="L2670" s="17" t="str" cm="1">
        <f t="array" ref="L2670">_xlfn.IFS(MID(K2670,2,2)="01", "서울", MID(K2670,2,2)="02","경기",MID(K2670,2,2)="03","충청",MID(K2670,2,2)="04","충청",MID(K2670,2,2)="05","전라",MID(K2670,2,2)="06","전라",MID(K2670,2,2)="07","경북",MID(K2670,2,2)="08","경남",MID(K2670,2,2)="09","강원",MID(K2670,2,2)="10","제주",TRUE,"국외")</f>
        <v>국외</v>
      </c>
    </row>
    <row r="2671" spans="1:12" ht="17.25" thickBot="1">
      <c r="A2671" s="3" t="s">
        <v>587</v>
      </c>
      <c r="B2671" s="3"/>
      <c r="C2671" s="3"/>
      <c r="D2671" s="4" t="s">
        <v>181</v>
      </c>
      <c r="E2671" s="4" t="s">
        <v>2164</v>
      </c>
      <c r="F2671" s="4">
        <v>2000</v>
      </c>
      <c r="G2671" s="8">
        <v>0.8</v>
      </c>
      <c r="H2671" s="4" t="s">
        <v>2164</v>
      </c>
      <c r="I2671" s="8">
        <v>0.8</v>
      </c>
      <c r="J2671" s="3">
        <f>2134</f>
        <v>2134</v>
      </c>
      <c r="K2671" s="3"/>
      <c r="L2671" s="17" t="str" cm="1">
        <f t="array" ref="L2671">_xlfn.IFS(MID(K2671,2,2)="01", "서울", MID(K2671,2,2)="02","경기",MID(K2671,2,2)="03","충청",MID(K2671,2,2)="04","충청",MID(K2671,2,2)="05","전라",MID(K2671,2,2)="06","전라",MID(K2671,2,2)="07","경북",MID(K2671,2,2)="08","경남",MID(K2671,2,2)="09","강원",MID(K2671,2,2)="10","제주",TRUE,"국외")</f>
        <v>국외</v>
      </c>
    </row>
    <row r="2672" spans="1:12" ht="17.25" thickBot="1">
      <c r="A2672" s="3" t="s">
        <v>2651</v>
      </c>
      <c r="B2672" s="3"/>
      <c r="C2672" s="3"/>
      <c r="D2672" s="4" t="s">
        <v>181</v>
      </c>
      <c r="E2672" s="4" t="s">
        <v>2164</v>
      </c>
      <c r="F2672" s="4">
        <v>2000</v>
      </c>
      <c r="G2672" s="8">
        <v>-0.6</v>
      </c>
      <c r="H2672" s="4" t="s">
        <v>2164</v>
      </c>
      <c r="I2672" s="8">
        <v>-0.6</v>
      </c>
      <c r="J2672" s="3">
        <f>2121</f>
        <v>2121</v>
      </c>
      <c r="K2672" s="3"/>
      <c r="L2672" s="17" t="str" cm="1">
        <f t="array" ref="L2672">_xlfn.IFS(MID(K2672,2,2)="01", "서울", MID(K2672,2,2)="02","경기",MID(K2672,2,2)="03","충청",MID(K2672,2,2)="04","충청",MID(K2672,2,2)="05","전라",MID(K2672,2,2)="06","전라",MID(K2672,2,2)="07","경북",MID(K2672,2,2)="08","경남",MID(K2672,2,2)="09","강원",MID(K2672,2,2)="10","제주",TRUE,"국외")</f>
        <v>국외</v>
      </c>
    </row>
    <row r="2673" spans="1:12" ht="17.25" thickBot="1">
      <c r="A2673" s="3" t="s">
        <v>201</v>
      </c>
      <c r="B2673" s="3"/>
      <c r="C2673" s="3"/>
      <c r="D2673" s="4" t="s">
        <v>181</v>
      </c>
      <c r="E2673" s="4" t="s">
        <v>2164</v>
      </c>
      <c r="F2673" s="4">
        <v>2000</v>
      </c>
      <c r="G2673" s="8">
        <v>1.1000000000000001</v>
      </c>
      <c r="H2673" s="4" t="s">
        <v>2164</v>
      </c>
      <c r="I2673" s="8">
        <v>1.1000000000000001</v>
      </c>
      <c r="J2673" s="3">
        <f>2125</f>
        <v>2125</v>
      </c>
      <c r="K2673" s="3"/>
      <c r="L2673" s="17" t="str" cm="1">
        <f t="array" ref="L2673">_xlfn.IFS(MID(K2673,2,2)="01", "서울", MID(K2673,2,2)="02","경기",MID(K2673,2,2)="03","충청",MID(K2673,2,2)="04","충청",MID(K2673,2,2)="05","전라",MID(K2673,2,2)="06","전라",MID(K2673,2,2)="07","경북",MID(K2673,2,2)="08","경남",MID(K2673,2,2)="09","강원",MID(K2673,2,2)="10","제주",TRUE,"국외")</f>
        <v>국외</v>
      </c>
    </row>
    <row r="2674" spans="1:12" ht="17.25" thickBot="1">
      <c r="A2674" s="3" t="s">
        <v>2652</v>
      </c>
      <c r="B2674" s="3"/>
      <c r="C2674" s="3"/>
      <c r="D2674" s="4" t="s">
        <v>181</v>
      </c>
      <c r="E2674" s="4" t="s">
        <v>20</v>
      </c>
      <c r="F2674" s="4">
        <v>2000</v>
      </c>
      <c r="G2674" s="8">
        <v>0.8</v>
      </c>
      <c r="H2674" s="4" t="s">
        <v>20</v>
      </c>
      <c r="I2674" s="8">
        <v>0.8</v>
      </c>
      <c r="J2674" s="3">
        <f>2139</f>
        <v>2139</v>
      </c>
      <c r="K2674" s="3"/>
      <c r="L2674" s="17" t="str" cm="1">
        <f t="array" ref="L2674">_xlfn.IFS(MID(K2674,2,2)="01", "서울", MID(K2674,2,2)="02","경기",MID(K2674,2,2)="03","충청",MID(K2674,2,2)="04","충청",MID(K2674,2,2)="05","전라",MID(K2674,2,2)="06","전라",MID(K2674,2,2)="07","경북",MID(K2674,2,2)="08","경남",MID(K2674,2,2)="09","강원",MID(K2674,2,2)="10","제주",TRUE,"국외")</f>
        <v>국외</v>
      </c>
    </row>
    <row r="2675" spans="1:12" ht="17.25" thickBot="1">
      <c r="A2675" s="3" t="s">
        <v>2653</v>
      </c>
      <c r="B2675" s="3" t="s">
        <v>107</v>
      </c>
      <c r="C2675" s="3"/>
      <c r="D2675" s="4" t="s">
        <v>1777</v>
      </c>
      <c r="E2675" s="4" t="s">
        <v>23</v>
      </c>
      <c r="F2675" s="4">
        <v>2001</v>
      </c>
      <c r="G2675" s="9"/>
      <c r="H2675" s="4" t="s">
        <v>23</v>
      </c>
      <c r="I2675" s="8">
        <v>0</v>
      </c>
      <c r="J2675" s="3">
        <f>2184</f>
        <v>2184</v>
      </c>
      <c r="K2675" s="3">
        <v>50602</v>
      </c>
      <c r="L2675" s="17" t="str" cm="1">
        <f t="array" ref="L2675">_xlfn.IFS(MID(K2675,2,2)="01", "서울", MID(K2675,2,2)="02","경기",MID(K2675,2,2)="03","충청",MID(K2675,2,2)="04","충청",MID(K2675,2,2)="05","전라",MID(K2675,2,2)="06","전라",MID(K2675,2,2)="07","경북",MID(K2675,2,2)="08","경남",MID(K2675,2,2)="09","강원",MID(K2675,2,2)="10","제주",TRUE,"국외")</f>
        <v>전라</v>
      </c>
    </row>
    <row r="2676" spans="1:12" ht="17.25" thickBot="1">
      <c r="A2676" s="3" t="s">
        <v>2654</v>
      </c>
      <c r="B2676" s="3" t="s">
        <v>74</v>
      </c>
      <c r="C2676" s="3" t="s">
        <v>174</v>
      </c>
      <c r="D2676" s="4" t="s">
        <v>1777</v>
      </c>
      <c r="E2676" s="4" t="s">
        <v>23</v>
      </c>
      <c r="F2676" s="4">
        <v>2001</v>
      </c>
      <c r="G2676" s="9"/>
      <c r="H2676" s="4" t="s">
        <v>3</v>
      </c>
      <c r="I2676" s="8">
        <v>-1.2</v>
      </c>
      <c r="J2676" s="3">
        <f>2186</f>
        <v>2186</v>
      </c>
      <c r="K2676" s="3">
        <v>50102</v>
      </c>
      <c r="L2676" s="17" t="str" cm="1">
        <f t="array" ref="L2676">_xlfn.IFS(MID(K2676,2,2)="01", "서울", MID(K2676,2,2)="02","경기",MID(K2676,2,2)="03","충청",MID(K2676,2,2)="04","충청",MID(K2676,2,2)="05","전라",MID(K2676,2,2)="06","전라",MID(K2676,2,2)="07","경북",MID(K2676,2,2)="08","경남",MID(K2676,2,2)="09","강원",MID(K2676,2,2)="10","제주",TRUE,"국외")</f>
        <v>서울</v>
      </c>
    </row>
    <row r="2677" spans="1:12" ht="17.25" thickBot="1">
      <c r="A2677" s="3" t="s">
        <v>2655</v>
      </c>
      <c r="B2677" s="3" t="s">
        <v>78</v>
      </c>
      <c r="C2677" s="3"/>
      <c r="D2677" s="4" t="s">
        <v>205</v>
      </c>
      <c r="E2677" s="4" t="s">
        <v>607</v>
      </c>
      <c r="F2677" s="4">
        <v>2001</v>
      </c>
      <c r="G2677" s="9"/>
      <c r="H2677" s="4" t="s">
        <v>607</v>
      </c>
      <c r="I2677" s="8">
        <v>4.5</v>
      </c>
      <c r="J2677" s="3">
        <v>10121</v>
      </c>
      <c r="K2677" s="3">
        <v>50401</v>
      </c>
      <c r="L2677" s="17" t="str" cm="1">
        <f t="array" ref="L2677">_xlfn.IFS(MID(K2677,2,2)="01", "서울", MID(K2677,2,2)="02","경기",MID(K2677,2,2)="03","충청",MID(K2677,2,2)="04","충청",MID(K2677,2,2)="05","전라",MID(K2677,2,2)="06","전라",MID(K2677,2,2)="07","경북",MID(K2677,2,2)="08","경남",MID(K2677,2,2)="09","강원",MID(K2677,2,2)="10","제주",TRUE,"국외")</f>
        <v>충청</v>
      </c>
    </row>
    <row r="2678" spans="1:12" ht="17.25" thickBot="1">
      <c r="A2678" s="3" t="s">
        <v>2656</v>
      </c>
      <c r="B2678" s="3" t="s">
        <v>70</v>
      </c>
      <c r="C2678" s="3" t="s">
        <v>211</v>
      </c>
      <c r="D2678" s="4" t="s">
        <v>243</v>
      </c>
      <c r="E2678" s="4" t="s">
        <v>20</v>
      </c>
      <c r="F2678" s="4">
        <v>1999</v>
      </c>
      <c r="G2678" s="8">
        <v>-0.5</v>
      </c>
      <c r="H2678" s="4" t="s">
        <v>20</v>
      </c>
      <c r="I2678" s="8">
        <v>-0.1</v>
      </c>
      <c r="J2678" s="3">
        <f>2095</f>
        <v>2095</v>
      </c>
      <c r="K2678" s="3">
        <v>50103</v>
      </c>
      <c r="L2678" s="17" t="str" cm="1">
        <f t="array" ref="L2678">_xlfn.IFS(MID(K2678,2,2)="01", "서울", MID(K2678,2,2)="02","경기",MID(K2678,2,2)="03","충청",MID(K2678,2,2)="04","충청",MID(K2678,2,2)="05","전라",MID(K2678,2,2)="06","전라",MID(K2678,2,2)="07","경북",MID(K2678,2,2)="08","경남",MID(K2678,2,2)="09","강원",MID(K2678,2,2)="10","제주",TRUE,"국외")</f>
        <v>서울</v>
      </c>
    </row>
    <row r="2679" spans="1:12" ht="17.25" thickBot="1">
      <c r="A2679" s="3" t="s">
        <v>2657</v>
      </c>
      <c r="B2679" s="3" t="s">
        <v>1784</v>
      </c>
      <c r="C2679" s="3" t="s">
        <v>329</v>
      </c>
      <c r="D2679" s="4" t="s">
        <v>243</v>
      </c>
      <c r="E2679" s="4" t="s">
        <v>9</v>
      </c>
      <c r="F2679" s="4">
        <v>1999</v>
      </c>
      <c r="G2679" s="8">
        <v>2.8</v>
      </c>
      <c r="H2679" s="4" t="s">
        <v>9</v>
      </c>
      <c r="I2679" s="8">
        <v>2.9</v>
      </c>
      <c r="J2679" s="3">
        <f>2111</f>
        <v>2111</v>
      </c>
      <c r="K2679" s="3">
        <v>50812</v>
      </c>
      <c r="L2679" s="17" t="str" cm="1">
        <f t="array" ref="L2679">_xlfn.IFS(MID(K2679,2,2)="01", "서울", MID(K2679,2,2)="02","경기",MID(K2679,2,2)="03","충청",MID(K2679,2,2)="04","충청",MID(K2679,2,2)="05","전라",MID(K2679,2,2)="06","전라",MID(K2679,2,2)="07","경북",MID(K2679,2,2)="08","경남",MID(K2679,2,2)="09","강원",MID(K2679,2,2)="10","제주",TRUE,"국외")</f>
        <v>경남</v>
      </c>
    </row>
    <row r="2680" spans="1:12" ht="17.25" thickBot="1">
      <c r="A2680" s="3" t="s">
        <v>2658</v>
      </c>
      <c r="B2680" s="3" t="s">
        <v>34</v>
      </c>
      <c r="C2680" s="3" t="s">
        <v>739</v>
      </c>
      <c r="D2680" s="4" t="s">
        <v>243</v>
      </c>
      <c r="E2680" s="4" t="s">
        <v>23</v>
      </c>
      <c r="F2680" s="4">
        <v>2002</v>
      </c>
      <c r="G2680" s="9"/>
      <c r="H2680" s="4" t="s">
        <v>3</v>
      </c>
      <c r="I2680" s="8">
        <v>-0.6</v>
      </c>
      <c r="J2680" s="3">
        <f>2242</f>
        <v>2242</v>
      </c>
      <c r="K2680" s="3">
        <v>50701</v>
      </c>
      <c r="L2680" s="17" t="str" cm="1">
        <f t="array" ref="L2680">_xlfn.IFS(MID(K2680,2,2)="01", "서울", MID(K2680,2,2)="02","경기",MID(K2680,2,2)="03","충청",MID(K2680,2,2)="04","충청",MID(K2680,2,2)="05","전라",MID(K2680,2,2)="06","전라",MID(K2680,2,2)="07","경북",MID(K2680,2,2)="08","경남",MID(K2680,2,2)="09","강원",MID(K2680,2,2)="10","제주",TRUE,"국외")</f>
        <v>경북</v>
      </c>
    </row>
    <row r="2681" spans="1:12" ht="17.25" thickBot="1">
      <c r="A2681" s="3" t="s">
        <v>2659</v>
      </c>
      <c r="B2681" s="3" t="s">
        <v>351</v>
      </c>
      <c r="C2681" s="3" t="s">
        <v>538</v>
      </c>
      <c r="D2681" s="4" t="s">
        <v>243</v>
      </c>
      <c r="E2681" s="4" t="s">
        <v>2164</v>
      </c>
      <c r="F2681" s="4">
        <v>1999</v>
      </c>
      <c r="G2681" s="8">
        <v>1</v>
      </c>
      <c r="H2681" s="4" t="s">
        <v>2164</v>
      </c>
      <c r="I2681" s="8">
        <v>2.7</v>
      </c>
      <c r="J2681" s="3">
        <f>2100</f>
        <v>2100</v>
      </c>
      <c r="K2681" s="3">
        <v>50203</v>
      </c>
      <c r="L2681" s="17" t="str" cm="1">
        <f t="array" ref="L2681">_xlfn.IFS(MID(K2681,2,2)="01", "서울", MID(K2681,2,2)="02","경기",MID(K2681,2,2)="03","충청",MID(K2681,2,2)="04","충청",MID(K2681,2,2)="05","전라",MID(K2681,2,2)="06","전라",MID(K2681,2,2)="07","경북",MID(K2681,2,2)="08","경남",MID(K2681,2,2)="09","강원",MID(K2681,2,2)="10","제주",TRUE,"국외")</f>
        <v>경기</v>
      </c>
    </row>
    <row r="2682" spans="1:12" ht="17.25" thickBot="1">
      <c r="A2682" s="3" t="s">
        <v>2660</v>
      </c>
      <c r="B2682" s="3" t="s">
        <v>1497</v>
      </c>
      <c r="C2682" s="3" t="s">
        <v>218</v>
      </c>
      <c r="D2682" s="4" t="s">
        <v>243</v>
      </c>
      <c r="E2682" s="4" t="s">
        <v>26</v>
      </c>
      <c r="F2682" s="4">
        <v>1999</v>
      </c>
      <c r="G2682" s="8">
        <v>1</v>
      </c>
      <c r="H2682" s="4" t="s">
        <v>26</v>
      </c>
      <c r="I2682" s="8">
        <v>53.8</v>
      </c>
      <c r="J2682" s="3">
        <v>10256</v>
      </c>
      <c r="K2682" s="3">
        <v>50112</v>
      </c>
      <c r="L2682" s="17" t="str" cm="1">
        <f t="array" ref="L2682">_xlfn.IFS(MID(K2682,2,2)="01", "서울", MID(K2682,2,2)="02","경기",MID(K2682,2,2)="03","충청",MID(K2682,2,2)="04","충청",MID(K2682,2,2)="05","전라",MID(K2682,2,2)="06","전라",MID(K2682,2,2)="07","경북",MID(K2682,2,2)="08","경남",MID(K2682,2,2)="09","강원",MID(K2682,2,2)="10","제주",TRUE,"국외")</f>
        <v>서울</v>
      </c>
    </row>
    <row r="2683" spans="1:12" ht="17.25" thickBot="1">
      <c r="A2683" s="3" t="s">
        <v>1225</v>
      </c>
      <c r="B2683" s="3" t="s">
        <v>158</v>
      </c>
      <c r="C2683" s="3"/>
      <c r="D2683" s="4" t="s">
        <v>243</v>
      </c>
      <c r="E2683" s="4" t="s">
        <v>2661</v>
      </c>
      <c r="F2683" s="4">
        <v>1999</v>
      </c>
      <c r="G2683" s="8">
        <v>0.1</v>
      </c>
      <c r="H2683" s="4" t="s">
        <v>607</v>
      </c>
      <c r="I2683" s="8">
        <v>49</v>
      </c>
      <c r="J2683" s="3">
        <v>10492</v>
      </c>
      <c r="K2683" s="3">
        <v>50501</v>
      </c>
      <c r="L2683" s="17" t="str" cm="1">
        <f t="array" ref="L2683">_xlfn.IFS(MID(K2683,2,2)="01", "서울", MID(K2683,2,2)="02","경기",MID(K2683,2,2)="03","충청",MID(K2683,2,2)="04","충청",MID(K2683,2,2)="05","전라",MID(K2683,2,2)="06","전라",MID(K2683,2,2)="07","경북",MID(K2683,2,2)="08","경남",MID(K2683,2,2)="09","강원",MID(K2683,2,2)="10","제주",TRUE,"국외")</f>
        <v>전라</v>
      </c>
    </row>
    <row r="2684" spans="1:12" ht="17.25" thickBot="1">
      <c r="A2684" s="3" t="s">
        <v>2662</v>
      </c>
      <c r="B2684" s="3" t="s">
        <v>50</v>
      </c>
      <c r="C2684" s="3" t="s">
        <v>83</v>
      </c>
      <c r="D2684" s="4" t="s">
        <v>243</v>
      </c>
      <c r="E2684" s="4" t="s">
        <v>3</v>
      </c>
      <c r="F2684" s="4">
        <v>1999</v>
      </c>
      <c r="G2684" s="8">
        <v>-0.7</v>
      </c>
      <c r="H2684" s="4" t="s">
        <v>3</v>
      </c>
      <c r="I2684" s="8">
        <v>10.7</v>
      </c>
      <c r="J2684" s="3">
        <v>10596</v>
      </c>
      <c r="K2684" s="3">
        <v>50301</v>
      </c>
      <c r="L2684" s="17" t="str" cm="1">
        <f t="array" ref="L2684">_xlfn.IFS(MID(K2684,2,2)="01", "서울", MID(K2684,2,2)="02","경기",MID(K2684,2,2)="03","충청",MID(K2684,2,2)="04","충청",MID(K2684,2,2)="05","전라",MID(K2684,2,2)="06","전라",MID(K2684,2,2)="07","경북",MID(K2684,2,2)="08","경남",MID(K2684,2,2)="09","강원",MID(K2684,2,2)="10","제주",TRUE,"국외")</f>
        <v>충청</v>
      </c>
    </row>
    <row r="2685" spans="1:12" ht="17.25" thickBot="1">
      <c r="A2685" s="3" t="s">
        <v>1137</v>
      </c>
      <c r="B2685" s="3" t="s">
        <v>107</v>
      </c>
      <c r="C2685" s="3"/>
      <c r="D2685" s="4" t="s">
        <v>243</v>
      </c>
      <c r="E2685" s="4" t="s">
        <v>2523</v>
      </c>
      <c r="F2685" s="4">
        <v>1999</v>
      </c>
      <c r="G2685" s="8">
        <v>1.3</v>
      </c>
      <c r="H2685" s="4" t="s">
        <v>20</v>
      </c>
      <c r="I2685" s="8">
        <v>45.8</v>
      </c>
      <c r="J2685" s="3">
        <v>10479</v>
      </c>
      <c r="K2685" s="3">
        <v>50602</v>
      </c>
      <c r="L2685" s="17" t="str" cm="1">
        <f t="array" ref="L2685">_xlfn.IFS(MID(K2685,2,2)="01", "서울", MID(K2685,2,2)="02","경기",MID(K2685,2,2)="03","충청",MID(K2685,2,2)="04","충청",MID(K2685,2,2)="05","전라",MID(K2685,2,2)="06","전라",MID(K2685,2,2)="07","경북",MID(K2685,2,2)="08","경남",MID(K2685,2,2)="09","강원",MID(K2685,2,2)="10","제주",TRUE,"국외")</f>
        <v>전라</v>
      </c>
    </row>
    <row r="2686" spans="1:12" ht="17.25" thickBot="1">
      <c r="A2686" s="3" t="s">
        <v>2663</v>
      </c>
      <c r="B2686" s="3" t="s">
        <v>70</v>
      </c>
      <c r="C2686" s="3" t="s">
        <v>211</v>
      </c>
      <c r="D2686" s="4" t="s">
        <v>254</v>
      </c>
      <c r="E2686" s="4" t="s">
        <v>9</v>
      </c>
      <c r="F2686" s="4">
        <v>1999</v>
      </c>
      <c r="G2686" s="8">
        <v>0</v>
      </c>
      <c r="H2686" s="4" t="s">
        <v>20</v>
      </c>
      <c r="I2686" s="8">
        <v>0.5</v>
      </c>
      <c r="J2686" s="3">
        <f>2089</f>
        <v>2089</v>
      </c>
      <c r="K2686" s="3">
        <v>50103</v>
      </c>
      <c r="L2686" s="17" t="str" cm="1">
        <f t="array" ref="L2686">_xlfn.IFS(MID(K2686,2,2)="01", "서울", MID(K2686,2,2)="02","경기",MID(K2686,2,2)="03","충청",MID(K2686,2,2)="04","충청",MID(K2686,2,2)="05","전라",MID(K2686,2,2)="06","전라",MID(K2686,2,2)="07","경북",MID(K2686,2,2)="08","경남",MID(K2686,2,2)="09","강원",MID(K2686,2,2)="10","제주",TRUE,"국외")</f>
        <v>서울</v>
      </c>
    </row>
    <row r="2687" spans="1:12" ht="17.25" thickBot="1">
      <c r="A2687" s="3" t="s">
        <v>1049</v>
      </c>
      <c r="B2687" s="3" t="s">
        <v>38</v>
      </c>
      <c r="C2687" s="3" t="s">
        <v>122</v>
      </c>
      <c r="D2687" s="4" t="s">
        <v>254</v>
      </c>
      <c r="E2687" s="4" t="s">
        <v>20</v>
      </c>
      <c r="F2687" s="4">
        <v>1999</v>
      </c>
      <c r="G2687" s="8">
        <v>-0.9</v>
      </c>
      <c r="H2687" s="4" t="s">
        <v>20</v>
      </c>
      <c r="I2687" s="8">
        <v>12.8</v>
      </c>
      <c r="J2687" s="3">
        <v>10148</v>
      </c>
      <c r="K2687" s="3">
        <v>50109</v>
      </c>
      <c r="L2687" s="17" t="str" cm="1">
        <f t="array" ref="L2687">_xlfn.IFS(MID(K2687,2,2)="01", "서울", MID(K2687,2,2)="02","경기",MID(K2687,2,2)="03","충청",MID(K2687,2,2)="04","충청",MID(K2687,2,2)="05","전라",MID(K2687,2,2)="06","전라",MID(K2687,2,2)="07","경북",MID(K2687,2,2)="08","경남",MID(K2687,2,2)="09","강원",MID(K2687,2,2)="10","제주",TRUE,"국외")</f>
        <v>서울</v>
      </c>
    </row>
    <row r="2688" spans="1:12" ht="17.25" thickBot="1">
      <c r="A2688" s="3" t="s">
        <v>2664</v>
      </c>
      <c r="B2688" s="3" t="s">
        <v>38</v>
      </c>
      <c r="C2688" s="3" t="s">
        <v>739</v>
      </c>
      <c r="D2688" s="4" t="s">
        <v>254</v>
      </c>
      <c r="E2688" s="4" t="s">
        <v>26</v>
      </c>
      <c r="F2688" s="4">
        <v>2003</v>
      </c>
      <c r="G2688" s="9"/>
      <c r="H2688" s="4" t="s">
        <v>26</v>
      </c>
      <c r="I2688" s="8">
        <v>-0.4</v>
      </c>
      <c r="J2688" s="3">
        <f>2287</f>
        <v>2287</v>
      </c>
      <c r="K2688" s="3">
        <v>50109</v>
      </c>
      <c r="L2688" s="17" t="str" cm="1">
        <f t="array" ref="L2688">_xlfn.IFS(MID(K2688,2,2)="01", "서울", MID(K2688,2,2)="02","경기",MID(K2688,2,2)="03","충청",MID(K2688,2,2)="04","충청",MID(K2688,2,2)="05","전라",MID(K2688,2,2)="06","전라",MID(K2688,2,2)="07","경북",MID(K2688,2,2)="08","경남",MID(K2688,2,2)="09","강원",MID(K2688,2,2)="10","제주",TRUE,"국외")</f>
        <v>서울</v>
      </c>
    </row>
    <row r="2689" spans="1:12" ht="17.25" thickBot="1">
      <c r="A2689" s="3" t="s">
        <v>2665</v>
      </c>
      <c r="B2689" s="3" t="s">
        <v>158</v>
      </c>
      <c r="C2689" s="3" t="s">
        <v>208</v>
      </c>
      <c r="D2689" s="4" t="s">
        <v>254</v>
      </c>
      <c r="E2689" s="4" t="s">
        <v>26</v>
      </c>
      <c r="F2689" s="4">
        <v>1999</v>
      </c>
      <c r="G2689" s="8">
        <v>6.2</v>
      </c>
      <c r="H2689" s="4" t="s">
        <v>26</v>
      </c>
      <c r="I2689" s="8">
        <v>7.2</v>
      </c>
      <c r="J2689" s="3">
        <f>2109</f>
        <v>2109</v>
      </c>
      <c r="K2689" s="3">
        <v>50501</v>
      </c>
      <c r="L2689" s="17" t="str" cm="1">
        <f t="array" ref="L2689">_xlfn.IFS(MID(K2689,2,2)="01", "서울", MID(K2689,2,2)="02","경기",MID(K2689,2,2)="03","충청",MID(K2689,2,2)="04","충청",MID(K2689,2,2)="05","전라",MID(K2689,2,2)="06","전라",MID(K2689,2,2)="07","경북",MID(K2689,2,2)="08","경남",MID(K2689,2,2)="09","강원",MID(K2689,2,2)="10","제주",TRUE,"국외")</f>
        <v>전라</v>
      </c>
    </row>
    <row r="2690" spans="1:12" ht="17.25" thickBot="1">
      <c r="A2690" s="3" t="s">
        <v>2666</v>
      </c>
      <c r="B2690" s="3" t="s">
        <v>335</v>
      </c>
      <c r="C2690" s="3"/>
      <c r="D2690" s="4" t="s">
        <v>254</v>
      </c>
      <c r="E2690" s="4" t="s">
        <v>9</v>
      </c>
      <c r="F2690" s="4">
        <v>1999</v>
      </c>
      <c r="G2690" s="8">
        <v>-0.2</v>
      </c>
      <c r="H2690" s="4" t="s">
        <v>9</v>
      </c>
      <c r="I2690" s="8">
        <v>13.7</v>
      </c>
      <c r="J2690" s="3">
        <v>10272</v>
      </c>
      <c r="K2690" s="3">
        <v>50804</v>
      </c>
      <c r="L2690" s="17" t="str" cm="1">
        <f t="array" ref="L2690">_xlfn.IFS(MID(K2690,2,2)="01", "서울", MID(K2690,2,2)="02","경기",MID(K2690,2,2)="03","충청",MID(K2690,2,2)="04","충청",MID(K2690,2,2)="05","전라",MID(K2690,2,2)="06","전라",MID(K2690,2,2)="07","경북",MID(K2690,2,2)="08","경남",MID(K2690,2,2)="09","강원",MID(K2690,2,2)="10","제주",TRUE,"국외")</f>
        <v>경남</v>
      </c>
    </row>
    <row r="2691" spans="1:12" ht="17.25" thickBot="1">
      <c r="A2691" s="3" t="s">
        <v>2667</v>
      </c>
      <c r="B2691" s="3" t="s">
        <v>38</v>
      </c>
      <c r="C2691" s="3"/>
      <c r="D2691" s="4" t="s">
        <v>254</v>
      </c>
      <c r="E2691" s="4" t="s">
        <v>23</v>
      </c>
      <c r="F2691" s="4">
        <v>2003</v>
      </c>
      <c r="G2691" s="9"/>
      <c r="H2691" s="4" t="s">
        <v>23</v>
      </c>
      <c r="I2691" s="8">
        <v>26.4</v>
      </c>
      <c r="J2691" s="3">
        <v>10350</v>
      </c>
      <c r="K2691" s="3">
        <v>50109</v>
      </c>
      <c r="L2691" s="17" t="str" cm="1">
        <f t="array" ref="L2691">_xlfn.IFS(MID(K2691,2,2)="01", "서울", MID(K2691,2,2)="02","경기",MID(K2691,2,2)="03","충청",MID(K2691,2,2)="04","충청",MID(K2691,2,2)="05","전라",MID(K2691,2,2)="06","전라",MID(K2691,2,2)="07","경북",MID(K2691,2,2)="08","경남",MID(K2691,2,2)="09","강원",MID(K2691,2,2)="10","제주",TRUE,"국외")</f>
        <v>서울</v>
      </c>
    </row>
    <row r="2692" spans="1:12" ht="17.25" thickBot="1">
      <c r="A2692" s="3" t="s">
        <v>2668</v>
      </c>
      <c r="B2692" s="3" t="s">
        <v>74</v>
      </c>
      <c r="C2692" s="3" t="s">
        <v>739</v>
      </c>
      <c r="D2692" s="4" t="s">
        <v>254</v>
      </c>
      <c r="E2692" s="4" t="s">
        <v>2661</v>
      </c>
      <c r="F2692" s="4">
        <v>1999</v>
      </c>
      <c r="G2692" s="8">
        <v>-0.8</v>
      </c>
      <c r="H2692" s="4" t="s">
        <v>23</v>
      </c>
      <c r="I2692" s="8">
        <v>1</v>
      </c>
      <c r="J2692" s="3">
        <f>2097</f>
        <v>2097</v>
      </c>
      <c r="K2692" s="3">
        <v>50102</v>
      </c>
      <c r="L2692" s="17" t="str" cm="1">
        <f t="array" ref="L2692">_xlfn.IFS(MID(K2692,2,2)="01", "서울", MID(K2692,2,2)="02","경기",MID(K2692,2,2)="03","충청",MID(K2692,2,2)="04","충청",MID(K2692,2,2)="05","전라",MID(K2692,2,2)="06","전라",MID(K2692,2,2)="07","경북",MID(K2692,2,2)="08","경남",MID(K2692,2,2)="09","강원",MID(K2692,2,2)="10","제주",TRUE,"국외")</f>
        <v>서울</v>
      </c>
    </row>
    <row r="2693" spans="1:12" ht="17.25" thickBot="1">
      <c r="A2693" s="3" t="s">
        <v>2669</v>
      </c>
      <c r="B2693" s="3" t="s">
        <v>241</v>
      </c>
      <c r="C2693" s="3" t="s">
        <v>221</v>
      </c>
      <c r="D2693" s="4" t="s">
        <v>254</v>
      </c>
      <c r="E2693" s="4" t="s">
        <v>3</v>
      </c>
      <c r="F2693" s="4">
        <v>1999</v>
      </c>
      <c r="G2693" s="8">
        <v>-1</v>
      </c>
      <c r="H2693" s="4" t="s">
        <v>3</v>
      </c>
      <c r="I2693" s="8">
        <v>1.3</v>
      </c>
      <c r="J2693" s="3">
        <f>2092</f>
        <v>2092</v>
      </c>
      <c r="K2693" s="3">
        <v>50202</v>
      </c>
      <c r="L2693" s="17" t="str" cm="1">
        <f t="array" ref="L2693">_xlfn.IFS(MID(K2693,2,2)="01", "서울", MID(K2693,2,2)="02","경기",MID(K2693,2,2)="03","충청",MID(K2693,2,2)="04","충청",MID(K2693,2,2)="05","전라",MID(K2693,2,2)="06","전라",MID(K2693,2,2)="07","경북",MID(K2693,2,2)="08","경남",MID(K2693,2,2)="09","강원",MID(K2693,2,2)="10","제주",TRUE,"국외")</f>
        <v>경기</v>
      </c>
    </row>
    <row r="2694" spans="1:12" ht="17.25" thickBot="1">
      <c r="A2694" s="3" t="s">
        <v>2670</v>
      </c>
      <c r="B2694" s="3" t="s">
        <v>32</v>
      </c>
      <c r="C2694" s="3" t="s">
        <v>99</v>
      </c>
      <c r="D2694" s="4" t="s">
        <v>254</v>
      </c>
      <c r="E2694" s="4" t="s">
        <v>2523</v>
      </c>
      <c r="F2694" s="4">
        <v>1999</v>
      </c>
      <c r="G2694" s="8">
        <v>3.2</v>
      </c>
      <c r="H2694" s="4" t="s">
        <v>6</v>
      </c>
      <c r="I2694" s="8">
        <v>25.5</v>
      </c>
      <c r="J2694" s="3">
        <v>10060</v>
      </c>
      <c r="K2694" s="3">
        <v>50111</v>
      </c>
      <c r="L2694" s="17" t="str" cm="1">
        <f t="array" ref="L2694">_xlfn.IFS(MID(K2694,2,2)="01", "서울", MID(K2694,2,2)="02","경기",MID(K2694,2,2)="03","충청",MID(K2694,2,2)="04","충청",MID(K2694,2,2)="05","전라",MID(K2694,2,2)="06","전라",MID(K2694,2,2)="07","경북",MID(K2694,2,2)="08","경남",MID(K2694,2,2)="09","강원",MID(K2694,2,2)="10","제주",TRUE,"국외")</f>
        <v>서울</v>
      </c>
    </row>
    <row r="2695" spans="1:12" ht="17.25" thickBot="1">
      <c r="A2695" s="3" t="s">
        <v>2671</v>
      </c>
      <c r="B2695" s="3" t="s">
        <v>66</v>
      </c>
      <c r="C2695" s="3"/>
      <c r="D2695" s="4" t="s">
        <v>254</v>
      </c>
      <c r="E2695" s="4" t="s">
        <v>20</v>
      </c>
      <c r="F2695" s="4">
        <v>1999</v>
      </c>
      <c r="G2695" s="8">
        <v>-0.1</v>
      </c>
      <c r="H2695" s="4" t="s">
        <v>20</v>
      </c>
      <c r="I2695" s="8">
        <v>0.1</v>
      </c>
      <c r="J2695" s="3">
        <f>2084</f>
        <v>2084</v>
      </c>
      <c r="K2695" s="3">
        <v>50110</v>
      </c>
      <c r="L2695" s="17" t="str" cm="1">
        <f t="array" ref="L2695">_xlfn.IFS(MID(K2695,2,2)="01", "서울", MID(K2695,2,2)="02","경기",MID(K2695,2,2)="03","충청",MID(K2695,2,2)="04","충청",MID(K2695,2,2)="05","전라",MID(K2695,2,2)="06","전라",MID(K2695,2,2)="07","경북",MID(K2695,2,2)="08","경남",MID(K2695,2,2)="09","강원",MID(K2695,2,2)="10","제주",TRUE,"국외")</f>
        <v>서울</v>
      </c>
    </row>
    <row r="2696" spans="1:12" ht="17.25" thickBot="1">
      <c r="A2696" s="3" t="s">
        <v>2672</v>
      </c>
      <c r="B2696" s="3"/>
      <c r="C2696" s="3" t="s">
        <v>208</v>
      </c>
      <c r="D2696" s="4" t="s">
        <v>254</v>
      </c>
      <c r="E2696" s="4" t="s">
        <v>23</v>
      </c>
      <c r="F2696" s="4">
        <v>1999</v>
      </c>
      <c r="G2696" s="8">
        <v>-0.8</v>
      </c>
      <c r="H2696" s="4" t="s">
        <v>23</v>
      </c>
      <c r="I2696" s="8">
        <v>-1.6</v>
      </c>
      <c r="J2696" s="3">
        <f>2106</f>
        <v>2106</v>
      </c>
      <c r="K2696" s="3"/>
      <c r="L2696" s="17" t="str" cm="1">
        <f t="array" ref="L2696">_xlfn.IFS(MID(K2696,2,2)="01", "서울", MID(K2696,2,2)="02","경기",MID(K2696,2,2)="03","충청",MID(K2696,2,2)="04","충청",MID(K2696,2,2)="05","전라",MID(K2696,2,2)="06","전라",MID(K2696,2,2)="07","경북",MID(K2696,2,2)="08","경남",MID(K2696,2,2)="09","강원",MID(K2696,2,2)="10","제주",TRUE,"국외")</f>
        <v>국외</v>
      </c>
    </row>
    <row r="2697" spans="1:12" ht="17.25" thickBot="1">
      <c r="A2697" s="3" t="s">
        <v>2673</v>
      </c>
      <c r="B2697" s="3" t="s">
        <v>81</v>
      </c>
      <c r="C2697" s="3" t="s">
        <v>133</v>
      </c>
      <c r="D2697" s="4" t="s">
        <v>254</v>
      </c>
      <c r="E2697" s="4" t="s">
        <v>3</v>
      </c>
      <c r="F2697" s="4">
        <v>1999</v>
      </c>
      <c r="G2697" s="8">
        <v>0</v>
      </c>
      <c r="H2697" s="4" t="s">
        <v>3</v>
      </c>
      <c r="I2697" s="8">
        <v>-0.9</v>
      </c>
      <c r="J2697" s="3">
        <f>2104</f>
        <v>2104</v>
      </c>
      <c r="K2697" s="3">
        <v>50105</v>
      </c>
      <c r="L2697" s="17" t="str" cm="1">
        <f t="array" ref="L2697">_xlfn.IFS(MID(K2697,2,2)="01", "서울", MID(K2697,2,2)="02","경기",MID(K2697,2,2)="03","충청",MID(K2697,2,2)="04","충청",MID(K2697,2,2)="05","전라",MID(K2697,2,2)="06","전라",MID(K2697,2,2)="07","경북",MID(K2697,2,2)="08","경남",MID(K2697,2,2)="09","강원",MID(K2697,2,2)="10","제주",TRUE,"국외")</f>
        <v>서울</v>
      </c>
    </row>
    <row r="2698" spans="1:12" ht="17.25" thickBot="1">
      <c r="A2698" s="3" t="s">
        <v>2674</v>
      </c>
      <c r="B2698" s="3" t="s">
        <v>112</v>
      </c>
      <c r="C2698" s="3" t="s">
        <v>211</v>
      </c>
      <c r="D2698" s="4" t="s">
        <v>254</v>
      </c>
      <c r="E2698" s="4" t="s">
        <v>2523</v>
      </c>
      <c r="F2698" s="4">
        <v>1999</v>
      </c>
      <c r="G2698" s="8">
        <v>0</v>
      </c>
      <c r="H2698" s="4" t="s">
        <v>2523</v>
      </c>
      <c r="I2698" s="8">
        <v>0.4</v>
      </c>
      <c r="J2698" s="3">
        <f>2081</f>
        <v>2081</v>
      </c>
      <c r="K2698" s="3">
        <v>50113</v>
      </c>
      <c r="L2698" s="17" t="str" cm="1">
        <f t="array" ref="L2698">_xlfn.IFS(MID(K2698,2,2)="01", "서울", MID(K2698,2,2)="02","경기",MID(K2698,2,2)="03","충청",MID(K2698,2,2)="04","충청",MID(K2698,2,2)="05","전라",MID(K2698,2,2)="06","전라",MID(K2698,2,2)="07","경북",MID(K2698,2,2)="08","경남",MID(K2698,2,2)="09","강원",MID(K2698,2,2)="10","제주",TRUE,"국외")</f>
        <v>서울</v>
      </c>
    </row>
    <row r="2699" spans="1:12" ht="17.25" thickBot="1">
      <c r="A2699" s="3" t="s">
        <v>2675</v>
      </c>
      <c r="B2699" s="3" t="s">
        <v>38</v>
      </c>
      <c r="C2699" s="3" t="s">
        <v>538</v>
      </c>
      <c r="D2699" s="4" t="s">
        <v>254</v>
      </c>
      <c r="E2699" s="4" t="s">
        <v>2164</v>
      </c>
      <c r="F2699" s="4">
        <v>2006</v>
      </c>
      <c r="G2699" s="9"/>
      <c r="H2699" s="4" t="s">
        <v>26</v>
      </c>
      <c r="I2699" s="8">
        <v>31.7</v>
      </c>
      <c r="J2699" s="3">
        <v>10192</v>
      </c>
      <c r="K2699" s="3">
        <v>50109</v>
      </c>
      <c r="L2699" s="17" t="str" cm="1">
        <f t="array" ref="L2699">_xlfn.IFS(MID(K2699,2,2)="01", "서울", MID(K2699,2,2)="02","경기",MID(K2699,2,2)="03","충청",MID(K2699,2,2)="04","충청",MID(K2699,2,2)="05","전라",MID(K2699,2,2)="06","전라",MID(K2699,2,2)="07","경북",MID(K2699,2,2)="08","경남",MID(K2699,2,2)="09","강원",MID(K2699,2,2)="10","제주",TRUE,"국외")</f>
        <v>서울</v>
      </c>
    </row>
    <row r="2700" spans="1:12" ht="17.25" thickBot="1">
      <c r="A2700" s="3" t="s">
        <v>2676</v>
      </c>
      <c r="B2700" s="3" t="s">
        <v>112</v>
      </c>
      <c r="C2700" s="3" t="s">
        <v>211</v>
      </c>
      <c r="D2700" s="4" t="s">
        <v>254</v>
      </c>
      <c r="E2700" s="4" t="s">
        <v>26</v>
      </c>
      <c r="F2700" s="4">
        <v>2003</v>
      </c>
      <c r="G2700" s="9"/>
      <c r="H2700" s="4" t="s">
        <v>26</v>
      </c>
      <c r="I2700" s="8">
        <v>0.6</v>
      </c>
      <c r="J2700" s="3">
        <f>2284</f>
        <v>2284</v>
      </c>
      <c r="K2700" s="3">
        <v>50113</v>
      </c>
      <c r="L2700" s="17" t="str" cm="1">
        <f t="array" ref="L2700">_xlfn.IFS(MID(K2700,2,2)="01", "서울", MID(K2700,2,2)="02","경기",MID(K2700,2,2)="03","충청",MID(K2700,2,2)="04","충청",MID(K2700,2,2)="05","전라",MID(K2700,2,2)="06","전라",MID(K2700,2,2)="07","경북",MID(K2700,2,2)="08","경남",MID(K2700,2,2)="09","강원",MID(K2700,2,2)="10","제주",TRUE,"국외")</f>
        <v>서울</v>
      </c>
    </row>
    <row r="2701" spans="1:12" ht="17.25" thickBot="1">
      <c r="A2701" s="3" t="s">
        <v>2677</v>
      </c>
      <c r="B2701" s="3" t="s">
        <v>25</v>
      </c>
      <c r="C2701" s="3" t="s">
        <v>329</v>
      </c>
      <c r="D2701" s="4" t="s">
        <v>254</v>
      </c>
      <c r="E2701" s="4" t="s">
        <v>9</v>
      </c>
      <c r="F2701" s="4">
        <v>1999</v>
      </c>
      <c r="G2701" s="8">
        <v>0.5</v>
      </c>
      <c r="H2701" s="4" t="s">
        <v>26</v>
      </c>
      <c r="I2701" s="8">
        <v>7.6</v>
      </c>
      <c r="J2701" s="3">
        <v>10193</v>
      </c>
      <c r="K2701" s="3">
        <v>50403</v>
      </c>
      <c r="L2701" s="17" t="str" cm="1">
        <f t="array" ref="L2701">_xlfn.IFS(MID(K2701,2,2)="01", "서울", MID(K2701,2,2)="02","경기",MID(K2701,2,2)="03","충청",MID(K2701,2,2)="04","충청",MID(K2701,2,2)="05","전라",MID(K2701,2,2)="06","전라",MID(K2701,2,2)="07","경북",MID(K2701,2,2)="08","경남",MID(K2701,2,2)="09","강원",MID(K2701,2,2)="10","제주",TRUE,"국외")</f>
        <v>충청</v>
      </c>
    </row>
    <row r="2702" spans="1:12" ht="17.25" thickBot="1">
      <c r="A2702" s="3" t="s">
        <v>2678</v>
      </c>
      <c r="B2702" s="3" t="s">
        <v>361</v>
      </c>
      <c r="C2702" s="3" t="s">
        <v>221</v>
      </c>
      <c r="D2702" s="4" t="s">
        <v>254</v>
      </c>
      <c r="E2702" s="4" t="s">
        <v>23</v>
      </c>
      <c r="F2702" s="4">
        <v>1999</v>
      </c>
      <c r="G2702" s="8">
        <v>0</v>
      </c>
      <c r="H2702" s="4" t="s">
        <v>23</v>
      </c>
      <c r="I2702" s="8">
        <v>-0.4</v>
      </c>
      <c r="J2702" s="3">
        <f>2080</f>
        <v>2080</v>
      </c>
      <c r="K2702" s="3">
        <v>50121</v>
      </c>
      <c r="L2702" s="17" t="str" cm="1">
        <f t="array" ref="L2702">_xlfn.IFS(MID(K2702,2,2)="01", "서울", MID(K2702,2,2)="02","경기",MID(K2702,2,2)="03","충청",MID(K2702,2,2)="04","충청",MID(K2702,2,2)="05","전라",MID(K2702,2,2)="06","전라",MID(K2702,2,2)="07","경북",MID(K2702,2,2)="08","경남",MID(K2702,2,2)="09","강원",MID(K2702,2,2)="10","제주",TRUE,"국외")</f>
        <v>서울</v>
      </c>
    </row>
    <row r="2703" spans="1:12" ht="17.25" thickBot="1">
      <c r="A2703" s="3" t="s">
        <v>2264</v>
      </c>
      <c r="B2703" s="3" t="s">
        <v>68</v>
      </c>
      <c r="C2703" s="3" t="s">
        <v>174</v>
      </c>
      <c r="D2703" s="4" t="s">
        <v>254</v>
      </c>
      <c r="E2703" s="4" t="s">
        <v>2661</v>
      </c>
      <c r="F2703" s="4"/>
      <c r="G2703" s="9"/>
      <c r="H2703" s="4"/>
      <c r="I2703" s="9"/>
      <c r="J2703" s="3">
        <v>10346</v>
      </c>
      <c r="K2703" s="3">
        <v>50101</v>
      </c>
      <c r="L2703" s="17" t="str" cm="1">
        <f t="array" ref="L2703">_xlfn.IFS(MID(K2703,2,2)="01", "서울", MID(K2703,2,2)="02","경기",MID(K2703,2,2)="03","충청",MID(K2703,2,2)="04","충청",MID(K2703,2,2)="05","전라",MID(K2703,2,2)="06","전라",MID(K2703,2,2)="07","경북",MID(K2703,2,2)="08","경남",MID(K2703,2,2)="09","강원",MID(K2703,2,2)="10","제주",TRUE,"국외")</f>
        <v>서울</v>
      </c>
    </row>
    <row r="2704" spans="1:12" ht="17.25" thickBot="1">
      <c r="A2704" s="3" t="s">
        <v>2679</v>
      </c>
      <c r="B2704" s="3" t="s">
        <v>11</v>
      </c>
      <c r="C2704" s="3" t="s">
        <v>739</v>
      </c>
      <c r="D2704" s="4" t="s">
        <v>254</v>
      </c>
      <c r="E2704" s="4" t="s">
        <v>3</v>
      </c>
      <c r="F2704" s="4">
        <v>2003</v>
      </c>
      <c r="G2704" s="9"/>
      <c r="H2704" s="4" t="s">
        <v>3</v>
      </c>
      <c r="I2704" s="8">
        <v>-0.3</v>
      </c>
      <c r="J2704" s="3">
        <v>10556</v>
      </c>
      <c r="K2704" s="3">
        <v>50802</v>
      </c>
      <c r="L2704" s="17" t="str" cm="1">
        <f t="array" ref="L2704">_xlfn.IFS(MID(K2704,2,2)="01", "서울", MID(K2704,2,2)="02","경기",MID(K2704,2,2)="03","충청",MID(K2704,2,2)="04","충청",MID(K2704,2,2)="05","전라",MID(K2704,2,2)="06","전라",MID(K2704,2,2)="07","경북",MID(K2704,2,2)="08","경남",MID(K2704,2,2)="09","강원",MID(K2704,2,2)="10","제주",TRUE,"국외")</f>
        <v>경남</v>
      </c>
    </row>
    <row r="2705" spans="1:12" ht="17.25" thickBot="1">
      <c r="A2705" s="3" t="s">
        <v>2680</v>
      </c>
      <c r="B2705" s="3" t="s">
        <v>147</v>
      </c>
      <c r="C2705" s="3" t="s">
        <v>218</v>
      </c>
      <c r="D2705" s="4" t="s">
        <v>254</v>
      </c>
      <c r="E2705" s="4" t="s">
        <v>2523</v>
      </c>
      <c r="F2705" s="4">
        <v>2000</v>
      </c>
      <c r="G2705" s="9"/>
      <c r="H2705" s="4" t="s">
        <v>2523</v>
      </c>
      <c r="I2705" s="8">
        <v>-1.4</v>
      </c>
      <c r="J2705" s="3">
        <f>2159</f>
        <v>2159</v>
      </c>
      <c r="K2705" s="3">
        <v>50208</v>
      </c>
      <c r="L2705" s="17" t="str" cm="1">
        <f t="array" ref="L2705">_xlfn.IFS(MID(K2705,2,2)="01", "서울", MID(K2705,2,2)="02","경기",MID(K2705,2,2)="03","충청",MID(K2705,2,2)="04","충청",MID(K2705,2,2)="05","전라",MID(K2705,2,2)="06","전라",MID(K2705,2,2)="07","경북",MID(K2705,2,2)="08","경남",MID(K2705,2,2)="09","강원",MID(K2705,2,2)="10","제주",TRUE,"국외")</f>
        <v>경기</v>
      </c>
    </row>
    <row r="2706" spans="1:12" ht="17.25" thickBot="1">
      <c r="A2706" s="3" t="s">
        <v>2681</v>
      </c>
      <c r="B2706" s="3" t="s">
        <v>335</v>
      </c>
      <c r="C2706" s="3" t="s">
        <v>45</v>
      </c>
      <c r="D2706" s="4" t="s">
        <v>254</v>
      </c>
      <c r="E2706" s="4" t="s">
        <v>2164</v>
      </c>
      <c r="F2706" s="4">
        <v>2003</v>
      </c>
      <c r="G2706" s="9"/>
      <c r="H2706" s="4" t="s">
        <v>18</v>
      </c>
      <c r="I2706" s="8">
        <v>35.5</v>
      </c>
      <c r="J2706" s="3">
        <v>10493</v>
      </c>
      <c r="K2706" s="3">
        <v>50804</v>
      </c>
      <c r="L2706" s="17" t="str" cm="1">
        <f t="array" ref="L2706">_xlfn.IFS(MID(K2706,2,2)="01", "서울", MID(K2706,2,2)="02","경기",MID(K2706,2,2)="03","충청",MID(K2706,2,2)="04","충청",MID(K2706,2,2)="05","전라",MID(K2706,2,2)="06","전라",MID(K2706,2,2)="07","경북",MID(K2706,2,2)="08","경남",MID(K2706,2,2)="09","강원",MID(K2706,2,2)="10","제주",TRUE,"국외")</f>
        <v>경남</v>
      </c>
    </row>
    <row r="2707" spans="1:12" ht="17.25" thickBot="1">
      <c r="A2707" s="3" t="s">
        <v>2682</v>
      </c>
      <c r="B2707" s="3" t="s">
        <v>93</v>
      </c>
      <c r="C2707" s="3" t="s">
        <v>329</v>
      </c>
      <c r="D2707" s="4" t="s">
        <v>254</v>
      </c>
      <c r="E2707" s="4" t="s">
        <v>9</v>
      </c>
      <c r="F2707" s="4">
        <v>2000</v>
      </c>
      <c r="G2707" s="9"/>
      <c r="H2707" s="4" t="s">
        <v>9</v>
      </c>
      <c r="I2707" s="8">
        <v>-0.5</v>
      </c>
      <c r="J2707" s="3">
        <f>2117</f>
        <v>2117</v>
      </c>
      <c r="K2707" s="3">
        <v>50805</v>
      </c>
      <c r="L2707" s="17" t="str" cm="1">
        <f t="array" ref="L2707">_xlfn.IFS(MID(K2707,2,2)="01", "서울", MID(K2707,2,2)="02","경기",MID(K2707,2,2)="03","충청",MID(K2707,2,2)="04","충청",MID(K2707,2,2)="05","전라",MID(K2707,2,2)="06","전라",MID(K2707,2,2)="07","경북",MID(K2707,2,2)="08","경남",MID(K2707,2,2)="09","강원",MID(K2707,2,2)="10","제주",TRUE,"국외")</f>
        <v>경남</v>
      </c>
    </row>
    <row r="2708" spans="1:12" ht="17.25" thickBot="1">
      <c r="A2708" s="3" t="s">
        <v>2683</v>
      </c>
      <c r="B2708" s="3" t="s">
        <v>2139</v>
      </c>
      <c r="C2708" s="3" t="s">
        <v>99</v>
      </c>
      <c r="D2708" s="4" t="s">
        <v>254</v>
      </c>
      <c r="E2708" s="4" t="s">
        <v>2661</v>
      </c>
      <c r="F2708" s="4">
        <v>2003</v>
      </c>
      <c r="G2708" s="9"/>
      <c r="H2708" s="4" t="s">
        <v>607</v>
      </c>
      <c r="I2708" s="8">
        <v>-1.6</v>
      </c>
      <c r="J2708" s="3">
        <v>10010</v>
      </c>
      <c r="K2708" s="3">
        <v>50104</v>
      </c>
      <c r="L2708" s="17" t="str" cm="1">
        <f t="array" ref="L2708">_xlfn.IFS(MID(K2708,2,2)="01", "서울", MID(K2708,2,2)="02","경기",MID(K2708,2,2)="03","충청",MID(K2708,2,2)="04","충청",MID(K2708,2,2)="05","전라",MID(K2708,2,2)="06","전라",MID(K2708,2,2)="07","경북",MID(K2708,2,2)="08","경남",MID(K2708,2,2)="09","강원",MID(K2708,2,2)="10","제주",TRUE,"국외")</f>
        <v>서울</v>
      </c>
    </row>
    <row r="2709" spans="1:12" ht="17.25" thickBot="1">
      <c r="A2709" s="3" t="s">
        <v>2018</v>
      </c>
      <c r="B2709" s="3" t="s">
        <v>1784</v>
      </c>
      <c r="C2709" s="3" t="s">
        <v>83</v>
      </c>
      <c r="D2709" s="4" t="s">
        <v>254</v>
      </c>
      <c r="E2709" s="4" t="s">
        <v>2164</v>
      </c>
      <c r="F2709" s="4">
        <v>1999</v>
      </c>
      <c r="G2709" s="9"/>
      <c r="H2709" s="4" t="s">
        <v>2164</v>
      </c>
      <c r="I2709" s="8">
        <v>-0.6</v>
      </c>
      <c r="J2709" s="3">
        <f>2102</f>
        <v>2102</v>
      </c>
      <c r="K2709" s="3">
        <v>50812</v>
      </c>
      <c r="L2709" s="17" t="str" cm="1">
        <f t="array" ref="L2709">_xlfn.IFS(MID(K2709,2,2)="01", "서울", MID(K2709,2,2)="02","경기",MID(K2709,2,2)="03","충청",MID(K2709,2,2)="04","충청",MID(K2709,2,2)="05","전라",MID(K2709,2,2)="06","전라",MID(K2709,2,2)="07","경북",MID(K2709,2,2)="08","경남",MID(K2709,2,2)="09","강원",MID(K2709,2,2)="10","제주",TRUE,"국외")</f>
        <v>경남</v>
      </c>
    </row>
    <row r="2710" spans="1:12" ht="17.25" thickBot="1">
      <c r="A2710" s="3" t="s">
        <v>2616</v>
      </c>
      <c r="B2710" s="3" t="s">
        <v>8</v>
      </c>
      <c r="C2710" s="3" t="s">
        <v>99</v>
      </c>
      <c r="D2710" s="4" t="s">
        <v>254</v>
      </c>
      <c r="E2710" s="4" t="s">
        <v>26</v>
      </c>
      <c r="F2710" s="4">
        <v>2003</v>
      </c>
      <c r="G2710" s="9"/>
      <c r="H2710" s="4" t="s">
        <v>26</v>
      </c>
      <c r="I2710" s="8">
        <v>36.700000000000003</v>
      </c>
      <c r="J2710" s="3">
        <v>10225</v>
      </c>
      <c r="K2710" s="3">
        <v>50116</v>
      </c>
      <c r="L2710" s="17" t="str" cm="1">
        <f t="array" ref="L2710">_xlfn.IFS(MID(K2710,2,2)="01", "서울", MID(K2710,2,2)="02","경기",MID(K2710,2,2)="03","충청",MID(K2710,2,2)="04","충청",MID(K2710,2,2)="05","전라",MID(K2710,2,2)="06","전라",MID(K2710,2,2)="07","경북",MID(K2710,2,2)="08","경남",MID(K2710,2,2)="09","강원",MID(K2710,2,2)="10","제주",TRUE,"국외")</f>
        <v>서울</v>
      </c>
    </row>
    <row r="2711" spans="1:12" ht="17.25" thickBot="1">
      <c r="A2711" s="3" t="s">
        <v>2684</v>
      </c>
      <c r="B2711" s="3" t="s">
        <v>2491</v>
      </c>
      <c r="C2711" s="3" t="s">
        <v>133</v>
      </c>
      <c r="D2711" s="4" t="s">
        <v>254</v>
      </c>
      <c r="E2711" s="4" t="s">
        <v>23</v>
      </c>
      <c r="F2711" s="4">
        <v>2003</v>
      </c>
      <c r="G2711" s="9"/>
      <c r="H2711" s="4" t="s">
        <v>23</v>
      </c>
      <c r="I2711" s="8">
        <v>2.2000000000000002</v>
      </c>
      <c r="J2711" s="3">
        <v>10372</v>
      </c>
      <c r="K2711" s="3">
        <v>50608</v>
      </c>
      <c r="L2711" s="17" t="str" cm="1">
        <f t="array" ref="L2711">_xlfn.IFS(MID(K2711,2,2)="01", "서울", MID(K2711,2,2)="02","경기",MID(K2711,2,2)="03","충청",MID(K2711,2,2)="04","충청",MID(K2711,2,2)="05","전라",MID(K2711,2,2)="06","전라",MID(K2711,2,2)="07","경북",MID(K2711,2,2)="08","경남",MID(K2711,2,2)="09","강원",MID(K2711,2,2)="10","제주",TRUE,"국외")</f>
        <v>전라</v>
      </c>
    </row>
    <row r="2712" spans="1:12" ht="17.25" thickBot="1">
      <c r="A2712" s="3" t="s">
        <v>2685</v>
      </c>
      <c r="B2712" s="3" t="s">
        <v>332</v>
      </c>
      <c r="C2712" s="3" t="s">
        <v>174</v>
      </c>
      <c r="D2712" s="4" t="s">
        <v>254</v>
      </c>
      <c r="E2712" s="4" t="s">
        <v>2523</v>
      </c>
      <c r="F2712" s="4">
        <v>2003</v>
      </c>
      <c r="G2712" s="9"/>
      <c r="H2712" s="4" t="s">
        <v>6</v>
      </c>
      <c r="I2712" s="8">
        <v>10.1</v>
      </c>
      <c r="J2712" s="3">
        <v>10005</v>
      </c>
      <c r="K2712" s="3">
        <v>50705</v>
      </c>
      <c r="L2712" s="17" t="str" cm="1">
        <f t="array" ref="L2712">_xlfn.IFS(MID(K2712,2,2)="01", "서울", MID(K2712,2,2)="02","경기",MID(K2712,2,2)="03","충청",MID(K2712,2,2)="04","충청",MID(K2712,2,2)="05","전라",MID(K2712,2,2)="06","전라",MID(K2712,2,2)="07","경북",MID(K2712,2,2)="08","경남",MID(K2712,2,2)="09","강원",MID(K2712,2,2)="10","제주",TRUE,"국외")</f>
        <v>경북</v>
      </c>
    </row>
    <row r="2713" spans="1:12" ht="17.25" thickBot="1">
      <c r="A2713" s="3" t="s">
        <v>1379</v>
      </c>
      <c r="B2713" s="3" t="s">
        <v>40</v>
      </c>
      <c r="C2713" s="3" t="s">
        <v>549</v>
      </c>
      <c r="D2713" s="4" t="s">
        <v>254</v>
      </c>
      <c r="E2713" s="4" t="s">
        <v>2164</v>
      </c>
      <c r="F2713" s="4">
        <v>2003</v>
      </c>
      <c r="G2713" s="9"/>
      <c r="H2713" s="4" t="s">
        <v>2164</v>
      </c>
      <c r="I2713" s="8">
        <v>-0.5</v>
      </c>
      <c r="J2713" s="3">
        <f>2299</f>
        <v>2299</v>
      </c>
      <c r="K2713" s="3">
        <v>50108</v>
      </c>
      <c r="L2713" s="17" t="str" cm="1">
        <f t="array" ref="L2713">_xlfn.IFS(MID(K2713,2,2)="01", "서울", MID(K2713,2,2)="02","경기",MID(K2713,2,2)="03","충청",MID(K2713,2,2)="04","충청",MID(K2713,2,2)="05","전라",MID(K2713,2,2)="06","전라",MID(K2713,2,2)="07","경북",MID(K2713,2,2)="08","경남",MID(K2713,2,2)="09","강원",MID(K2713,2,2)="10","제주",TRUE,"국외")</f>
        <v>서울</v>
      </c>
    </row>
    <row r="2714" spans="1:12" ht="17.25" thickBot="1">
      <c r="A2714" s="3" t="s">
        <v>2686</v>
      </c>
      <c r="B2714" s="3" t="s">
        <v>22</v>
      </c>
      <c r="C2714" s="3" t="s">
        <v>221</v>
      </c>
      <c r="D2714" s="4" t="s">
        <v>254</v>
      </c>
      <c r="E2714" s="4" t="s">
        <v>20</v>
      </c>
      <c r="F2714" s="4">
        <v>2003</v>
      </c>
      <c r="G2714" s="9"/>
      <c r="H2714" s="4" t="s">
        <v>20</v>
      </c>
      <c r="I2714" s="8">
        <v>7.6</v>
      </c>
      <c r="J2714" s="3">
        <v>10532</v>
      </c>
      <c r="K2714" s="3">
        <v>50209</v>
      </c>
      <c r="L2714" s="17" t="str" cm="1">
        <f t="array" ref="L2714">_xlfn.IFS(MID(K2714,2,2)="01", "서울", MID(K2714,2,2)="02","경기",MID(K2714,2,2)="03","충청",MID(K2714,2,2)="04","충청",MID(K2714,2,2)="05","전라",MID(K2714,2,2)="06","전라",MID(K2714,2,2)="07","경북",MID(K2714,2,2)="08","경남",MID(K2714,2,2)="09","강원",MID(K2714,2,2)="10","제주",TRUE,"국외")</f>
        <v>경기</v>
      </c>
    </row>
    <row r="2715" spans="1:12" ht="17.25" thickBot="1">
      <c r="A2715" s="3" t="s">
        <v>2687</v>
      </c>
      <c r="B2715" s="3" t="s">
        <v>40</v>
      </c>
      <c r="C2715" s="3" t="s">
        <v>45</v>
      </c>
      <c r="D2715" s="4" t="s">
        <v>254</v>
      </c>
      <c r="E2715" s="4" t="s">
        <v>9</v>
      </c>
      <c r="F2715" s="4">
        <v>2003</v>
      </c>
      <c r="G2715" s="9"/>
      <c r="H2715" s="4" t="s">
        <v>9</v>
      </c>
      <c r="I2715" s="8">
        <v>-0.3</v>
      </c>
      <c r="J2715" s="3">
        <f>2293</f>
        <v>2293</v>
      </c>
      <c r="K2715" s="3">
        <v>50108</v>
      </c>
      <c r="L2715" s="17" t="str" cm="1">
        <f t="array" ref="L2715">_xlfn.IFS(MID(K2715,2,2)="01", "서울", MID(K2715,2,2)="02","경기",MID(K2715,2,2)="03","충청",MID(K2715,2,2)="04","충청",MID(K2715,2,2)="05","전라",MID(K2715,2,2)="06","전라",MID(K2715,2,2)="07","경북",MID(K2715,2,2)="08","경남",MID(K2715,2,2)="09","강원",MID(K2715,2,2)="10","제주",TRUE,"국외")</f>
        <v>서울</v>
      </c>
    </row>
    <row r="2716" spans="1:12" ht="17.25" thickBot="1">
      <c r="A2716" s="3" t="s">
        <v>2688</v>
      </c>
      <c r="B2716" s="3" t="s">
        <v>66</v>
      </c>
      <c r="C2716" s="3" t="s">
        <v>218</v>
      </c>
      <c r="D2716" s="4" t="s">
        <v>254</v>
      </c>
      <c r="E2716" s="4" t="s">
        <v>3</v>
      </c>
      <c r="F2716" s="4">
        <v>2003</v>
      </c>
      <c r="G2716" s="9"/>
      <c r="H2716" s="4" t="s">
        <v>3</v>
      </c>
      <c r="I2716" s="8">
        <v>9.5</v>
      </c>
      <c r="J2716" s="3">
        <v>10663</v>
      </c>
      <c r="K2716" s="3">
        <v>50110</v>
      </c>
      <c r="L2716" s="17" t="str" cm="1">
        <f t="array" ref="L2716">_xlfn.IFS(MID(K2716,2,2)="01", "서울", MID(K2716,2,2)="02","경기",MID(K2716,2,2)="03","충청",MID(K2716,2,2)="04","충청",MID(K2716,2,2)="05","전라",MID(K2716,2,2)="06","전라",MID(K2716,2,2)="07","경북",MID(K2716,2,2)="08","경남",MID(K2716,2,2)="09","강원",MID(K2716,2,2)="10","제주",TRUE,"국외")</f>
        <v>서울</v>
      </c>
    </row>
    <row r="2717" spans="1:12" ht="17.25" thickBot="1">
      <c r="A2717" s="3" t="s">
        <v>2441</v>
      </c>
      <c r="B2717" s="3" t="s">
        <v>36</v>
      </c>
      <c r="C2717" s="3" t="s">
        <v>90</v>
      </c>
      <c r="D2717" s="4" t="s">
        <v>254</v>
      </c>
      <c r="E2717" s="4" t="s">
        <v>20</v>
      </c>
      <c r="F2717" s="4">
        <v>2004</v>
      </c>
      <c r="G2717" s="9"/>
      <c r="H2717" s="4" t="s">
        <v>3</v>
      </c>
      <c r="I2717" s="8">
        <v>-0.6</v>
      </c>
      <c r="J2717" s="3">
        <v>10605</v>
      </c>
      <c r="K2717" s="3">
        <v>50402</v>
      </c>
      <c r="L2717" s="17" t="str" cm="1">
        <f t="array" ref="L2717">_xlfn.IFS(MID(K2717,2,2)="01", "서울", MID(K2717,2,2)="02","경기",MID(K2717,2,2)="03","충청",MID(K2717,2,2)="04","충청",MID(K2717,2,2)="05","전라",MID(K2717,2,2)="06","전라",MID(K2717,2,2)="07","경북",MID(K2717,2,2)="08","경남",MID(K2717,2,2)="09","강원",MID(K2717,2,2)="10","제주",TRUE,"국외")</f>
        <v>충청</v>
      </c>
    </row>
    <row r="2718" spans="1:12" ht="17.25" thickBot="1">
      <c r="A2718" s="3" t="s">
        <v>2689</v>
      </c>
      <c r="B2718" s="3" t="s">
        <v>1497</v>
      </c>
      <c r="C2718" s="3" t="s">
        <v>538</v>
      </c>
      <c r="D2718" s="4" t="s">
        <v>254</v>
      </c>
      <c r="E2718" s="4" t="s">
        <v>26</v>
      </c>
      <c r="F2718" s="4">
        <v>2003</v>
      </c>
      <c r="G2718" s="9"/>
      <c r="H2718" s="4" t="s">
        <v>26</v>
      </c>
      <c r="I2718" s="8">
        <v>-0.3</v>
      </c>
      <c r="J2718" s="3">
        <f>2279</f>
        <v>2279</v>
      </c>
      <c r="K2718" s="3">
        <v>50112</v>
      </c>
      <c r="L2718" s="17" t="str" cm="1">
        <f t="array" ref="L2718">_xlfn.IFS(MID(K2718,2,2)="01", "서울", MID(K2718,2,2)="02","경기",MID(K2718,2,2)="03","충청",MID(K2718,2,2)="04","충청",MID(K2718,2,2)="05","전라",MID(K2718,2,2)="06","전라",MID(K2718,2,2)="07","경북",MID(K2718,2,2)="08","경남",MID(K2718,2,2)="09","강원",MID(K2718,2,2)="10","제주",TRUE,"국외")</f>
        <v>서울</v>
      </c>
    </row>
    <row r="2719" spans="1:12" ht="17.25" thickBot="1">
      <c r="A2719" s="3" t="s">
        <v>2690</v>
      </c>
      <c r="B2719" s="3" t="s">
        <v>52</v>
      </c>
      <c r="C2719" s="3" t="s">
        <v>119</v>
      </c>
      <c r="D2719" s="4" t="s">
        <v>254</v>
      </c>
      <c r="E2719" s="4" t="s">
        <v>23</v>
      </c>
      <c r="F2719" s="4">
        <v>2005</v>
      </c>
      <c r="G2719" s="9"/>
      <c r="H2719" s="4" t="s">
        <v>23</v>
      </c>
      <c r="I2719" s="8">
        <v>0</v>
      </c>
      <c r="J2719" s="3">
        <f>2351</f>
        <v>2351</v>
      </c>
      <c r="K2719" s="3">
        <v>50803</v>
      </c>
      <c r="L2719" s="17" t="str" cm="1">
        <f t="array" ref="L2719">_xlfn.IFS(MID(K2719,2,2)="01", "서울", MID(K2719,2,2)="02","경기",MID(K2719,2,2)="03","충청",MID(K2719,2,2)="04","충청",MID(K2719,2,2)="05","전라",MID(K2719,2,2)="06","전라",MID(K2719,2,2)="07","경북",MID(K2719,2,2)="08","경남",MID(K2719,2,2)="09","강원",MID(K2719,2,2)="10","제주",TRUE,"국외")</f>
        <v>경남</v>
      </c>
    </row>
    <row r="2720" spans="1:12" ht="17.25" thickBot="1">
      <c r="A2720" s="3" t="s">
        <v>2691</v>
      </c>
      <c r="B2720" s="3" t="s">
        <v>107</v>
      </c>
      <c r="C2720" s="3" t="s">
        <v>172</v>
      </c>
      <c r="D2720" s="4" t="s">
        <v>254</v>
      </c>
      <c r="E2720" s="4" t="s">
        <v>2523</v>
      </c>
      <c r="F2720" s="4">
        <v>1999</v>
      </c>
      <c r="G2720" s="8">
        <v>0</v>
      </c>
      <c r="H2720" s="4" t="s">
        <v>6</v>
      </c>
      <c r="I2720" s="8">
        <v>-1.3</v>
      </c>
      <c r="J2720" s="3">
        <f>2063</f>
        <v>2063</v>
      </c>
      <c r="K2720" s="3">
        <v>50602</v>
      </c>
      <c r="L2720" s="17" t="str" cm="1">
        <f t="array" ref="L2720">_xlfn.IFS(MID(K2720,2,2)="01", "서울", MID(K2720,2,2)="02","경기",MID(K2720,2,2)="03","충청",MID(K2720,2,2)="04","충청",MID(K2720,2,2)="05","전라",MID(K2720,2,2)="06","전라",MID(K2720,2,2)="07","경북",MID(K2720,2,2)="08","경남",MID(K2720,2,2)="09","강원",MID(K2720,2,2)="10","제주",TRUE,"국외")</f>
        <v>전라</v>
      </c>
    </row>
    <row r="2721" spans="1:12" ht="17.25" thickBot="1">
      <c r="A2721" s="3" t="s">
        <v>2436</v>
      </c>
      <c r="B2721" s="3" t="s">
        <v>42</v>
      </c>
      <c r="C2721" s="3" t="s">
        <v>172</v>
      </c>
      <c r="D2721" s="4" t="s">
        <v>254</v>
      </c>
      <c r="E2721" s="4" t="s">
        <v>20</v>
      </c>
      <c r="F2721" s="4">
        <v>2003</v>
      </c>
      <c r="G2721" s="9"/>
      <c r="H2721" s="4" t="s">
        <v>607</v>
      </c>
      <c r="I2721" s="8">
        <v>-0.2</v>
      </c>
      <c r="J2721" s="3">
        <v>11457</v>
      </c>
      <c r="K2721" s="3">
        <v>50502</v>
      </c>
      <c r="L2721" s="17" t="str" cm="1">
        <f t="array" ref="L2721">_xlfn.IFS(MID(K2721,2,2)="01", "서울", MID(K2721,2,2)="02","경기",MID(K2721,2,2)="03","충청",MID(K2721,2,2)="04","충청",MID(K2721,2,2)="05","전라",MID(K2721,2,2)="06","전라",MID(K2721,2,2)="07","경북",MID(K2721,2,2)="08","경남",MID(K2721,2,2)="09","강원",MID(K2721,2,2)="10","제주",TRUE,"국외")</f>
        <v>전라</v>
      </c>
    </row>
    <row r="2722" spans="1:12" ht="17.25" thickBot="1">
      <c r="A2722" s="3" t="s">
        <v>2692</v>
      </c>
      <c r="B2722" s="3" t="s">
        <v>81</v>
      </c>
      <c r="C2722" s="3" t="s">
        <v>208</v>
      </c>
      <c r="D2722" s="4" t="s">
        <v>254</v>
      </c>
      <c r="E2722" s="4" t="s">
        <v>26</v>
      </c>
      <c r="F2722" s="4">
        <v>2004</v>
      </c>
      <c r="G2722" s="9"/>
      <c r="H2722" s="4" t="s">
        <v>9</v>
      </c>
      <c r="I2722" s="8">
        <v>6</v>
      </c>
      <c r="J2722" s="3">
        <v>10201</v>
      </c>
      <c r="K2722" s="3">
        <v>50105</v>
      </c>
      <c r="L2722" s="17" t="str" cm="1">
        <f t="array" ref="L2722">_xlfn.IFS(MID(K2722,2,2)="01", "서울", MID(K2722,2,2)="02","경기",MID(K2722,2,2)="03","충청",MID(K2722,2,2)="04","충청",MID(K2722,2,2)="05","전라",MID(K2722,2,2)="06","전라",MID(K2722,2,2)="07","경북",MID(K2722,2,2)="08","경남",MID(K2722,2,2)="09","강원",MID(K2722,2,2)="10","제주",TRUE,"국외")</f>
        <v>서울</v>
      </c>
    </row>
    <row r="2723" spans="1:12" ht="17.25" thickBot="1">
      <c r="A2723" s="3" t="s">
        <v>2693</v>
      </c>
      <c r="B2723" s="3" t="s">
        <v>5</v>
      </c>
      <c r="C2723" s="3" t="s">
        <v>172</v>
      </c>
      <c r="D2723" s="4" t="s">
        <v>254</v>
      </c>
      <c r="E2723" s="4" t="s">
        <v>9</v>
      </c>
      <c r="F2723" s="4">
        <v>1999</v>
      </c>
      <c r="G2723" s="8">
        <v>0.3</v>
      </c>
      <c r="H2723" s="4" t="s">
        <v>9</v>
      </c>
      <c r="I2723" s="8">
        <v>18.100000000000001</v>
      </c>
      <c r="J2723" s="3">
        <v>10254</v>
      </c>
      <c r="K2723" s="3">
        <v>50114</v>
      </c>
      <c r="L2723" s="17" t="str" cm="1">
        <f t="array" ref="L2723">_xlfn.IFS(MID(K2723,2,2)="01", "서울", MID(K2723,2,2)="02","경기",MID(K2723,2,2)="03","충청",MID(K2723,2,2)="04","충청",MID(K2723,2,2)="05","전라",MID(K2723,2,2)="06","전라",MID(K2723,2,2)="07","경북",MID(K2723,2,2)="08","경남",MID(K2723,2,2)="09","강원",MID(K2723,2,2)="10","제주",TRUE,"국외")</f>
        <v>서울</v>
      </c>
    </row>
    <row r="2724" spans="1:12" ht="17.25" thickBot="1">
      <c r="A2724" s="3" t="s">
        <v>2109</v>
      </c>
      <c r="B2724" s="3" t="s">
        <v>332</v>
      </c>
      <c r="C2724" s="3" t="s">
        <v>174</v>
      </c>
      <c r="D2724" s="4" t="s">
        <v>254</v>
      </c>
      <c r="E2724" s="4" t="s">
        <v>2661</v>
      </c>
      <c r="F2724" s="4">
        <v>2005</v>
      </c>
      <c r="G2724" s="9"/>
      <c r="H2724" s="4" t="s">
        <v>607</v>
      </c>
      <c r="I2724" s="8">
        <v>7</v>
      </c>
      <c r="J2724" s="3">
        <v>10634</v>
      </c>
      <c r="K2724" s="3">
        <v>50705</v>
      </c>
      <c r="L2724" s="17" t="str" cm="1">
        <f t="array" ref="L2724">_xlfn.IFS(MID(K2724,2,2)="01", "서울", MID(K2724,2,2)="02","경기",MID(K2724,2,2)="03","충청",MID(K2724,2,2)="04","충청",MID(K2724,2,2)="05","전라",MID(K2724,2,2)="06","전라",MID(K2724,2,2)="07","경북",MID(K2724,2,2)="08","경남",MID(K2724,2,2)="09","강원",MID(K2724,2,2)="10","제주",TRUE,"국외")</f>
        <v>경북</v>
      </c>
    </row>
    <row r="2725" spans="1:12" ht="17.25" thickBot="1">
      <c r="A2725" s="3" t="s">
        <v>2694</v>
      </c>
      <c r="B2725" s="3" t="s">
        <v>241</v>
      </c>
      <c r="C2725" s="3" t="s">
        <v>549</v>
      </c>
      <c r="D2725" s="4" t="s">
        <v>254</v>
      </c>
      <c r="E2725" s="4" t="s">
        <v>9</v>
      </c>
      <c r="F2725" s="4">
        <v>2001</v>
      </c>
      <c r="G2725" s="9"/>
      <c r="H2725" s="4" t="s">
        <v>9</v>
      </c>
      <c r="I2725" s="8">
        <v>0.3</v>
      </c>
      <c r="J2725" s="3">
        <f>2216</f>
        <v>2216</v>
      </c>
      <c r="K2725" s="3">
        <v>50202</v>
      </c>
      <c r="L2725" s="17" t="str" cm="1">
        <f t="array" ref="L2725">_xlfn.IFS(MID(K2725,2,2)="01", "서울", MID(K2725,2,2)="02","경기",MID(K2725,2,2)="03","충청",MID(K2725,2,2)="04","충청",MID(K2725,2,2)="05","전라",MID(K2725,2,2)="06","전라",MID(K2725,2,2)="07","경북",MID(K2725,2,2)="08","경남",MID(K2725,2,2)="09","강원",MID(K2725,2,2)="10","제주",TRUE,"국외")</f>
        <v>경기</v>
      </c>
    </row>
    <row r="2726" spans="1:12" ht="17.25" thickBot="1">
      <c r="A2726" s="3" t="s">
        <v>1354</v>
      </c>
      <c r="B2726" s="3" t="s">
        <v>66</v>
      </c>
      <c r="C2726" s="3" t="s">
        <v>172</v>
      </c>
      <c r="D2726" s="4" t="s">
        <v>254</v>
      </c>
      <c r="E2726" s="4" t="s">
        <v>2523</v>
      </c>
      <c r="F2726" s="4">
        <v>1999</v>
      </c>
      <c r="G2726" s="8">
        <v>-0.1</v>
      </c>
      <c r="H2726" s="4" t="s">
        <v>2523</v>
      </c>
      <c r="I2726" s="8">
        <v>0</v>
      </c>
      <c r="J2726" s="3">
        <f>2064</f>
        <v>2064</v>
      </c>
      <c r="K2726" s="3">
        <v>50110</v>
      </c>
      <c r="L2726" s="17" t="str" cm="1">
        <f t="array" ref="L2726">_xlfn.IFS(MID(K2726,2,2)="01", "서울", MID(K2726,2,2)="02","경기",MID(K2726,2,2)="03","충청",MID(K2726,2,2)="04","충청",MID(K2726,2,2)="05","전라",MID(K2726,2,2)="06","전라",MID(K2726,2,2)="07","경북",MID(K2726,2,2)="08","경남",MID(K2726,2,2)="09","강원",MID(K2726,2,2)="10","제주",TRUE,"국외")</f>
        <v>서울</v>
      </c>
    </row>
    <row r="2727" spans="1:12" ht="17.25" thickBot="1">
      <c r="A2727" s="3" t="s">
        <v>2695</v>
      </c>
      <c r="B2727" s="3" t="s">
        <v>2524</v>
      </c>
      <c r="C2727" s="3" t="s">
        <v>45</v>
      </c>
      <c r="D2727" s="4" t="s">
        <v>254</v>
      </c>
      <c r="E2727" s="4" t="s">
        <v>2164</v>
      </c>
      <c r="F2727" s="4">
        <v>2007</v>
      </c>
      <c r="G2727" s="9"/>
      <c r="H2727" s="4" t="s">
        <v>18</v>
      </c>
      <c r="I2727" s="8">
        <v>0.5</v>
      </c>
      <c r="J2727" s="3">
        <v>10395</v>
      </c>
      <c r="K2727" s="3">
        <v>50711</v>
      </c>
      <c r="L2727" s="17" t="str" cm="1">
        <f t="array" ref="L2727">_xlfn.IFS(MID(K2727,2,2)="01", "서울", MID(K2727,2,2)="02","경기",MID(K2727,2,2)="03","충청",MID(K2727,2,2)="04","충청",MID(K2727,2,2)="05","전라",MID(K2727,2,2)="06","전라",MID(K2727,2,2)="07","경북",MID(K2727,2,2)="08","경남",MID(K2727,2,2)="09","강원",MID(K2727,2,2)="10","제주",TRUE,"국외")</f>
        <v>경북</v>
      </c>
    </row>
    <row r="2728" spans="1:12" ht="17.25" thickBot="1">
      <c r="A2728" s="3" t="s">
        <v>2696</v>
      </c>
      <c r="B2728" s="3" t="s">
        <v>36</v>
      </c>
      <c r="C2728" s="3" t="s">
        <v>133</v>
      </c>
      <c r="D2728" s="4" t="s">
        <v>254</v>
      </c>
      <c r="E2728" s="4" t="s">
        <v>26</v>
      </c>
      <c r="F2728" s="4">
        <v>2003</v>
      </c>
      <c r="G2728" s="9"/>
      <c r="H2728" s="4" t="s">
        <v>26</v>
      </c>
      <c r="I2728" s="8">
        <v>-0.1</v>
      </c>
      <c r="J2728" s="3">
        <f>2280</f>
        <v>2280</v>
      </c>
      <c r="K2728" s="3">
        <v>50402</v>
      </c>
      <c r="L2728" s="17" t="str" cm="1">
        <f t="array" ref="L2728">_xlfn.IFS(MID(K2728,2,2)="01", "서울", MID(K2728,2,2)="02","경기",MID(K2728,2,2)="03","충청",MID(K2728,2,2)="04","충청",MID(K2728,2,2)="05","전라",MID(K2728,2,2)="06","전라",MID(K2728,2,2)="07","경북",MID(K2728,2,2)="08","경남",MID(K2728,2,2)="09","강원",MID(K2728,2,2)="10","제주",TRUE,"국외")</f>
        <v>충청</v>
      </c>
    </row>
    <row r="2729" spans="1:12" ht="17.25" thickBot="1">
      <c r="A2729" s="3" t="s">
        <v>2697</v>
      </c>
      <c r="B2729" s="3" t="s">
        <v>1791</v>
      </c>
      <c r="C2729" s="3" t="s">
        <v>221</v>
      </c>
      <c r="D2729" s="4" t="s">
        <v>254</v>
      </c>
      <c r="E2729" s="4" t="s">
        <v>2523</v>
      </c>
      <c r="F2729" s="4">
        <v>2003</v>
      </c>
      <c r="G2729" s="9"/>
      <c r="H2729" s="4" t="s">
        <v>6</v>
      </c>
      <c r="I2729" s="8">
        <v>-0.2</v>
      </c>
      <c r="J2729" s="3">
        <f>2288</f>
        <v>2288</v>
      </c>
      <c r="K2729" s="3">
        <v>50303</v>
      </c>
      <c r="L2729" s="17" t="str" cm="1">
        <f t="array" ref="L2729">_xlfn.IFS(MID(K2729,2,2)="01", "서울", MID(K2729,2,2)="02","경기",MID(K2729,2,2)="03","충청",MID(K2729,2,2)="04","충청",MID(K2729,2,2)="05","전라",MID(K2729,2,2)="06","전라",MID(K2729,2,2)="07","경북",MID(K2729,2,2)="08","경남",MID(K2729,2,2)="09","강원",MID(K2729,2,2)="10","제주",TRUE,"국외")</f>
        <v>충청</v>
      </c>
    </row>
    <row r="2730" spans="1:12" ht="17.25" thickBot="1">
      <c r="A2730" s="3" t="s">
        <v>651</v>
      </c>
      <c r="B2730" s="3" t="s">
        <v>107</v>
      </c>
      <c r="C2730" s="3" t="s">
        <v>221</v>
      </c>
      <c r="D2730" s="4" t="s">
        <v>254</v>
      </c>
      <c r="E2730" s="4" t="s">
        <v>26</v>
      </c>
      <c r="F2730" s="4">
        <v>2001</v>
      </c>
      <c r="G2730" s="9"/>
      <c r="H2730" s="4" t="s">
        <v>26</v>
      </c>
      <c r="I2730" s="8">
        <v>-0.2</v>
      </c>
      <c r="J2730" s="3">
        <f>2167</f>
        <v>2167</v>
      </c>
      <c r="K2730" s="3">
        <v>50602</v>
      </c>
      <c r="L2730" s="17" t="str" cm="1">
        <f t="array" ref="L2730">_xlfn.IFS(MID(K2730,2,2)="01", "서울", MID(K2730,2,2)="02","경기",MID(K2730,2,2)="03","충청",MID(K2730,2,2)="04","충청",MID(K2730,2,2)="05","전라",MID(K2730,2,2)="06","전라",MID(K2730,2,2)="07","경북",MID(K2730,2,2)="08","경남",MID(K2730,2,2)="09","강원",MID(K2730,2,2)="10","제주",TRUE,"국외")</f>
        <v>전라</v>
      </c>
    </row>
    <row r="2731" spans="1:12" ht="17.25" thickBot="1">
      <c r="A2731" s="3" t="s">
        <v>2698</v>
      </c>
      <c r="B2731" s="3" t="s">
        <v>1</v>
      </c>
      <c r="C2731" s="3" t="s">
        <v>208</v>
      </c>
      <c r="D2731" s="4" t="s">
        <v>254</v>
      </c>
      <c r="E2731" s="4" t="s">
        <v>9</v>
      </c>
      <c r="F2731" s="4">
        <v>2004</v>
      </c>
      <c r="G2731" s="9"/>
      <c r="H2731" s="4" t="s">
        <v>9</v>
      </c>
      <c r="I2731" s="8">
        <v>-0.3</v>
      </c>
      <c r="J2731" s="3">
        <f>2318</f>
        <v>2318</v>
      </c>
      <c r="K2731" s="3">
        <v>50107</v>
      </c>
      <c r="L2731" s="17" t="str" cm="1">
        <f t="array" ref="L2731">_xlfn.IFS(MID(K2731,2,2)="01", "서울", MID(K2731,2,2)="02","경기",MID(K2731,2,2)="03","충청",MID(K2731,2,2)="04","충청",MID(K2731,2,2)="05","전라",MID(K2731,2,2)="06","전라",MID(K2731,2,2)="07","경북",MID(K2731,2,2)="08","경남",MID(K2731,2,2)="09","강원",MID(K2731,2,2)="10","제주",TRUE,"국외")</f>
        <v>서울</v>
      </c>
    </row>
    <row r="2732" spans="1:12" ht="17.25" thickBot="1">
      <c r="A2732" s="3" t="s">
        <v>2699</v>
      </c>
      <c r="B2732" s="3" t="s">
        <v>1497</v>
      </c>
      <c r="C2732" s="3" t="s">
        <v>45</v>
      </c>
      <c r="D2732" s="4" t="s">
        <v>254</v>
      </c>
      <c r="E2732" s="4" t="s">
        <v>2164</v>
      </c>
      <c r="F2732" s="4">
        <v>2001</v>
      </c>
      <c r="G2732" s="9"/>
      <c r="H2732" s="4" t="s">
        <v>18</v>
      </c>
      <c r="I2732" s="8">
        <v>23.9</v>
      </c>
      <c r="J2732" s="3">
        <v>10443</v>
      </c>
      <c r="K2732" s="3">
        <v>50112</v>
      </c>
      <c r="L2732" s="17" t="str" cm="1">
        <f t="array" ref="L2732">_xlfn.IFS(MID(K2732,2,2)="01", "서울", MID(K2732,2,2)="02","경기",MID(K2732,2,2)="03","충청",MID(K2732,2,2)="04","충청",MID(K2732,2,2)="05","전라",MID(K2732,2,2)="06","전라",MID(K2732,2,2)="07","경북",MID(K2732,2,2)="08","경남",MID(K2732,2,2)="09","강원",MID(K2732,2,2)="10","제주",TRUE,"국외")</f>
        <v>서울</v>
      </c>
    </row>
    <row r="2733" spans="1:12" ht="17.25" thickBot="1">
      <c r="A2733" s="3" t="s">
        <v>98</v>
      </c>
      <c r="B2733" s="3" t="s">
        <v>34</v>
      </c>
      <c r="C2733" s="3" t="s">
        <v>122</v>
      </c>
      <c r="D2733" s="4" t="s">
        <v>254</v>
      </c>
      <c r="E2733" s="4" t="s">
        <v>23</v>
      </c>
      <c r="F2733" s="4">
        <v>1999</v>
      </c>
      <c r="G2733" s="8">
        <v>0.5</v>
      </c>
      <c r="H2733" s="4" t="s">
        <v>23</v>
      </c>
      <c r="I2733" s="8">
        <v>0.5</v>
      </c>
      <c r="J2733" s="3">
        <f>2108</f>
        <v>2108</v>
      </c>
      <c r="K2733" s="3">
        <v>50701</v>
      </c>
      <c r="L2733" s="17" t="str" cm="1">
        <f t="array" ref="L2733">_xlfn.IFS(MID(K2733,2,2)="01", "서울", MID(K2733,2,2)="02","경기",MID(K2733,2,2)="03","충청",MID(K2733,2,2)="04","충청",MID(K2733,2,2)="05","전라",MID(K2733,2,2)="06","전라",MID(K2733,2,2)="07","경북",MID(K2733,2,2)="08","경남",MID(K2733,2,2)="09","강원",MID(K2733,2,2)="10","제주",TRUE,"국외")</f>
        <v>경북</v>
      </c>
    </row>
    <row r="2734" spans="1:12" ht="17.25" thickBot="1">
      <c r="A2734" s="3" t="s">
        <v>2700</v>
      </c>
      <c r="B2734" s="3" t="s">
        <v>241</v>
      </c>
      <c r="C2734" s="3" t="s">
        <v>1743</v>
      </c>
      <c r="D2734" s="4" t="s">
        <v>254</v>
      </c>
      <c r="E2734" s="4" t="s">
        <v>3</v>
      </c>
      <c r="F2734" s="4">
        <v>2003</v>
      </c>
      <c r="G2734" s="9"/>
      <c r="H2734" s="4" t="s">
        <v>3</v>
      </c>
      <c r="I2734" s="8">
        <v>-0.5</v>
      </c>
      <c r="J2734" s="3">
        <v>10573</v>
      </c>
      <c r="K2734" s="3">
        <v>50202</v>
      </c>
      <c r="L2734" s="17" t="str" cm="1">
        <f t="array" ref="L2734">_xlfn.IFS(MID(K2734,2,2)="01", "서울", MID(K2734,2,2)="02","경기",MID(K2734,2,2)="03","충청",MID(K2734,2,2)="04","충청",MID(K2734,2,2)="05","전라",MID(K2734,2,2)="06","전라",MID(K2734,2,2)="07","경북",MID(K2734,2,2)="08","경남",MID(K2734,2,2)="09","강원",MID(K2734,2,2)="10","제주",TRUE,"국외")</f>
        <v>경기</v>
      </c>
    </row>
    <row r="2735" spans="1:12" ht="17.25" thickBot="1">
      <c r="A2735" s="3" t="s">
        <v>2701</v>
      </c>
      <c r="B2735" s="3" t="s">
        <v>52</v>
      </c>
      <c r="C2735" s="3" t="s">
        <v>83</v>
      </c>
      <c r="D2735" s="4" t="s">
        <v>254</v>
      </c>
      <c r="E2735" s="4" t="s">
        <v>2164</v>
      </c>
      <c r="F2735" s="4"/>
      <c r="G2735" s="9"/>
      <c r="H2735" s="4"/>
      <c r="I2735" s="9"/>
      <c r="J2735" s="3">
        <v>11442</v>
      </c>
      <c r="K2735" s="3">
        <v>50803</v>
      </c>
      <c r="L2735" s="17" t="str" cm="1">
        <f t="array" ref="L2735">_xlfn.IFS(MID(K2735,2,2)="01", "서울", MID(K2735,2,2)="02","경기",MID(K2735,2,2)="03","충청",MID(K2735,2,2)="04","충청",MID(K2735,2,2)="05","전라",MID(K2735,2,2)="06","전라",MID(K2735,2,2)="07","경북",MID(K2735,2,2)="08","경남",MID(K2735,2,2)="09","강원",MID(K2735,2,2)="10","제주",TRUE,"국외")</f>
        <v>경남</v>
      </c>
    </row>
    <row r="2736" spans="1:12" ht="17.25" thickBot="1">
      <c r="A2736" s="3" t="s">
        <v>2237</v>
      </c>
      <c r="B2736" s="3" t="s">
        <v>107</v>
      </c>
      <c r="C2736" s="3" t="s">
        <v>221</v>
      </c>
      <c r="D2736" s="4" t="s">
        <v>1407</v>
      </c>
      <c r="E2736" s="4" t="s">
        <v>2661</v>
      </c>
      <c r="F2736" s="4">
        <v>1991</v>
      </c>
      <c r="G2736" s="8">
        <v>4.4000000000000004</v>
      </c>
      <c r="H2736" s="4" t="s">
        <v>2661</v>
      </c>
      <c r="I2736" s="8">
        <v>55.4</v>
      </c>
      <c r="J2736" s="3">
        <v>11474</v>
      </c>
      <c r="K2736" s="3">
        <v>50602</v>
      </c>
      <c r="L2736" s="17" t="str" cm="1">
        <f t="array" ref="L2736">_xlfn.IFS(MID(K2736,2,2)="01", "서울", MID(K2736,2,2)="02","경기",MID(K2736,2,2)="03","충청",MID(K2736,2,2)="04","충청",MID(K2736,2,2)="05","전라",MID(K2736,2,2)="06","전라",MID(K2736,2,2)="07","경북",MID(K2736,2,2)="08","경남",MID(K2736,2,2)="09","강원",MID(K2736,2,2)="10","제주",TRUE,"국외")</f>
        <v>전라</v>
      </c>
    </row>
    <row r="2737" spans="1:12" ht="17.25" thickBot="1">
      <c r="A2737" s="3" t="s">
        <v>2435</v>
      </c>
      <c r="B2737" s="3"/>
      <c r="C2737" s="3"/>
      <c r="D2737" s="4" t="s">
        <v>181</v>
      </c>
      <c r="E2737" s="4" t="s">
        <v>2164</v>
      </c>
      <c r="F2737" s="4">
        <v>1999</v>
      </c>
      <c r="G2737" s="8">
        <v>0</v>
      </c>
      <c r="H2737" s="4" t="s">
        <v>2164</v>
      </c>
      <c r="I2737" s="8">
        <v>0</v>
      </c>
      <c r="J2737" s="3">
        <f>2069</f>
        <v>2069</v>
      </c>
      <c r="K2737" s="3"/>
      <c r="L2737" s="17" t="str" cm="1">
        <f t="array" ref="L2737">_xlfn.IFS(MID(K2737,2,2)="01", "서울", MID(K2737,2,2)="02","경기",MID(K2737,2,2)="03","충청",MID(K2737,2,2)="04","충청",MID(K2737,2,2)="05","전라",MID(K2737,2,2)="06","전라",MID(K2737,2,2)="07","경북",MID(K2737,2,2)="08","경남",MID(K2737,2,2)="09","강원",MID(K2737,2,2)="10","제주",TRUE,"국외")</f>
        <v>국외</v>
      </c>
    </row>
    <row r="2738" spans="1:12" ht="17.25" thickBot="1">
      <c r="A2738" s="3" t="s">
        <v>2702</v>
      </c>
      <c r="B2738" s="3"/>
      <c r="C2738" s="3"/>
      <c r="D2738" s="4" t="s">
        <v>181</v>
      </c>
      <c r="E2738" s="4" t="s">
        <v>2164</v>
      </c>
      <c r="F2738" s="4">
        <v>1999</v>
      </c>
      <c r="G2738" s="8">
        <v>-0.3</v>
      </c>
      <c r="H2738" s="4" t="s">
        <v>2164</v>
      </c>
      <c r="I2738" s="8">
        <v>-0.3</v>
      </c>
      <c r="J2738" s="3">
        <f>2087</f>
        <v>2087</v>
      </c>
      <c r="K2738" s="3"/>
      <c r="L2738" s="17" t="str" cm="1">
        <f t="array" ref="L2738">_xlfn.IFS(MID(K2738,2,2)="01", "서울", MID(K2738,2,2)="02","경기",MID(K2738,2,2)="03","충청",MID(K2738,2,2)="04","충청",MID(K2738,2,2)="05","전라",MID(K2738,2,2)="06","전라",MID(K2738,2,2)="07","경북",MID(K2738,2,2)="08","경남",MID(K2738,2,2)="09","강원",MID(K2738,2,2)="10","제주",TRUE,"국외")</f>
        <v>국외</v>
      </c>
    </row>
    <row r="2739" spans="1:12" ht="17.25" thickBot="1">
      <c r="A2739" s="3" t="s">
        <v>2589</v>
      </c>
      <c r="B2739" s="3" t="s">
        <v>22</v>
      </c>
      <c r="C2739" s="3" t="s">
        <v>208</v>
      </c>
      <c r="D2739" s="4" t="s">
        <v>1777</v>
      </c>
      <c r="E2739" s="4" t="s">
        <v>9</v>
      </c>
      <c r="F2739" s="4">
        <v>2000</v>
      </c>
      <c r="G2739" s="9"/>
      <c r="H2739" s="4" t="s">
        <v>9</v>
      </c>
      <c r="I2739" s="8">
        <v>0</v>
      </c>
      <c r="J2739" s="3">
        <f>2112</f>
        <v>2112</v>
      </c>
      <c r="K2739" s="3">
        <v>50209</v>
      </c>
      <c r="L2739" s="17" t="str" cm="1">
        <f t="array" ref="L2739">_xlfn.IFS(MID(K2739,2,2)="01", "서울", MID(K2739,2,2)="02","경기",MID(K2739,2,2)="03","충청",MID(K2739,2,2)="04","충청",MID(K2739,2,2)="05","전라",MID(K2739,2,2)="06","전라",MID(K2739,2,2)="07","경북",MID(K2739,2,2)="08","경남",MID(K2739,2,2)="09","강원",MID(K2739,2,2)="10","제주",TRUE,"국외")</f>
        <v>경기</v>
      </c>
    </row>
    <row r="2740" spans="1:12" ht="17.25" thickBot="1">
      <c r="A2740" s="3" t="s">
        <v>2703</v>
      </c>
      <c r="B2740" s="3" t="s">
        <v>158</v>
      </c>
      <c r="C2740" s="3" t="s">
        <v>329</v>
      </c>
      <c r="D2740" s="4" t="s">
        <v>1777</v>
      </c>
      <c r="E2740" s="4" t="s">
        <v>9</v>
      </c>
      <c r="F2740" s="4">
        <v>2000</v>
      </c>
      <c r="G2740" s="9"/>
      <c r="H2740" s="4" t="s">
        <v>9</v>
      </c>
      <c r="I2740" s="8">
        <v>0</v>
      </c>
      <c r="J2740" s="3">
        <f>2133</f>
        <v>2133</v>
      </c>
      <c r="K2740" s="3">
        <v>50501</v>
      </c>
      <c r="L2740" s="17" t="str" cm="1">
        <f t="array" ref="L2740">_xlfn.IFS(MID(K2740,2,2)="01", "서울", MID(K2740,2,2)="02","경기",MID(K2740,2,2)="03","충청",MID(K2740,2,2)="04","충청",MID(K2740,2,2)="05","전라",MID(K2740,2,2)="06","전라",MID(K2740,2,2)="07","경북",MID(K2740,2,2)="08","경남",MID(K2740,2,2)="09","강원",MID(K2740,2,2)="10","제주",TRUE,"국외")</f>
        <v>전라</v>
      </c>
    </row>
    <row r="2741" spans="1:12" ht="17.25" thickBot="1">
      <c r="A2741" s="3" t="s">
        <v>2704</v>
      </c>
      <c r="B2741" s="3"/>
      <c r="C2741" s="3"/>
      <c r="D2741" s="4" t="s">
        <v>1777</v>
      </c>
      <c r="E2741" s="4" t="s">
        <v>23</v>
      </c>
      <c r="F2741" s="4">
        <v>1999</v>
      </c>
      <c r="G2741" s="8">
        <v>-0.6</v>
      </c>
      <c r="H2741" s="4" t="s">
        <v>23</v>
      </c>
      <c r="I2741" s="8">
        <v>-1.3</v>
      </c>
      <c r="J2741" s="3">
        <f>2098</f>
        <v>2098</v>
      </c>
      <c r="K2741" s="3"/>
      <c r="L2741" s="17" t="str" cm="1">
        <f t="array" ref="L2741">_xlfn.IFS(MID(K2741,2,2)="01", "서울", MID(K2741,2,2)="02","경기",MID(K2741,2,2)="03","충청",MID(K2741,2,2)="04","충청",MID(K2741,2,2)="05","전라",MID(K2741,2,2)="06","전라",MID(K2741,2,2)="07","경북",MID(K2741,2,2)="08","경남",MID(K2741,2,2)="09","강원",MID(K2741,2,2)="10","제주",TRUE,"국외")</f>
        <v>국외</v>
      </c>
    </row>
    <row r="2742" spans="1:12" ht="17.25" thickBot="1">
      <c r="A2742" s="3" t="s">
        <v>2705</v>
      </c>
      <c r="B2742" s="3" t="s">
        <v>22</v>
      </c>
      <c r="C2742" s="3" t="s">
        <v>208</v>
      </c>
      <c r="D2742" s="4" t="s">
        <v>1777</v>
      </c>
      <c r="E2742" s="4" t="s">
        <v>23</v>
      </c>
      <c r="F2742" s="4">
        <v>2000</v>
      </c>
      <c r="G2742" s="9"/>
      <c r="H2742" s="4" t="s">
        <v>23</v>
      </c>
      <c r="I2742" s="8">
        <v>-0.1</v>
      </c>
      <c r="J2742" s="3">
        <f>2131</f>
        <v>2131</v>
      </c>
      <c r="K2742" s="3">
        <v>50209</v>
      </c>
      <c r="L2742" s="17" t="str" cm="1">
        <f t="array" ref="L2742">_xlfn.IFS(MID(K2742,2,2)="01", "서울", MID(K2742,2,2)="02","경기",MID(K2742,2,2)="03","충청",MID(K2742,2,2)="04","충청",MID(K2742,2,2)="05","전라",MID(K2742,2,2)="06","전라",MID(K2742,2,2)="07","경북",MID(K2742,2,2)="08","경남",MID(K2742,2,2)="09","강원",MID(K2742,2,2)="10","제주",TRUE,"국외")</f>
        <v>경기</v>
      </c>
    </row>
    <row r="2743" spans="1:12" ht="17.25" thickBot="1">
      <c r="A2743" s="3" t="s">
        <v>2706</v>
      </c>
      <c r="B2743" s="3" t="s">
        <v>36</v>
      </c>
      <c r="C2743" s="3" t="s">
        <v>174</v>
      </c>
      <c r="D2743" s="4" t="s">
        <v>1777</v>
      </c>
      <c r="E2743" s="4" t="s">
        <v>3</v>
      </c>
      <c r="F2743" s="4">
        <v>1999</v>
      </c>
      <c r="G2743" s="8">
        <v>0.2</v>
      </c>
      <c r="H2743" s="4" t="s">
        <v>3</v>
      </c>
      <c r="I2743" s="8">
        <v>-0.7</v>
      </c>
      <c r="J2743" s="3">
        <f>2103</f>
        <v>2103</v>
      </c>
      <c r="K2743" s="3">
        <v>50402</v>
      </c>
      <c r="L2743" s="17" t="str" cm="1">
        <f t="array" ref="L2743">_xlfn.IFS(MID(K2743,2,2)="01", "서울", MID(K2743,2,2)="02","경기",MID(K2743,2,2)="03","충청",MID(K2743,2,2)="04","충청",MID(K2743,2,2)="05","전라",MID(K2743,2,2)="06","전라",MID(K2743,2,2)="07","경북",MID(K2743,2,2)="08","경남",MID(K2743,2,2)="09","강원",MID(K2743,2,2)="10","제주",TRUE,"국외")</f>
        <v>충청</v>
      </c>
    </row>
    <row r="2744" spans="1:12" ht="17.25" thickBot="1">
      <c r="A2744" s="3" t="s">
        <v>348</v>
      </c>
      <c r="B2744" s="3" t="s">
        <v>36</v>
      </c>
      <c r="C2744" s="3" t="s">
        <v>45</v>
      </c>
      <c r="D2744" s="4" t="s">
        <v>1777</v>
      </c>
      <c r="E2744" s="4" t="s">
        <v>3</v>
      </c>
      <c r="F2744" s="4">
        <v>2000</v>
      </c>
      <c r="G2744" s="9"/>
      <c r="H2744" s="4" t="s">
        <v>3</v>
      </c>
      <c r="I2744" s="8">
        <v>0.8</v>
      </c>
      <c r="J2744" s="3">
        <f>2147</f>
        <v>2147</v>
      </c>
      <c r="K2744" s="3">
        <v>50402</v>
      </c>
      <c r="L2744" s="17" t="str" cm="1">
        <f t="array" ref="L2744">_xlfn.IFS(MID(K2744,2,2)="01", "서울", MID(K2744,2,2)="02","경기",MID(K2744,2,2)="03","충청",MID(K2744,2,2)="04","충청",MID(K2744,2,2)="05","전라",MID(K2744,2,2)="06","전라",MID(K2744,2,2)="07","경북",MID(K2744,2,2)="08","경남",MID(K2744,2,2)="09","강원",MID(K2744,2,2)="10","제주",TRUE,"국외")</f>
        <v>충청</v>
      </c>
    </row>
    <row r="2745" spans="1:12" ht="17.25" thickBot="1">
      <c r="A2745" s="3" t="s">
        <v>2707</v>
      </c>
      <c r="B2745" s="3" t="s">
        <v>42</v>
      </c>
      <c r="C2745" s="3"/>
      <c r="D2745" s="4" t="s">
        <v>1777</v>
      </c>
      <c r="E2745" s="4" t="s">
        <v>2164</v>
      </c>
      <c r="F2745" s="4"/>
      <c r="G2745" s="9"/>
      <c r="H2745" s="4"/>
      <c r="I2745" s="9"/>
      <c r="J2745" s="3">
        <v>11454</v>
      </c>
      <c r="K2745" s="3">
        <v>50502</v>
      </c>
      <c r="L2745" s="17" t="str" cm="1">
        <f t="array" ref="L2745">_xlfn.IFS(MID(K2745,2,2)="01", "서울", MID(K2745,2,2)="02","경기",MID(K2745,2,2)="03","충청",MID(K2745,2,2)="04","충청",MID(K2745,2,2)="05","전라",MID(K2745,2,2)="06","전라",MID(K2745,2,2)="07","경북",MID(K2745,2,2)="08","경남",MID(K2745,2,2)="09","강원",MID(K2745,2,2)="10","제주",TRUE,"국외")</f>
        <v>전라</v>
      </c>
    </row>
    <row r="2746" spans="1:12" ht="17.25" thickBot="1">
      <c r="A2746" s="3" t="s">
        <v>2708</v>
      </c>
      <c r="B2746" s="3" t="s">
        <v>50</v>
      </c>
      <c r="C2746" s="3"/>
      <c r="D2746" s="4" t="s">
        <v>1777</v>
      </c>
      <c r="E2746" s="4" t="s">
        <v>3</v>
      </c>
      <c r="F2746" s="4">
        <v>2000</v>
      </c>
      <c r="G2746" s="9"/>
      <c r="H2746" s="4" t="s">
        <v>3</v>
      </c>
      <c r="I2746" s="8">
        <v>0</v>
      </c>
      <c r="J2746" s="3">
        <f>2157</f>
        <v>2157</v>
      </c>
      <c r="K2746" s="3">
        <v>50301</v>
      </c>
      <c r="L2746" s="17" t="str" cm="1">
        <f t="array" ref="L2746">_xlfn.IFS(MID(K2746,2,2)="01", "서울", MID(K2746,2,2)="02","경기",MID(K2746,2,2)="03","충청",MID(K2746,2,2)="04","충청",MID(K2746,2,2)="05","전라",MID(K2746,2,2)="06","전라",MID(K2746,2,2)="07","경북",MID(K2746,2,2)="08","경남",MID(K2746,2,2)="09","강원",MID(K2746,2,2)="10","제주",TRUE,"국외")</f>
        <v>충청</v>
      </c>
    </row>
    <row r="2747" spans="1:12" ht="17.25" thickBot="1">
      <c r="A2747" s="3" t="s">
        <v>2709</v>
      </c>
      <c r="B2747" s="3" t="s">
        <v>1</v>
      </c>
      <c r="C2747" s="3"/>
      <c r="D2747" s="4" t="s">
        <v>2710</v>
      </c>
      <c r="E2747" s="4" t="s">
        <v>26</v>
      </c>
      <c r="F2747" s="4">
        <v>1999</v>
      </c>
      <c r="G2747" s="8">
        <v>0.1</v>
      </c>
      <c r="H2747" s="4" t="s">
        <v>26</v>
      </c>
      <c r="I2747" s="8">
        <v>13.2</v>
      </c>
      <c r="J2747" s="3">
        <v>10348</v>
      </c>
      <c r="K2747" s="3">
        <v>50107</v>
      </c>
      <c r="L2747" s="17" t="str" cm="1">
        <f t="array" ref="L2747">_xlfn.IFS(MID(K2747,2,2)="01", "서울", MID(K2747,2,2)="02","경기",MID(K2747,2,2)="03","충청",MID(K2747,2,2)="04","충청",MID(K2747,2,2)="05","전라",MID(K2747,2,2)="06","전라",MID(K2747,2,2)="07","경북",MID(K2747,2,2)="08","경남",MID(K2747,2,2)="09","강원",MID(K2747,2,2)="10","제주",TRUE,"국외")</f>
        <v>서울</v>
      </c>
    </row>
    <row r="2748" spans="1:12" ht="17.25" thickBot="1">
      <c r="A2748" s="3" t="s">
        <v>2711</v>
      </c>
      <c r="B2748" s="3" t="s">
        <v>25</v>
      </c>
      <c r="C2748" s="3" t="s">
        <v>83</v>
      </c>
      <c r="D2748" s="4" t="s">
        <v>2710</v>
      </c>
      <c r="E2748" s="4" t="s">
        <v>3</v>
      </c>
      <c r="F2748" s="4">
        <v>2003</v>
      </c>
      <c r="G2748" s="9"/>
      <c r="H2748" s="4" t="s">
        <v>3</v>
      </c>
      <c r="I2748" s="8">
        <v>1.4</v>
      </c>
      <c r="J2748" s="3">
        <v>10594</v>
      </c>
      <c r="K2748" s="3">
        <v>50403</v>
      </c>
      <c r="L2748" s="17" t="str" cm="1">
        <f t="array" ref="L2748">_xlfn.IFS(MID(K2748,2,2)="01", "서울", MID(K2748,2,2)="02","경기",MID(K2748,2,2)="03","충청",MID(K2748,2,2)="04","충청",MID(K2748,2,2)="05","전라",MID(K2748,2,2)="06","전라",MID(K2748,2,2)="07","경북",MID(K2748,2,2)="08","경남",MID(K2748,2,2)="09","강원",MID(K2748,2,2)="10","제주",TRUE,"국외")</f>
        <v>충청</v>
      </c>
    </row>
    <row r="2749" spans="1:12" ht="17.25" thickBot="1">
      <c r="A2749" s="3" t="s">
        <v>2712</v>
      </c>
      <c r="B2749" s="3" t="s">
        <v>66</v>
      </c>
      <c r="C2749" s="3"/>
      <c r="D2749" s="4" t="s">
        <v>2710</v>
      </c>
      <c r="E2749" s="4" t="s">
        <v>20</v>
      </c>
      <c r="F2749" s="4">
        <v>1999</v>
      </c>
      <c r="G2749" s="8">
        <v>-0.9</v>
      </c>
      <c r="H2749" s="4" t="s">
        <v>20</v>
      </c>
      <c r="I2749" s="8">
        <v>2.7</v>
      </c>
      <c r="J2749" s="3">
        <v>10501</v>
      </c>
      <c r="K2749" s="3">
        <v>50110</v>
      </c>
      <c r="L2749" s="17" t="str" cm="1">
        <f t="array" ref="L2749">_xlfn.IFS(MID(K2749,2,2)="01", "서울", MID(K2749,2,2)="02","경기",MID(K2749,2,2)="03","충청",MID(K2749,2,2)="04","충청",MID(K2749,2,2)="05","전라",MID(K2749,2,2)="06","전라",MID(K2749,2,2)="07","경북",MID(K2749,2,2)="08","경남",MID(K2749,2,2)="09","강원",MID(K2749,2,2)="10","제주",TRUE,"국외")</f>
        <v>서울</v>
      </c>
    </row>
    <row r="2750" spans="1:12" ht="17.25" thickBot="1">
      <c r="A2750" s="3" t="s">
        <v>2713</v>
      </c>
      <c r="B2750" s="3" t="s">
        <v>42</v>
      </c>
      <c r="C2750" s="3" t="s">
        <v>90</v>
      </c>
      <c r="D2750" s="4" t="s">
        <v>2710</v>
      </c>
      <c r="E2750" s="4" t="s">
        <v>2661</v>
      </c>
      <c r="F2750" s="4">
        <v>2004</v>
      </c>
      <c r="G2750" s="9"/>
      <c r="H2750" s="4" t="s">
        <v>20</v>
      </c>
      <c r="I2750" s="8">
        <v>0.3</v>
      </c>
      <c r="J2750" s="3">
        <v>10085</v>
      </c>
      <c r="K2750" s="3">
        <v>50502</v>
      </c>
      <c r="L2750" s="17" t="str" cm="1">
        <f t="array" ref="L2750">_xlfn.IFS(MID(K2750,2,2)="01", "서울", MID(K2750,2,2)="02","경기",MID(K2750,2,2)="03","충청",MID(K2750,2,2)="04","충청",MID(K2750,2,2)="05","전라",MID(K2750,2,2)="06","전라",MID(K2750,2,2)="07","경북",MID(K2750,2,2)="08","경남",MID(K2750,2,2)="09","강원",MID(K2750,2,2)="10","제주",TRUE,"국외")</f>
        <v>전라</v>
      </c>
    </row>
    <row r="2751" spans="1:12" ht="17.25" thickBot="1">
      <c r="A2751" s="3" t="s">
        <v>2714</v>
      </c>
      <c r="B2751" s="3"/>
      <c r="C2751" s="3"/>
      <c r="D2751" s="4" t="s">
        <v>2715</v>
      </c>
      <c r="E2751" s="4" t="s">
        <v>2523</v>
      </c>
      <c r="F2751" s="4">
        <v>1999</v>
      </c>
      <c r="G2751" s="8">
        <v>1.6</v>
      </c>
      <c r="H2751" s="4" t="s">
        <v>2523</v>
      </c>
      <c r="I2751" s="8">
        <v>1.6</v>
      </c>
      <c r="J2751" s="3">
        <f>2071</f>
        <v>2071</v>
      </c>
      <c r="K2751" s="3"/>
      <c r="L2751" s="17" t="str" cm="1">
        <f t="array" ref="L2751">_xlfn.IFS(MID(K2751,2,2)="01", "서울", MID(K2751,2,2)="02","경기",MID(K2751,2,2)="03","충청",MID(K2751,2,2)="04","충청",MID(K2751,2,2)="05","전라",MID(K2751,2,2)="06","전라",MID(K2751,2,2)="07","경북",MID(K2751,2,2)="08","경남",MID(K2751,2,2)="09","강원",MID(K2751,2,2)="10","제주",TRUE,"국외")</f>
        <v>국외</v>
      </c>
    </row>
    <row r="2752" spans="1:12" ht="17.25" thickBot="1">
      <c r="A2752" s="3" t="s">
        <v>2716</v>
      </c>
      <c r="B2752" s="3"/>
      <c r="C2752" s="3"/>
      <c r="D2752" s="4" t="s">
        <v>2715</v>
      </c>
      <c r="E2752" s="4" t="s">
        <v>2523</v>
      </c>
      <c r="F2752" s="4">
        <v>1999</v>
      </c>
      <c r="G2752" s="8">
        <v>4.5</v>
      </c>
      <c r="H2752" s="4" t="s">
        <v>2523</v>
      </c>
      <c r="I2752" s="8">
        <v>4.5</v>
      </c>
      <c r="J2752" s="3">
        <f>2072</f>
        <v>2072</v>
      </c>
      <c r="K2752" s="3"/>
      <c r="L2752" s="17" t="str" cm="1">
        <f t="array" ref="L2752">_xlfn.IFS(MID(K2752,2,2)="01", "서울", MID(K2752,2,2)="02","경기",MID(K2752,2,2)="03","충청",MID(K2752,2,2)="04","충청",MID(K2752,2,2)="05","전라",MID(K2752,2,2)="06","전라",MID(K2752,2,2)="07","경북",MID(K2752,2,2)="08","경남",MID(K2752,2,2)="09","강원",MID(K2752,2,2)="10","제주",TRUE,"국외")</f>
        <v>국외</v>
      </c>
    </row>
    <row r="2753" spans="1:12" ht="17.25" thickBot="1">
      <c r="A2753" s="3" t="s">
        <v>2717</v>
      </c>
      <c r="B2753" s="3" t="s">
        <v>722</v>
      </c>
      <c r="C2753" s="3"/>
      <c r="D2753" s="4" t="s">
        <v>2715</v>
      </c>
      <c r="E2753" s="4" t="s">
        <v>9</v>
      </c>
      <c r="F2753" s="4">
        <v>1999</v>
      </c>
      <c r="G2753" s="8">
        <v>6.3</v>
      </c>
      <c r="H2753" s="4" t="s">
        <v>9</v>
      </c>
      <c r="I2753" s="8">
        <v>19.600000000000001</v>
      </c>
      <c r="J2753" s="3">
        <f>2090</f>
        <v>2090</v>
      </c>
      <c r="K2753" s="3">
        <v>51100</v>
      </c>
      <c r="L2753" s="17" t="str" cm="1">
        <f t="array" ref="L2753">_xlfn.IFS(MID(K2753,2,2)="01", "서울", MID(K2753,2,2)="02","경기",MID(K2753,2,2)="03","충청",MID(K2753,2,2)="04","충청",MID(K2753,2,2)="05","전라",MID(K2753,2,2)="06","전라",MID(K2753,2,2)="07","경북",MID(K2753,2,2)="08","경남",MID(K2753,2,2)="09","강원",MID(K2753,2,2)="10","제주",TRUE,"국외")</f>
        <v>국외</v>
      </c>
    </row>
    <row r="2754" spans="1:12" ht="17.25" thickBot="1">
      <c r="A2754" s="3" t="s">
        <v>202</v>
      </c>
      <c r="B2754" s="3"/>
      <c r="C2754" s="3"/>
      <c r="D2754" s="4" t="s">
        <v>2715</v>
      </c>
      <c r="E2754" s="4" t="s">
        <v>23</v>
      </c>
      <c r="F2754" s="4">
        <v>1999</v>
      </c>
      <c r="G2754" s="8">
        <v>2.8</v>
      </c>
      <c r="H2754" s="4" t="s">
        <v>23</v>
      </c>
      <c r="I2754" s="8">
        <v>6.1</v>
      </c>
      <c r="J2754" s="3">
        <f>2073</f>
        <v>2073</v>
      </c>
      <c r="K2754" s="3"/>
      <c r="L2754" s="17" t="str" cm="1">
        <f t="array" ref="L2754">_xlfn.IFS(MID(K2754,2,2)="01", "서울", MID(K2754,2,2)="02","경기",MID(K2754,2,2)="03","충청",MID(K2754,2,2)="04","충청",MID(K2754,2,2)="05","전라",MID(K2754,2,2)="06","전라",MID(K2754,2,2)="07","경북",MID(K2754,2,2)="08","경남",MID(K2754,2,2)="09","강원",MID(K2754,2,2)="10","제주",TRUE,"국외")</f>
        <v>국외</v>
      </c>
    </row>
    <row r="2755" spans="1:12" ht="17.25" thickBot="1">
      <c r="A2755" s="3" t="s">
        <v>2718</v>
      </c>
      <c r="B2755" s="3"/>
      <c r="C2755" s="3"/>
      <c r="D2755" s="4" t="s">
        <v>2715</v>
      </c>
      <c r="E2755" s="4" t="s">
        <v>2661</v>
      </c>
      <c r="F2755" s="4">
        <v>1999</v>
      </c>
      <c r="G2755" s="8">
        <v>-0.6</v>
      </c>
      <c r="H2755" s="4" t="s">
        <v>2661</v>
      </c>
      <c r="I2755" s="8">
        <v>-0.6</v>
      </c>
      <c r="J2755" s="3">
        <f>2101</f>
        <v>2101</v>
      </c>
      <c r="K2755" s="3"/>
      <c r="L2755" s="17" t="str" cm="1">
        <f t="array" ref="L2755">_xlfn.IFS(MID(K2755,2,2)="01", "서울", MID(K2755,2,2)="02","경기",MID(K2755,2,2)="03","충청",MID(K2755,2,2)="04","충청",MID(K2755,2,2)="05","전라",MID(K2755,2,2)="06","전라",MID(K2755,2,2)="07","경북",MID(K2755,2,2)="08","경남",MID(K2755,2,2)="09","강원",MID(K2755,2,2)="10","제주",TRUE,"국외")</f>
        <v>국외</v>
      </c>
    </row>
    <row r="2756" spans="1:12" ht="17.25" thickBot="1">
      <c r="A2756" s="3" t="s">
        <v>2719</v>
      </c>
      <c r="B2756" s="3"/>
      <c r="C2756" s="3"/>
      <c r="D2756" s="4" t="s">
        <v>2715</v>
      </c>
      <c r="E2756" s="4" t="s">
        <v>3</v>
      </c>
      <c r="F2756" s="4">
        <v>1999</v>
      </c>
      <c r="G2756" s="8">
        <v>5.2</v>
      </c>
      <c r="H2756" s="4" t="s">
        <v>3</v>
      </c>
      <c r="I2756" s="8">
        <v>7.7</v>
      </c>
      <c r="J2756" s="3">
        <f>2068</f>
        <v>2068</v>
      </c>
      <c r="K2756" s="3"/>
      <c r="L2756" s="17" t="str" cm="1">
        <f t="array" ref="L2756">_xlfn.IFS(MID(K2756,2,2)="01", "서울", MID(K2756,2,2)="02","경기",MID(K2756,2,2)="03","충청",MID(K2756,2,2)="04","충청",MID(K2756,2,2)="05","전라",MID(K2756,2,2)="06","전라",MID(K2756,2,2)="07","경북",MID(K2756,2,2)="08","경남",MID(K2756,2,2)="09","강원",MID(K2756,2,2)="10","제주",TRUE,"국외")</f>
        <v>국외</v>
      </c>
    </row>
    <row r="2757" spans="1:12" ht="17.25" thickBot="1">
      <c r="A2757" s="3" t="s">
        <v>2720</v>
      </c>
      <c r="B2757" s="3"/>
      <c r="C2757" s="3"/>
      <c r="D2757" s="4" t="s">
        <v>2715</v>
      </c>
      <c r="E2757" s="4" t="s">
        <v>2164</v>
      </c>
      <c r="F2757" s="4">
        <v>1999</v>
      </c>
      <c r="G2757" s="8">
        <v>2.1</v>
      </c>
      <c r="H2757" s="4" t="s">
        <v>2164</v>
      </c>
      <c r="I2757" s="8">
        <v>2.1</v>
      </c>
      <c r="J2757" s="3">
        <f>2088</f>
        <v>2088</v>
      </c>
      <c r="K2757" s="3"/>
      <c r="L2757" s="17" t="str" cm="1">
        <f t="array" ref="L2757">_xlfn.IFS(MID(K2757,2,2)="01", "서울", MID(K2757,2,2)="02","경기",MID(K2757,2,2)="03","충청",MID(K2757,2,2)="04","충청",MID(K2757,2,2)="05","전라",MID(K2757,2,2)="06","전라",MID(K2757,2,2)="07","경북",MID(K2757,2,2)="08","경남",MID(K2757,2,2)="09","강원",MID(K2757,2,2)="10","제주",TRUE,"국외")</f>
        <v>국외</v>
      </c>
    </row>
    <row r="2758" spans="1:12" ht="17.25" thickBot="1">
      <c r="A2758" s="3" t="s">
        <v>2721</v>
      </c>
      <c r="B2758" s="3"/>
      <c r="C2758" s="3"/>
      <c r="D2758" s="4" t="s">
        <v>2715</v>
      </c>
      <c r="E2758" s="4" t="s">
        <v>20</v>
      </c>
      <c r="F2758" s="4">
        <v>1999</v>
      </c>
      <c r="G2758" s="8">
        <v>1</v>
      </c>
      <c r="H2758" s="4" t="s">
        <v>20</v>
      </c>
      <c r="I2758" s="8">
        <v>1</v>
      </c>
      <c r="J2758" s="3">
        <f>2066</f>
        <v>2066</v>
      </c>
      <c r="K2758" s="3"/>
      <c r="L2758" s="17" t="str" cm="1">
        <f t="array" ref="L2758">_xlfn.IFS(MID(K2758,2,2)="01", "서울", MID(K2758,2,2)="02","경기",MID(K2758,2,2)="03","충청",MID(K2758,2,2)="04","충청",MID(K2758,2,2)="05","전라",MID(K2758,2,2)="06","전라",MID(K2758,2,2)="07","경북",MID(K2758,2,2)="08","경남",MID(K2758,2,2)="09","강원",MID(K2758,2,2)="10","제주",TRUE,"국외")</f>
        <v>국외</v>
      </c>
    </row>
    <row r="2759" spans="1:12" ht="17.25" thickBot="1">
      <c r="A2759" s="3" t="s">
        <v>2722</v>
      </c>
      <c r="B2759" s="3"/>
      <c r="C2759" s="3" t="s">
        <v>722</v>
      </c>
      <c r="D2759" s="4" t="s">
        <v>2715</v>
      </c>
      <c r="E2759" s="4" t="s">
        <v>9</v>
      </c>
      <c r="F2759" s="4">
        <v>1999</v>
      </c>
      <c r="G2759" s="8">
        <v>-0.7</v>
      </c>
      <c r="H2759" s="4" t="s">
        <v>9</v>
      </c>
      <c r="I2759" s="8">
        <v>-0.7</v>
      </c>
      <c r="J2759" s="3">
        <f>2094</f>
        <v>2094</v>
      </c>
      <c r="K2759" s="3"/>
      <c r="L2759" s="17" t="str" cm="1">
        <f t="array" ref="L2759">_xlfn.IFS(MID(K2759,2,2)="01", "서울", MID(K2759,2,2)="02","경기",MID(K2759,2,2)="03","충청",MID(K2759,2,2)="04","충청",MID(K2759,2,2)="05","전라",MID(K2759,2,2)="06","전라",MID(K2759,2,2)="07","경북",MID(K2759,2,2)="08","경남",MID(K2759,2,2)="09","강원",MID(K2759,2,2)="10","제주",TRUE,"국외")</f>
        <v>국외</v>
      </c>
    </row>
    <row r="2760" spans="1:12" ht="17.25" thickBot="1">
      <c r="A2760" s="3" t="s">
        <v>2723</v>
      </c>
      <c r="B2760" s="3"/>
      <c r="C2760" s="3"/>
      <c r="D2760" s="4" t="s">
        <v>2715</v>
      </c>
      <c r="E2760" s="4" t="s">
        <v>23</v>
      </c>
      <c r="F2760" s="4">
        <v>1999</v>
      </c>
      <c r="G2760" s="8">
        <v>0.7</v>
      </c>
      <c r="H2760" s="4" t="s">
        <v>23</v>
      </c>
      <c r="I2760" s="8">
        <v>0.7</v>
      </c>
      <c r="J2760" s="3">
        <f>2091</f>
        <v>2091</v>
      </c>
      <c r="K2760" s="3"/>
      <c r="L2760" s="17" t="str" cm="1">
        <f t="array" ref="L2760">_xlfn.IFS(MID(K2760,2,2)="01", "서울", MID(K2760,2,2)="02","경기",MID(K2760,2,2)="03","충청",MID(K2760,2,2)="04","충청",MID(K2760,2,2)="05","전라",MID(K2760,2,2)="06","전라",MID(K2760,2,2)="07","경북",MID(K2760,2,2)="08","경남",MID(K2760,2,2)="09","강원",MID(K2760,2,2)="10","제주",TRUE,"국외")</f>
        <v>국외</v>
      </c>
    </row>
    <row r="2761" spans="1:12" ht="17.25" thickBot="1">
      <c r="A2761" s="3" t="s">
        <v>2116</v>
      </c>
      <c r="B2761" s="3"/>
      <c r="C2761" s="3"/>
      <c r="D2761" s="4" t="s">
        <v>2715</v>
      </c>
      <c r="E2761" s="4" t="s">
        <v>3</v>
      </c>
      <c r="F2761" s="4">
        <v>1999</v>
      </c>
      <c r="G2761" s="8">
        <v>4.2</v>
      </c>
      <c r="H2761" s="4" t="s">
        <v>3</v>
      </c>
      <c r="I2761" s="8">
        <v>29</v>
      </c>
      <c r="J2761" s="3">
        <f>2067</f>
        <v>2067</v>
      </c>
      <c r="K2761" s="3"/>
      <c r="L2761" s="17" t="str" cm="1">
        <f t="array" ref="L2761">_xlfn.IFS(MID(K2761,2,2)="01", "서울", MID(K2761,2,2)="02","경기",MID(K2761,2,2)="03","충청",MID(K2761,2,2)="04","충청",MID(K2761,2,2)="05","전라",MID(K2761,2,2)="06","전라",MID(K2761,2,2)="07","경북",MID(K2761,2,2)="08","경남",MID(K2761,2,2)="09","강원",MID(K2761,2,2)="10","제주",TRUE,"국외")</f>
        <v>국외</v>
      </c>
    </row>
    <row r="2762" spans="1:12" ht="17.25" thickBot="1">
      <c r="A2762" s="3" t="s">
        <v>2724</v>
      </c>
      <c r="B2762" s="3" t="s">
        <v>722</v>
      </c>
      <c r="C2762" s="3"/>
      <c r="D2762" s="4" t="s">
        <v>2715</v>
      </c>
      <c r="E2762" s="4" t="s">
        <v>9</v>
      </c>
      <c r="F2762" s="4">
        <v>1999</v>
      </c>
      <c r="G2762" s="8">
        <v>3.3</v>
      </c>
      <c r="H2762" s="4" t="s">
        <v>9</v>
      </c>
      <c r="I2762" s="8">
        <v>6</v>
      </c>
      <c r="J2762" s="3">
        <f>2093</f>
        <v>2093</v>
      </c>
      <c r="K2762" s="3">
        <v>51100</v>
      </c>
      <c r="L2762" s="17" t="str" cm="1">
        <f t="array" ref="L2762">_xlfn.IFS(MID(K2762,2,2)="01", "서울", MID(K2762,2,2)="02","경기",MID(K2762,2,2)="03","충청",MID(K2762,2,2)="04","충청",MID(K2762,2,2)="05","전라",MID(K2762,2,2)="06","전라",MID(K2762,2,2)="07","경북",MID(K2762,2,2)="08","경남",MID(K2762,2,2)="09","강원",MID(K2762,2,2)="10","제주",TRUE,"국외")</f>
        <v>국외</v>
      </c>
    </row>
    <row r="2763" spans="1:12" ht="17.25" thickBot="1">
      <c r="A2763" s="3" t="s">
        <v>457</v>
      </c>
      <c r="B2763" s="3" t="s">
        <v>81</v>
      </c>
      <c r="C2763" s="3" t="s">
        <v>45</v>
      </c>
      <c r="D2763" s="4" t="s">
        <v>243</v>
      </c>
      <c r="E2763" s="4" t="s">
        <v>2725</v>
      </c>
      <c r="F2763" s="4">
        <v>1998</v>
      </c>
      <c r="G2763" s="8">
        <v>2.1</v>
      </c>
      <c r="H2763" s="4" t="s">
        <v>26</v>
      </c>
      <c r="I2763" s="8">
        <v>60.1</v>
      </c>
      <c r="J2763" s="3">
        <v>10173</v>
      </c>
      <c r="K2763" s="3">
        <v>50105</v>
      </c>
      <c r="L2763" s="17" t="str" cm="1">
        <f t="array" ref="L2763">_xlfn.IFS(MID(K2763,2,2)="01", "서울", MID(K2763,2,2)="02","경기",MID(K2763,2,2)="03","충청",MID(K2763,2,2)="04","충청",MID(K2763,2,2)="05","전라",MID(K2763,2,2)="06","전라",MID(K2763,2,2)="07","경북",MID(K2763,2,2)="08","경남",MID(K2763,2,2)="09","강원",MID(K2763,2,2)="10","제주",TRUE,"국외")</f>
        <v>서울</v>
      </c>
    </row>
    <row r="2764" spans="1:12" ht="17.25" thickBot="1">
      <c r="A2764" s="3" t="s">
        <v>2726</v>
      </c>
      <c r="B2764" s="3" t="s">
        <v>34</v>
      </c>
      <c r="C2764" s="3" t="s">
        <v>122</v>
      </c>
      <c r="D2764" s="4" t="s">
        <v>243</v>
      </c>
      <c r="E2764" s="4" t="s">
        <v>23</v>
      </c>
      <c r="F2764" s="4">
        <v>1998</v>
      </c>
      <c r="G2764" s="8">
        <v>4.5999999999999996</v>
      </c>
      <c r="H2764" s="4" t="s">
        <v>23</v>
      </c>
      <c r="I2764" s="8">
        <v>25.5</v>
      </c>
      <c r="J2764" s="3">
        <v>10564</v>
      </c>
      <c r="K2764" s="3">
        <v>50701</v>
      </c>
      <c r="L2764" s="17" t="str" cm="1">
        <f t="array" ref="L2764">_xlfn.IFS(MID(K2764,2,2)="01", "서울", MID(K2764,2,2)="02","경기",MID(K2764,2,2)="03","충청",MID(K2764,2,2)="04","충청",MID(K2764,2,2)="05","전라",MID(K2764,2,2)="06","전라",MID(K2764,2,2)="07","경북",MID(K2764,2,2)="08","경남",MID(K2764,2,2)="09","강원",MID(K2764,2,2)="10","제주",TRUE,"국외")</f>
        <v>경북</v>
      </c>
    </row>
    <row r="2765" spans="1:12" ht="17.25" thickBot="1">
      <c r="A2765" s="3" t="s">
        <v>2727</v>
      </c>
      <c r="B2765" s="3" t="s">
        <v>42</v>
      </c>
      <c r="C2765" s="3" t="s">
        <v>172</v>
      </c>
      <c r="D2765" s="4" t="s">
        <v>243</v>
      </c>
      <c r="E2765" s="4" t="s">
        <v>2661</v>
      </c>
      <c r="F2765" s="4">
        <v>2003</v>
      </c>
      <c r="G2765" s="9"/>
      <c r="H2765" s="4" t="s">
        <v>607</v>
      </c>
      <c r="I2765" s="8">
        <v>-0.3</v>
      </c>
      <c r="J2765" s="3">
        <v>10379</v>
      </c>
      <c r="K2765" s="3">
        <v>50502</v>
      </c>
      <c r="L2765" s="17" t="str" cm="1">
        <f t="array" ref="L2765">_xlfn.IFS(MID(K2765,2,2)="01", "서울", MID(K2765,2,2)="02","경기",MID(K2765,2,2)="03","충청",MID(K2765,2,2)="04","충청",MID(K2765,2,2)="05","전라",MID(K2765,2,2)="06","전라",MID(K2765,2,2)="07","경북",MID(K2765,2,2)="08","경남",MID(K2765,2,2)="09","강원",MID(K2765,2,2)="10","제주",TRUE,"국외")</f>
        <v>전라</v>
      </c>
    </row>
    <row r="2766" spans="1:12" ht="17.25" thickBot="1">
      <c r="A2766" s="3" t="s">
        <v>2728</v>
      </c>
      <c r="B2766" s="3" t="s">
        <v>351</v>
      </c>
      <c r="C2766" s="3" t="s">
        <v>172</v>
      </c>
      <c r="D2766" s="4" t="s">
        <v>243</v>
      </c>
      <c r="E2766" s="4" t="s">
        <v>2164</v>
      </c>
      <c r="F2766" s="4">
        <v>1998</v>
      </c>
      <c r="G2766" s="8">
        <v>0</v>
      </c>
      <c r="H2766" s="4" t="s">
        <v>2164</v>
      </c>
      <c r="I2766" s="8">
        <v>0</v>
      </c>
      <c r="J2766" s="3">
        <f>2047</f>
        <v>2047</v>
      </c>
      <c r="K2766" s="3">
        <v>50203</v>
      </c>
      <c r="L2766" s="17" t="str" cm="1">
        <f t="array" ref="L2766">_xlfn.IFS(MID(K2766,2,2)="01", "서울", MID(K2766,2,2)="02","경기",MID(K2766,2,2)="03","충청",MID(K2766,2,2)="04","충청",MID(K2766,2,2)="05","전라",MID(K2766,2,2)="06","전라",MID(K2766,2,2)="07","경북",MID(K2766,2,2)="08","경남",MID(K2766,2,2)="09","강원",MID(K2766,2,2)="10","제주",TRUE,"국외")</f>
        <v>경기</v>
      </c>
    </row>
    <row r="2767" spans="1:12" ht="17.25" thickBot="1">
      <c r="A2767" s="3" t="s">
        <v>2729</v>
      </c>
      <c r="B2767" s="3" t="s">
        <v>66</v>
      </c>
      <c r="C2767" s="3" t="s">
        <v>83</v>
      </c>
      <c r="D2767" s="4" t="s">
        <v>243</v>
      </c>
      <c r="E2767" s="4" t="s">
        <v>20</v>
      </c>
      <c r="F2767" s="4">
        <v>1998</v>
      </c>
      <c r="G2767" s="8">
        <v>0.7</v>
      </c>
      <c r="H2767" s="4" t="s">
        <v>20</v>
      </c>
      <c r="I2767" s="8">
        <v>23</v>
      </c>
      <c r="J2767" s="3">
        <v>10463</v>
      </c>
      <c r="K2767" s="3">
        <v>50110</v>
      </c>
      <c r="L2767" s="17" t="str" cm="1">
        <f t="array" ref="L2767">_xlfn.IFS(MID(K2767,2,2)="01", "서울", MID(K2767,2,2)="02","경기",MID(K2767,2,2)="03","충청",MID(K2767,2,2)="04","충청",MID(K2767,2,2)="05","전라",MID(K2767,2,2)="06","전라",MID(K2767,2,2)="07","경북",MID(K2767,2,2)="08","경남",MID(K2767,2,2)="09","강원",MID(K2767,2,2)="10","제주",TRUE,"국외")</f>
        <v>서울</v>
      </c>
    </row>
    <row r="2768" spans="1:12" ht="17.25" thickBot="1">
      <c r="A2768" s="3" t="s">
        <v>2730</v>
      </c>
      <c r="B2768" s="3" t="s">
        <v>11</v>
      </c>
      <c r="C2768" s="3" t="s">
        <v>221</v>
      </c>
      <c r="D2768" s="4" t="s">
        <v>243</v>
      </c>
      <c r="E2768" s="4" t="s">
        <v>9</v>
      </c>
      <c r="F2768" s="4">
        <v>1998</v>
      </c>
      <c r="G2768" s="8">
        <v>-1.8</v>
      </c>
      <c r="H2768" s="4" t="s">
        <v>9</v>
      </c>
      <c r="I2768" s="8">
        <v>21.1</v>
      </c>
      <c r="J2768" s="3">
        <v>10298</v>
      </c>
      <c r="K2768" s="3">
        <v>50802</v>
      </c>
      <c r="L2768" s="17" t="str" cm="1">
        <f t="array" ref="L2768">_xlfn.IFS(MID(K2768,2,2)="01", "서울", MID(K2768,2,2)="02","경기",MID(K2768,2,2)="03","충청",MID(K2768,2,2)="04","충청",MID(K2768,2,2)="05","전라",MID(K2768,2,2)="06","전라",MID(K2768,2,2)="07","경북",MID(K2768,2,2)="08","경남",MID(K2768,2,2)="09","강원",MID(K2768,2,2)="10","제주",TRUE,"국외")</f>
        <v>경남</v>
      </c>
    </row>
    <row r="2769" spans="1:12" ht="17.25" thickBot="1">
      <c r="A2769" s="3" t="s">
        <v>2731</v>
      </c>
      <c r="B2769" s="3" t="s">
        <v>66</v>
      </c>
      <c r="C2769" s="3" t="s">
        <v>83</v>
      </c>
      <c r="D2769" s="4" t="s">
        <v>254</v>
      </c>
      <c r="E2769" s="4" t="s">
        <v>20</v>
      </c>
      <c r="F2769" s="4">
        <v>2002</v>
      </c>
      <c r="G2769" s="9"/>
      <c r="H2769" s="4" t="s">
        <v>20</v>
      </c>
      <c r="I2769" s="8">
        <v>7.4</v>
      </c>
      <c r="J2769" s="3">
        <v>10488</v>
      </c>
      <c r="K2769" s="3">
        <v>50110</v>
      </c>
      <c r="L2769" s="17" t="str" cm="1">
        <f t="array" ref="L2769">_xlfn.IFS(MID(K2769,2,2)="01", "서울", MID(K2769,2,2)="02","경기",MID(K2769,2,2)="03","충청",MID(K2769,2,2)="04","충청",MID(K2769,2,2)="05","전라",MID(K2769,2,2)="06","전라",MID(K2769,2,2)="07","경북",MID(K2769,2,2)="08","경남",MID(K2769,2,2)="09","강원",MID(K2769,2,2)="10","제주",TRUE,"국외")</f>
        <v>서울</v>
      </c>
    </row>
    <row r="2770" spans="1:12" ht="17.25" thickBot="1">
      <c r="A2770" s="3" t="s">
        <v>2732</v>
      </c>
      <c r="B2770" s="3" t="s">
        <v>22</v>
      </c>
      <c r="C2770" s="3" t="s">
        <v>174</v>
      </c>
      <c r="D2770" s="4" t="s">
        <v>254</v>
      </c>
      <c r="E2770" s="4" t="s">
        <v>9</v>
      </c>
      <c r="F2770" s="4">
        <v>1998</v>
      </c>
      <c r="G2770" s="8">
        <v>0.1</v>
      </c>
      <c r="H2770" s="4" t="s">
        <v>2164</v>
      </c>
      <c r="I2770" s="8">
        <v>2.4</v>
      </c>
      <c r="J2770" s="3">
        <f>2027</f>
        <v>2027</v>
      </c>
      <c r="K2770" s="3">
        <v>50209</v>
      </c>
      <c r="L2770" s="17" t="str" cm="1">
        <f t="array" ref="L2770">_xlfn.IFS(MID(K2770,2,2)="01", "서울", MID(K2770,2,2)="02","경기",MID(K2770,2,2)="03","충청",MID(K2770,2,2)="04","충청",MID(K2770,2,2)="05","전라",MID(K2770,2,2)="06","전라",MID(K2770,2,2)="07","경북",MID(K2770,2,2)="08","경남",MID(K2770,2,2)="09","강원",MID(K2770,2,2)="10","제주",TRUE,"국외")</f>
        <v>경기</v>
      </c>
    </row>
    <row r="2771" spans="1:12" ht="17.25" thickBot="1">
      <c r="A2771" s="3" t="s">
        <v>1947</v>
      </c>
      <c r="B2771" s="3" t="s">
        <v>40</v>
      </c>
      <c r="C2771" s="3" t="s">
        <v>218</v>
      </c>
      <c r="D2771" s="4" t="s">
        <v>254</v>
      </c>
      <c r="E2771" s="4" t="s">
        <v>20</v>
      </c>
      <c r="F2771" s="4">
        <v>1998</v>
      </c>
      <c r="G2771" s="8">
        <v>-0.3</v>
      </c>
      <c r="H2771" s="4" t="s">
        <v>607</v>
      </c>
      <c r="I2771" s="8">
        <v>-1.1000000000000001</v>
      </c>
      <c r="J2771" s="3">
        <v>10500</v>
      </c>
      <c r="K2771" s="3">
        <v>50108</v>
      </c>
      <c r="L2771" s="17" t="str" cm="1">
        <f t="array" ref="L2771">_xlfn.IFS(MID(K2771,2,2)="01", "서울", MID(K2771,2,2)="02","경기",MID(K2771,2,2)="03","충청",MID(K2771,2,2)="04","충청",MID(K2771,2,2)="05","전라",MID(K2771,2,2)="06","전라",MID(K2771,2,2)="07","경북",MID(K2771,2,2)="08","경남",MID(K2771,2,2)="09","강원",MID(K2771,2,2)="10","제주",TRUE,"국외")</f>
        <v>서울</v>
      </c>
    </row>
    <row r="2772" spans="1:12" ht="17.25" thickBot="1">
      <c r="A2772" s="3" t="s">
        <v>2733</v>
      </c>
      <c r="B2772" s="3" t="s">
        <v>107</v>
      </c>
      <c r="C2772" s="3"/>
      <c r="D2772" s="4" t="s">
        <v>254</v>
      </c>
      <c r="E2772" s="4" t="s">
        <v>2725</v>
      </c>
      <c r="F2772" s="4">
        <v>2001</v>
      </c>
      <c r="G2772" s="9"/>
      <c r="H2772" s="4" t="s">
        <v>26</v>
      </c>
      <c r="I2772" s="8">
        <v>0.1</v>
      </c>
      <c r="J2772" s="3">
        <f>2176</f>
        <v>2176</v>
      </c>
      <c r="K2772" s="3">
        <v>50602</v>
      </c>
      <c r="L2772" s="17" t="str" cm="1">
        <f t="array" ref="L2772">_xlfn.IFS(MID(K2772,2,2)="01", "서울", MID(K2772,2,2)="02","경기",MID(K2772,2,2)="03","충청",MID(K2772,2,2)="04","충청",MID(K2772,2,2)="05","전라",MID(K2772,2,2)="06","전라",MID(K2772,2,2)="07","경북",MID(K2772,2,2)="08","경남",MID(K2772,2,2)="09","강원",MID(K2772,2,2)="10","제주",TRUE,"국외")</f>
        <v>전라</v>
      </c>
    </row>
    <row r="2773" spans="1:12" ht="17.25" thickBot="1">
      <c r="A2773" s="3" t="s">
        <v>2734</v>
      </c>
      <c r="B2773" s="3" t="s">
        <v>11</v>
      </c>
      <c r="C2773" s="3" t="s">
        <v>45</v>
      </c>
      <c r="D2773" s="4" t="s">
        <v>254</v>
      </c>
      <c r="E2773" s="4" t="s">
        <v>9</v>
      </c>
      <c r="F2773" s="4">
        <v>1998</v>
      </c>
      <c r="G2773" s="8">
        <v>1.8</v>
      </c>
      <c r="H2773" s="4" t="s">
        <v>9</v>
      </c>
      <c r="I2773" s="8">
        <v>8.5</v>
      </c>
      <c r="J2773" s="3">
        <v>10487</v>
      </c>
      <c r="K2773" s="3">
        <v>50802</v>
      </c>
      <c r="L2773" s="17" t="str" cm="1">
        <f t="array" ref="L2773">_xlfn.IFS(MID(K2773,2,2)="01", "서울", MID(K2773,2,2)="02","경기",MID(K2773,2,2)="03","충청",MID(K2773,2,2)="04","충청",MID(K2773,2,2)="05","전라",MID(K2773,2,2)="06","전라",MID(K2773,2,2)="07","경북",MID(K2773,2,2)="08","경남",MID(K2773,2,2)="09","강원",MID(K2773,2,2)="10","제주",TRUE,"국외")</f>
        <v>경남</v>
      </c>
    </row>
    <row r="2774" spans="1:12" ht="17.25" thickBot="1">
      <c r="A2774" s="3" t="s">
        <v>2735</v>
      </c>
      <c r="B2774" s="3" t="s">
        <v>34</v>
      </c>
      <c r="C2774" s="3" t="s">
        <v>739</v>
      </c>
      <c r="D2774" s="4" t="s">
        <v>254</v>
      </c>
      <c r="E2774" s="4" t="s">
        <v>23</v>
      </c>
      <c r="F2774" s="4">
        <v>1998</v>
      </c>
      <c r="G2774" s="8">
        <v>-0.1</v>
      </c>
      <c r="H2774" s="4" t="s">
        <v>23</v>
      </c>
      <c r="I2774" s="8">
        <v>-0.9</v>
      </c>
      <c r="J2774" s="3">
        <f>2021</f>
        <v>2021</v>
      </c>
      <c r="K2774" s="3">
        <v>50701</v>
      </c>
      <c r="L2774" s="17" t="str" cm="1">
        <f t="array" ref="L2774">_xlfn.IFS(MID(K2774,2,2)="01", "서울", MID(K2774,2,2)="02","경기",MID(K2774,2,2)="03","충청",MID(K2774,2,2)="04","충청",MID(K2774,2,2)="05","전라",MID(K2774,2,2)="06","전라",MID(K2774,2,2)="07","경북",MID(K2774,2,2)="08","경남",MID(K2774,2,2)="09","강원",MID(K2774,2,2)="10","제주",TRUE,"국외")</f>
        <v>경북</v>
      </c>
    </row>
    <row r="2775" spans="1:12" ht="17.25" thickBot="1">
      <c r="A2775" s="3" t="s">
        <v>2736</v>
      </c>
      <c r="B2775" s="3" t="s">
        <v>22</v>
      </c>
      <c r="C2775" s="3" t="s">
        <v>549</v>
      </c>
      <c r="D2775" s="4" t="s">
        <v>254</v>
      </c>
      <c r="E2775" s="4" t="s">
        <v>2661</v>
      </c>
      <c r="F2775" s="4">
        <v>1998</v>
      </c>
      <c r="G2775" s="8">
        <v>-0.5</v>
      </c>
      <c r="H2775" s="4" t="s">
        <v>607</v>
      </c>
      <c r="I2775" s="8">
        <v>4.2</v>
      </c>
      <c r="J2775" s="3">
        <v>10117</v>
      </c>
      <c r="K2775" s="3">
        <v>50209</v>
      </c>
      <c r="L2775" s="17" t="str" cm="1">
        <f t="array" ref="L2775">_xlfn.IFS(MID(K2775,2,2)="01", "서울", MID(K2775,2,2)="02","경기",MID(K2775,2,2)="03","충청",MID(K2775,2,2)="04","충청",MID(K2775,2,2)="05","전라",MID(K2775,2,2)="06","전라",MID(K2775,2,2)="07","경북",MID(K2775,2,2)="08","경남",MID(K2775,2,2)="09","강원",MID(K2775,2,2)="10","제주",TRUE,"국외")</f>
        <v>경기</v>
      </c>
    </row>
    <row r="2776" spans="1:12" ht="17.25" thickBot="1">
      <c r="A2776" s="3" t="s">
        <v>2737</v>
      </c>
      <c r="B2776" s="3" t="s">
        <v>158</v>
      </c>
      <c r="C2776" s="3" t="s">
        <v>133</v>
      </c>
      <c r="D2776" s="4" t="s">
        <v>254</v>
      </c>
      <c r="E2776" s="4" t="s">
        <v>3</v>
      </c>
      <c r="F2776" s="4">
        <v>1998</v>
      </c>
      <c r="G2776" s="8">
        <v>-0.2</v>
      </c>
      <c r="H2776" s="4" t="s">
        <v>3</v>
      </c>
      <c r="I2776" s="8">
        <v>9.4</v>
      </c>
      <c r="J2776" s="3">
        <v>10542</v>
      </c>
      <c r="K2776" s="3">
        <v>50501</v>
      </c>
      <c r="L2776" s="17" t="str" cm="1">
        <f t="array" ref="L2776">_xlfn.IFS(MID(K2776,2,2)="01", "서울", MID(K2776,2,2)="02","경기",MID(K2776,2,2)="03","충청",MID(K2776,2,2)="04","충청",MID(K2776,2,2)="05","전라",MID(K2776,2,2)="06","전라",MID(K2776,2,2)="07","경북",MID(K2776,2,2)="08","경남",MID(K2776,2,2)="09","강원",MID(K2776,2,2)="10","제주",TRUE,"국외")</f>
        <v>전라</v>
      </c>
    </row>
    <row r="2777" spans="1:12" ht="17.25" thickBot="1">
      <c r="A2777" s="3" t="s">
        <v>2738</v>
      </c>
      <c r="B2777" s="3" t="s">
        <v>14</v>
      </c>
      <c r="C2777" s="3"/>
      <c r="D2777" s="4" t="s">
        <v>254</v>
      </c>
      <c r="E2777" s="4" t="s">
        <v>2523</v>
      </c>
      <c r="F2777" s="4">
        <v>1998</v>
      </c>
      <c r="G2777" s="8">
        <v>-0.6</v>
      </c>
      <c r="H2777" s="4" t="s">
        <v>2523</v>
      </c>
      <c r="I2777" s="8">
        <v>-0.4</v>
      </c>
      <c r="J2777" s="3">
        <f>2053</f>
        <v>2053</v>
      </c>
      <c r="K2777" s="3">
        <v>50703</v>
      </c>
      <c r="L2777" s="17" t="str" cm="1">
        <f t="array" ref="L2777">_xlfn.IFS(MID(K2777,2,2)="01", "서울", MID(K2777,2,2)="02","경기",MID(K2777,2,2)="03","충청",MID(K2777,2,2)="04","충청",MID(K2777,2,2)="05","전라",MID(K2777,2,2)="06","전라",MID(K2777,2,2)="07","경북",MID(K2777,2,2)="08","경남",MID(K2777,2,2)="09","강원",MID(K2777,2,2)="10","제주",TRUE,"국외")</f>
        <v>경북</v>
      </c>
    </row>
    <row r="2778" spans="1:12" ht="17.25" thickBot="1">
      <c r="A2778" s="3" t="s">
        <v>2739</v>
      </c>
      <c r="B2778" s="3" t="s">
        <v>1784</v>
      </c>
      <c r="C2778" s="3" t="s">
        <v>739</v>
      </c>
      <c r="D2778" s="4" t="s">
        <v>254</v>
      </c>
      <c r="E2778" s="4" t="s">
        <v>2164</v>
      </c>
      <c r="F2778" s="4">
        <v>1998</v>
      </c>
      <c r="G2778" s="8">
        <v>0.2</v>
      </c>
      <c r="H2778" s="4" t="s">
        <v>2164</v>
      </c>
      <c r="I2778" s="8">
        <v>1.4</v>
      </c>
      <c r="J2778" s="3">
        <f>2059</f>
        <v>2059</v>
      </c>
      <c r="K2778" s="3">
        <v>50812</v>
      </c>
      <c r="L2778" s="17" t="str" cm="1">
        <f t="array" ref="L2778">_xlfn.IFS(MID(K2778,2,2)="01", "서울", MID(K2778,2,2)="02","경기",MID(K2778,2,2)="03","충청",MID(K2778,2,2)="04","충청",MID(K2778,2,2)="05","전라",MID(K2778,2,2)="06","전라",MID(K2778,2,2)="07","경북",MID(K2778,2,2)="08","경남",MID(K2778,2,2)="09","강원",MID(K2778,2,2)="10","제주",TRUE,"국외")</f>
        <v>경남</v>
      </c>
    </row>
    <row r="2779" spans="1:12" ht="17.25" thickBot="1">
      <c r="A2779" s="3" t="s">
        <v>2740</v>
      </c>
      <c r="B2779" s="3" t="s">
        <v>140</v>
      </c>
      <c r="C2779" s="3"/>
      <c r="D2779" s="4" t="s">
        <v>254</v>
      </c>
      <c r="E2779" s="4" t="s">
        <v>2725</v>
      </c>
      <c r="F2779" s="4">
        <v>1998</v>
      </c>
      <c r="G2779" s="8">
        <v>1.1000000000000001</v>
      </c>
      <c r="H2779" s="4" t="s">
        <v>26</v>
      </c>
      <c r="I2779" s="8">
        <v>9.6</v>
      </c>
      <c r="J2779" s="3">
        <v>10642</v>
      </c>
      <c r="K2779" s="3">
        <v>50801</v>
      </c>
      <c r="L2779" s="17" t="str" cm="1">
        <f t="array" ref="L2779">_xlfn.IFS(MID(K2779,2,2)="01", "서울", MID(K2779,2,2)="02","경기",MID(K2779,2,2)="03","충청",MID(K2779,2,2)="04","충청",MID(K2779,2,2)="05","전라",MID(K2779,2,2)="06","전라",MID(K2779,2,2)="07","경북",MID(K2779,2,2)="08","경남",MID(K2779,2,2)="09","강원",MID(K2779,2,2)="10","제주",TRUE,"국외")</f>
        <v>경남</v>
      </c>
    </row>
    <row r="2780" spans="1:12" ht="17.25" thickBot="1">
      <c r="A2780" s="3" t="s">
        <v>2741</v>
      </c>
      <c r="B2780" s="3" t="s">
        <v>11</v>
      </c>
      <c r="C2780" s="3"/>
      <c r="D2780" s="4" t="s">
        <v>254</v>
      </c>
      <c r="E2780" s="4" t="s">
        <v>23</v>
      </c>
      <c r="F2780" s="4">
        <v>2000</v>
      </c>
      <c r="G2780" s="9"/>
      <c r="H2780" s="4" t="s">
        <v>23</v>
      </c>
      <c r="I2780" s="8">
        <v>2.5</v>
      </c>
      <c r="J2780" s="3">
        <f>2150</f>
        <v>2150</v>
      </c>
      <c r="K2780" s="3">
        <v>50802</v>
      </c>
      <c r="L2780" s="17" t="str" cm="1">
        <f t="array" ref="L2780">_xlfn.IFS(MID(K2780,2,2)="01", "서울", MID(K2780,2,2)="02","경기",MID(K2780,2,2)="03","충청",MID(K2780,2,2)="04","충청",MID(K2780,2,2)="05","전라",MID(K2780,2,2)="06","전라",MID(K2780,2,2)="07","경북",MID(K2780,2,2)="08","경남",MID(K2780,2,2)="09","강원",MID(K2780,2,2)="10","제주",TRUE,"국외")</f>
        <v>경남</v>
      </c>
    </row>
    <row r="2781" spans="1:12" ht="17.25" thickBot="1">
      <c r="A2781" s="3" t="s">
        <v>2742</v>
      </c>
      <c r="B2781" s="3" t="s">
        <v>38</v>
      </c>
      <c r="C2781" s="3" t="s">
        <v>329</v>
      </c>
      <c r="D2781" s="4" t="s">
        <v>254</v>
      </c>
      <c r="E2781" s="4" t="s">
        <v>2661</v>
      </c>
      <c r="F2781" s="4">
        <v>1998</v>
      </c>
      <c r="G2781" s="8">
        <v>-0.3</v>
      </c>
      <c r="H2781" s="4" t="s">
        <v>2661</v>
      </c>
      <c r="I2781" s="8">
        <v>-0.3</v>
      </c>
      <c r="J2781" s="3">
        <f>2046</f>
        <v>2046</v>
      </c>
      <c r="K2781" s="3">
        <v>50109</v>
      </c>
      <c r="L2781" s="17" t="str" cm="1">
        <f t="array" ref="L2781">_xlfn.IFS(MID(K2781,2,2)="01", "서울", MID(K2781,2,2)="02","경기",MID(K2781,2,2)="03","충청",MID(K2781,2,2)="04","충청",MID(K2781,2,2)="05","전라",MID(K2781,2,2)="06","전라",MID(K2781,2,2)="07","경북",MID(K2781,2,2)="08","경남",MID(K2781,2,2)="09","강원",MID(K2781,2,2)="10","제주",TRUE,"국외")</f>
        <v>서울</v>
      </c>
    </row>
    <row r="2782" spans="1:12" ht="17.25" thickBot="1">
      <c r="A2782" s="3" t="s">
        <v>2743</v>
      </c>
      <c r="B2782" s="3" t="s">
        <v>1</v>
      </c>
      <c r="C2782" s="3" t="s">
        <v>83</v>
      </c>
      <c r="D2782" s="4" t="s">
        <v>254</v>
      </c>
      <c r="E2782" s="4" t="s">
        <v>3</v>
      </c>
      <c r="F2782" s="4">
        <v>2000</v>
      </c>
      <c r="G2782" s="9"/>
      <c r="H2782" s="4" t="s">
        <v>3</v>
      </c>
      <c r="I2782" s="8">
        <v>0.4</v>
      </c>
      <c r="J2782" s="3">
        <f>2149</f>
        <v>2149</v>
      </c>
      <c r="K2782" s="3">
        <v>50107</v>
      </c>
      <c r="L2782" s="17" t="str" cm="1">
        <f t="array" ref="L2782">_xlfn.IFS(MID(K2782,2,2)="01", "서울", MID(K2782,2,2)="02","경기",MID(K2782,2,2)="03","충청",MID(K2782,2,2)="04","충청",MID(K2782,2,2)="05","전라",MID(K2782,2,2)="06","전라",MID(K2782,2,2)="07","경북",MID(K2782,2,2)="08","경남",MID(K2782,2,2)="09","강원",MID(K2782,2,2)="10","제주",TRUE,"국외")</f>
        <v>서울</v>
      </c>
    </row>
    <row r="2783" spans="1:12" ht="17.25" thickBot="1">
      <c r="A2783" s="3" t="s">
        <v>2744</v>
      </c>
      <c r="B2783" s="3" t="s">
        <v>158</v>
      </c>
      <c r="C2783" s="3" t="s">
        <v>133</v>
      </c>
      <c r="D2783" s="4" t="s">
        <v>254</v>
      </c>
      <c r="E2783" s="4" t="s">
        <v>2523</v>
      </c>
      <c r="F2783" s="4">
        <v>1998</v>
      </c>
      <c r="G2783" s="8">
        <v>-0.1</v>
      </c>
      <c r="H2783" s="4" t="s">
        <v>2523</v>
      </c>
      <c r="I2783" s="8">
        <v>-0.1</v>
      </c>
      <c r="J2783" s="3">
        <f>2024</f>
        <v>2024</v>
      </c>
      <c r="K2783" s="3">
        <v>50501</v>
      </c>
      <c r="L2783" s="17" t="str" cm="1">
        <f t="array" ref="L2783">_xlfn.IFS(MID(K2783,2,2)="01", "서울", MID(K2783,2,2)="02","경기",MID(K2783,2,2)="03","충청",MID(K2783,2,2)="04","충청",MID(K2783,2,2)="05","전라",MID(K2783,2,2)="06","전라",MID(K2783,2,2)="07","경북",MID(K2783,2,2)="08","경남",MID(K2783,2,2)="09","강원",MID(K2783,2,2)="10","제주",TRUE,"국외")</f>
        <v>전라</v>
      </c>
    </row>
    <row r="2784" spans="1:12" ht="17.25" thickBot="1">
      <c r="A2784" s="3" t="s">
        <v>2745</v>
      </c>
      <c r="B2784" s="3" t="s">
        <v>36</v>
      </c>
      <c r="C2784" s="3" t="s">
        <v>133</v>
      </c>
      <c r="D2784" s="4" t="s">
        <v>254</v>
      </c>
      <c r="E2784" s="4" t="s">
        <v>20</v>
      </c>
      <c r="F2784" s="4">
        <v>2002</v>
      </c>
      <c r="G2784" s="9"/>
      <c r="H2784" s="4" t="s">
        <v>20</v>
      </c>
      <c r="I2784" s="8">
        <v>-2.6</v>
      </c>
      <c r="J2784" s="3">
        <v>10515</v>
      </c>
      <c r="K2784" s="3">
        <v>50402</v>
      </c>
      <c r="L2784" s="17" t="str" cm="1">
        <f t="array" ref="L2784">_xlfn.IFS(MID(K2784,2,2)="01", "서울", MID(K2784,2,2)="02","경기",MID(K2784,2,2)="03","충청",MID(K2784,2,2)="04","충청",MID(K2784,2,2)="05","전라",MID(K2784,2,2)="06","전라",MID(K2784,2,2)="07","경북",MID(K2784,2,2)="08","경남",MID(K2784,2,2)="09","강원",MID(K2784,2,2)="10","제주",TRUE,"국외")</f>
        <v>충청</v>
      </c>
    </row>
    <row r="2785" spans="1:12" ht="17.25" thickBot="1">
      <c r="A2785" s="3" t="s">
        <v>1107</v>
      </c>
      <c r="B2785" s="3" t="s">
        <v>66</v>
      </c>
      <c r="C2785" s="3" t="s">
        <v>45</v>
      </c>
      <c r="D2785" s="4" t="s">
        <v>254</v>
      </c>
      <c r="E2785" s="4" t="s">
        <v>2725</v>
      </c>
      <c r="F2785" s="4">
        <v>1999</v>
      </c>
      <c r="G2785" s="9"/>
      <c r="H2785" s="4" t="s">
        <v>6</v>
      </c>
      <c r="I2785" s="8">
        <v>0.1</v>
      </c>
      <c r="J2785" s="3">
        <f>2065</f>
        <v>2065</v>
      </c>
      <c r="K2785" s="3">
        <v>50110</v>
      </c>
      <c r="L2785" s="17" t="str" cm="1">
        <f t="array" ref="L2785">_xlfn.IFS(MID(K2785,2,2)="01", "서울", MID(K2785,2,2)="02","경기",MID(K2785,2,2)="03","충청",MID(K2785,2,2)="04","충청",MID(K2785,2,2)="05","전라",MID(K2785,2,2)="06","전라",MID(K2785,2,2)="07","경북",MID(K2785,2,2)="08","경남",MID(K2785,2,2)="09","강원",MID(K2785,2,2)="10","제주",TRUE,"국외")</f>
        <v>서울</v>
      </c>
    </row>
    <row r="2786" spans="1:12" ht="17.25" thickBot="1">
      <c r="A2786" s="3" t="s">
        <v>2746</v>
      </c>
      <c r="B2786" s="3" t="s">
        <v>11</v>
      </c>
      <c r="C2786" s="3" t="s">
        <v>99</v>
      </c>
      <c r="D2786" s="4" t="s">
        <v>254</v>
      </c>
      <c r="E2786" s="4" t="s">
        <v>2661</v>
      </c>
      <c r="F2786" s="4">
        <v>1998</v>
      </c>
      <c r="G2786" s="8">
        <v>-0.1</v>
      </c>
      <c r="H2786" s="4" t="s">
        <v>2661</v>
      </c>
      <c r="I2786" s="8">
        <v>-0.1</v>
      </c>
      <c r="J2786" s="3">
        <f>2032</f>
        <v>2032</v>
      </c>
      <c r="K2786" s="3">
        <v>50802</v>
      </c>
      <c r="L2786" s="17" t="str" cm="1">
        <f t="array" ref="L2786">_xlfn.IFS(MID(K2786,2,2)="01", "서울", MID(K2786,2,2)="02","경기",MID(K2786,2,2)="03","충청",MID(K2786,2,2)="04","충청",MID(K2786,2,2)="05","전라",MID(K2786,2,2)="06","전라",MID(K2786,2,2)="07","경북",MID(K2786,2,2)="08","경남",MID(K2786,2,2)="09","강원",MID(K2786,2,2)="10","제주",TRUE,"국외")</f>
        <v>경남</v>
      </c>
    </row>
    <row r="2787" spans="1:12" ht="17.25" thickBot="1">
      <c r="A2787" s="3" t="s">
        <v>2747</v>
      </c>
      <c r="B2787" s="3" t="s">
        <v>78</v>
      </c>
      <c r="C2787" s="3" t="s">
        <v>172</v>
      </c>
      <c r="D2787" s="4" t="s">
        <v>254</v>
      </c>
      <c r="E2787" s="4" t="s">
        <v>3</v>
      </c>
      <c r="F2787" s="4">
        <v>1998</v>
      </c>
      <c r="G2787" s="8">
        <v>0</v>
      </c>
      <c r="H2787" s="4" t="s">
        <v>3</v>
      </c>
      <c r="I2787" s="8">
        <v>0</v>
      </c>
      <c r="J2787" s="3">
        <f>2019</f>
        <v>2019</v>
      </c>
      <c r="K2787" s="3">
        <v>50401</v>
      </c>
      <c r="L2787" s="17" t="str" cm="1">
        <f t="array" ref="L2787">_xlfn.IFS(MID(K2787,2,2)="01", "서울", MID(K2787,2,2)="02","경기",MID(K2787,2,2)="03","충청",MID(K2787,2,2)="04","충청",MID(K2787,2,2)="05","전라",MID(K2787,2,2)="06","전라",MID(K2787,2,2)="07","경북",MID(K2787,2,2)="08","경남",MID(K2787,2,2)="09","강원",MID(K2787,2,2)="10","제주",TRUE,"국외")</f>
        <v>충청</v>
      </c>
    </row>
    <row r="2788" spans="1:12" ht="17.25" thickBot="1">
      <c r="A2788" s="3" t="s">
        <v>2748</v>
      </c>
      <c r="B2788" s="3" t="s">
        <v>66</v>
      </c>
      <c r="C2788" s="3" t="s">
        <v>211</v>
      </c>
      <c r="D2788" s="4" t="s">
        <v>254</v>
      </c>
      <c r="E2788" s="4" t="s">
        <v>2523</v>
      </c>
      <c r="F2788" s="4">
        <v>1998</v>
      </c>
      <c r="G2788" s="8">
        <v>-0.3</v>
      </c>
      <c r="H2788" s="4" t="s">
        <v>2523</v>
      </c>
      <c r="I2788" s="8">
        <v>0.4</v>
      </c>
      <c r="J2788" s="3">
        <f>2056</f>
        <v>2056</v>
      </c>
      <c r="K2788" s="3">
        <v>50110</v>
      </c>
      <c r="L2788" s="17" t="str" cm="1">
        <f t="array" ref="L2788">_xlfn.IFS(MID(K2788,2,2)="01", "서울", MID(K2788,2,2)="02","경기",MID(K2788,2,2)="03","충청",MID(K2788,2,2)="04","충청",MID(K2788,2,2)="05","전라",MID(K2788,2,2)="06","전라",MID(K2788,2,2)="07","경북",MID(K2788,2,2)="08","경남",MID(K2788,2,2)="09","강원",MID(K2788,2,2)="10","제주",TRUE,"국외")</f>
        <v>서울</v>
      </c>
    </row>
    <row r="2789" spans="1:12" ht="17.25" thickBot="1">
      <c r="A2789" s="3" t="s">
        <v>2749</v>
      </c>
      <c r="B2789" s="3" t="s">
        <v>11</v>
      </c>
      <c r="C2789" s="3" t="s">
        <v>83</v>
      </c>
      <c r="D2789" s="4" t="s">
        <v>254</v>
      </c>
      <c r="E2789" s="4" t="s">
        <v>2164</v>
      </c>
      <c r="F2789" s="4">
        <v>1999</v>
      </c>
      <c r="G2789" s="9"/>
      <c r="H2789" s="4" t="s">
        <v>2164</v>
      </c>
      <c r="I2789" s="8">
        <v>1.5</v>
      </c>
      <c r="J2789" s="3">
        <f>2086</f>
        <v>2086</v>
      </c>
      <c r="K2789" s="3">
        <v>50802</v>
      </c>
      <c r="L2789" s="17" t="str" cm="1">
        <f t="array" ref="L2789">_xlfn.IFS(MID(K2789,2,2)="01", "서울", MID(K2789,2,2)="02","경기",MID(K2789,2,2)="03","충청",MID(K2789,2,2)="04","충청",MID(K2789,2,2)="05","전라",MID(K2789,2,2)="06","전라",MID(K2789,2,2)="07","경북",MID(K2789,2,2)="08","경남",MID(K2789,2,2)="09","강원",MID(K2789,2,2)="10","제주",TRUE,"국외")</f>
        <v>경남</v>
      </c>
    </row>
    <row r="2790" spans="1:12" ht="17.25" thickBot="1">
      <c r="A2790" s="3" t="s">
        <v>2750</v>
      </c>
      <c r="B2790" s="3" t="s">
        <v>22</v>
      </c>
      <c r="C2790" s="3" t="s">
        <v>83</v>
      </c>
      <c r="D2790" s="4" t="s">
        <v>254</v>
      </c>
      <c r="E2790" s="4" t="s">
        <v>20</v>
      </c>
      <c r="F2790" s="4">
        <v>2002</v>
      </c>
      <c r="G2790" s="9"/>
      <c r="H2790" s="4" t="s">
        <v>20</v>
      </c>
      <c r="I2790" s="8">
        <v>0.1</v>
      </c>
      <c r="J2790" s="3">
        <v>10091</v>
      </c>
      <c r="K2790" s="3">
        <v>50209</v>
      </c>
      <c r="L2790" s="17" t="str" cm="1">
        <f t="array" ref="L2790">_xlfn.IFS(MID(K2790,2,2)="01", "서울", MID(K2790,2,2)="02","경기",MID(K2790,2,2)="03","충청",MID(K2790,2,2)="04","충청",MID(K2790,2,2)="05","전라",MID(K2790,2,2)="06","전라",MID(K2790,2,2)="07","경북",MID(K2790,2,2)="08","경남",MID(K2790,2,2)="09","강원",MID(K2790,2,2)="10","제주",TRUE,"국외")</f>
        <v>경기</v>
      </c>
    </row>
    <row r="2791" spans="1:12" ht="17.25" thickBot="1">
      <c r="A2791" s="3" t="s">
        <v>2751</v>
      </c>
      <c r="B2791" s="3" t="s">
        <v>8</v>
      </c>
      <c r="C2791" s="3" t="s">
        <v>45</v>
      </c>
      <c r="D2791" s="4" t="s">
        <v>254</v>
      </c>
      <c r="E2791" s="4" t="s">
        <v>9</v>
      </c>
      <c r="F2791" s="4">
        <v>2004</v>
      </c>
      <c r="G2791" s="9"/>
      <c r="H2791" s="4" t="s">
        <v>9</v>
      </c>
      <c r="I2791" s="8">
        <v>0.4</v>
      </c>
      <c r="J2791" s="3">
        <f>2330</f>
        <v>2330</v>
      </c>
      <c r="K2791" s="3">
        <v>50116</v>
      </c>
      <c r="L2791" s="17" t="str" cm="1">
        <f t="array" ref="L2791">_xlfn.IFS(MID(K2791,2,2)="01", "서울", MID(K2791,2,2)="02","경기",MID(K2791,2,2)="03","충청",MID(K2791,2,2)="04","충청",MID(K2791,2,2)="05","전라",MID(K2791,2,2)="06","전라",MID(K2791,2,2)="07","경북",MID(K2791,2,2)="08","경남",MID(K2791,2,2)="09","강원",MID(K2791,2,2)="10","제주",TRUE,"국외")</f>
        <v>서울</v>
      </c>
    </row>
    <row r="2792" spans="1:12" ht="17.25" thickBot="1">
      <c r="A2792" s="3" t="s">
        <v>2752</v>
      </c>
      <c r="B2792" s="3" t="s">
        <v>66</v>
      </c>
      <c r="C2792" s="3" t="s">
        <v>99</v>
      </c>
      <c r="D2792" s="4" t="s">
        <v>254</v>
      </c>
      <c r="E2792" s="4" t="s">
        <v>23</v>
      </c>
      <c r="F2792" s="4">
        <v>2002</v>
      </c>
      <c r="G2792" s="9"/>
      <c r="H2792" s="4" t="s">
        <v>23</v>
      </c>
      <c r="I2792" s="8">
        <v>2</v>
      </c>
      <c r="J2792" s="3">
        <v>10317</v>
      </c>
      <c r="K2792" s="3">
        <v>50110</v>
      </c>
      <c r="L2792" s="17" t="str" cm="1">
        <f t="array" ref="L2792">_xlfn.IFS(MID(K2792,2,2)="01", "서울", MID(K2792,2,2)="02","경기",MID(K2792,2,2)="03","충청",MID(K2792,2,2)="04","충청",MID(K2792,2,2)="05","전라",MID(K2792,2,2)="06","전라",MID(K2792,2,2)="07","경북",MID(K2792,2,2)="08","경남",MID(K2792,2,2)="09","강원",MID(K2792,2,2)="10","제주",TRUE,"국외")</f>
        <v>서울</v>
      </c>
    </row>
    <row r="2793" spans="1:12" ht="17.25" thickBot="1">
      <c r="A2793" s="3" t="s">
        <v>2753</v>
      </c>
      <c r="B2793" s="3" t="s">
        <v>351</v>
      </c>
      <c r="C2793" s="3" t="s">
        <v>174</v>
      </c>
      <c r="D2793" s="4" t="s">
        <v>254</v>
      </c>
      <c r="E2793" s="4" t="s">
        <v>2661</v>
      </c>
      <c r="F2793" s="4">
        <v>1999</v>
      </c>
      <c r="G2793" s="9"/>
      <c r="H2793" s="4" t="s">
        <v>2661</v>
      </c>
      <c r="I2793" s="8">
        <v>-0.1</v>
      </c>
      <c r="J2793" s="3">
        <f>2078</f>
        <v>2078</v>
      </c>
      <c r="K2793" s="3">
        <v>50203</v>
      </c>
      <c r="L2793" s="17" t="str" cm="1">
        <f t="array" ref="L2793">_xlfn.IFS(MID(K2793,2,2)="01", "서울", MID(K2793,2,2)="02","경기",MID(K2793,2,2)="03","충청",MID(K2793,2,2)="04","충청",MID(K2793,2,2)="05","전라",MID(K2793,2,2)="06","전라",MID(K2793,2,2)="07","경북",MID(K2793,2,2)="08","경남",MID(K2793,2,2)="09","강원",MID(K2793,2,2)="10","제주",TRUE,"국외")</f>
        <v>경기</v>
      </c>
    </row>
    <row r="2794" spans="1:12" ht="17.25" thickBot="1">
      <c r="A2794" s="3" t="s">
        <v>1378</v>
      </c>
      <c r="B2794" s="3" t="s">
        <v>70</v>
      </c>
      <c r="C2794" s="3" t="s">
        <v>221</v>
      </c>
      <c r="D2794" s="4" t="s">
        <v>254</v>
      </c>
      <c r="E2794" s="4" t="s">
        <v>2523</v>
      </c>
      <c r="F2794" s="4">
        <v>1998</v>
      </c>
      <c r="G2794" s="8">
        <v>0.1</v>
      </c>
      <c r="H2794" s="4" t="s">
        <v>2523</v>
      </c>
      <c r="I2794" s="8">
        <v>-0.6</v>
      </c>
      <c r="J2794" s="3">
        <f>2034</f>
        <v>2034</v>
      </c>
      <c r="K2794" s="3">
        <v>50103</v>
      </c>
      <c r="L2794" s="17" t="str" cm="1">
        <f t="array" ref="L2794">_xlfn.IFS(MID(K2794,2,2)="01", "서울", MID(K2794,2,2)="02","경기",MID(K2794,2,2)="03","충청",MID(K2794,2,2)="04","충청",MID(K2794,2,2)="05","전라",MID(K2794,2,2)="06","전라",MID(K2794,2,2)="07","경북",MID(K2794,2,2)="08","경남",MID(K2794,2,2)="09","강원",MID(K2794,2,2)="10","제주",TRUE,"국외")</f>
        <v>서울</v>
      </c>
    </row>
    <row r="2795" spans="1:12" ht="17.25" thickBot="1">
      <c r="A2795" s="3" t="s">
        <v>1335</v>
      </c>
      <c r="B2795" s="3" t="s">
        <v>351</v>
      </c>
      <c r="C2795" s="3" t="s">
        <v>739</v>
      </c>
      <c r="D2795" s="4" t="s">
        <v>254</v>
      </c>
      <c r="E2795" s="4" t="s">
        <v>2164</v>
      </c>
      <c r="F2795" s="4">
        <v>2002</v>
      </c>
      <c r="G2795" s="9"/>
      <c r="H2795" s="4" t="s">
        <v>18</v>
      </c>
      <c r="I2795" s="8">
        <v>8.5</v>
      </c>
      <c r="J2795" s="3">
        <v>10397</v>
      </c>
      <c r="K2795" s="3">
        <v>50203</v>
      </c>
      <c r="L2795" s="17" t="str" cm="1">
        <f t="array" ref="L2795">_xlfn.IFS(MID(K2795,2,2)="01", "서울", MID(K2795,2,2)="02","경기",MID(K2795,2,2)="03","충청",MID(K2795,2,2)="04","충청",MID(K2795,2,2)="05","전라",MID(K2795,2,2)="06","전라",MID(K2795,2,2)="07","경북",MID(K2795,2,2)="08","경남",MID(K2795,2,2)="09","강원",MID(K2795,2,2)="10","제주",TRUE,"국외")</f>
        <v>경기</v>
      </c>
    </row>
    <row r="2796" spans="1:12" ht="17.25" thickBot="1">
      <c r="A2796" s="3" t="s">
        <v>2754</v>
      </c>
      <c r="B2796" s="3" t="s">
        <v>40</v>
      </c>
      <c r="C2796" s="3" t="s">
        <v>172</v>
      </c>
      <c r="D2796" s="4" t="s">
        <v>254</v>
      </c>
      <c r="E2796" s="4" t="s">
        <v>2661</v>
      </c>
      <c r="F2796" s="4">
        <v>1998</v>
      </c>
      <c r="G2796" s="8">
        <v>0.1</v>
      </c>
      <c r="H2796" s="4" t="s">
        <v>2661</v>
      </c>
      <c r="I2796" s="8">
        <v>-0.5</v>
      </c>
      <c r="J2796" s="3">
        <f>2018</f>
        <v>2018</v>
      </c>
      <c r="K2796" s="3">
        <v>50108</v>
      </c>
      <c r="L2796" s="17" t="str" cm="1">
        <f t="array" ref="L2796">_xlfn.IFS(MID(K2796,2,2)="01", "서울", MID(K2796,2,2)="02","경기",MID(K2796,2,2)="03","충청",MID(K2796,2,2)="04","충청",MID(K2796,2,2)="05","전라",MID(K2796,2,2)="06","전라",MID(K2796,2,2)="07","경북",MID(K2796,2,2)="08","경남",MID(K2796,2,2)="09","강원",MID(K2796,2,2)="10","제주",TRUE,"국외")</f>
        <v>서울</v>
      </c>
    </row>
    <row r="2797" spans="1:12" ht="17.25" thickBot="1">
      <c r="A2797" s="3" t="s">
        <v>2755</v>
      </c>
      <c r="B2797" s="3" t="s">
        <v>11</v>
      </c>
      <c r="C2797" s="3"/>
      <c r="D2797" s="4" t="s">
        <v>254</v>
      </c>
      <c r="E2797" s="4" t="s">
        <v>20</v>
      </c>
      <c r="F2797" s="4">
        <v>2000</v>
      </c>
      <c r="G2797" s="9"/>
      <c r="H2797" s="4" t="s">
        <v>20</v>
      </c>
      <c r="I2797" s="8">
        <v>-0.2</v>
      </c>
      <c r="J2797" s="3">
        <f>2148</f>
        <v>2148</v>
      </c>
      <c r="K2797" s="3">
        <v>50802</v>
      </c>
      <c r="L2797" s="17" t="str" cm="1">
        <f t="array" ref="L2797">_xlfn.IFS(MID(K2797,2,2)="01", "서울", MID(K2797,2,2)="02","경기",MID(K2797,2,2)="03","충청",MID(K2797,2,2)="04","충청",MID(K2797,2,2)="05","전라",MID(K2797,2,2)="06","전라",MID(K2797,2,2)="07","경북",MID(K2797,2,2)="08","경남",MID(K2797,2,2)="09","강원",MID(K2797,2,2)="10","제주",TRUE,"국외")</f>
        <v>경남</v>
      </c>
    </row>
    <row r="2798" spans="1:12" ht="17.25" thickBot="1">
      <c r="A2798" s="3" t="s">
        <v>2756</v>
      </c>
      <c r="B2798" s="3" t="s">
        <v>335</v>
      </c>
      <c r="C2798" s="3" t="s">
        <v>208</v>
      </c>
      <c r="D2798" s="4" t="s">
        <v>254</v>
      </c>
      <c r="E2798" s="4" t="s">
        <v>9</v>
      </c>
      <c r="F2798" s="4">
        <v>1998</v>
      </c>
      <c r="G2798" s="8">
        <v>-0.6</v>
      </c>
      <c r="H2798" s="4" t="s">
        <v>9</v>
      </c>
      <c r="I2798" s="8">
        <v>-0.8</v>
      </c>
      <c r="J2798" s="3">
        <f>2029</f>
        <v>2029</v>
      </c>
      <c r="K2798" s="3">
        <v>50804</v>
      </c>
      <c r="L2798" s="17" t="str" cm="1">
        <f t="array" ref="L2798">_xlfn.IFS(MID(K2798,2,2)="01", "서울", MID(K2798,2,2)="02","경기",MID(K2798,2,2)="03","충청",MID(K2798,2,2)="04","충청",MID(K2798,2,2)="05","전라",MID(K2798,2,2)="06","전라",MID(K2798,2,2)="07","경북",MID(K2798,2,2)="08","경남",MID(K2798,2,2)="09","강원",MID(K2798,2,2)="10","제주",TRUE,"국외")</f>
        <v>경남</v>
      </c>
    </row>
    <row r="2799" spans="1:12" ht="17.25" thickBot="1">
      <c r="A2799" s="3" t="s">
        <v>2757</v>
      </c>
      <c r="B2799" s="3" t="s">
        <v>8</v>
      </c>
      <c r="C2799" s="3" t="s">
        <v>83</v>
      </c>
      <c r="D2799" s="4" t="s">
        <v>254</v>
      </c>
      <c r="E2799" s="4" t="s">
        <v>3</v>
      </c>
      <c r="F2799" s="4">
        <v>2002</v>
      </c>
      <c r="G2799" s="9"/>
      <c r="H2799" s="4" t="s">
        <v>26</v>
      </c>
      <c r="I2799" s="8">
        <v>-0.7</v>
      </c>
      <c r="J2799" s="3">
        <v>10315</v>
      </c>
      <c r="K2799" s="3">
        <v>50116</v>
      </c>
      <c r="L2799" s="17" t="str" cm="1">
        <f t="array" ref="L2799">_xlfn.IFS(MID(K2799,2,2)="01", "서울", MID(K2799,2,2)="02","경기",MID(K2799,2,2)="03","충청",MID(K2799,2,2)="04","충청",MID(K2799,2,2)="05","전라",MID(K2799,2,2)="06","전라",MID(K2799,2,2)="07","경북",MID(K2799,2,2)="08","경남",MID(K2799,2,2)="09","강원",MID(K2799,2,2)="10","제주",TRUE,"국외")</f>
        <v>서울</v>
      </c>
    </row>
    <row r="2800" spans="1:12" ht="17.25" thickBot="1">
      <c r="A2800" s="3" t="s">
        <v>2758</v>
      </c>
      <c r="B2800" s="3" t="s">
        <v>169</v>
      </c>
      <c r="C2800" s="3" t="s">
        <v>83</v>
      </c>
      <c r="D2800" s="4" t="s">
        <v>254</v>
      </c>
      <c r="E2800" s="4" t="s">
        <v>2164</v>
      </c>
      <c r="F2800" s="4">
        <v>2002</v>
      </c>
      <c r="G2800" s="9"/>
      <c r="H2800" s="4" t="s">
        <v>2164</v>
      </c>
      <c r="I2800" s="8">
        <v>21.9</v>
      </c>
      <c r="J2800" s="3">
        <v>10455</v>
      </c>
      <c r="K2800" s="3">
        <v>50606</v>
      </c>
      <c r="L2800" s="17" t="str" cm="1">
        <f t="array" ref="L2800">_xlfn.IFS(MID(K2800,2,2)="01", "서울", MID(K2800,2,2)="02","경기",MID(K2800,2,2)="03","충청",MID(K2800,2,2)="04","충청",MID(K2800,2,2)="05","전라",MID(K2800,2,2)="06","전라",MID(K2800,2,2)="07","경북",MID(K2800,2,2)="08","경남",MID(K2800,2,2)="09","강원",MID(K2800,2,2)="10","제주",TRUE,"국외")</f>
        <v>전라</v>
      </c>
    </row>
    <row r="2801" spans="1:12" ht="17.25" thickBot="1">
      <c r="A2801" s="3" t="s">
        <v>2759</v>
      </c>
      <c r="B2801" s="3" t="s">
        <v>74</v>
      </c>
      <c r="C2801" s="3"/>
      <c r="D2801" s="4" t="s">
        <v>254</v>
      </c>
      <c r="E2801" s="4" t="s">
        <v>2725</v>
      </c>
      <c r="F2801" s="4">
        <v>2001</v>
      </c>
      <c r="G2801" s="9"/>
      <c r="H2801" s="4" t="s">
        <v>26</v>
      </c>
      <c r="I2801" s="8">
        <v>-0.1</v>
      </c>
      <c r="J2801" s="3">
        <f>2180</f>
        <v>2180</v>
      </c>
      <c r="K2801" s="3">
        <v>50102</v>
      </c>
      <c r="L2801" s="17" t="str" cm="1">
        <f t="array" ref="L2801">_xlfn.IFS(MID(K2801,2,2)="01", "서울", MID(K2801,2,2)="02","경기",MID(K2801,2,2)="03","충청",MID(K2801,2,2)="04","충청",MID(K2801,2,2)="05","전라",MID(K2801,2,2)="06","전라",MID(K2801,2,2)="07","경북",MID(K2801,2,2)="08","경남",MID(K2801,2,2)="09","강원",MID(K2801,2,2)="10","제주",TRUE,"국외")</f>
        <v>서울</v>
      </c>
    </row>
    <row r="2802" spans="1:12" ht="17.25" thickBot="1">
      <c r="A2802" s="3" t="s">
        <v>1733</v>
      </c>
      <c r="B2802" s="3" t="s">
        <v>81</v>
      </c>
      <c r="C2802" s="3" t="s">
        <v>211</v>
      </c>
      <c r="D2802" s="4" t="s">
        <v>254</v>
      </c>
      <c r="E2802" s="4" t="s">
        <v>2661</v>
      </c>
      <c r="F2802" s="4">
        <v>1998</v>
      </c>
      <c r="G2802" s="8">
        <v>0</v>
      </c>
      <c r="H2802" s="4" t="s">
        <v>2661</v>
      </c>
      <c r="I2802" s="8">
        <v>0</v>
      </c>
      <c r="J2802" s="3">
        <f>2020</f>
        <v>2020</v>
      </c>
      <c r="K2802" s="3">
        <v>50105</v>
      </c>
      <c r="L2802" s="17" t="str" cm="1">
        <f t="array" ref="L2802">_xlfn.IFS(MID(K2802,2,2)="01", "서울", MID(K2802,2,2)="02","경기",MID(K2802,2,2)="03","충청",MID(K2802,2,2)="04","충청",MID(K2802,2,2)="05","전라",MID(K2802,2,2)="06","전라",MID(K2802,2,2)="07","경북",MID(K2802,2,2)="08","경남",MID(K2802,2,2)="09","강원",MID(K2802,2,2)="10","제주",TRUE,"국외")</f>
        <v>서울</v>
      </c>
    </row>
    <row r="2803" spans="1:12" ht="17.25" thickBot="1">
      <c r="A2803" s="3" t="s">
        <v>1603</v>
      </c>
      <c r="B2803" s="3" t="s">
        <v>241</v>
      </c>
      <c r="C2803" s="3" t="s">
        <v>221</v>
      </c>
      <c r="D2803" s="4" t="s">
        <v>254</v>
      </c>
      <c r="E2803" s="4" t="s">
        <v>3</v>
      </c>
      <c r="F2803" s="4">
        <v>1999</v>
      </c>
      <c r="G2803" s="9"/>
      <c r="H2803" s="4" t="s">
        <v>3</v>
      </c>
      <c r="I2803" s="8">
        <v>-0.5</v>
      </c>
      <c r="J2803" s="3">
        <f>2074</f>
        <v>2074</v>
      </c>
      <c r="K2803" s="3">
        <v>50202</v>
      </c>
      <c r="L2803" s="17" t="str" cm="1">
        <f t="array" ref="L2803">_xlfn.IFS(MID(K2803,2,2)="01", "서울", MID(K2803,2,2)="02","경기",MID(K2803,2,2)="03","충청",MID(K2803,2,2)="04","충청",MID(K2803,2,2)="05","전라",MID(K2803,2,2)="06","전라",MID(K2803,2,2)="07","경북",MID(K2803,2,2)="08","경남",MID(K2803,2,2)="09","강원",MID(K2803,2,2)="10","제주",TRUE,"국외")</f>
        <v>경기</v>
      </c>
    </row>
    <row r="2804" spans="1:12" ht="17.25" thickBot="1">
      <c r="A2804" s="3" t="s">
        <v>2760</v>
      </c>
      <c r="B2804" s="3" t="s">
        <v>1784</v>
      </c>
      <c r="C2804" s="3" t="s">
        <v>119</v>
      </c>
      <c r="D2804" s="4" t="s">
        <v>254</v>
      </c>
      <c r="E2804" s="4" t="s">
        <v>23</v>
      </c>
      <c r="F2804" s="4">
        <v>2002</v>
      </c>
      <c r="G2804" s="9"/>
      <c r="H2804" s="4" t="s">
        <v>23</v>
      </c>
      <c r="I2804" s="8">
        <v>-0.4</v>
      </c>
      <c r="J2804" s="3">
        <v>10349</v>
      </c>
      <c r="K2804" s="3">
        <v>50812</v>
      </c>
      <c r="L2804" s="17" t="str" cm="1">
        <f t="array" ref="L2804">_xlfn.IFS(MID(K2804,2,2)="01", "서울", MID(K2804,2,2)="02","경기",MID(K2804,2,2)="03","충청",MID(K2804,2,2)="04","충청",MID(K2804,2,2)="05","전라",MID(K2804,2,2)="06","전라",MID(K2804,2,2)="07","경북",MID(K2804,2,2)="08","경남",MID(K2804,2,2)="09","강원",MID(K2804,2,2)="10","제주",TRUE,"국외")</f>
        <v>경남</v>
      </c>
    </row>
    <row r="2805" spans="1:12" ht="17.25" thickBot="1">
      <c r="A2805" s="3" t="s">
        <v>2761</v>
      </c>
      <c r="B2805" s="3" t="s">
        <v>1</v>
      </c>
      <c r="C2805" s="3" t="s">
        <v>99</v>
      </c>
      <c r="D2805" s="4" t="s">
        <v>254</v>
      </c>
      <c r="E2805" s="4" t="s">
        <v>2164</v>
      </c>
      <c r="F2805" s="4">
        <v>2002</v>
      </c>
      <c r="G2805" s="9"/>
      <c r="H2805" s="4" t="s">
        <v>2164</v>
      </c>
      <c r="I2805" s="8">
        <v>-0.8</v>
      </c>
      <c r="J2805" s="3">
        <v>10420</v>
      </c>
      <c r="K2805" s="3">
        <v>50107</v>
      </c>
      <c r="L2805" s="17" t="str" cm="1">
        <f t="array" ref="L2805">_xlfn.IFS(MID(K2805,2,2)="01", "서울", MID(K2805,2,2)="02","경기",MID(K2805,2,2)="03","충청",MID(K2805,2,2)="04","충청",MID(K2805,2,2)="05","전라",MID(K2805,2,2)="06","전라",MID(K2805,2,2)="07","경북",MID(K2805,2,2)="08","경남",MID(K2805,2,2)="09","강원",MID(K2805,2,2)="10","제주",TRUE,"국외")</f>
        <v>서울</v>
      </c>
    </row>
    <row r="2806" spans="1:12" ht="17.25" thickBot="1">
      <c r="A2806" s="3" t="s">
        <v>2762</v>
      </c>
      <c r="B2806" s="3" t="s">
        <v>5</v>
      </c>
      <c r="C2806" s="3" t="s">
        <v>174</v>
      </c>
      <c r="D2806" s="4" t="s">
        <v>254</v>
      </c>
      <c r="E2806" s="4" t="s">
        <v>20</v>
      </c>
      <c r="F2806" s="4">
        <v>2003</v>
      </c>
      <c r="G2806" s="9"/>
      <c r="H2806" s="4" t="s">
        <v>20</v>
      </c>
      <c r="I2806" s="8">
        <v>0</v>
      </c>
      <c r="J2806" s="3">
        <f>2272</f>
        <v>2272</v>
      </c>
      <c r="K2806" s="3">
        <v>50114</v>
      </c>
      <c r="L2806" s="17" t="str" cm="1">
        <f t="array" ref="L2806">_xlfn.IFS(MID(K2806,2,2)="01", "서울", MID(K2806,2,2)="02","경기",MID(K2806,2,2)="03","충청",MID(K2806,2,2)="04","충청",MID(K2806,2,2)="05","전라",MID(K2806,2,2)="06","전라",MID(K2806,2,2)="07","경북",MID(K2806,2,2)="08","경남",MID(K2806,2,2)="09","강원",MID(K2806,2,2)="10","제주",TRUE,"국외")</f>
        <v>서울</v>
      </c>
    </row>
    <row r="2807" spans="1:12" ht="17.25" thickBot="1">
      <c r="A2807" s="3" t="s">
        <v>2763</v>
      </c>
      <c r="B2807" s="3" t="s">
        <v>351</v>
      </c>
      <c r="C2807" s="3" t="s">
        <v>172</v>
      </c>
      <c r="D2807" s="4" t="s">
        <v>254</v>
      </c>
      <c r="E2807" s="4" t="s">
        <v>2725</v>
      </c>
      <c r="F2807" s="4">
        <v>1998</v>
      </c>
      <c r="G2807" s="8">
        <v>-0.1</v>
      </c>
      <c r="H2807" s="4" t="s">
        <v>2725</v>
      </c>
      <c r="I2807" s="8">
        <v>-0.1</v>
      </c>
      <c r="J2807" s="3">
        <f>2039</f>
        <v>2039</v>
      </c>
      <c r="K2807" s="3">
        <v>50203</v>
      </c>
      <c r="L2807" s="17" t="str" cm="1">
        <f t="array" ref="L2807">_xlfn.IFS(MID(K2807,2,2)="01", "서울", MID(K2807,2,2)="02","경기",MID(K2807,2,2)="03","충청",MID(K2807,2,2)="04","충청",MID(K2807,2,2)="05","전라",MID(K2807,2,2)="06","전라",MID(K2807,2,2)="07","경북",MID(K2807,2,2)="08","경남",MID(K2807,2,2)="09","강원",MID(K2807,2,2)="10","제주",TRUE,"국외")</f>
        <v>경기</v>
      </c>
    </row>
    <row r="2808" spans="1:12" ht="17.25" thickBot="1">
      <c r="A2808" s="3" t="s">
        <v>2764</v>
      </c>
      <c r="B2808" s="3" t="s">
        <v>66</v>
      </c>
      <c r="C2808" s="3" t="s">
        <v>174</v>
      </c>
      <c r="D2808" s="4" t="s">
        <v>254</v>
      </c>
      <c r="E2808" s="4" t="s">
        <v>2661</v>
      </c>
      <c r="F2808" s="4">
        <v>1998</v>
      </c>
      <c r="G2808" s="8">
        <v>-0.1</v>
      </c>
      <c r="H2808" s="4" t="s">
        <v>2661</v>
      </c>
      <c r="I2808" s="8">
        <v>-0.3</v>
      </c>
      <c r="J2808" s="3">
        <f>2030</f>
        <v>2030</v>
      </c>
      <c r="K2808" s="3">
        <v>50110</v>
      </c>
      <c r="L2808" s="17" t="str" cm="1">
        <f t="array" ref="L2808">_xlfn.IFS(MID(K2808,2,2)="01", "서울", MID(K2808,2,2)="02","경기",MID(K2808,2,2)="03","충청",MID(K2808,2,2)="04","충청",MID(K2808,2,2)="05","전라",MID(K2808,2,2)="06","전라",MID(K2808,2,2)="07","경북",MID(K2808,2,2)="08","경남",MID(K2808,2,2)="09","강원",MID(K2808,2,2)="10","제주",TRUE,"국외")</f>
        <v>서울</v>
      </c>
    </row>
    <row r="2809" spans="1:12" ht="17.25" thickBot="1">
      <c r="A2809" s="3" t="s">
        <v>2765</v>
      </c>
      <c r="B2809" s="3" t="s">
        <v>107</v>
      </c>
      <c r="C2809" s="3" t="s">
        <v>45</v>
      </c>
      <c r="D2809" s="4" t="s">
        <v>254</v>
      </c>
      <c r="E2809" s="4" t="s">
        <v>20</v>
      </c>
      <c r="F2809" s="4">
        <v>2003</v>
      </c>
      <c r="G2809" s="9"/>
      <c r="H2809" s="4" t="s">
        <v>20</v>
      </c>
      <c r="I2809" s="8">
        <v>0.3</v>
      </c>
      <c r="J2809" s="3">
        <f>2291</f>
        <v>2291</v>
      </c>
      <c r="K2809" s="3">
        <v>50602</v>
      </c>
      <c r="L2809" s="17" t="str" cm="1">
        <f t="array" ref="L2809">_xlfn.IFS(MID(K2809,2,2)="01", "서울", MID(K2809,2,2)="02","경기",MID(K2809,2,2)="03","충청",MID(K2809,2,2)="04","충청",MID(K2809,2,2)="05","전라",MID(K2809,2,2)="06","전라",MID(K2809,2,2)="07","경북",MID(K2809,2,2)="08","경남",MID(K2809,2,2)="09","강원",MID(K2809,2,2)="10","제주",TRUE,"국외")</f>
        <v>전라</v>
      </c>
    </row>
    <row r="2810" spans="1:12" ht="17.25" thickBot="1">
      <c r="A2810" s="3" t="s">
        <v>2766</v>
      </c>
      <c r="B2810" s="3" t="s">
        <v>63</v>
      </c>
      <c r="C2810" s="3" t="s">
        <v>329</v>
      </c>
      <c r="D2810" s="4" t="s">
        <v>254</v>
      </c>
      <c r="E2810" s="4" t="s">
        <v>9</v>
      </c>
      <c r="F2810" s="4">
        <v>2002</v>
      </c>
      <c r="G2810" s="9"/>
      <c r="H2810" s="4" t="s">
        <v>9</v>
      </c>
      <c r="I2810" s="8">
        <v>0.2</v>
      </c>
      <c r="J2810" s="3">
        <f>2229</f>
        <v>2229</v>
      </c>
      <c r="K2810" s="3">
        <v>50807</v>
      </c>
      <c r="L2810" s="17" t="str" cm="1">
        <f t="array" ref="L2810">_xlfn.IFS(MID(K2810,2,2)="01", "서울", MID(K2810,2,2)="02","경기",MID(K2810,2,2)="03","충청",MID(K2810,2,2)="04","충청",MID(K2810,2,2)="05","전라",MID(K2810,2,2)="06","전라",MID(K2810,2,2)="07","경북",MID(K2810,2,2)="08","경남",MID(K2810,2,2)="09","강원",MID(K2810,2,2)="10","제주",TRUE,"국외")</f>
        <v>경남</v>
      </c>
    </row>
    <row r="2811" spans="1:12" ht="17.25" thickBot="1">
      <c r="A2811" s="3" t="s">
        <v>2767</v>
      </c>
      <c r="B2811" s="3" t="s">
        <v>78</v>
      </c>
      <c r="C2811" s="3" t="s">
        <v>739</v>
      </c>
      <c r="D2811" s="4" t="s">
        <v>254</v>
      </c>
      <c r="E2811" s="4" t="s">
        <v>2164</v>
      </c>
      <c r="F2811" s="4">
        <v>2002</v>
      </c>
      <c r="G2811" s="9"/>
      <c r="H2811" s="4" t="s">
        <v>2164</v>
      </c>
      <c r="I2811" s="8">
        <v>-0.1</v>
      </c>
      <c r="J2811" s="3">
        <f>2233</f>
        <v>2233</v>
      </c>
      <c r="K2811" s="3">
        <v>50401</v>
      </c>
      <c r="L2811" s="17" t="str" cm="1">
        <f t="array" ref="L2811">_xlfn.IFS(MID(K2811,2,2)="01", "서울", MID(K2811,2,2)="02","경기",MID(K2811,2,2)="03","충청",MID(K2811,2,2)="04","충청",MID(K2811,2,2)="05","전라",MID(K2811,2,2)="06","전라",MID(K2811,2,2)="07","경북",MID(K2811,2,2)="08","경남",MID(K2811,2,2)="09","강원",MID(K2811,2,2)="10","제주",TRUE,"국외")</f>
        <v>충청</v>
      </c>
    </row>
    <row r="2812" spans="1:12" ht="17.25" thickBot="1">
      <c r="A2812" s="3" t="s">
        <v>2691</v>
      </c>
      <c r="B2812" s="3" t="s">
        <v>66</v>
      </c>
      <c r="C2812" s="3" t="s">
        <v>218</v>
      </c>
      <c r="D2812" s="4" t="s">
        <v>254</v>
      </c>
      <c r="E2812" s="4" t="s">
        <v>2661</v>
      </c>
      <c r="F2812" s="4">
        <v>1998</v>
      </c>
      <c r="G2812" s="8">
        <v>-0.1</v>
      </c>
      <c r="H2812" s="4" t="s">
        <v>2661</v>
      </c>
      <c r="I2812" s="8">
        <v>-0.4</v>
      </c>
      <c r="J2812" s="3">
        <f>2049</f>
        <v>2049</v>
      </c>
      <c r="K2812" s="3">
        <v>50110</v>
      </c>
      <c r="L2812" s="17" t="str" cm="1">
        <f t="array" ref="L2812">_xlfn.IFS(MID(K2812,2,2)="01", "서울", MID(K2812,2,2)="02","경기",MID(K2812,2,2)="03","충청",MID(K2812,2,2)="04","충청",MID(K2812,2,2)="05","전라",MID(K2812,2,2)="06","전라",MID(K2812,2,2)="07","경북",MID(K2812,2,2)="08","경남",MID(K2812,2,2)="09","강원",MID(K2812,2,2)="10","제주",TRUE,"국외")</f>
        <v>서울</v>
      </c>
    </row>
    <row r="2813" spans="1:12" ht="17.25" thickBot="1">
      <c r="A2813" s="3" t="s">
        <v>2768</v>
      </c>
      <c r="B2813" s="3" t="s">
        <v>1791</v>
      </c>
      <c r="C2813" s="3" t="s">
        <v>122</v>
      </c>
      <c r="D2813" s="4" t="s">
        <v>254</v>
      </c>
      <c r="E2813" s="4" t="s">
        <v>3</v>
      </c>
      <c r="F2813" s="4">
        <v>2002</v>
      </c>
      <c r="G2813" s="9"/>
      <c r="H2813" s="4" t="s">
        <v>18</v>
      </c>
      <c r="I2813" s="8">
        <v>13.6</v>
      </c>
      <c r="J2813" s="3">
        <v>10436</v>
      </c>
      <c r="K2813" s="3">
        <v>50303</v>
      </c>
      <c r="L2813" s="17" t="str" cm="1">
        <f t="array" ref="L2813">_xlfn.IFS(MID(K2813,2,2)="01", "서울", MID(K2813,2,2)="02","경기",MID(K2813,2,2)="03","충청",MID(K2813,2,2)="04","충청",MID(K2813,2,2)="05","전라",MID(K2813,2,2)="06","전라",MID(K2813,2,2)="07","경북",MID(K2813,2,2)="08","경남",MID(K2813,2,2)="09","강원",MID(K2813,2,2)="10","제주",TRUE,"국외")</f>
        <v>충청</v>
      </c>
    </row>
    <row r="2814" spans="1:12" ht="17.25" thickBot="1">
      <c r="A2814" s="3" t="s">
        <v>2769</v>
      </c>
      <c r="B2814" s="3" t="s">
        <v>38</v>
      </c>
      <c r="C2814" s="3" t="s">
        <v>2414</v>
      </c>
      <c r="D2814" s="4" t="s">
        <v>254</v>
      </c>
      <c r="E2814" s="4" t="s">
        <v>20</v>
      </c>
      <c r="F2814" s="4"/>
      <c r="G2814" s="9"/>
      <c r="H2814" s="4"/>
      <c r="I2814" s="9"/>
      <c r="J2814" s="3">
        <v>11446</v>
      </c>
      <c r="K2814" s="3">
        <v>50109</v>
      </c>
      <c r="L2814" s="17" t="str" cm="1">
        <f t="array" ref="L2814">_xlfn.IFS(MID(K2814,2,2)="01", "서울", MID(K2814,2,2)="02","경기",MID(K2814,2,2)="03","충청",MID(K2814,2,2)="04","충청",MID(K2814,2,2)="05","전라",MID(K2814,2,2)="06","전라",MID(K2814,2,2)="07","경북",MID(K2814,2,2)="08","경남",MID(K2814,2,2)="09","강원",MID(K2814,2,2)="10","제주",TRUE,"국외")</f>
        <v>서울</v>
      </c>
    </row>
    <row r="2815" spans="1:12" ht="17.25" thickBot="1">
      <c r="A2815" s="3" t="s">
        <v>2770</v>
      </c>
      <c r="B2815" s="3" t="s">
        <v>8</v>
      </c>
      <c r="C2815" s="3" t="s">
        <v>1743</v>
      </c>
      <c r="D2815" s="4" t="s">
        <v>254</v>
      </c>
      <c r="E2815" s="4" t="s">
        <v>2725</v>
      </c>
      <c r="F2815" s="4">
        <v>2001</v>
      </c>
      <c r="G2815" s="9"/>
      <c r="H2815" s="4" t="s">
        <v>26</v>
      </c>
      <c r="I2815" s="8">
        <v>28.8</v>
      </c>
      <c r="J2815" s="3">
        <v>10219</v>
      </c>
      <c r="K2815" s="3">
        <v>50116</v>
      </c>
      <c r="L2815" s="17" t="str" cm="1">
        <f t="array" ref="L2815">_xlfn.IFS(MID(K2815,2,2)="01", "서울", MID(K2815,2,2)="02","경기",MID(K2815,2,2)="03","충청",MID(K2815,2,2)="04","충청",MID(K2815,2,2)="05","전라",MID(K2815,2,2)="06","전라",MID(K2815,2,2)="07","경북",MID(K2815,2,2)="08","경남",MID(K2815,2,2)="09","강원",MID(K2815,2,2)="10","제주",TRUE,"국외")</f>
        <v>서울</v>
      </c>
    </row>
    <row r="2816" spans="1:12" ht="17.25" thickBot="1">
      <c r="A2816" s="3" t="s">
        <v>2771</v>
      </c>
      <c r="B2816" s="3" t="s">
        <v>93</v>
      </c>
      <c r="C2816" s="3" t="s">
        <v>45</v>
      </c>
      <c r="D2816" s="4" t="s">
        <v>254</v>
      </c>
      <c r="E2816" s="4" t="s">
        <v>23</v>
      </c>
      <c r="F2816" s="4">
        <v>2000</v>
      </c>
      <c r="G2816" s="9"/>
      <c r="H2816" s="4" t="s">
        <v>23</v>
      </c>
      <c r="I2816" s="8">
        <v>0</v>
      </c>
      <c r="J2816" s="3">
        <f>2114</f>
        <v>2114</v>
      </c>
      <c r="K2816" s="3">
        <v>50805</v>
      </c>
      <c r="L2816" s="17" t="str" cm="1">
        <f t="array" ref="L2816">_xlfn.IFS(MID(K2816,2,2)="01", "서울", MID(K2816,2,2)="02","경기",MID(K2816,2,2)="03","충청",MID(K2816,2,2)="04","충청",MID(K2816,2,2)="05","전라",MID(K2816,2,2)="06","전라",MID(K2816,2,2)="07","경북",MID(K2816,2,2)="08","경남",MID(K2816,2,2)="09","강원",MID(K2816,2,2)="10","제주",TRUE,"국외")</f>
        <v>경남</v>
      </c>
    </row>
    <row r="2817" spans="1:12" ht="17.25" thickBot="1">
      <c r="A2817" s="3" t="s">
        <v>2772</v>
      </c>
      <c r="B2817" s="3" t="s">
        <v>1791</v>
      </c>
      <c r="C2817" s="3" t="s">
        <v>99</v>
      </c>
      <c r="D2817" s="4" t="s">
        <v>254</v>
      </c>
      <c r="E2817" s="4" t="s">
        <v>20</v>
      </c>
      <c r="F2817" s="4">
        <v>2002</v>
      </c>
      <c r="G2817" s="9"/>
      <c r="H2817" s="4" t="s">
        <v>3</v>
      </c>
      <c r="I2817" s="8">
        <v>3</v>
      </c>
      <c r="J2817" s="3">
        <v>10579</v>
      </c>
      <c r="K2817" s="3">
        <v>50303</v>
      </c>
      <c r="L2817" s="17" t="str" cm="1">
        <f t="array" ref="L2817">_xlfn.IFS(MID(K2817,2,2)="01", "서울", MID(K2817,2,2)="02","경기",MID(K2817,2,2)="03","충청",MID(K2817,2,2)="04","충청",MID(K2817,2,2)="05","전라",MID(K2817,2,2)="06","전라",MID(K2817,2,2)="07","경북",MID(K2817,2,2)="08","경남",MID(K2817,2,2)="09","강원",MID(K2817,2,2)="10","제주",TRUE,"국외")</f>
        <v>충청</v>
      </c>
    </row>
    <row r="2818" spans="1:12" ht="17.25" thickBot="1">
      <c r="A2818" s="3" t="s">
        <v>2773</v>
      </c>
      <c r="B2818" s="3" t="s">
        <v>36</v>
      </c>
      <c r="C2818" s="3"/>
      <c r="D2818" s="4" t="s">
        <v>254</v>
      </c>
      <c r="E2818" s="4" t="s">
        <v>3</v>
      </c>
      <c r="F2818" s="4">
        <v>2001</v>
      </c>
      <c r="G2818" s="9"/>
      <c r="H2818" s="4" t="s">
        <v>3</v>
      </c>
      <c r="I2818" s="8">
        <v>0</v>
      </c>
      <c r="J2818" s="3">
        <f>2187</f>
        <v>2187</v>
      </c>
      <c r="K2818" s="3">
        <v>50402</v>
      </c>
      <c r="L2818" s="17" t="str" cm="1">
        <f t="array" ref="L2818">_xlfn.IFS(MID(K2818,2,2)="01", "서울", MID(K2818,2,2)="02","경기",MID(K2818,2,2)="03","충청",MID(K2818,2,2)="04","충청",MID(K2818,2,2)="05","전라",MID(K2818,2,2)="06","전라",MID(K2818,2,2)="07","경북",MID(K2818,2,2)="08","경남",MID(K2818,2,2)="09","강원",MID(K2818,2,2)="10","제주",TRUE,"국외")</f>
        <v>충청</v>
      </c>
    </row>
    <row r="2819" spans="1:12" ht="17.25" thickBot="1">
      <c r="A2819" s="3" t="s">
        <v>781</v>
      </c>
      <c r="B2819" s="3" t="s">
        <v>32</v>
      </c>
      <c r="C2819" s="3" t="s">
        <v>174</v>
      </c>
      <c r="D2819" s="4" t="s">
        <v>254</v>
      </c>
      <c r="E2819" s="4" t="s">
        <v>2164</v>
      </c>
      <c r="F2819" s="4">
        <v>1999</v>
      </c>
      <c r="G2819" s="9"/>
      <c r="H2819" s="4" t="s">
        <v>2164</v>
      </c>
      <c r="I2819" s="8">
        <v>0.3</v>
      </c>
      <c r="J2819" s="3">
        <f>2079</f>
        <v>2079</v>
      </c>
      <c r="K2819" s="3">
        <v>50111</v>
      </c>
      <c r="L2819" s="17" t="str" cm="1">
        <f t="array" ref="L2819">_xlfn.IFS(MID(K2819,2,2)="01", "서울", MID(K2819,2,2)="02","경기",MID(K2819,2,2)="03","충청",MID(K2819,2,2)="04","충청",MID(K2819,2,2)="05","전라",MID(K2819,2,2)="06","전라",MID(K2819,2,2)="07","경북",MID(K2819,2,2)="08","경남",MID(K2819,2,2)="09","강원",MID(K2819,2,2)="10","제주",TRUE,"국외")</f>
        <v>서울</v>
      </c>
    </row>
    <row r="2820" spans="1:12" ht="17.25" thickBot="1">
      <c r="A2820" s="3" t="s">
        <v>2774</v>
      </c>
      <c r="B2820" s="3" t="s">
        <v>81</v>
      </c>
      <c r="C2820" s="3" t="s">
        <v>208</v>
      </c>
      <c r="D2820" s="4" t="s">
        <v>181</v>
      </c>
      <c r="E2820" s="4" t="s">
        <v>20</v>
      </c>
      <c r="F2820" s="4">
        <v>1999</v>
      </c>
      <c r="G2820" s="9"/>
      <c r="H2820" s="4" t="s">
        <v>20</v>
      </c>
      <c r="I2820" s="8">
        <v>0</v>
      </c>
      <c r="J2820" s="3">
        <f>2085</f>
        <v>2085</v>
      </c>
      <c r="K2820" s="3">
        <v>50105</v>
      </c>
      <c r="L2820" s="17" t="str" cm="1">
        <f t="array" ref="L2820">_xlfn.IFS(MID(K2820,2,2)="01", "서울", MID(K2820,2,2)="02","경기",MID(K2820,2,2)="03","충청",MID(K2820,2,2)="04","충청",MID(K2820,2,2)="05","전라",MID(K2820,2,2)="06","전라",MID(K2820,2,2)="07","경북",MID(K2820,2,2)="08","경남",MID(K2820,2,2)="09","강원",MID(K2820,2,2)="10","제주",TRUE,"국외")</f>
        <v>서울</v>
      </c>
    </row>
    <row r="2821" spans="1:12" ht="17.25" thickBot="1">
      <c r="A2821" s="3" t="s">
        <v>2775</v>
      </c>
      <c r="B2821" s="3" t="s">
        <v>66</v>
      </c>
      <c r="C2821" s="3"/>
      <c r="D2821" s="4" t="s">
        <v>1777</v>
      </c>
      <c r="E2821" s="4" t="s">
        <v>2725</v>
      </c>
      <c r="F2821" s="4">
        <v>1998</v>
      </c>
      <c r="G2821" s="8">
        <v>-0.1</v>
      </c>
      <c r="H2821" s="4" t="s">
        <v>2725</v>
      </c>
      <c r="I2821" s="8">
        <v>-0.1</v>
      </c>
      <c r="J2821" s="3">
        <f>2022</f>
        <v>2022</v>
      </c>
      <c r="K2821" s="3">
        <v>50110</v>
      </c>
      <c r="L2821" s="17" t="str" cm="1">
        <f t="array" ref="L2821">_xlfn.IFS(MID(K2821,2,2)="01", "서울", MID(K2821,2,2)="02","경기",MID(K2821,2,2)="03","충청",MID(K2821,2,2)="04","충청",MID(K2821,2,2)="05","전라",MID(K2821,2,2)="06","전라",MID(K2821,2,2)="07","경북",MID(K2821,2,2)="08","경남",MID(K2821,2,2)="09","강원",MID(K2821,2,2)="10","제주",TRUE,"국외")</f>
        <v>서울</v>
      </c>
    </row>
    <row r="2822" spans="1:12" ht="17.25" thickBot="1">
      <c r="A2822" s="3" t="s">
        <v>2776</v>
      </c>
      <c r="B2822" s="3" t="s">
        <v>107</v>
      </c>
      <c r="C2822" s="3" t="s">
        <v>172</v>
      </c>
      <c r="D2822" s="4" t="s">
        <v>1777</v>
      </c>
      <c r="E2822" s="4" t="s">
        <v>2164</v>
      </c>
      <c r="F2822" s="4">
        <v>2000</v>
      </c>
      <c r="G2822" s="9"/>
      <c r="H2822" s="4" t="s">
        <v>2164</v>
      </c>
      <c r="I2822" s="8">
        <v>0</v>
      </c>
      <c r="J2822" s="3">
        <f>2113</f>
        <v>2113</v>
      </c>
      <c r="K2822" s="3">
        <v>50602</v>
      </c>
      <c r="L2822" s="17" t="str" cm="1">
        <f t="array" ref="L2822">_xlfn.IFS(MID(K2822,2,2)="01", "서울", MID(K2822,2,2)="02","경기",MID(K2822,2,2)="03","충청",MID(K2822,2,2)="04","충청",MID(K2822,2,2)="05","전라",MID(K2822,2,2)="06","전라",MID(K2822,2,2)="07","경북",MID(K2822,2,2)="08","경남",MID(K2822,2,2)="09","강원",MID(K2822,2,2)="10","제주",TRUE,"국외")</f>
        <v>전라</v>
      </c>
    </row>
    <row r="2823" spans="1:12" ht="17.25" thickBot="1">
      <c r="A2823" s="3" t="s">
        <v>2777</v>
      </c>
      <c r="B2823" s="3" t="s">
        <v>66</v>
      </c>
      <c r="C2823" s="3"/>
      <c r="D2823" s="4" t="s">
        <v>1777</v>
      </c>
      <c r="E2823" s="4" t="s">
        <v>2164</v>
      </c>
      <c r="F2823" s="4">
        <v>1998</v>
      </c>
      <c r="G2823" s="8">
        <v>0</v>
      </c>
      <c r="H2823" s="4" t="s">
        <v>2164</v>
      </c>
      <c r="I2823" s="8">
        <v>0</v>
      </c>
      <c r="J2823" s="3">
        <f>2037</f>
        <v>2037</v>
      </c>
      <c r="K2823" s="3">
        <v>50110</v>
      </c>
      <c r="L2823" s="17" t="str" cm="1">
        <f t="array" ref="L2823">_xlfn.IFS(MID(K2823,2,2)="01", "서울", MID(K2823,2,2)="02","경기",MID(K2823,2,2)="03","충청",MID(K2823,2,2)="04","충청",MID(K2823,2,2)="05","전라",MID(K2823,2,2)="06","전라",MID(K2823,2,2)="07","경북",MID(K2823,2,2)="08","경남",MID(K2823,2,2)="09","강원",MID(K2823,2,2)="10","제주",TRUE,"국외")</f>
        <v>서울</v>
      </c>
    </row>
    <row r="2824" spans="1:12" ht="17.25" thickBot="1">
      <c r="A2824" s="3" t="s">
        <v>2778</v>
      </c>
      <c r="B2824" s="3" t="s">
        <v>81</v>
      </c>
      <c r="C2824" s="3"/>
      <c r="D2824" s="4" t="s">
        <v>2710</v>
      </c>
      <c r="E2824" s="4" t="s">
        <v>20</v>
      </c>
      <c r="F2824" s="4">
        <v>1999</v>
      </c>
      <c r="G2824" s="9"/>
      <c r="H2824" s="4" t="s">
        <v>20</v>
      </c>
      <c r="I2824" s="8">
        <v>-0.2</v>
      </c>
      <c r="J2824" s="3">
        <f>2082</f>
        <v>2082</v>
      </c>
      <c r="K2824" s="3">
        <v>50105</v>
      </c>
      <c r="L2824" s="17" t="str" cm="1">
        <f t="array" ref="L2824">_xlfn.IFS(MID(K2824,2,2)="01", "서울", MID(K2824,2,2)="02","경기",MID(K2824,2,2)="03","충청",MID(K2824,2,2)="04","충청",MID(K2824,2,2)="05","전라",MID(K2824,2,2)="06","전라",MID(K2824,2,2)="07","경북",MID(K2824,2,2)="08","경남",MID(K2824,2,2)="09","강원",MID(K2824,2,2)="10","제주",TRUE,"국외")</f>
        <v>서울</v>
      </c>
    </row>
    <row r="2825" spans="1:12" ht="17.25" thickBot="1">
      <c r="A2825" s="3" t="s">
        <v>2779</v>
      </c>
      <c r="B2825" s="3" t="s">
        <v>145</v>
      </c>
      <c r="C2825" s="3"/>
      <c r="D2825" s="4" t="s">
        <v>2710</v>
      </c>
      <c r="E2825" s="4" t="s">
        <v>2725</v>
      </c>
      <c r="F2825" s="4">
        <v>1999</v>
      </c>
      <c r="G2825" s="9"/>
      <c r="H2825" s="4" t="s">
        <v>26</v>
      </c>
      <c r="I2825" s="8">
        <v>-0.1</v>
      </c>
      <c r="J2825" s="3">
        <f>2077</f>
        <v>2077</v>
      </c>
      <c r="K2825" s="3">
        <v>50106</v>
      </c>
      <c r="L2825" s="17" t="str" cm="1">
        <f t="array" ref="L2825">_xlfn.IFS(MID(K2825,2,2)="01", "서울", MID(K2825,2,2)="02","경기",MID(K2825,2,2)="03","충청",MID(K2825,2,2)="04","충청",MID(K2825,2,2)="05","전라",MID(K2825,2,2)="06","전라",MID(K2825,2,2)="07","경북",MID(K2825,2,2)="08","경남",MID(K2825,2,2)="09","강원",MID(K2825,2,2)="10","제주",TRUE,"국외")</f>
        <v>서울</v>
      </c>
    </row>
    <row r="2826" spans="1:12" ht="17.25" thickBot="1">
      <c r="A2826" s="3" t="s">
        <v>2780</v>
      </c>
      <c r="B2826" s="3" t="s">
        <v>81</v>
      </c>
      <c r="C2826" s="3"/>
      <c r="D2826" s="4" t="s">
        <v>2710</v>
      </c>
      <c r="E2826" s="4" t="s">
        <v>2725</v>
      </c>
      <c r="F2826" s="4">
        <v>1999</v>
      </c>
      <c r="G2826" s="9"/>
      <c r="H2826" s="4" t="s">
        <v>26</v>
      </c>
      <c r="I2826" s="8">
        <v>-0.6</v>
      </c>
      <c r="J2826" s="3">
        <f>2105</f>
        <v>2105</v>
      </c>
      <c r="K2826" s="3">
        <v>50105</v>
      </c>
      <c r="L2826" s="17" t="str" cm="1">
        <f t="array" ref="L2826">_xlfn.IFS(MID(K2826,2,2)="01", "서울", MID(K2826,2,2)="02","경기",MID(K2826,2,2)="03","충청",MID(K2826,2,2)="04","충청",MID(K2826,2,2)="05","전라",MID(K2826,2,2)="06","전라",MID(K2826,2,2)="07","경북",MID(K2826,2,2)="08","경남",MID(K2826,2,2)="09","강원",MID(K2826,2,2)="10","제주",TRUE,"국외")</f>
        <v>서울</v>
      </c>
    </row>
    <row r="2827" spans="1:12" ht="17.25" thickBot="1">
      <c r="A2827" s="3" t="s">
        <v>2781</v>
      </c>
      <c r="B2827" s="3" t="s">
        <v>52</v>
      </c>
      <c r="C2827" s="3"/>
      <c r="D2827" s="4" t="s">
        <v>2710</v>
      </c>
      <c r="E2827" s="4" t="s">
        <v>9</v>
      </c>
      <c r="F2827" s="4">
        <v>1998</v>
      </c>
      <c r="G2827" s="8">
        <v>-0.1</v>
      </c>
      <c r="H2827" s="4" t="s">
        <v>9</v>
      </c>
      <c r="I2827" s="8">
        <v>0.5</v>
      </c>
      <c r="J2827" s="3">
        <f>2050</f>
        <v>2050</v>
      </c>
      <c r="K2827" s="3">
        <v>50803</v>
      </c>
      <c r="L2827" s="17" t="str" cm="1">
        <f t="array" ref="L2827">_xlfn.IFS(MID(K2827,2,2)="01", "서울", MID(K2827,2,2)="02","경기",MID(K2827,2,2)="03","충청",MID(K2827,2,2)="04","충청",MID(K2827,2,2)="05","전라",MID(K2827,2,2)="06","전라",MID(K2827,2,2)="07","경북",MID(K2827,2,2)="08","경남",MID(K2827,2,2)="09","강원",MID(K2827,2,2)="10","제주",TRUE,"국외")</f>
        <v>경남</v>
      </c>
    </row>
    <row r="2828" spans="1:12" ht="17.25" thickBot="1">
      <c r="A2828" s="3" t="s">
        <v>465</v>
      </c>
      <c r="B2828" s="3" t="s">
        <v>11</v>
      </c>
      <c r="C2828" s="3" t="s">
        <v>1347</v>
      </c>
      <c r="D2828" s="4" t="s">
        <v>2710</v>
      </c>
      <c r="E2828" s="4" t="s">
        <v>9</v>
      </c>
      <c r="F2828" s="4">
        <v>1998</v>
      </c>
      <c r="G2828" s="8">
        <v>0</v>
      </c>
      <c r="H2828" s="4" t="s">
        <v>26</v>
      </c>
      <c r="I2828" s="8">
        <v>-0.7</v>
      </c>
      <c r="J2828" s="3">
        <v>10164</v>
      </c>
      <c r="K2828" s="3">
        <v>50802</v>
      </c>
      <c r="L2828" s="17" t="str" cm="1">
        <f t="array" ref="L2828">_xlfn.IFS(MID(K2828,2,2)="01", "서울", MID(K2828,2,2)="02","경기",MID(K2828,2,2)="03","충청",MID(K2828,2,2)="04","충청",MID(K2828,2,2)="05","전라",MID(K2828,2,2)="06","전라",MID(K2828,2,2)="07","경북",MID(K2828,2,2)="08","경남",MID(K2828,2,2)="09","강원",MID(K2828,2,2)="10","제주",TRUE,"국외")</f>
        <v>경남</v>
      </c>
    </row>
    <row r="2829" spans="1:12" ht="17.25" thickBot="1">
      <c r="A2829" s="3" t="s">
        <v>2782</v>
      </c>
      <c r="B2829" s="3" t="s">
        <v>14</v>
      </c>
      <c r="C2829" s="3"/>
      <c r="D2829" s="4" t="s">
        <v>2710</v>
      </c>
      <c r="E2829" s="4" t="s">
        <v>23</v>
      </c>
      <c r="F2829" s="4">
        <v>1998</v>
      </c>
      <c r="G2829" s="8">
        <v>2.8</v>
      </c>
      <c r="H2829" s="4" t="s">
        <v>23</v>
      </c>
      <c r="I2829" s="8">
        <v>15</v>
      </c>
      <c r="J2829" s="3">
        <v>10357</v>
      </c>
      <c r="K2829" s="3">
        <v>50703</v>
      </c>
      <c r="L2829" s="17" t="str" cm="1">
        <f t="array" ref="L2829">_xlfn.IFS(MID(K2829,2,2)="01", "서울", MID(K2829,2,2)="02","경기",MID(K2829,2,2)="03","충청",MID(K2829,2,2)="04","충청",MID(K2829,2,2)="05","전라",MID(K2829,2,2)="06","전라",MID(K2829,2,2)="07","경북",MID(K2829,2,2)="08","경남",MID(K2829,2,2)="09","강원",MID(K2829,2,2)="10","제주",TRUE,"국외")</f>
        <v>경북</v>
      </c>
    </row>
    <row r="2830" spans="1:12" ht="17.25" thickBot="1">
      <c r="A2830" s="3" t="s">
        <v>2783</v>
      </c>
      <c r="B2830" s="3" t="s">
        <v>2524</v>
      </c>
      <c r="C2830" s="3" t="s">
        <v>211</v>
      </c>
      <c r="D2830" s="4" t="s">
        <v>2710</v>
      </c>
      <c r="E2830" s="4" t="s">
        <v>23</v>
      </c>
      <c r="F2830" s="4">
        <v>2002</v>
      </c>
      <c r="G2830" s="9"/>
      <c r="H2830" s="4" t="s">
        <v>23</v>
      </c>
      <c r="I2830" s="8">
        <v>-0.2</v>
      </c>
      <c r="J2830" s="3">
        <f>2239</f>
        <v>2239</v>
      </c>
      <c r="K2830" s="3">
        <v>50711</v>
      </c>
      <c r="L2830" s="17" t="str" cm="1">
        <f t="array" ref="L2830">_xlfn.IFS(MID(K2830,2,2)="01", "서울", MID(K2830,2,2)="02","경기",MID(K2830,2,2)="03","충청",MID(K2830,2,2)="04","충청",MID(K2830,2,2)="05","전라",MID(K2830,2,2)="06","전라",MID(K2830,2,2)="07","경북",MID(K2830,2,2)="08","경남",MID(K2830,2,2)="09","강원",MID(K2830,2,2)="10","제주",TRUE,"국외")</f>
        <v>경북</v>
      </c>
    </row>
    <row r="2831" spans="1:12" ht="17.25" thickBot="1">
      <c r="A2831" s="3" t="s">
        <v>2784</v>
      </c>
      <c r="B2831" s="3" t="s">
        <v>42</v>
      </c>
      <c r="C2831" s="3" t="s">
        <v>221</v>
      </c>
      <c r="D2831" s="4" t="s">
        <v>2710</v>
      </c>
      <c r="E2831" s="4" t="s">
        <v>2661</v>
      </c>
      <c r="F2831" s="4">
        <v>2002</v>
      </c>
      <c r="G2831" s="9"/>
      <c r="H2831" s="4" t="s">
        <v>607</v>
      </c>
      <c r="I2831" s="8">
        <v>-0.3</v>
      </c>
      <c r="J2831" s="3">
        <f>2236</f>
        <v>2236</v>
      </c>
      <c r="K2831" s="3">
        <v>50502</v>
      </c>
      <c r="L2831" s="17" t="str" cm="1">
        <f t="array" ref="L2831">_xlfn.IFS(MID(K2831,2,2)="01", "서울", MID(K2831,2,2)="02","경기",MID(K2831,2,2)="03","충청",MID(K2831,2,2)="04","충청",MID(K2831,2,2)="05","전라",MID(K2831,2,2)="06","전라",MID(K2831,2,2)="07","경북",MID(K2831,2,2)="08","경남",MID(K2831,2,2)="09","강원",MID(K2831,2,2)="10","제주",TRUE,"국외")</f>
        <v>전라</v>
      </c>
    </row>
    <row r="2832" spans="1:12" ht="17.25" thickBot="1">
      <c r="A2832" s="3" t="s">
        <v>895</v>
      </c>
      <c r="B2832" s="3" t="s">
        <v>25</v>
      </c>
      <c r="C2832" s="3" t="s">
        <v>218</v>
      </c>
      <c r="D2832" s="4" t="s">
        <v>2710</v>
      </c>
      <c r="E2832" s="4" t="s">
        <v>3</v>
      </c>
      <c r="F2832" s="4">
        <v>2002</v>
      </c>
      <c r="G2832" s="9"/>
      <c r="H2832" s="4" t="s">
        <v>3</v>
      </c>
      <c r="I2832" s="8">
        <v>0.2</v>
      </c>
      <c r="J2832" s="3">
        <f>2245</f>
        <v>2245</v>
      </c>
      <c r="K2832" s="3">
        <v>50403</v>
      </c>
      <c r="L2832" s="17" t="str" cm="1">
        <f t="array" ref="L2832">_xlfn.IFS(MID(K2832,2,2)="01", "서울", MID(K2832,2,2)="02","경기",MID(K2832,2,2)="03","충청",MID(K2832,2,2)="04","충청",MID(K2832,2,2)="05","전라",MID(K2832,2,2)="06","전라",MID(K2832,2,2)="07","경북",MID(K2832,2,2)="08","경남",MID(K2832,2,2)="09","강원",MID(K2832,2,2)="10","제주",TRUE,"국외")</f>
        <v>충청</v>
      </c>
    </row>
    <row r="2833" spans="1:12" ht="17.25" thickBot="1">
      <c r="A2833" s="3" t="s">
        <v>2785</v>
      </c>
      <c r="B2833" s="3" t="s">
        <v>169</v>
      </c>
      <c r="C2833" s="3" t="s">
        <v>739</v>
      </c>
      <c r="D2833" s="4" t="s">
        <v>2710</v>
      </c>
      <c r="E2833" s="4" t="s">
        <v>2523</v>
      </c>
      <c r="F2833" s="4">
        <v>2002</v>
      </c>
      <c r="G2833" s="9"/>
      <c r="H2833" s="4" t="s">
        <v>6</v>
      </c>
      <c r="I2833" s="8">
        <v>3.8</v>
      </c>
      <c r="J2833" s="3">
        <v>10497</v>
      </c>
      <c r="K2833" s="3">
        <v>50606</v>
      </c>
      <c r="L2833" s="17" t="str" cm="1">
        <f t="array" ref="L2833">_xlfn.IFS(MID(K2833,2,2)="01", "서울", MID(K2833,2,2)="02","경기",MID(K2833,2,2)="03","충청",MID(K2833,2,2)="04","충청",MID(K2833,2,2)="05","전라",MID(K2833,2,2)="06","전라",MID(K2833,2,2)="07","경북",MID(K2833,2,2)="08","경남",MID(K2833,2,2)="09","강원",MID(K2833,2,2)="10","제주",TRUE,"국외")</f>
        <v>전라</v>
      </c>
    </row>
    <row r="2834" spans="1:12" ht="17.25" thickBot="1">
      <c r="A2834" s="3" t="s">
        <v>2786</v>
      </c>
      <c r="B2834" s="3" t="s">
        <v>241</v>
      </c>
      <c r="C2834" s="3" t="s">
        <v>133</v>
      </c>
      <c r="D2834" s="4" t="s">
        <v>2710</v>
      </c>
      <c r="E2834" s="4" t="s">
        <v>2164</v>
      </c>
      <c r="F2834" s="4">
        <v>2002</v>
      </c>
      <c r="G2834" s="9"/>
      <c r="H2834" s="4" t="s">
        <v>2164</v>
      </c>
      <c r="I2834" s="8">
        <v>5.6</v>
      </c>
      <c r="J2834" s="3">
        <v>10385</v>
      </c>
      <c r="K2834" s="3">
        <v>50202</v>
      </c>
      <c r="L2834" s="17" t="str" cm="1">
        <f t="array" ref="L2834">_xlfn.IFS(MID(K2834,2,2)="01", "서울", MID(K2834,2,2)="02","경기",MID(K2834,2,2)="03","충청",MID(K2834,2,2)="04","충청",MID(K2834,2,2)="05","전라",MID(K2834,2,2)="06","전라",MID(K2834,2,2)="07","경북",MID(K2834,2,2)="08","경남",MID(K2834,2,2)="09","강원",MID(K2834,2,2)="10","제주",TRUE,"국외")</f>
        <v>경기</v>
      </c>
    </row>
    <row r="2835" spans="1:12" ht="17.25" thickBot="1">
      <c r="A2835" s="3" t="s">
        <v>2787</v>
      </c>
      <c r="B2835" s="3" t="s">
        <v>22</v>
      </c>
      <c r="C2835" s="3"/>
      <c r="D2835" s="4" t="s">
        <v>2710</v>
      </c>
      <c r="E2835" s="4" t="s">
        <v>2164</v>
      </c>
      <c r="F2835" s="4">
        <v>1998</v>
      </c>
      <c r="G2835" s="8">
        <v>5.2</v>
      </c>
      <c r="H2835" s="4" t="s">
        <v>2164</v>
      </c>
      <c r="I2835" s="8">
        <v>28.9</v>
      </c>
      <c r="J2835" s="3">
        <v>10430</v>
      </c>
      <c r="K2835" s="3">
        <v>50209</v>
      </c>
      <c r="L2835" s="17" t="str" cm="1">
        <f t="array" ref="L2835">_xlfn.IFS(MID(K2835,2,2)="01", "서울", MID(K2835,2,2)="02","경기",MID(K2835,2,2)="03","충청",MID(K2835,2,2)="04","충청",MID(K2835,2,2)="05","전라",MID(K2835,2,2)="06","전라",MID(K2835,2,2)="07","경북",MID(K2835,2,2)="08","경남",MID(K2835,2,2)="09","강원",MID(K2835,2,2)="10","제주",TRUE,"국외")</f>
        <v>경기</v>
      </c>
    </row>
    <row r="2836" spans="1:12" ht="17.25" thickBot="1">
      <c r="A2836" s="3" t="s">
        <v>2788</v>
      </c>
      <c r="B2836" s="3" t="s">
        <v>1834</v>
      </c>
      <c r="C2836" s="3" t="s">
        <v>133</v>
      </c>
      <c r="D2836" s="4" t="s">
        <v>2710</v>
      </c>
      <c r="E2836" s="4" t="s">
        <v>2164</v>
      </c>
      <c r="F2836" s="4">
        <v>2002</v>
      </c>
      <c r="G2836" s="9"/>
      <c r="H2836" s="4" t="s">
        <v>2164</v>
      </c>
      <c r="I2836" s="8">
        <v>2.1</v>
      </c>
      <c r="J2836" s="3">
        <v>10446</v>
      </c>
      <c r="K2836" s="3">
        <v>50904</v>
      </c>
      <c r="L2836" s="17" t="str" cm="1">
        <f t="array" ref="L2836">_xlfn.IFS(MID(K2836,2,2)="01", "서울", MID(K2836,2,2)="02","경기",MID(K2836,2,2)="03","충청",MID(K2836,2,2)="04","충청",MID(K2836,2,2)="05","전라",MID(K2836,2,2)="06","전라",MID(K2836,2,2)="07","경북",MID(K2836,2,2)="08","경남",MID(K2836,2,2)="09","강원",MID(K2836,2,2)="10","제주",TRUE,"국외")</f>
        <v>강원</v>
      </c>
    </row>
    <row r="2837" spans="1:12" ht="17.25" thickBot="1">
      <c r="A2837" s="3" t="s">
        <v>2789</v>
      </c>
      <c r="B2837" s="3" t="s">
        <v>107</v>
      </c>
      <c r="C2837" s="3" t="s">
        <v>83</v>
      </c>
      <c r="D2837" s="4" t="s">
        <v>2710</v>
      </c>
      <c r="E2837" s="4" t="s">
        <v>2523</v>
      </c>
      <c r="F2837" s="4">
        <v>2002</v>
      </c>
      <c r="G2837" s="9"/>
      <c r="H2837" s="4" t="s">
        <v>6</v>
      </c>
      <c r="I2837" s="8">
        <v>12.1</v>
      </c>
      <c r="J2837" s="3">
        <v>10022</v>
      </c>
      <c r="K2837" s="3">
        <v>50602</v>
      </c>
      <c r="L2837" s="17" t="str" cm="1">
        <f t="array" ref="L2837">_xlfn.IFS(MID(K2837,2,2)="01", "서울", MID(K2837,2,2)="02","경기",MID(K2837,2,2)="03","충청",MID(K2837,2,2)="04","충청",MID(K2837,2,2)="05","전라",MID(K2837,2,2)="06","전라",MID(K2837,2,2)="07","경북",MID(K2837,2,2)="08","경남",MID(K2837,2,2)="09","강원",MID(K2837,2,2)="10","제주",TRUE,"국외")</f>
        <v>전라</v>
      </c>
    </row>
    <row r="2838" spans="1:12" ht="17.25" thickBot="1">
      <c r="A2838" s="3" t="s">
        <v>2790</v>
      </c>
      <c r="B2838" s="3" t="s">
        <v>8</v>
      </c>
      <c r="C2838" s="3" t="s">
        <v>208</v>
      </c>
      <c r="D2838" s="4" t="s">
        <v>2710</v>
      </c>
      <c r="E2838" s="4" t="s">
        <v>2725</v>
      </c>
      <c r="F2838" s="4">
        <v>2002</v>
      </c>
      <c r="G2838" s="9"/>
      <c r="H2838" s="4" t="s">
        <v>26</v>
      </c>
      <c r="I2838" s="8">
        <v>1</v>
      </c>
      <c r="J2838" s="3">
        <v>10191</v>
      </c>
      <c r="K2838" s="3">
        <v>50116</v>
      </c>
      <c r="L2838" s="17" t="str" cm="1">
        <f t="array" ref="L2838">_xlfn.IFS(MID(K2838,2,2)="01", "서울", MID(K2838,2,2)="02","경기",MID(K2838,2,2)="03","충청",MID(K2838,2,2)="04","충청",MID(K2838,2,2)="05","전라",MID(K2838,2,2)="06","전라",MID(K2838,2,2)="07","경북",MID(K2838,2,2)="08","경남",MID(K2838,2,2)="09","강원",MID(K2838,2,2)="10","제주",TRUE,"국외")</f>
        <v>서울</v>
      </c>
    </row>
    <row r="2839" spans="1:12" ht="17.25" thickBot="1">
      <c r="A2839" s="3" t="s">
        <v>155</v>
      </c>
      <c r="B2839" s="3" t="s">
        <v>36</v>
      </c>
      <c r="C2839" s="3"/>
      <c r="D2839" s="4" t="s">
        <v>2710</v>
      </c>
      <c r="E2839" s="4" t="s">
        <v>3</v>
      </c>
      <c r="F2839" s="4">
        <v>1998</v>
      </c>
      <c r="G2839" s="8">
        <v>0.1</v>
      </c>
      <c r="H2839" s="4" t="s">
        <v>20</v>
      </c>
      <c r="I2839" s="8">
        <v>-1.9</v>
      </c>
      <c r="J2839" s="3">
        <v>10766</v>
      </c>
      <c r="K2839" s="3">
        <v>50402</v>
      </c>
      <c r="L2839" s="17" t="str" cm="1">
        <f t="array" ref="L2839">_xlfn.IFS(MID(K2839,2,2)="01", "서울", MID(K2839,2,2)="02","경기",MID(K2839,2,2)="03","충청",MID(K2839,2,2)="04","충청",MID(K2839,2,2)="05","전라",MID(K2839,2,2)="06","전라",MID(K2839,2,2)="07","경북",MID(K2839,2,2)="08","경남",MID(K2839,2,2)="09","강원",MID(K2839,2,2)="10","제주",TRUE,"국외")</f>
        <v>충청</v>
      </c>
    </row>
    <row r="2840" spans="1:12" ht="17.25" thickBot="1">
      <c r="A2840" s="3" t="s">
        <v>2791</v>
      </c>
      <c r="B2840" s="3" t="s">
        <v>8</v>
      </c>
      <c r="C2840" s="3" t="s">
        <v>45</v>
      </c>
      <c r="D2840" s="4" t="s">
        <v>2710</v>
      </c>
      <c r="E2840" s="4" t="s">
        <v>20</v>
      </c>
      <c r="F2840" s="4">
        <v>2002</v>
      </c>
      <c r="G2840" s="9"/>
      <c r="H2840" s="4" t="s">
        <v>20</v>
      </c>
      <c r="I2840" s="8">
        <v>54.1</v>
      </c>
      <c r="J2840" s="3">
        <v>10485</v>
      </c>
      <c r="K2840" s="3">
        <v>50116</v>
      </c>
      <c r="L2840" s="17" t="str" cm="1">
        <f t="array" ref="L2840">_xlfn.IFS(MID(K2840,2,2)="01", "서울", MID(K2840,2,2)="02","경기",MID(K2840,2,2)="03","충청",MID(K2840,2,2)="04","충청",MID(K2840,2,2)="05","전라",MID(K2840,2,2)="06","전라",MID(K2840,2,2)="07","경북",MID(K2840,2,2)="08","경남",MID(K2840,2,2)="09","강원",MID(K2840,2,2)="10","제주",TRUE,"국외")</f>
        <v>서울</v>
      </c>
    </row>
    <row r="2841" spans="1:12" ht="17.25" thickBot="1">
      <c r="A2841" s="3" t="s">
        <v>1769</v>
      </c>
      <c r="B2841" s="3"/>
      <c r="C2841" s="3"/>
      <c r="D2841" s="4" t="s">
        <v>2715</v>
      </c>
      <c r="E2841" s="4" t="s">
        <v>3</v>
      </c>
      <c r="F2841" s="4">
        <v>1998</v>
      </c>
      <c r="G2841" s="8">
        <v>-1.2</v>
      </c>
      <c r="H2841" s="4" t="s">
        <v>3</v>
      </c>
      <c r="I2841" s="8">
        <v>-1.2</v>
      </c>
      <c r="J2841" s="3">
        <f>2025</f>
        <v>2025</v>
      </c>
      <c r="K2841" s="3"/>
      <c r="L2841" s="17" t="str" cm="1">
        <f t="array" ref="L2841">_xlfn.IFS(MID(K2841,2,2)="01", "서울", MID(K2841,2,2)="02","경기",MID(K2841,2,2)="03","충청",MID(K2841,2,2)="04","충청",MID(K2841,2,2)="05","전라",MID(K2841,2,2)="06","전라",MID(K2841,2,2)="07","경북",MID(K2841,2,2)="08","경남",MID(K2841,2,2)="09","강원",MID(K2841,2,2)="10","제주",TRUE,"국외")</f>
        <v>국외</v>
      </c>
    </row>
    <row r="2842" spans="1:12" ht="17.25" thickBot="1">
      <c r="A2842" s="3" t="s">
        <v>2792</v>
      </c>
      <c r="B2842" s="3"/>
      <c r="C2842" s="3"/>
      <c r="D2842" s="4" t="s">
        <v>2715</v>
      </c>
      <c r="E2842" s="4" t="s">
        <v>2523</v>
      </c>
      <c r="F2842" s="4">
        <v>1998</v>
      </c>
      <c r="G2842" s="8">
        <v>-0.6</v>
      </c>
      <c r="H2842" s="4" t="s">
        <v>2523</v>
      </c>
      <c r="I2842" s="8">
        <v>-0.6</v>
      </c>
      <c r="J2842" s="3">
        <f>2045</f>
        <v>2045</v>
      </c>
      <c r="K2842" s="3"/>
      <c r="L2842" s="17" t="str" cm="1">
        <f t="array" ref="L2842">_xlfn.IFS(MID(K2842,2,2)="01", "서울", MID(K2842,2,2)="02","경기",MID(K2842,2,2)="03","충청",MID(K2842,2,2)="04","충청",MID(K2842,2,2)="05","전라",MID(K2842,2,2)="06","전라",MID(K2842,2,2)="07","경북",MID(K2842,2,2)="08","경남",MID(K2842,2,2)="09","강원",MID(K2842,2,2)="10","제주",TRUE,"국외")</f>
        <v>국외</v>
      </c>
    </row>
    <row r="2843" spans="1:12" ht="17.25" thickBot="1">
      <c r="A2843" s="3" t="s">
        <v>2793</v>
      </c>
      <c r="B2843" s="3"/>
      <c r="C2843" s="3"/>
      <c r="D2843" s="4" t="s">
        <v>2715</v>
      </c>
      <c r="E2843" s="4" t="s">
        <v>3</v>
      </c>
      <c r="F2843" s="4">
        <v>1998</v>
      </c>
      <c r="G2843" s="8">
        <v>4</v>
      </c>
      <c r="H2843" s="4" t="s">
        <v>3</v>
      </c>
      <c r="I2843" s="8">
        <v>4</v>
      </c>
      <c r="J2843" s="3">
        <f>2041</f>
        <v>2041</v>
      </c>
      <c r="K2843" s="3"/>
      <c r="L2843" s="17" t="str" cm="1">
        <f t="array" ref="L2843">_xlfn.IFS(MID(K2843,2,2)="01", "서울", MID(K2843,2,2)="02","경기",MID(K2843,2,2)="03","충청",MID(K2843,2,2)="04","충청",MID(K2843,2,2)="05","전라",MID(K2843,2,2)="06","전라",MID(K2843,2,2)="07","경북",MID(K2843,2,2)="08","경남",MID(K2843,2,2)="09","강원",MID(K2843,2,2)="10","제주",TRUE,"국외")</f>
        <v>국외</v>
      </c>
    </row>
    <row r="2844" spans="1:12" ht="17.25" thickBot="1">
      <c r="A2844" s="3" t="s">
        <v>182</v>
      </c>
      <c r="B2844" s="3"/>
      <c r="C2844" s="3" t="s">
        <v>558</v>
      </c>
      <c r="D2844" s="4" t="s">
        <v>2715</v>
      </c>
      <c r="E2844" s="4" t="s">
        <v>20</v>
      </c>
      <c r="F2844" s="4">
        <v>1998</v>
      </c>
      <c r="G2844" s="8">
        <v>0.7</v>
      </c>
      <c r="H2844" s="4" t="s">
        <v>20</v>
      </c>
      <c r="I2844" s="8">
        <v>0.4</v>
      </c>
      <c r="J2844" s="3">
        <f>2055</f>
        <v>2055</v>
      </c>
      <c r="K2844" s="3"/>
      <c r="L2844" s="17" t="str" cm="1">
        <f t="array" ref="L2844">_xlfn.IFS(MID(K2844,2,2)="01", "서울", MID(K2844,2,2)="02","경기",MID(K2844,2,2)="03","충청",MID(K2844,2,2)="04","충청",MID(K2844,2,2)="05","전라",MID(K2844,2,2)="06","전라",MID(K2844,2,2)="07","경북",MID(K2844,2,2)="08","경남",MID(K2844,2,2)="09","강원",MID(K2844,2,2)="10","제주",TRUE,"국외")</f>
        <v>국외</v>
      </c>
    </row>
    <row r="2845" spans="1:12" ht="17.25" thickBot="1">
      <c r="A2845" s="3" t="s">
        <v>2794</v>
      </c>
      <c r="B2845" s="3"/>
      <c r="C2845" s="3"/>
      <c r="D2845" s="4" t="s">
        <v>2715</v>
      </c>
      <c r="E2845" s="4" t="s">
        <v>2725</v>
      </c>
      <c r="F2845" s="4">
        <v>1998</v>
      </c>
      <c r="G2845" s="8">
        <v>1.2</v>
      </c>
      <c r="H2845" s="4" t="s">
        <v>2725</v>
      </c>
      <c r="I2845" s="8">
        <v>1.2</v>
      </c>
      <c r="J2845" s="3">
        <f>2042</f>
        <v>2042</v>
      </c>
      <c r="K2845" s="3"/>
      <c r="L2845" s="17" t="str" cm="1">
        <f t="array" ref="L2845">_xlfn.IFS(MID(K2845,2,2)="01", "서울", MID(K2845,2,2)="02","경기",MID(K2845,2,2)="03","충청",MID(K2845,2,2)="04","충청",MID(K2845,2,2)="05","전라",MID(K2845,2,2)="06","전라",MID(K2845,2,2)="07","경북",MID(K2845,2,2)="08","경남",MID(K2845,2,2)="09","강원",MID(K2845,2,2)="10","제주",TRUE,"국외")</f>
        <v>국외</v>
      </c>
    </row>
    <row r="2846" spans="1:12" ht="17.25" thickBot="1">
      <c r="A2846" s="3" t="s">
        <v>2795</v>
      </c>
      <c r="B2846" s="3"/>
      <c r="C2846" s="3"/>
      <c r="D2846" s="4" t="s">
        <v>2715</v>
      </c>
      <c r="E2846" s="4" t="s">
        <v>23</v>
      </c>
      <c r="F2846" s="4">
        <v>1998</v>
      </c>
      <c r="G2846" s="8">
        <v>2.7</v>
      </c>
      <c r="H2846" s="4" t="s">
        <v>23</v>
      </c>
      <c r="I2846" s="8">
        <v>1.1000000000000001</v>
      </c>
      <c r="J2846" s="3">
        <f>2058</f>
        <v>2058</v>
      </c>
      <c r="K2846" s="3"/>
      <c r="L2846" s="17" t="str" cm="1">
        <f t="array" ref="L2846">_xlfn.IFS(MID(K2846,2,2)="01", "서울", MID(K2846,2,2)="02","경기",MID(K2846,2,2)="03","충청",MID(K2846,2,2)="04","충청",MID(K2846,2,2)="05","전라",MID(K2846,2,2)="06","전라",MID(K2846,2,2)="07","경북",MID(K2846,2,2)="08","경남",MID(K2846,2,2)="09","강원",MID(K2846,2,2)="10","제주",TRUE,"국외")</f>
        <v>국외</v>
      </c>
    </row>
    <row r="2847" spans="1:12" ht="17.25" thickBot="1">
      <c r="A2847" s="3" t="s">
        <v>2796</v>
      </c>
      <c r="B2847" s="3"/>
      <c r="C2847" s="3"/>
      <c r="D2847" s="4" t="s">
        <v>2715</v>
      </c>
      <c r="E2847" s="4" t="s">
        <v>2164</v>
      </c>
      <c r="F2847" s="4">
        <v>1998</v>
      </c>
      <c r="G2847" s="8">
        <v>3.9</v>
      </c>
      <c r="H2847" s="4" t="s">
        <v>2164</v>
      </c>
      <c r="I2847" s="8">
        <v>3.9</v>
      </c>
      <c r="J2847" s="3">
        <f>2054</f>
        <v>2054</v>
      </c>
      <c r="K2847" s="3"/>
      <c r="L2847" s="17" t="str" cm="1">
        <f t="array" ref="L2847">_xlfn.IFS(MID(K2847,2,2)="01", "서울", MID(K2847,2,2)="02","경기",MID(K2847,2,2)="03","충청",MID(K2847,2,2)="04","충청",MID(K2847,2,2)="05","전라",MID(K2847,2,2)="06","전라",MID(K2847,2,2)="07","경북",MID(K2847,2,2)="08","경남",MID(K2847,2,2)="09","강원",MID(K2847,2,2)="10","제주",TRUE,"국외")</f>
        <v>국외</v>
      </c>
    </row>
    <row r="2848" spans="1:12" ht="17.25" thickBot="1">
      <c r="A2848" s="3" t="s">
        <v>2797</v>
      </c>
      <c r="B2848" s="3"/>
      <c r="C2848" s="3"/>
      <c r="D2848" s="4" t="s">
        <v>2715</v>
      </c>
      <c r="E2848" s="4" t="s">
        <v>20</v>
      </c>
      <c r="F2848" s="4">
        <v>1998</v>
      </c>
      <c r="G2848" s="8">
        <v>1</v>
      </c>
      <c r="H2848" s="4" t="s">
        <v>20</v>
      </c>
      <c r="I2848" s="8">
        <v>1.6</v>
      </c>
      <c r="J2848" s="3">
        <f>2044</f>
        <v>2044</v>
      </c>
      <c r="K2848" s="3"/>
      <c r="L2848" s="17" t="str" cm="1">
        <f t="array" ref="L2848">_xlfn.IFS(MID(K2848,2,2)="01", "서울", MID(K2848,2,2)="02","경기",MID(K2848,2,2)="03","충청",MID(K2848,2,2)="04","충청",MID(K2848,2,2)="05","전라",MID(K2848,2,2)="06","전라",MID(K2848,2,2)="07","경북",MID(K2848,2,2)="08","경남",MID(K2848,2,2)="09","강원",MID(K2848,2,2)="10","제주",TRUE,"국외")</f>
        <v>국외</v>
      </c>
    </row>
    <row r="2849" spans="1:12" ht="17.25" thickBot="1">
      <c r="A2849" s="3" t="s">
        <v>2798</v>
      </c>
      <c r="B2849" s="3"/>
      <c r="C2849" s="3"/>
      <c r="D2849" s="4" t="s">
        <v>2715</v>
      </c>
      <c r="E2849" s="4" t="s">
        <v>2725</v>
      </c>
      <c r="F2849" s="4">
        <v>1998</v>
      </c>
      <c r="G2849" s="8">
        <v>6.1</v>
      </c>
      <c r="H2849" s="4" t="s">
        <v>26</v>
      </c>
      <c r="I2849" s="8">
        <v>22.1</v>
      </c>
      <c r="J2849" s="3">
        <f>2031</f>
        <v>2031</v>
      </c>
      <c r="K2849" s="3"/>
      <c r="L2849" s="17" t="str" cm="1">
        <f t="array" ref="L2849">_xlfn.IFS(MID(K2849,2,2)="01", "서울", MID(K2849,2,2)="02","경기",MID(K2849,2,2)="03","충청",MID(K2849,2,2)="04","충청",MID(K2849,2,2)="05","전라",MID(K2849,2,2)="06","전라",MID(K2849,2,2)="07","경북",MID(K2849,2,2)="08","경남",MID(K2849,2,2)="09","강원",MID(K2849,2,2)="10","제주",TRUE,"국외")</f>
        <v>국외</v>
      </c>
    </row>
    <row r="2850" spans="1:12" ht="17.25" thickBot="1">
      <c r="A2850" s="3" t="s">
        <v>2799</v>
      </c>
      <c r="B2850" s="3"/>
      <c r="C2850" s="3" t="s">
        <v>722</v>
      </c>
      <c r="D2850" s="4" t="s">
        <v>2715</v>
      </c>
      <c r="E2850" s="4" t="s">
        <v>9</v>
      </c>
      <c r="F2850" s="4">
        <v>1998</v>
      </c>
      <c r="G2850" s="8">
        <v>0.2</v>
      </c>
      <c r="H2850" s="4" t="s">
        <v>9</v>
      </c>
      <c r="I2850" s="8">
        <v>0.2</v>
      </c>
      <c r="J2850" s="3">
        <f>2026</f>
        <v>2026</v>
      </c>
      <c r="K2850" s="3"/>
      <c r="L2850" s="17" t="str" cm="1">
        <f t="array" ref="L2850">_xlfn.IFS(MID(K2850,2,2)="01", "서울", MID(K2850,2,2)="02","경기",MID(K2850,2,2)="03","충청",MID(K2850,2,2)="04","충청",MID(K2850,2,2)="05","전라",MID(K2850,2,2)="06","전라",MID(K2850,2,2)="07","경북",MID(K2850,2,2)="08","경남",MID(K2850,2,2)="09","강원",MID(K2850,2,2)="10","제주",TRUE,"국외")</f>
        <v>국외</v>
      </c>
    </row>
    <row r="2851" spans="1:12" ht="17.25" thickBot="1">
      <c r="A2851" s="5" t="s">
        <v>2800</v>
      </c>
      <c r="B2851" s="5"/>
      <c r="C2851" s="5"/>
      <c r="D2851" s="6" t="s">
        <v>2715</v>
      </c>
      <c r="E2851" s="6" t="s">
        <v>23</v>
      </c>
      <c r="F2851" s="6">
        <v>1998</v>
      </c>
      <c r="G2851" s="12">
        <v>3.2</v>
      </c>
      <c r="H2851" s="6" t="s">
        <v>23</v>
      </c>
      <c r="I2851" s="12">
        <v>3.2</v>
      </c>
      <c r="J2851" s="5">
        <f>2052</f>
        <v>2052</v>
      </c>
      <c r="K2851" s="5"/>
      <c r="L2851" s="17" t="str" cm="1">
        <f t="array" ref="L2851">_xlfn.IFS(MID(K2851,2,2)="01", "서울", MID(K2851,2,2)="02","경기",MID(K2851,2,2)="03","충청",MID(K2851,2,2)="04","충청",MID(K2851,2,2)="05","전라",MID(K2851,2,2)="06","전라",MID(K2851,2,2)="07","경북",MID(K2851,2,2)="08","경남",MID(K2851,2,2)="09","강원",MID(K2851,2,2)="10","제주",TRUE,"국외")</f>
        <v>국외</v>
      </c>
    </row>
    <row r="2852" spans="1:12" ht="17.25" thickBot="1">
      <c r="A2852" s="3" t="s">
        <v>2426</v>
      </c>
      <c r="B2852" s="3"/>
      <c r="C2852" s="3"/>
      <c r="D2852" s="4" t="s">
        <v>2715</v>
      </c>
      <c r="E2852" s="4" t="s">
        <v>2164</v>
      </c>
      <c r="F2852" s="4">
        <v>1998</v>
      </c>
      <c r="G2852" s="8">
        <v>6.3</v>
      </c>
      <c r="H2852" s="4" t="s">
        <v>2164</v>
      </c>
      <c r="I2852" s="8">
        <v>6.3</v>
      </c>
      <c r="J2852" s="3">
        <f>2043</f>
        <v>2043</v>
      </c>
      <c r="K2852" s="3"/>
      <c r="L2852" s="17" t="str" cm="1">
        <f t="array" ref="L2852">_xlfn.IFS(MID(K2852,2,2)="01", "서울", MID(K2852,2,2)="02","경기",MID(K2852,2,2)="03","충청",MID(K2852,2,2)="04","충청",MID(K2852,2,2)="05","전라",MID(K2852,2,2)="06","전라",MID(K2852,2,2)="07","경북",MID(K2852,2,2)="08","경남",MID(K2852,2,2)="09","강원",MID(K2852,2,2)="10","제주",TRUE,"국외")</f>
        <v>국외</v>
      </c>
    </row>
    <row r="2853" spans="1:12" ht="17.25" thickBot="1">
      <c r="A2853" s="3" t="s">
        <v>2801</v>
      </c>
      <c r="B2853" s="3" t="s">
        <v>81</v>
      </c>
      <c r="C2853" s="3" t="s">
        <v>739</v>
      </c>
      <c r="D2853" s="4" t="s">
        <v>243</v>
      </c>
      <c r="E2853" s="4" t="s">
        <v>2725</v>
      </c>
      <c r="F2853" s="4">
        <v>1997</v>
      </c>
      <c r="G2853" s="8">
        <v>2.6</v>
      </c>
      <c r="H2853" s="4" t="s">
        <v>26</v>
      </c>
      <c r="I2853" s="8">
        <v>12.5</v>
      </c>
      <c r="J2853" s="3">
        <f>2011</f>
        <v>2011</v>
      </c>
      <c r="K2853" s="3">
        <v>50105</v>
      </c>
      <c r="L2853" s="17" t="str" cm="1">
        <f t="array" ref="L2853">_xlfn.IFS(MID(K2853,2,2)="01", "서울", MID(K2853,2,2)="02","경기",MID(K2853,2,2)="03","충청",MID(K2853,2,2)="04","충청",MID(K2853,2,2)="05","전라",MID(K2853,2,2)="06","전라",MID(K2853,2,2)="07","경북",MID(K2853,2,2)="08","경남",MID(K2853,2,2)="09","강원",MID(K2853,2,2)="10","제주",TRUE,"국외")</f>
        <v>서울</v>
      </c>
    </row>
    <row r="2854" spans="1:12" ht="17.25" thickBot="1">
      <c r="A2854" s="3" t="s">
        <v>2802</v>
      </c>
      <c r="B2854" s="3" t="s">
        <v>14</v>
      </c>
      <c r="C2854" s="3" t="s">
        <v>538</v>
      </c>
      <c r="D2854" s="4" t="s">
        <v>243</v>
      </c>
      <c r="E2854" s="4" t="s">
        <v>23</v>
      </c>
      <c r="F2854" s="4">
        <v>1997</v>
      </c>
      <c r="G2854" s="8">
        <v>0.3</v>
      </c>
      <c r="H2854" s="4" t="s">
        <v>23</v>
      </c>
      <c r="I2854" s="8">
        <v>1.4</v>
      </c>
      <c r="J2854" s="3">
        <f>2002</f>
        <v>2002</v>
      </c>
      <c r="K2854" s="3">
        <v>50703</v>
      </c>
      <c r="L2854" s="17" t="str" cm="1">
        <f t="array" ref="L2854">_xlfn.IFS(MID(K2854,2,2)="01", "서울", MID(K2854,2,2)="02","경기",MID(K2854,2,2)="03","충청",MID(K2854,2,2)="04","충청",MID(K2854,2,2)="05","전라",MID(K2854,2,2)="06","전라",MID(K2854,2,2)="07","경북",MID(K2854,2,2)="08","경남",MID(K2854,2,2)="09","강원",MID(K2854,2,2)="10","제주",TRUE,"국외")</f>
        <v>경북</v>
      </c>
    </row>
    <row r="2855" spans="1:12" ht="17.25" thickBot="1">
      <c r="A2855" s="3" t="s">
        <v>813</v>
      </c>
      <c r="B2855" s="3" t="s">
        <v>158</v>
      </c>
      <c r="C2855" s="3" t="s">
        <v>99</v>
      </c>
      <c r="D2855" s="4" t="s">
        <v>243</v>
      </c>
      <c r="E2855" s="4" t="s">
        <v>2661</v>
      </c>
      <c r="F2855" s="4">
        <v>1997</v>
      </c>
      <c r="G2855" s="8">
        <v>0.4</v>
      </c>
      <c r="H2855" s="4" t="s">
        <v>23</v>
      </c>
      <c r="I2855" s="8">
        <v>18.399999999999999</v>
      </c>
      <c r="J2855" s="3">
        <v>10519</v>
      </c>
      <c r="K2855" s="3">
        <v>50501</v>
      </c>
      <c r="L2855" s="17" t="str" cm="1">
        <f t="array" ref="L2855">_xlfn.IFS(MID(K2855,2,2)="01", "서울", MID(K2855,2,2)="02","경기",MID(K2855,2,2)="03","충청",MID(K2855,2,2)="04","충청",MID(K2855,2,2)="05","전라",MID(K2855,2,2)="06","전라",MID(K2855,2,2)="07","경북",MID(K2855,2,2)="08","경남",MID(K2855,2,2)="09","강원",MID(K2855,2,2)="10","제주",TRUE,"국외")</f>
        <v>전라</v>
      </c>
    </row>
    <row r="2856" spans="1:12" ht="17.25" thickBot="1">
      <c r="A2856" s="3" t="s">
        <v>2803</v>
      </c>
      <c r="B2856" s="3" t="s">
        <v>2351</v>
      </c>
      <c r="C2856" s="3" t="s">
        <v>538</v>
      </c>
      <c r="D2856" s="4" t="s">
        <v>243</v>
      </c>
      <c r="E2856" s="4" t="s">
        <v>2523</v>
      </c>
      <c r="F2856" s="4">
        <v>1997</v>
      </c>
      <c r="G2856" s="8">
        <v>-0.3</v>
      </c>
      <c r="H2856" s="4" t="s">
        <v>2523</v>
      </c>
      <c r="I2856" s="8">
        <v>3.4</v>
      </c>
      <c r="J2856" s="3">
        <f>2010</f>
        <v>2010</v>
      </c>
      <c r="K2856" s="3">
        <v>50609</v>
      </c>
      <c r="L2856" s="17" t="str" cm="1">
        <f t="array" ref="L2856">_xlfn.IFS(MID(K2856,2,2)="01", "서울", MID(K2856,2,2)="02","경기",MID(K2856,2,2)="03","충청",MID(K2856,2,2)="04","충청",MID(K2856,2,2)="05","전라",MID(K2856,2,2)="06","전라",MID(K2856,2,2)="07","경북",MID(K2856,2,2)="08","경남",MID(K2856,2,2)="09","강원",MID(K2856,2,2)="10","제주",TRUE,"국외")</f>
        <v>전라</v>
      </c>
    </row>
    <row r="2857" spans="1:12" ht="17.25" thickBot="1">
      <c r="A2857" s="3" t="s">
        <v>1112</v>
      </c>
      <c r="B2857" s="3" t="s">
        <v>32</v>
      </c>
      <c r="C2857" s="3" t="s">
        <v>122</v>
      </c>
      <c r="D2857" s="4" t="s">
        <v>243</v>
      </c>
      <c r="E2857" s="4" t="s">
        <v>20</v>
      </c>
      <c r="F2857" s="4">
        <v>1997</v>
      </c>
      <c r="G2857" s="8">
        <v>5.4</v>
      </c>
      <c r="H2857" s="4" t="s">
        <v>20</v>
      </c>
      <c r="I2857" s="8">
        <v>48.2</v>
      </c>
      <c r="J2857" s="3">
        <v>10491</v>
      </c>
      <c r="K2857" s="3">
        <v>50111</v>
      </c>
      <c r="L2857" s="17" t="str" cm="1">
        <f t="array" ref="L2857">_xlfn.IFS(MID(K2857,2,2)="01", "서울", MID(K2857,2,2)="02","경기",MID(K2857,2,2)="03","충청",MID(K2857,2,2)="04","충청",MID(K2857,2,2)="05","전라",MID(K2857,2,2)="06","전라",MID(K2857,2,2)="07","경북",MID(K2857,2,2)="08","경남",MID(K2857,2,2)="09","강원",MID(K2857,2,2)="10","제주",TRUE,"국외")</f>
        <v>서울</v>
      </c>
    </row>
    <row r="2858" spans="1:12" ht="17.25" thickBot="1">
      <c r="A2858" s="3" t="s">
        <v>2804</v>
      </c>
      <c r="B2858" s="3" t="s">
        <v>93</v>
      </c>
      <c r="C2858" s="3" t="s">
        <v>45</v>
      </c>
      <c r="D2858" s="4" t="s">
        <v>243</v>
      </c>
      <c r="E2858" s="4" t="s">
        <v>9</v>
      </c>
      <c r="F2858" s="4">
        <v>1997</v>
      </c>
      <c r="G2858" s="8">
        <v>0.2</v>
      </c>
      <c r="H2858" s="4" t="s">
        <v>9</v>
      </c>
      <c r="I2858" s="8">
        <v>42.3</v>
      </c>
      <c r="J2858" s="3">
        <v>10284</v>
      </c>
      <c r="K2858" s="3">
        <v>50805</v>
      </c>
      <c r="L2858" s="17" t="str" cm="1">
        <f t="array" ref="L2858">_xlfn.IFS(MID(K2858,2,2)="01", "서울", MID(K2858,2,2)="02","경기",MID(K2858,2,2)="03","충청",MID(K2858,2,2)="04","충청",MID(K2858,2,2)="05","전라",MID(K2858,2,2)="06","전라",MID(K2858,2,2)="07","경북",MID(K2858,2,2)="08","경남",MID(K2858,2,2)="09","강원",MID(K2858,2,2)="10","제주",TRUE,"국외")</f>
        <v>경남</v>
      </c>
    </row>
    <row r="2859" spans="1:12" ht="17.25" thickBot="1">
      <c r="A2859" s="3" t="s">
        <v>2805</v>
      </c>
      <c r="B2859" s="3" t="s">
        <v>147</v>
      </c>
      <c r="C2859" s="3" t="s">
        <v>218</v>
      </c>
      <c r="D2859" s="4" t="s">
        <v>243</v>
      </c>
      <c r="E2859" s="4" t="s">
        <v>2164</v>
      </c>
      <c r="F2859" s="4">
        <v>1997</v>
      </c>
      <c r="G2859" s="8">
        <v>-0.2</v>
      </c>
      <c r="H2859" s="4" t="s">
        <v>3</v>
      </c>
      <c r="I2859" s="8">
        <v>9.6999999999999993</v>
      </c>
      <c r="J2859" s="3">
        <v>10617</v>
      </c>
      <c r="K2859" s="3">
        <v>50208</v>
      </c>
      <c r="L2859" s="17" t="str" cm="1">
        <f t="array" ref="L2859">_xlfn.IFS(MID(K2859,2,2)="01", "서울", MID(K2859,2,2)="02","경기",MID(K2859,2,2)="03","충청",MID(K2859,2,2)="04","충청",MID(K2859,2,2)="05","전라",MID(K2859,2,2)="06","전라",MID(K2859,2,2)="07","경북",MID(K2859,2,2)="08","경남",MID(K2859,2,2)="09","강원",MID(K2859,2,2)="10","제주",TRUE,"국외")</f>
        <v>경기</v>
      </c>
    </row>
    <row r="2860" spans="1:12" ht="17.25" thickBot="1">
      <c r="A2860" s="3" t="s">
        <v>2806</v>
      </c>
      <c r="B2860" s="3" t="s">
        <v>145</v>
      </c>
      <c r="C2860" s="3" t="s">
        <v>208</v>
      </c>
      <c r="D2860" s="4" t="s">
        <v>254</v>
      </c>
      <c r="E2860" s="4" t="s">
        <v>20</v>
      </c>
      <c r="F2860" s="4">
        <v>1997</v>
      </c>
      <c r="G2860" s="8">
        <v>0.7</v>
      </c>
      <c r="H2860" s="4" t="s">
        <v>20</v>
      </c>
      <c r="I2860" s="8">
        <v>3.6</v>
      </c>
      <c r="J2860" s="3">
        <f>1983</f>
        <v>1983</v>
      </c>
      <c r="K2860" s="3">
        <v>50106</v>
      </c>
      <c r="L2860" s="17" t="str" cm="1">
        <f t="array" ref="L2860">_xlfn.IFS(MID(K2860,2,2)="01", "서울", MID(K2860,2,2)="02","경기",MID(K2860,2,2)="03","충청",MID(K2860,2,2)="04","충청",MID(K2860,2,2)="05","전라",MID(K2860,2,2)="06","전라",MID(K2860,2,2)="07","경북",MID(K2860,2,2)="08","경남",MID(K2860,2,2)="09","강원",MID(K2860,2,2)="10","제주",TRUE,"국외")</f>
        <v>서울</v>
      </c>
    </row>
    <row r="2861" spans="1:12" ht="17.25" thickBot="1">
      <c r="A2861" s="3" t="s">
        <v>2807</v>
      </c>
      <c r="B2861" s="3" t="s">
        <v>335</v>
      </c>
      <c r="C2861" s="3" t="s">
        <v>119</v>
      </c>
      <c r="D2861" s="4" t="s">
        <v>254</v>
      </c>
      <c r="E2861" s="4" t="s">
        <v>20</v>
      </c>
      <c r="F2861" s="4">
        <v>1997</v>
      </c>
      <c r="G2861" s="8">
        <v>-0.6</v>
      </c>
      <c r="H2861" s="4" t="s">
        <v>20</v>
      </c>
      <c r="I2861" s="8">
        <v>22.1</v>
      </c>
      <c r="J2861" s="3">
        <v>10069</v>
      </c>
      <c r="K2861" s="3">
        <v>50804</v>
      </c>
      <c r="L2861" s="17" t="str" cm="1">
        <f t="array" ref="L2861">_xlfn.IFS(MID(K2861,2,2)="01", "서울", MID(K2861,2,2)="02","경기",MID(K2861,2,2)="03","충청",MID(K2861,2,2)="04","충청",MID(K2861,2,2)="05","전라",MID(K2861,2,2)="06","전라",MID(K2861,2,2)="07","경북",MID(K2861,2,2)="08","경남",MID(K2861,2,2)="09","강원",MID(K2861,2,2)="10","제주",TRUE,"국외")</f>
        <v>경남</v>
      </c>
    </row>
    <row r="2862" spans="1:12" ht="17.25" thickBot="1">
      <c r="A2862" s="3" t="s">
        <v>2808</v>
      </c>
      <c r="B2862" s="3" t="s">
        <v>68</v>
      </c>
      <c r="C2862" s="3" t="s">
        <v>221</v>
      </c>
      <c r="D2862" s="4" t="s">
        <v>254</v>
      </c>
      <c r="E2862" s="4" t="s">
        <v>2725</v>
      </c>
      <c r="F2862" s="4">
        <v>1997</v>
      </c>
      <c r="G2862" s="8">
        <v>-0.2</v>
      </c>
      <c r="H2862" s="4" t="s">
        <v>9</v>
      </c>
      <c r="I2862" s="8">
        <v>0</v>
      </c>
      <c r="J2862" s="3">
        <v>10046</v>
      </c>
      <c r="K2862" s="3">
        <v>50101</v>
      </c>
      <c r="L2862" s="17" t="str" cm="1">
        <f t="array" ref="L2862">_xlfn.IFS(MID(K2862,2,2)="01", "서울", MID(K2862,2,2)="02","경기",MID(K2862,2,2)="03","충청",MID(K2862,2,2)="04","충청",MID(K2862,2,2)="05","전라",MID(K2862,2,2)="06","전라",MID(K2862,2,2)="07","경북",MID(K2862,2,2)="08","경남",MID(K2862,2,2)="09","강원",MID(K2862,2,2)="10","제주",TRUE,"국외")</f>
        <v>서울</v>
      </c>
    </row>
    <row r="2863" spans="1:12" ht="17.25" thickBot="1">
      <c r="A2863" s="3" t="s">
        <v>2809</v>
      </c>
      <c r="B2863" s="3" t="s">
        <v>93</v>
      </c>
      <c r="C2863" s="3" t="s">
        <v>45</v>
      </c>
      <c r="D2863" s="4" t="s">
        <v>254</v>
      </c>
      <c r="E2863" s="4" t="s">
        <v>2725</v>
      </c>
      <c r="F2863" s="4">
        <v>1997</v>
      </c>
      <c r="G2863" s="8">
        <v>0.6</v>
      </c>
      <c r="H2863" s="4" t="s">
        <v>23</v>
      </c>
      <c r="I2863" s="8">
        <v>38.799999999999997</v>
      </c>
      <c r="J2863" s="3">
        <v>10314</v>
      </c>
      <c r="K2863" s="3">
        <v>50805</v>
      </c>
      <c r="L2863" s="17" t="str" cm="1">
        <f t="array" ref="L2863">_xlfn.IFS(MID(K2863,2,2)="01", "서울", MID(K2863,2,2)="02","경기",MID(K2863,2,2)="03","충청",MID(K2863,2,2)="04","충청",MID(K2863,2,2)="05","전라",MID(K2863,2,2)="06","전라",MID(K2863,2,2)="07","경북",MID(K2863,2,2)="08","경남",MID(K2863,2,2)="09","강원",MID(K2863,2,2)="10","제주",TRUE,"국외")</f>
        <v>경남</v>
      </c>
    </row>
    <row r="2864" spans="1:12" ht="17.25" thickBot="1">
      <c r="A2864" s="3" t="s">
        <v>2810</v>
      </c>
      <c r="B2864" s="3" t="s">
        <v>38</v>
      </c>
      <c r="C2864" s="3" t="s">
        <v>172</v>
      </c>
      <c r="D2864" s="4" t="s">
        <v>254</v>
      </c>
      <c r="E2864" s="4" t="s">
        <v>9</v>
      </c>
      <c r="F2864" s="4">
        <v>1997</v>
      </c>
      <c r="G2864" s="8">
        <v>0.2</v>
      </c>
      <c r="H2864" s="4" t="s">
        <v>9</v>
      </c>
      <c r="I2864" s="8">
        <v>-1.2</v>
      </c>
      <c r="J2864" s="3">
        <f>2012</f>
        <v>2012</v>
      </c>
      <c r="K2864" s="3">
        <v>50109</v>
      </c>
      <c r="L2864" s="17" t="str" cm="1">
        <f t="array" ref="L2864">_xlfn.IFS(MID(K2864,2,2)="01", "서울", MID(K2864,2,2)="02","경기",MID(K2864,2,2)="03","충청",MID(K2864,2,2)="04","충청",MID(K2864,2,2)="05","전라",MID(K2864,2,2)="06","전라",MID(K2864,2,2)="07","경북",MID(K2864,2,2)="08","경남",MID(K2864,2,2)="09","강원",MID(K2864,2,2)="10","제주",TRUE,"국외")</f>
        <v>서울</v>
      </c>
    </row>
    <row r="2865" spans="1:12" ht="17.25" thickBot="1">
      <c r="A2865" s="3" t="s">
        <v>2811</v>
      </c>
      <c r="B2865" s="3" t="s">
        <v>70</v>
      </c>
      <c r="C2865" s="3" t="s">
        <v>208</v>
      </c>
      <c r="D2865" s="4" t="s">
        <v>254</v>
      </c>
      <c r="E2865" s="4" t="s">
        <v>23</v>
      </c>
      <c r="F2865" s="4">
        <v>1997</v>
      </c>
      <c r="G2865" s="8">
        <v>0.1</v>
      </c>
      <c r="H2865" s="4" t="s">
        <v>23</v>
      </c>
      <c r="I2865" s="8">
        <v>0.1</v>
      </c>
      <c r="J2865" s="3">
        <f>2008</f>
        <v>2008</v>
      </c>
      <c r="K2865" s="3">
        <v>50103</v>
      </c>
      <c r="L2865" s="17" t="str" cm="1">
        <f t="array" ref="L2865">_xlfn.IFS(MID(K2865,2,2)="01", "서울", MID(K2865,2,2)="02","경기",MID(K2865,2,2)="03","충청",MID(K2865,2,2)="04","충청",MID(K2865,2,2)="05","전라",MID(K2865,2,2)="06","전라",MID(K2865,2,2)="07","경북",MID(K2865,2,2)="08","경남",MID(K2865,2,2)="09","강원",MID(K2865,2,2)="10","제주",TRUE,"국외")</f>
        <v>서울</v>
      </c>
    </row>
    <row r="2866" spans="1:12" ht="17.25" thickBot="1">
      <c r="A2866" s="3" t="s">
        <v>2812</v>
      </c>
      <c r="B2866" s="3" t="s">
        <v>66</v>
      </c>
      <c r="C2866" s="3" t="s">
        <v>133</v>
      </c>
      <c r="D2866" s="4" t="s">
        <v>254</v>
      </c>
      <c r="E2866" s="4" t="s">
        <v>3</v>
      </c>
      <c r="F2866" s="4">
        <v>1997</v>
      </c>
      <c r="G2866" s="8">
        <v>2.9</v>
      </c>
      <c r="H2866" s="4" t="s">
        <v>3</v>
      </c>
      <c r="I2866" s="8">
        <v>11.6</v>
      </c>
      <c r="J2866" s="3">
        <f>1980</f>
        <v>1980</v>
      </c>
      <c r="K2866" s="3">
        <v>50110</v>
      </c>
      <c r="L2866" s="17" t="str" cm="1">
        <f t="array" ref="L2866">_xlfn.IFS(MID(K2866,2,2)="01", "서울", MID(K2866,2,2)="02","경기",MID(K2866,2,2)="03","충청",MID(K2866,2,2)="04","충청",MID(K2866,2,2)="05","전라",MID(K2866,2,2)="06","전라",MID(K2866,2,2)="07","경북",MID(K2866,2,2)="08","경남",MID(K2866,2,2)="09","강원",MID(K2866,2,2)="10","제주",TRUE,"국외")</f>
        <v>서울</v>
      </c>
    </row>
    <row r="2867" spans="1:12" ht="17.25" thickBot="1">
      <c r="A2867" s="3" t="s">
        <v>2813</v>
      </c>
      <c r="B2867" s="3" t="s">
        <v>52</v>
      </c>
      <c r="C2867" s="3" t="s">
        <v>739</v>
      </c>
      <c r="D2867" s="4" t="s">
        <v>254</v>
      </c>
      <c r="E2867" s="4" t="s">
        <v>2523</v>
      </c>
      <c r="F2867" s="4">
        <v>1997</v>
      </c>
      <c r="G2867" s="8">
        <v>1.6</v>
      </c>
      <c r="H2867" s="4" t="s">
        <v>2523</v>
      </c>
      <c r="I2867" s="8">
        <v>9.6999999999999993</v>
      </c>
      <c r="J2867" s="3">
        <v>10334</v>
      </c>
      <c r="K2867" s="3">
        <v>50803</v>
      </c>
      <c r="L2867" s="17" t="str" cm="1">
        <f t="array" ref="L2867">_xlfn.IFS(MID(K2867,2,2)="01", "서울", MID(K2867,2,2)="02","경기",MID(K2867,2,2)="03","충청",MID(K2867,2,2)="04","충청",MID(K2867,2,2)="05","전라",MID(K2867,2,2)="06","전라",MID(K2867,2,2)="07","경북",MID(K2867,2,2)="08","경남",MID(K2867,2,2)="09","강원",MID(K2867,2,2)="10","제주",TRUE,"국외")</f>
        <v>경남</v>
      </c>
    </row>
    <row r="2868" spans="1:12" ht="17.25" thickBot="1">
      <c r="A2868" s="3" t="s">
        <v>2814</v>
      </c>
      <c r="B2868" s="3" t="s">
        <v>36</v>
      </c>
      <c r="C2868" s="3" t="s">
        <v>122</v>
      </c>
      <c r="D2868" s="4" t="s">
        <v>254</v>
      </c>
      <c r="E2868" s="4" t="s">
        <v>2164</v>
      </c>
      <c r="F2868" s="4">
        <v>1997</v>
      </c>
      <c r="G2868" s="8">
        <v>0.4</v>
      </c>
      <c r="H2868" s="4" t="s">
        <v>20</v>
      </c>
      <c r="I2868" s="8">
        <v>-0.9</v>
      </c>
      <c r="J2868" s="3">
        <v>10265</v>
      </c>
      <c r="K2868" s="3">
        <v>50402</v>
      </c>
      <c r="L2868" s="17" t="str" cm="1">
        <f t="array" ref="L2868">_xlfn.IFS(MID(K2868,2,2)="01", "서울", MID(K2868,2,2)="02","경기",MID(K2868,2,2)="03","충청",MID(K2868,2,2)="04","충청",MID(K2868,2,2)="05","전라",MID(K2868,2,2)="06","전라",MID(K2868,2,2)="07","경북",MID(K2868,2,2)="08","경남",MID(K2868,2,2)="09","강원",MID(K2868,2,2)="10","제주",TRUE,"국외")</f>
        <v>충청</v>
      </c>
    </row>
    <row r="2869" spans="1:12" ht="17.25" thickBot="1">
      <c r="A2869" s="3" t="s">
        <v>2815</v>
      </c>
      <c r="B2869" s="3" t="s">
        <v>70</v>
      </c>
      <c r="C2869" s="3" t="s">
        <v>211</v>
      </c>
      <c r="D2869" s="4" t="s">
        <v>254</v>
      </c>
      <c r="E2869" s="4" t="s">
        <v>20</v>
      </c>
      <c r="F2869" s="4">
        <v>1997</v>
      </c>
      <c r="G2869" s="8">
        <v>3.1</v>
      </c>
      <c r="H2869" s="4" t="s">
        <v>20</v>
      </c>
      <c r="I2869" s="8">
        <v>11.7</v>
      </c>
      <c r="J2869" s="3">
        <f>2014</f>
        <v>2014</v>
      </c>
      <c r="K2869" s="3">
        <v>50103</v>
      </c>
      <c r="L2869" s="17" t="str" cm="1">
        <f t="array" ref="L2869">_xlfn.IFS(MID(K2869,2,2)="01", "서울", MID(K2869,2,2)="02","경기",MID(K2869,2,2)="03","충청",MID(K2869,2,2)="04","충청",MID(K2869,2,2)="05","전라",MID(K2869,2,2)="06","전라",MID(K2869,2,2)="07","경북",MID(K2869,2,2)="08","경남",MID(K2869,2,2)="09","강원",MID(K2869,2,2)="10","제주",TRUE,"국외")</f>
        <v>서울</v>
      </c>
    </row>
    <row r="2870" spans="1:12" ht="17.25" thickBot="1">
      <c r="A2870" s="3" t="s">
        <v>2816</v>
      </c>
      <c r="B2870" s="3" t="s">
        <v>25</v>
      </c>
      <c r="C2870" s="3" t="s">
        <v>218</v>
      </c>
      <c r="D2870" s="4" t="s">
        <v>254</v>
      </c>
      <c r="E2870" s="4" t="s">
        <v>2725</v>
      </c>
      <c r="F2870" s="4">
        <v>1997</v>
      </c>
      <c r="G2870" s="8">
        <v>-0.5</v>
      </c>
      <c r="H2870" s="4" t="s">
        <v>2725</v>
      </c>
      <c r="I2870" s="8">
        <v>-0.7</v>
      </c>
      <c r="J2870" s="3">
        <f>1970</f>
        <v>1970</v>
      </c>
      <c r="K2870" s="3">
        <v>50403</v>
      </c>
      <c r="L2870" s="17" t="str" cm="1">
        <f t="array" ref="L2870">_xlfn.IFS(MID(K2870,2,2)="01", "서울", MID(K2870,2,2)="02","경기",MID(K2870,2,2)="03","충청",MID(K2870,2,2)="04","충청",MID(K2870,2,2)="05","전라",MID(K2870,2,2)="06","전라",MID(K2870,2,2)="07","경북",MID(K2870,2,2)="08","경남",MID(K2870,2,2)="09","강원",MID(K2870,2,2)="10","제주",TRUE,"국외")</f>
        <v>충청</v>
      </c>
    </row>
    <row r="2871" spans="1:12" ht="17.25" thickBot="1">
      <c r="A2871" s="3" t="s">
        <v>2817</v>
      </c>
      <c r="B2871" s="3" t="s">
        <v>2470</v>
      </c>
      <c r="C2871" s="3" t="s">
        <v>119</v>
      </c>
      <c r="D2871" s="4" t="s">
        <v>254</v>
      </c>
      <c r="E2871" s="4" t="s">
        <v>9</v>
      </c>
      <c r="F2871" s="4">
        <v>1997</v>
      </c>
      <c r="G2871" s="8">
        <v>-0.1</v>
      </c>
      <c r="H2871" s="4" t="s">
        <v>9</v>
      </c>
      <c r="I2871" s="8">
        <v>-1</v>
      </c>
      <c r="J2871" s="3">
        <v>13432</v>
      </c>
      <c r="K2871" s="3">
        <v>50813</v>
      </c>
      <c r="L2871" s="17" t="str" cm="1">
        <f t="array" ref="L2871">_xlfn.IFS(MID(K2871,2,2)="01", "서울", MID(K2871,2,2)="02","경기",MID(K2871,2,2)="03","충청",MID(K2871,2,2)="04","충청",MID(K2871,2,2)="05","전라",MID(K2871,2,2)="06","전라",MID(K2871,2,2)="07","경북",MID(K2871,2,2)="08","경남",MID(K2871,2,2)="09","강원",MID(K2871,2,2)="10","제주",TRUE,"국외")</f>
        <v>경남</v>
      </c>
    </row>
    <row r="2872" spans="1:12" ht="17.25" thickBot="1">
      <c r="A2872" s="3" t="s">
        <v>2818</v>
      </c>
      <c r="B2872" s="3" t="s">
        <v>81</v>
      </c>
      <c r="C2872" s="3" t="s">
        <v>211</v>
      </c>
      <c r="D2872" s="4" t="s">
        <v>254</v>
      </c>
      <c r="E2872" s="4" t="s">
        <v>23</v>
      </c>
      <c r="F2872" s="4">
        <v>1997</v>
      </c>
      <c r="G2872" s="8">
        <v>-0.1</v>
      </c>
      <c r="H2872" s="4" t="s">
        <v>23</v>
      </c>
      <c r="I2872" s="8">
        <v>-0.3</v>
      </c>
      <c r="J2872" s="3">
        <f>1993</f>
        <v>1993</v>
      </c>
      <c r="K2872" s="3">
        <v>50105</v>
      </c>
      <c r="L2872" s="17" t="str" cm="1">
        <f t="array" ref="L2872">_xlfn.IFS(MID(K2872,2,2)="01", "서울", MID(K2872,2,2)="02","경기",MID(K2872,2,2)="03","충청",MID(K2872,2,2)="04","충청",MID(K2872,2,2)="05","전라",MID(K2872,2,2)="06","전라",MID(K2872,2,2)="07","경북",MID(K2872,2,2)="08","경남",MID(K2872,2,2)="09","강원",MID(K2872,2,2)="10","제주",TRUE,"국외")</f>
        <v>서울</v>
      </c>
    </row>
    <row r="2873" spans="1:12" ht="17.25" thickBot="1">
      <c r="A2873" s="3" t="s">
        <v>2819</v>
      </c>
      <c r="B2873" s="3" t="s">
        <v>158</v>
      </c>
      <c r="C2873" s="3" t="s">
        <v>99</v>
      </c>
      <c r="D2873" s="4" t="s">
        <v>254</v>
      </c>
      <c r="E2873" s="4" t="s">
        <v>2661</v>
      </c>
      <c r="F2873" s="4">
        <v>1997</v>
      </c>
      <c r="G2873" s="8">
        <v>-0.1</v>
      </c>
      <c r="H2873" s="4" t="s">
        <v>2661</v>
      </c>
      <c r="I2873" s="8">
        <v>-0.1</v>
      </c>
      <c r="J2873" s="3">
        <f>1985</f>
        <v>1985</v>
      </c>
      <c r="K2873" s="3">
        <v>50501</v>
      </c>
      <c r="L2873" s="17" t="str" cm="1">
        <f t="array" ref="L2873">_xlfn.IFS(MID(K2873,2,2)="01", "서울", MID(K2873,2,2)="02","경기",MID(K2873,2,2)="03","충청",MID(K2873,2,2)="04","충청",MID(K2873,2,2)="05","전라",MID(K2873,2,2)="06","전라",MID(K2873,2,2)="07","경북",MID(K2873,2,2)="08","경남",MID(K2873,2,2)="09","강원",MID(K2873,2,2)="10","제주",TRUE,"국외")</f>
        <v>전라</v>
      </c>
    </row>
    <row r="2874" spans="1:12" ht="17.25" thickBot="1">
      <c r="A2874" s="3" t="s">
        <v>2820</v>
      </c>
      <c r="B2874" s="3" t="s">
        <v>34</v>
      </c>
      <c r="C2874" s="3" t="s">
        <v>739</v>
      </c>
      <c r="D2874" s="4" t="s">
        <v>254</v>
      </c>
      <c r="E2874" s="4" t="s">
        <v>2523</v>
      </c>
      <c r="F2874" s="4">
        <v>1997</v>
      </c>
      <c r="G2874" s="8">
        <v>-0.3</v>
      </c>
      <c r="H2874" s="4" t="s">
        <v>2523</v>
      </c>
      <c r="I2874" s="8">
        <v>-0.3</v>
      </c>
      <c r="J2874" s="3">
        <f>1992</f>
        <v>1992</v>
      </c>
      <c r="K2874" s="3">
        <v>50701</v>
      </c>
      <c r="L2874" s="17" t="str" cm="1">
        <f t="array" ref="L2874">_xlfn.IFS(MID(K2874,2,2)="01", "서울", MID(K2874,2,2)="02","경기",MID(K2874,2,2)="03","충청",MID(K2874,2,2)="04","충청",MID(K2874,2,2)="05","전라",MID(K2874,2,2)="06","전라",MID(K2874,2,2)="07","경북",MID(K2874,2,2)="08","경남",MID(K2874,2,2)="09","강원",MID(K2874,2,2)="10","제주",TRUE,"국외")</f>
        <v>경북</v>
      </c>
    </row>
    <row r="2875" spans="1:12" ht="17.25" thickBot="1">
      <c r="A2875" s="3" t="s">
        <v>2821</v>
      </c>
      <c r="B2875" s="3" t="s">
        <v>74</v>
      </c>
      <c r="C2875" s="3"/>
      <c r="D2875" s="4" t="s">
        <v>254</v>
      </c>
      <c r="E2875" s="4" t="s">
        <v>2164</v>
      </c>
      <c r="F2875" s="4">
        <v>1999</v>
      </c>
      <c r="G2875" s="9"/>
      <c r="H2875" s="4" t="s">
        <v>2164</v>
      </c>
      <c r="I2875" s="8">
        <v>2.6</v>
      </c>
      <c r="J2875" s="3">
        <v>10398</v>
      </c>
      <c r="K2875" s="3">
        <v>50102</v>
      </c>
      <c r="L2875" s="17" t="str" cm="1">
        <f t="array" ref="L2875">_xlfn.IFS(MID(K2875,2,2)="01", "서울", MID(K2875,2,2)="02","경기",MID(K2875,2,2)="03","충청",MID(K2875,2,2)="04","충청",MID(K2875,2,2)="05","전라",MID(K2875,2,2)="06","전라",MID(K2875,2,2)="07","경북",MID(K2875,2,2)="08","경남",MID(K2875,2,2)="09","강원",MID(K2875,2,2)="10","제주",TRUE,"국외")</f>
        <v>서울</v>
      </c>
    </row>
    <row r="2876" spans="1:12" ht="17.25" thickBot="1">
      <c r="A2876" s="3" t="s">
        <v>2822</v>
      </c>
      <c r="B2876" s="3"/>
      <c r="C2876" s="3" t="s">
        <v>221</v>
      </c>
      <c r="D2876" s="4" t="s">
        <v>254</v>
      </c>
      <c r="E2876" s="4" t="s">
        <v>2725</v>
      </c>
      <c r="F2876" s="4">
        <v>1997</v>
      </c>
      <c r="G2876" s="8">
        <v>0.1</v>
      </c>
      <c r="H2876" s="4" t="s">
        <v>2725</v>
      </c>
      <c r="I2876" s="8">
        <v>0.1</v>
      </c>
      <c r="J2876" s="3">
        <f>1974</f>
        <v>1974</v>
      </c>
      <c r="K2876" s="3"/>
      <c r="L2876" s="17" t="str" cm="1">
        <f t="array" ref="L2876">_xlfn.IFS(MID(K2876,2,2)="01", "서울", MID(K2876,2,2)="02","경기",MID(K2876,2,2)="03","충청",MID(K2876,2,2)="04","충청",MID(K2876,2,2)="05","전라",MID(K2876,2,2)="06","전라",MID(K2876,2,2)="07","경북",MID(K2876,2,2)="08","경남",MID(K2876,2,2)="09","강원",MID(K2876,2,2)="10","제주",TRUE,"국외")</f>
        <v>국외</v>
      </c>
    </row>
    <row r="2877" spans="1:12" ht="17.25" thickBot="1">
      <c r="A2877" s="3" t="s">
        <v>2823</v>
      </c>
      <c r="B2877" s="3" t="s">
        <v>34</v>
      </c>
      <c r="C2877" s="3" t="s">
        <v>739</v>
      </c>
      <c r="D2877" s="4" t="s">
        <v>254</v>
      </c>
      <c r="E2877" s="4" t="s">
        <v>9</v>
      </c>
      <c r="F2877" s="4">
        <v>1997</v>
      </c>
      <c r="G2877" s="8">
        <v>0.1</v>
      </c>
      <c r="H2877" s="4" t="s">
        <v>9</v>
      </c>
      <c r="I2877" s="8">
        <v>0.2</v>
      </c>
      <c r="J2877" s="3">
        <f>1989</f>
        <v>1989</v>
      </c>
      <c r="K2877" s="3">
        <v>50701</v>
      </c>
      <c r="L2877" s="17" t="str" cm="1">
        <f t="array" ref="L2877">_xlfn.IFS(MID(K2877,2,2)="01", "서울", MID(K2877,2,2)="02","경기",MID(K2877,2,2)="03","충청",MID(K2877,2,2)="04","충청",MID(K2877,2,2)="05","전라",MID(K2877,2,2)="06","전라",MID(K2877,2,2)="07","경북",MID(K2877,2,2)="08","경남",MID(K2877,2,2)="09","강원",MID(K2877,2,2)="10","제주",TRUE,"국외")</f>
        <v>경북</v>
      </c>
    </row>
    <row r="2878" spans="1:12" ht="17.25" thickBot="1">
      <c r="A2878" s="3" t="s">
        <v>2824</v>
      </c>
      <c r="B2878" s="3" t="s">
        <v>81</v>
      </c>
      <c r="C2878" s="3"/>
      <c r="D2878" s="4" t="s">
        <v>254</v>
      </c>
      <c r="E2878" s="4" t="s">
        <v>23</v>
      </c>
      <c r="F2878" s="4">
        <v>1999</v>
      </c>
      <c r="G2878" s="9"/>
      <c r="H2878" s="4" t="s">
        <v>2164</v>
      </c>
      <c r="I2878" s="8">
        <v>10.6</v>
      </c>
      <c r="J2878" s="3">
        <v>10457</v>
      </c>
      <c r="K2878" s="3">
        <v>50105</v>
      </c>
      <c r="L2878" s="17" t="str" cm="1">
        <f t="array" ref="L2878">_xlfn.IFS(MID(K2878,2,2)="01", "서울", MID(K2878,2,2)="02","경기",MID(K2878,2,2)="03","충청",MID(K2878,2,2)="04","충청",MID(K2878,2,2)="05","전라",MID(K2878,2,2)="06","전라",MID(K2878,2,2)="07","경북",MID(K2878,2,2)="08","경남",MID(K2878,2,2)="09","강원",MID(K2878,2,2)="10","제주",TRUE,"국외")</f>
        <v>서울</v>
      </c>
    </row>
    <row r="2879" spans="1:12" ht="17.25" thickBot="1">
      <c r="A2879" s="3" t="s">
        <v>2825</v>
      </c>
      <c r="B2879" s="3" t="s">
        <v>70</v>
      </c>
      <c r="C2879" s="3" t="s">
        <v>172</v>
      </c>
      <c r="D2879" s="4" t="s">
        <v>254</v>
      </c>
      <c r="E2879" s="4" t="s">
        <v>2661</v>
      </c>
      <c r="F2879" s="4">
        <v>1997</v>
      </c>
      <c r="G2879" s="8">
        <v>0</v>
      </c>
      <c r="H2879" s="4" t="s">
        <v>2661</v>
      </c>
      <c r="I2879" s="8">
        <v>0</v>
      </c>
      <c r="J2879" s="3">
        <f>1982</f>
        <v>1982</v>
      </c>
      <c r="K2879" s="3">
        <v>50103</v>
      </c>
      <c r="L2879" s="17" t="str" cm="1">
        <f t="array" ref="L2879">_xlfn.IFS(MID(K2879,2,2)="01", "서울", MID(K2879,2,2)="02","경기",MID(K2879,2,2)="03","충청",MID(K2879,2,2)="04","충청",MID(K2879,2,2)="05","전라",MID(K2879,2,2)="06","전라",MID(K2879,2,2)="07","경북",MID(K2879,2,2)="08","경남",MID(K2879,2,2)="09","강원",MID(K2879,2,2)="10","제주",TRUE,"국외")</f>
        <v>서울</v>
      </c>
    </row>
    <row r="2880" spans="1:12" ht="17.25" thickBot="1">
      <c r="A2880" s="3" t="s">
        <v>2826</v>
      </c>
      <c r="B2880" s="3" t="s">
        <v>8</v>
      </c>
      <c r="C2880" s="3" t="s">
        <v>483</v>
      </c>
      <c r="D2880" s="4" t="s">
        <v>254</v>
      </c>
      <c r="E2880" s="4" t="s">
        <v>3</v>
      </c>
      <c r="F2880" s="4">
        <v>1997</v>
      </c>
      <c r="G2880" s="8">
        <v>-0.2</v>
      </c>
      <c r="H2880" s="4" t="s">
        <v>3</v>
      </c>
      <c r="I2880" s="8">
        <v>-0.3</v>
      </c>
      <c r="J2880" s="3">
        <f>1971</f>
        <v>1971</v>
      </c>
      <c r="K2880" s="3">
        <v>50116</v>
      </c>
      <c r="L2880" s="17" t="str" cm="1">
        <f t="array" ref="L2880">_xlfn.IFS(MID(K2880,2,2)="01", "서울", MID(K2880,2,2)="02","경기",MID(K2880,2,2)="03","충청",MID(K2880,2,2)="04","충청",MID(K2880,2,2)="05","전라",MID(K2880,2,2)="06","전라",MID(K2880,2,2)="07","경북",MID(K2880,2,2)="08","경남",MID(K2880,2,2)="09","강원",MID(K2880,2,2)="10","제주",TRUE,"국외")</f>
        <v>서울</v>
      </c>
    </row>
    <row r="2881" spans="1:12" ht="17.25" thickBot="1">
      <c r="A2881" s="3" t="s">
        <v>2827</v>
      </c>
      <c r="B2881" s="3" t="s">
        <v>32</v>
      </c>
      <c r="C2881" s="3" t="s">
        <v>211</v>
      </c>
      <c r="D2881" s="4" t="s">
        <v>254</v>
      </c>
      <c r="E2881" s="4" t="s">
        <v>2523</v>
      </c>
      <c r="F2881" s="4">
        <v>1997</v>
      </c>
      <c r="G2881" s="8">
        <v>0.1</v>
      </c>
      <c r="H2881" s="4" t="s">
        <v>2523</v>
      </c>
      <c r="I2881" s="8">
        <v>0.2</v>
      </c>
      <c r="J2881" s="3">
        <f>1995</f>
        <v>1995</v>
      </c>
      <c r="K2881" s="3">
        <v>50111</v>
      </c>
      <c r="L2881" s="17" t="str" cm="1">
        <f t="array" ref="L2881">_xlfn.IFS(MID(K2881,2,2)="01", "서울", MID(K2881,2,2)="02","경기",MID(K2881,2,2)="03","충청",MID(K2881,2,2)="04","충청",MID(K2881,2,2)="05","전라",MID(K2881,2,2)="06","전라",MID(K2881,2,2)="07","경북",MID(K2881,2,2)="08","경남",MID(K2881,2,2)="09","강원",MID(K2881,2,2)="10","제주",TRUE,"국외")</f>
        <v>서울</v>
      </c>
    </row>
    <row r="2882" spans="1:12" ht="17.25" thickBot="1">
      <c r="A2882" s="3" t="s">
        <v>2828</v>
      </c>
      <c r="B2882" s="3" t="s">
        <v>40</v>
      </c>
      <c r="C2882" s="3" t="s">
        <v>549</v>
      </c>
      <c r="D2882" s="4" t="s">
        <v>254</v>
      </c>
      <c r="E2882" s="4" t="s">
        <v>2725</v>
      </c>
      <c r="F2882" s="4">
        <v>1997</v>
      </c>
      <c r="G2882" s="8">
        <v>-0.2</v>
      </c>
      <c r="H2882" s="4" t="s">
        <v>2725</v>
      </c>
      <c r="I2882" s="8">
        <v>-0.2</v>
      </c>
      <c r="J2882" s="3">
        <f>2007</f>
        <v>2007</v>
      </c>
      <c r="K2882" s="3">
        <v>50108</v>
      </c>
      <c r="L2882" s="17" t="str" cm="1">
        <f t="array" ref="L2882">_xlfn.IFS(MID(K2882,2,2)="01", "서울", MID(K2882,2,2)="02","경기",MID(K2882,2,2)="03","충청",MID(K2882,2,2)="04","충청",MID(K2882,2,2)="05","전라",MID(K2882,2,2)="06","전라",MID(K2882,2,2)="07","경북",MID(K2882,2,2)="08","경남",MID(K2882,2,2)="09","강원",MID(K2882,2,2)="10","제주",TRUE,"국외")</f>
        <v>서울</v>
      </c>
    </row>
    <row r="2883" spans="1:12" ht="17.25" thickBot="1">
      <c r="A2883" s="3" t="s">
        <v>1435</v>
      </c>
      <c r="B2883" s="3" t="s">
        <v>34</v>
      </c>
      <c r="C2883" s="3" t="s">
        <v>119</v>
      </c>
      <c r="D2883" s="4" t="s">
        <v>254</v>
      </c>
      <c r="E2883" s="4" t="s">
        <v>9</v>
      </c>
      <c r="F2883" s="4">
        <v>1997</v>
      </c>
      <c r="G2883" s="8">
        <v>-0.4</v>
      </c>
      <c r="H2883" s="4" t="s">
        <v>9</v>
      </c>
      <c r="I2883" s="8">
        <v>-1.1000000000000001</v>
      </c>
      <c r="J2883" s="3">
        <f>2004</f>
        <v>2004</v>
      </c>
      <c r="K2883" s="3">
        <v>50701</v>
      </c>
      <c r="L2883" s="17" t="str" cm="1">
        <f t="array" ref="L2883">_xlfn.IFS(MID(K2883,2,2)="01", "서울", MID(K2883,2,2)="02","경기",MID(K2883,2,2)="03","충청",MID(K2883,2,2)="04","충청",MID(K2883,2,2)="05","전라",MID(K2883,2,2)="06","전라",MID(K2883,2,2)="07","경북",MID(K2883,2,2)="08","경남",MID(K2883,2,2)="09","강원",MID(K2883,2,2)="10","제주",TRUE,"국외")</f>
        <v>경북</v>
      </c>
    </row>
    <row r="2884" spans="1:12" ht="17.25" thickBot="1">
      <c r="A2884" s="3" t="s">
        <v>2829</v>
      </c>
      <c r="B2884" s="3" t="s">
        <v>78</v>
      </c>
      <c r="C2884" s="3" t="s">
        <v>172</v>
      </c>
      <c r="D2884" s="4" t="s">
        <v>254</v>
      </c>
      <c r="E2884" s="4" t="s">
        <v>23</v>
      </c>
      <c r="F2884" s="4">
        <v>1997</v>
      </c>
      <c r="G2884" s="8">
        <v>-0.3</v>
      </c>
      <c r="H2884" s="4" t="s">
        <v>607</v>
      </c>
      <c r="I2884" s="8">
        <v>-3.1</v>
      </c>
      <c r="J2884" s="3">
        <f>1981</f>
        <v>1981</v>
      </c>
      <c r="K2884" s="3">
        <v>50401</v>
      </c>
      <c r="L2884" s="17" t="str" cm="1">
        <f t="array" ref="L2884">_xlfn.IFS(MID(K2884,2,2)="01", "서울", MID(K2884,2,2)="02","경기",MID(K2884,2,2)="03","충청",MID(K2884,2,2)="04","충청",MID(K2884,2,2)="05","전라",MID(K2884,2,2)="06","전라",MID(K2884,2,2)="07","경북",MID(K2884,2,2)="08","경남",MID(K2884,2,2)="09","강원",MID(K2884,2,2)="10","제주",TRUE,"국외")</f>
        <v>충청</v>
      </c>
    </row>
    <row r="2885" spans="1:12" ht="17.25" thickBot="1">
      <c r="A2885" s="3" t="s">
        <v>2830</v>
      </c>
      <c r="B2885" s="3" t="s">
        <v>81</v>
      </c>
      <c r="C2885" s="3"/>
      <c r="D2885" s="4" t="s">
        <v>254</v>
      </c>
      <c r="E2885" s="4" t="s">
        <v>2164</v>
      </c>
      <c r="F2885" s="4">
        <v>1997</v>
      </c>
      <c r="G2885" s="8">
        <v>0</v>
      </c>
      <c r="H2885" s="4" t="s">
        <v>2164</v>
      </c>
      <c r="I2885" s="8">
        <v>0</v>
      </c>
      <c r="J2885" s="3">
        <f>1987</f>
        <v>1987</v>
      </c>
      <c r="K2885" s="3">
        <v>50105</v>
      </c>
      <c r="L2885" s="17" t="str" cm="1">
        <f t="array" ref="L2885">_xlfn.IFS(MID(K2885,2,2)="01", "서울", MID(K2885,2,2)="02","경기",MID(K2885,2,2)="03","충청",MID(K2885,2,2)="04","충청",MID(K2885,2,2)="05","전라",MID(K2885,2,2)="06","전라",MID(K2885,2,2)="07","경북",MID(K2885,2,2)="08","경남",MID(K2885,2,2)="09","강원",MID(K2885,2,2)="10","제주",TRUE,"국외")</f>
        <v>서울</v>
      </c>
    </row>
    <row r="2886" spans="1:12" ht="17.25" thickBot="1">
      <c r="A2886" s="3" t="s">
        <v>2831</v>
      </c>
      <c r="B2886" s="3" t="s">
        <v>5</v>
      </c>
      <c r="C2886" s="3" t="s">
        <v>211</v>
      </c>
      <c r="D2886" s="4" t="s">
        <v>254</v>
      </c>
      <c r="E2886" s="4" t="s">
        <v>20</v>
      </c>
      <c r="F2886" s="4">
        <v>1998</v>
      </c>
      <c r="G2886" s="9"/>
      <c r="H2886" s="4" t="s">
        <v>20</v>
      </c>
      <c r="I2886" s="8">
        <v>-0.2</v>
      </c>
      <c r="J2886" s="3">
        <f>2035</f>
        <v>2035</v>
      </c>
      <c r="K2886" s="3">
        <v>50114</v>
      </c>
      <c r="L2886" s="17" t="str" cm="1">
        <f t="array" ref="L2886">_xlfn.IFS(MID(K2886,2,2)="01", "서울", MID(K2886,2,2)="02","경기",MID(K2886,2,2)="03","충청",MID(K2886,2,2)="04","충청",MID(K2886,2,2)="05","전라",MID(K2886,2,2)="06","전라",MID(K2886,2,2)="07","경북",MID(K2886,2,2)="08","경남",MID(K2886,2,2)="09","강원",MID(K2886,2,2)="10","제주",TRUE,"국외")</f>
        <v>서울</v>
      </c>
    </row>
    <row r="2887" spans="1:12" ht="17.25" thickBot="1">
      <c r="A2887" s="3" t="s">
        <v>2832</v>
      </c>
      <c r="B2887" s="3" t="s">
        <v>38</v>
      </c>
      <c r="C2887" s="3" t="s">
        <v>122</v>
      </c>
      <c r="D2887" s="4" t="s">
        <v>254</v>
      </c>
      <c r="E2887" s="4" t="s">
        <v>2725</v>
      </c>
      <c r="F2887" s="4">
        <v>1997</v>
      </c>
      <c r="G2887" s="8">
        <v>0</v>
      </c>
      <c r="H2887" s="4" t="s">
        <v>2725</v>
      </c>
      <c r="I2887" s="8">
        <v>0</v>
      </c>
      <c r="J2887" s="3">
        <f>1973</f>
        <v>1973</v>
      </c>
      <c r="K2887" s="3">
        <v>50109</v>
      </c>
      <c r="L2887" s="17" t="str" cm="1">
        <f t="array" ref="L2887">_xlfn.IFS(MID(K2887,2,2)="01", "서울", MID(K2887,2,2)="02","경기",MID(K2887,2,2)="03","충청",MID(K2887,2,2)="04","충청",MID(K2887,2,2)="05","전라",MID(K2887,2,2)="06","전라",MID(K2887,2,2)="07","경북",MID(K2887,2,2)="08","경남",MID(K2887,2,2)="09","강원",MID(K2887,2,2)="10","제주",TRUE,"국외")</f>
        <v>서울</v>
      </c>
    </row>
    <row r="2888" spans="1:12" ht="17.25" thickBot="1">
      <c r="A2888" s="3" t="s">
        <v>2833</v>
      </c>
      <c r="B2888" s="3" t="s">
        <v>228</v>
      </c>
      <c r="C2888" s="3" t="s">
        <v>538</v>
      </c>
      <c r="D2888" s="4" t="s">
        <v>254</v>
      </c>
      <c r="E2888" s="4" t="s">
        <v>9</v>
      </c>
      <c r="F2888" s="4">
        <v>1997</v>
      </c>
      <c r="G2888" s="8">
        <v>0.1</v>
      </c>
      <c r="H2888" s="4" t="s">
        <v>9</v>
      </c>
      <c r="I2888" s="8">
        <v>-0.3</v>
      </c>
      <c r="J2888" s="3">
        <f>1997</f>
        <v>1997</v>
      </c>
      <c r="K2888" s="3">
        <v>50702</v>
      </c>
      <c r="L2888" s="17" t="str" cm="1">
        <f t="array" ref="L2888">_xlfn.IFS(MID(K2888,2,2)="01", "서울", MID(K2888,2,2)="02","경기",MID(K2888,2,2)="03","충청",MID(K2888,2,2)="04","충청",MID(K2888,2,2)="05","전라",MID(K2888,2,2)="06","전라",MID(K2888,2,2)="07","경북",MID(K2888,2,2)="08","경남",MID(K2888,2,2)="09","강원",MID(K2888,2,2)="10","제주",TRUE,"국외")</f>
        <v>경북</v>
      </c>
    </row>
    <row r="2889" spans="1:12" ht="17.25" thickBot="1">
      <c r="A2889" s="3" t="s">
        <v>2834</v>
      </c>
      <c r="B2889" s="3" t="s">
        <v>1</v>
      </c>
      <c r="C2889" s="3" t="s">
        <v>174</v>
      </c>
      <c r="D2889" s="4" t="s">
        <v>254</v>
      </c>
      <c r="E2889" s="4" t="s">
        <v>23</v>
      </c>
      <c r="F2889" s="4">
        <v>2001</v>
      </c>
      <c r="G2889" s="9"/>
      <c r="H2889" s="4" t="s">
        <v>23</v>
      </c>
      <c r="I2889" s="8">
        <v>-0.1</v>
      </c>
      <c r="J2889" s="3">
        <f>2217</f>
        <v>2217</v>
      </c>
      <c r="K2889" s="3">
        <v>50107</v>
      </c>
      <c r="L2889" s="17" t="str" cm="1">
        <f t="array" ref="L2889">_xlfn.IFS(MID(K2889,2,2)="01", "서울", MID(K2889,2,2)="02","경기",MID(K2889,2,2)="03","충청",MID(K2889,2,2)="04","충청",MID(K2889,2,2)="05","전라",MID(K2889,2,2)="06","전라",MID(K2889,2,2)="07","경북",MID(K2889,2,2)="08","경남",MID(K2889,2,2)="09","강원",MID(K2889,2,2)="10","제주",TRUE,"국외")</f>
        <v>서울</v>
      </c>
    </row>
    <row r="2890" spans="1:12" ht="17.25" thickBot="1">
      <c r="A2890" s="3" t="s">
        <v>2835</v>
      </c>
      <c r="B2890" s="3" t="s">
        <v>93</v>
      </c>
      <c r="C2890" s="3" t="s">
        <v>133</v>
      </c>
      <c r="D2890" s="4" t="s">
        <v>254</v>
      </c>
      <c r="E2890" s="4" t="s">
        <v>23</v>
      </c>
      <c r="F2890" s="4">
        <v>2001</v>
      </c>
      <c r="G2890" s="9"/>
      <c r="H2890" s="4" t="s">
        <v>23</v>
      </c>
      <c r="I2890" s="8">
        <v>54.7</v>
      </c>
      <c r="J2890" s="3">
        <v>10336</v>
      </c>
      <c r="K2890" s="3">
        <v>50805</v>
      </c>
      <c r="L2890" s="17" t="str" cm="1">
        <f t="array" ref="L2890">_xlfn.IFS(MID(K2890,2,2)="01", "서울", MID(K2890,2,2)="02","경기",MID(K2890,2,2)="03","충청",MID(K2890,2,2)="04","충청",MID(K2890,2,2)="05","전라",MID(K2890,2,2)="06","전라",MID(K2890,2,2)="07","경북",MID(K2890,2,2)="08","경남",MID(K2890,2,2)="09","강원",MID(K2890,2,2)="10","제주",TRUE,"국외")</f>
        <v>경남</v>
      </c>
    </row>
    <row r="2891" spans="1:12" ht="17.25" thickBot="1">
      <c r="A2891" s="3" t="s">
        <v>2836</v>
      </c>
      <c r="B2891" s="3" t="s">
        <v>78</v>
      </c>
      <c r="C2891" s="3" t="s">
        <v>329</v>
      </c>
      <c r="D2891" s="4" t="s">
        <v>254</v>
      </c>
      <c r="E2891" s="4" t="s">
        <v>2661</v>
      </c>
      <c r="F2891" s="4">
        <v>1999</v>
      </c>
      <c r="G2891" s="9"/>
      <c r="H2891" s="4" t="s">
        <v>23</v>
      </c>
      <c r="I2891" s="8">
        <v>0</v>
      </c>
      <c r="J2891" s="3">
        <f>2083</f>
        <v>2083</v>
      </c>
      <c r="K2891" s="3">
        <v>50401</v>
      </c>
      <c r="L2891" s="17" t="str" cm="1">
        <f t="array" ref="L2891">_xlfn.IFS(MID(K2891,2,2)="01", "서울", MID(K2891,2,2)="02","경기",MID(K2891,2,2)="03","충청",MID(K2891,2,2)="04","충청",MID(K2891,2,2)="05","전라",MID(K2891,2,2)="06","전라",MID(K2891,2,2)="07","경북",MID(K2891,2,2)="08","경남",MID(K2891,2,2)="09","강원",MID(K2891,2,2)="10","제주",TRUE,"국외")</f>
        <v>충청</v>
      </c>
    </row>
    <row r="2892" spans="1:12" ht="17.25" thickBot="1">
      <c r="A2892" s="3" t="s">
        <v>2837</v>
      </c>
      <c r="B2892" s="3" t="s">
        <v>1497</v>
      </c>
      <c r="C2892" s="3" t="s">
        <v>45</v>
      </c>
      <c r="D2892" s="4" t="s">
        <v>254</v>
      </c>
      <c r="E2892" s="4" t="s">
        <v>3</v>
      </c>
      <c r="F2892" s="4">
        <v>2002</v>
      </c>
      <c r="G2892" s="9"/>
      <c r="H2892" s="4" t="s">
        <v>3</v>
      </c>
      <c r="I2892" s="8">
        <v>0</v>
      </c>
      <c r="J2892" s="3">
        <f>2226</f>
        <v>2226</v>
      </c>
      <c r="K2892" s="3">
        <v>50112</v>
      </c>
      <c r="L2892" s="17" t="str" cm="1">
        <f t="array" ref="L2892">_xlfn.IFS(MID(K2892,2,2)="01", "서울", MID(K2892,2,2)="02","경기",MID(K2892,2,2)="03","충청",MID(K2892,2,2)="04","충청",MID(K2892,2,2)="05","전라",MID(K2892,2,2)="06","전라",MID(K2892,2,2)="07","경북",MID(K2892,2,2)="08","경남",MID(K2892,2,2)="09","강원",MID(K2892,2,2)="10","제주",TRUE,"국외")</f>
        <v>서울</v>
      </c>
    </row>
    <row r="2893" spans="1:12" ht="17.25" thickBot="1">
      <c r="A2893" s="3" t="s">
        <v>2838</v>
      </c>
      <c r="B2893" s="3" t="s">
        <v>93</v>
      </c>
      <c r="C2893" s="3" t="s">
        <v>211</v>
      </c>
      <c r="D2893" s="4" t="s">
        <v>254</v>
      </c>
      <c r="E2893" s="4" t="s">
        <v>20</v>
      </c>
      <c r="F2893" s="4">
        <v>1997</v>
      </c>
      <c r="G2893" s="8">
        <v>-0.1</v>
      </c>
      <c r="H2893" s="4" t="s">
        <v>20</v>
      </c>
      <c r="I2893" s="8">
        <v>-0.1</v>
      </c>
      <c r="J2893" s="3">
        <f>1984</f>
        <v>1984</v>
      </c>
      <c r="K2893" s="3">
        <v>50805</v>
      </c>
      <c r="L2893" s="17" t="str" cm="1">
        <f t="array" ref="L2893">_xlfn.IFS(MID(K2893,2,2)="01", "서울", MID(K2893,2,2)="02","경기",MID(K2893,2,2)="03","충청",MID(K2893,2,2)="04","충청",MID(K2893,2,2)="05","전라",MID(K2893,2,2)="06","전라",MID(K2893,2,2)="07","경북",MID(K2893,2,2)="08","경남",MID(K2893,2,2)="09","강원",MID(K2893,2,2)="10","제주",TRUE,"국외")</f>
        <v>경남</v>
      </c>
    </row>
    <row r="2894" spans="1:12" ht="17.25" thickBot="1">
      <c r="A2894" s="3" t="s">
        <v>2839</v>
      </c>
      <c r="B2894" s="3" t="s">
        <v>1791</v>
      </c>
      <c r="C2894" s="3" t="s">
        <v>208</v>
      </c>
      <c r="D2894" s="4" t="s">
        <v>254</v>
      </c>
      <c r="E2894" s="4" t="s">
        <v>2725</v>
      </c>
      <c r="F2894" s="4">
        <v>2002</v>
      </c>
      <c r="G2894" s="9"/>
      <c r="H2894" s="4" t="s">
        <v>26</v>
      </c>
      <c r="I2894" s="8">
        <v>0.2</v>
      </c>
      <c r="J2894" s="3">
        <v>11455</v>
      </c>
      <c r="K2894" s="3">
        <v>50303</v>
      </c>
      <c r="L2894" s="17" t="str" cm="1">
        <f t="array" ref="L2894">_xlfn.IFS(MID(K2894,2,2)="01", "서울", MID(K2894,2,2)="02","경기",MID(K2894,2,2)="03","충청",MID(K2894,2,2)="04","충청",MID(K2894,2,2)="05","전라",MID(K2894,2,2)="06","전라",MID(K2894,2,2)="07","경북",MID(K2894,2,2)="08","경남",MID(K2894,2,2)="09","강원",MID(K2894,2,2)="10","제주",TRUE,"국외")</f>
        <v>충청</v>
      </c>
    </row>
    <row r="2895" spans="1:12" ht="17.25" thickBot="1">
      <c r="A2895" s="3" t="s">
        <v>2840</v>
      </c>
      <c r="B2895" s="3" t="s">
        <v>81</v>
      </c>
      <c r="C2895" s="3" t="s">
        <v>122</v>
      </c>
      <c r="D2895" s="4" t="s">
        <v>254</v>
      </c>
      <c r="E2895" s="4" t="s">
        <v>2725</v>
      </c>
      <c r="F2895" s="4">
        <v>2001</v>
      </c>
      <c r="G2895" s="9"/>
      <c r="H2895" s="4" t="s">
        <v>6</v>
      </c>
      <c r="I2895" s="8">
        <v>19.7</v>
      </c>
      <c r="J2895" s="3">
        <v>10029</v>
      </c>
      <c r="K2895" s="3">
        <v>50105</v>
      </c>
      <c r="L2895" s="17" t="str" cm="1">
        <f t="array" ref="L2895">_xlfn.IFS(MID(K2895,2,2)="01", "서울", MID(K2895,2,2)="02","경기",MID(K2895,2,2)="03","충청",MID(K2895,2,2)="04","충청",MID(K2895,2,2)="05","전라",MID(K2895,2,2)="06","전라",MID(K2895,2,2)="07","경북",MID(K2895,2,2)="08","경남",MID(K2895,2,2)="09","강원",MID(K2895,2,2)="10","제주",TRUE,"국외")</f>
        <v>서울</v>
      </c>
    </row>
    <row r="2896" spans="1:12" ht="17.25" thickBot="1">
      <c r="A2896" s="3" t="s">
        <v>1977</v>
      </c>
      <c r="B2896" s="3" t="s">
        <v>464</v>
      </c>
      <c r="C2896" s="3"/>
      <c r="D2896" s="4" t="s">
        <v>254</v>
      </c>
      <c r="E2896" s="4" t="s">
        <v>2661</v>
      </c>
      <c r="F2896" s="4">
        <v>1998</v>
      </c>
      <c r="G2896" s="9"/>
      <c r="H2896" s="4" t="s">
        <v>2661</v>
      </c>
      <c r="I2896" s="8">
        <v>0</v>
      </c>
      <c r="J2896" s="3">
        <f>2033</f>
        <v>2033</v>
      </c>
      <c r="K2896" s="3">
        <v>50706</v>
      </c>
      <c r="L2896" s="17" t="str" cm="1">
        <f t="array" ref="L2896">_xlfn.IFS(MID(K2896,2,2)="01", "서울", MID(K2896,2,2)="02","경기",MID(K2896,2,2)="03","충청",MID(K2896,2,2)="04","충청",MID(K2896,2,2)="05","전라",MID(K2896,2,2)="06","전라",MID(K2896,2,2)="07","경북",MID(K2896,2,2)="08","경남",MID(K2896,2,2)="09","강원",MID(K2896,2,2)="10","제주",TRUE,"국외")</f>
        <v>경북</v>
      </c>
    </row>
    <row r="2897" spans="1:12" ht="17.25" thickBot="1">
      <c r="A2897" s="3" t="s">
        <v>2841</v>
      </c>
      <c r="B2897" s="3" t="s">
        <v>81</v>
      </c>
      <c r="C2897" s="3" t="s">
        <v>218</v>
      </c>
      <c r="D2897" s="4" t="s">
        <v>254</v>
      </c>
      <c r="E2897" s="4" t="s">
        <v>3</v>
      </c>
      <c r="F2897" s="4">
        <v>1997</v>
      </c>
      <c r="G2897" s="8">
        <v>0</v>
      </c>
      <c r="H2897" s="4" t="s">
        <v>3</v>
      </c>
      <c r="I2897" s="8">
        <v>0</v>
      </c>
      <c r="J2897" s="3">
        <f>1978</f>
        <v>1978</v>
      </c>
      <c r="K2897" s="3">
        <v>50105</v>
      </c>
      <c r="L2897" s="17" t="str" cm="1">
        <f t="array" ref="L2897">_xlfn.IFS(MID(K2897,2,2)="01", "서울", MID(K2897,2,2)="02","경기",MID(K2897,2,2)="03","충청",MID(K2897,2,2)="04","충청",MID(K2897,2,2)="05","전라",MID(K2897,2,2)="06","전라",MID(K2897,2,2)="07","경북",MID(K2897,2,2)="08","경남",MID(K2897,2,2)="09","강원",MID(K2897,2,2)="10","제주",TRUE,"국외")</f>
        <v>서울</v>
      </c>
    </row>
    <row r="2898" spans="1:12" ht="17.25" thickBot="1">
      <c r="A2898" s="3" t="s">
        <v>2842</v>
      </c>
      <c r="B2898" s="3" t="s">
        <v>121</v>
      </c>
      <c r="C2898" s="3"/>
      <c r="D2898" s="4" t="s">
        <v>254</v>
      </c>
      <c r="E2898" s="4" t="s">
        <v>2523</v>
      </c>
      <c r="F2898" s="4">
        <v>1998</v>
      </c>
      <c r="G2898" s="9"/>
      <c r="H2898" s="4" t="s">
        <v>2523</v>
      </c>
      <c r="I2898" s="8">
        <v>-0.6</v>
      </c>
      <c r="J2898" s="3">
        <f>2051</f>
        <v>2051</v>
      </c>
      <c r="K2898" s="3">
        <v>50604</v>
      </c>
      <c r="L2898" s="17" t="str" cm="1">
        <f t="array" ref="L2898">_xlfn.IFS(MID(K2898,2,2)="01", "서울", MID(K2898,2,2)="02","경기",MID(K2898,2,2)="03","충청",MID(K2898,2,2)="04","충청",MID(K2898,2,2)="05","전라",MID(K2898,2,2)="06","전라",MID(K2898,2,2)="07","경북",MID(K2898,2,2)="08","경남",MID(K2898,2,2)="09","강원",MID(K2898,2,2)="10","제주",TRUE,"국외")</f>
        <v>전라</v>
      </c>
    </row>
    <row r="2899" spans="1:12" ht="17.25" thickBot="1">
      <c r="A2899" s="3" t="s">
        <v>2843</v>
      </c>
      <c r="B2899" s="3" t="s">
        <v>70</v>
      </c>
      <c r="C2899" s="3" t="s">
        <v>119</v>
      </c>
      <c r="D2899" s="4" t="s">
        <v>254</v>
      </c>
      <c r="E2899" s="4" t="s">
        <v>2725</v>
      </c>
      <c r="F2899" s="4">
        <v>1997</v>
      </c>
      <c r="G2899" s="8">
        <v>0</v>
      </c>
      <c r="H2899" s="4" t="s">
        <v>2725</v>
      </c>
      <c r="I2899" s="8">
        <v>0</v>
      </c>
      <c r="J2899" s="3">
        <f>1972</f>
        <v>1972</v>
      </c>
      <c r="K2899" s="3">
        <v>50103</v>
      </c>
      <c r="L2899" s="17" t="str" cm="1">
        <f t="array" ref="L2899">_xlfn.IFS(MID(K2899,2,2)="01", "서울", MID(K2899,2,2)="02","경기",MID(K2899,2,2)="03","충청",MID(K2899,2,2)="04","충청",MID(K2899,2,2)="05","전라",MID(K2899,2,2)="06","전라",MID(K2899,2,2)="07","경북",MID(K2899,2,2)="08","경남",MID(K2899,2,2)="09","강원",MID(K2899,2,2)="10","제주",TRUE,"국외")</f>
        <v>서울</v>
      </c>
    </row>
    <row r="2900" spans="1:12" ht="17.25" thickBot="1">
      <c r="A2900" s="3" t="s">
        <v>2844</v>
      </c>
      <c r="B2900" s="3" t="s">
        <v>66</v>
      </c>
      <c r="C2900" s="3" t="s">
        <v>99</v>
      </c>
      <c r="D2900" s="4" t="s">
        <v>254</v>
      </c>
      <c r="E2900" s="4" t="s">
        <v>9</v>
      </c>
      <c r="F2900" s="4">
        <v>2001</v>
      </c>
      <c r="G2900" s="9"/>
      <c r="H2900" s="4" t="s">
        <v>9</v>
      </c>
      <c r="I2900" s="8">
        <v>-0.7</v>
      </c>
      <c r="J2900" s="3">
        <f>2164</f>
        <v>2164</v>
      </c>
      <c r="K2900" s="3">
        <v>50110</v>
      </c>
      <c r="L2900" s="17" t="str" cm="1">
        <f t="array" ref="L2900">_xlfn.IFS(MID(K2900,2,2)="01", "서울", MID(K2900,2,2)="02","경기",MID(K2900,2,2)="03","충청",MID(K2900,2,2)="04","충청",MID(K2900,2,2)="05","전라",MID(K2900,2,2)="06","전라",MID(K2900,2,2)="07","경북",MID(K2900,2,2)="08","경남",MID(K2900,2,2)="09","강원",MID(K2900,2,2)="10","제주",TRUE,"국외")</f>
        <v>서울</v>
      </c>
    </row>
    <row r="2901" spans="1:12" ht="17.25" thickBot="1">
      <c r="A2901" s="3" t="s">
        <v>2845</v>
      </c>
      <c r="B2901" s="3" t="s">
        <v>8</v>
      </c>
      <c r="C2901" s="3" t="s">
        <v>211</v>
      </c>
      <c r="D2901" s="4" t="s">
        <v>254</v>
      </c>
      <c r="E2901" s="4" t="s">
        <v>2523</v>
      </c>
      <c r="F2901" s="4">
        <v>2001</v>
      </c>
      <c r="G2901" s="9"/>
      <c r="H2901" s="4" t="s">
        <v>6</v>
      </c>
      <c r="I2901" s="8">
        <v>-0.3</v>
      </c>
      <c r="J2901" s="3">
        <f>2181</f>
        <v>2181</v>
      </c>
      <c r="K2901" s="3">
        <v>50116</v>
      </c>
      <c r="L2901" s="17" t="str" cm="1">
        <f t="array" ref="L2901">_xlfn.IFS(MID(K2901,2,2)="01", "서울", MID(K2901,2,2)="02","경기",MID(K2901,2,2)="03","충청",MID(K2901,2,2)="04","충청",MID(K2901,2,2)="05","전라",MID(K2901,2,2)="06","전라",MID(K2901,2,2)="07","경북",MID(K2901,2,2)="08","경남",MID(K2901,2,2)="09","강원",MID(K2901,2,2)="10","제주",TRUE,"국외")</f>
        <v>서울</v>
      </c>
    </row>
    <row r="2902" spans="1:12" ht="17.25" thickBot="1">
      <c r="A2902" s="3" t="s">
        <v>2846</v>
      </c>
      <c r="B2902" s="3" t="s">
        <v>66</v>
      </c>
      <c r="C2902" s="3" t="s">
        <v>83</v>
      </c>
      <c r="D2902" s="4" t="s">
        <v>254</v>
      </c>
      <c r="E2902" s="4" t="s">
        <v>9</v>
      </c>
      <c r="F2902" s="4">
        <v>2001</v>
      </c>
      <c r="G2902" s="9"/>
      <c r="H2902" s="4" t="s">
        <v>9</v>
      </c>
      <c r="I2902" s="8">
        <v>-0.3</v>
      </c>
      <c r="J2902" s="3">
        <v>10277</v>
      </c>
      <c r="K2902" s="3">
        <v>50110</v>
      </c>
      <c r="L2902" s="17" t="str" cm="1">
        <f t="array" ref="L2902">_xlfn.IFS(MID(K2902,2,2)="01", "서울", MID(K2902,2,2)="02","경기",MID(K2902,2,2)="03","충청",MID(K2902,2,2)="04","충청",MID(K2902,2,2)="05","전라",MID(K2902,2,2)="06","전라",MID(K2902,2,2)="07","경북",MID(K2902,2,2)="08","경남",MID(K2902,2,2)="09","강원",MID(K2902,2,2)="10","제주",TRUE,"국외")</f>
        <v>서울</v>
      </c>
    </row>
    <row r="2903" spans="1:12" ht="17.25" thickBot="1">
      <c r="A2903" s="3" t="s">
        <v>2847</v>
      </c>
      <c r="B2903" s="3" t="s">
        <v>42</v>
      </c>
      <c r="C2903" s="3"/>
      <c r="D2903" s="4" t="s">
        <v>254</v>
      </c>
      <c r="E2903" s="4" t="s">
        <v>2661</v>
      </c>
      <c r="F2903" s="4">
        <v>1999</v>
      </c>
      <c r="G2903" s="9"/>
      <c r="H2903" s="4" t="s">
        <v>2661</v>
      </c>
      <c r="I2903" s="8">
        <v>-0.2</v>
      </c>
      <c r="J2903" s="3">
        <f>2110</f>
        <v>2110</v>
      </c>
      <c r="K2903" s="3">
        <v>50502</v>
      </c>
      <c r="L2903" s="17" t="str" cm="1">
        <f t="array" ref="L2903">_xlfn.IFS(MID(K2903,2,2)="01", "서울", MID(K2903,2,2)="02","경기",MID(K2903,2,2)="03","충청",MID(K2903,2,2)="04","충청",MID(K2903,2,2)="05","전라",MID(K2903,2,2)="06","전라",MID(K2903,2,2)="07","경북",MID(K2903,2,2)="08","경남",MID(K2903,2,2)="09","강원",MID(K2903,2,2)="10","제주",TRUE,"국외")</f>
        <v>전라</v>
      </c>
    </row>
    <row r="2904" spans="1:12" ht="17.25" thickBot="1">
      <c r="A2904" s="3" t="s">
        <v>2848</v>
      </c>
      <c r="B2904" s="3" t="s">
        <v>1950</v>
      </c>
      <c r="C2904" s="3" t="s">
        <v>221</v>
      </c>
      <c r="D2904" s="4" t="s">
        <v>254</v>
      </c>
      <c r="E2904" s="4" t="s">
        <v>3</v>
      </c>
      <c r="F2904" s="4">
        <v>1997</v>
      </c>
      <c r="G2904" s="8">
        <v>1</v>
      </c>
      <c r="H2904" s="4" t="s">
        <v>3</v>
      </c>
      <c r="I2904" s="8">
        <v>4.5</v>
      </c>
      <c r="J2904" s="3">
        <f>2005</f>
        <v>2005</v>
      </c>
      <c r="K2904" s="3">
        <v>50115</v>
      </c>
      <c r="L2904" s="17" t="str" cm="1">
        <f t="array" ref="L2904">_xlfn.IFS(MID(K2904,2,2)="01", "서울", MID(K2904,2,2)="02","경기",MID(K2904,2,2)="03","충청",MID(K2904,2,2)="04","충청",MID(K2904,2,2)="05","전라",MID(K2904,2,2)="06","전라",MID(K2904,2,2)="07","경북",MID(K2904,2,2)="08","경남",MID(K2904,2,2)="09","강원",MID(K2904,2,2)="10","제주",TRUE,"국외")</f>
        <v>서울</v>
      </c>
    </row>
    <row r="2905" spans="1:12" ht="17.25" thickBot="1">
      <c r="A2905" s="3" t="s">
        <v>2849</v>
      </c>
      <c r="B2905" s="3" t="s">
        <v>1497</v>
      </c>
      <c r="C2905" s="3" t="s">
        <v>538</v>
      </c>
      <c r="D2905" s="4" t="s">
        <v>254</v>
      </c>
      <c r="E2905" s="4" t="s">
        <v>9</v>
      </c>
      <c r="F2905" s="4">
        <v>2001</v>
      </c>
      <c r="G2905" s="9"/>
      <c r="H2905" s="4" t="s">
        <v>9</v>
      </c>
      <c r="I2905" s="8">
        <v>-0.1</v>
      </c>
      <c r="J2905" s="3">
        <f>2172</f>
        <v>2172</v>
      </c>
      <c r="K2905" s="3">
        <v>50112</v>
      </c>
      <c r="L2905" s="17" t="str" cm="1">
        <f t="array" ref="L2905">_xlfn.IFS(MID(K2905,2,2)="01", "서울", MID(K2905,2,2)="02","경기",MID(K2905,2,2)="03","충청",MID(K2905,2,2)="04","충청",MID(K2905,2,2)="05","전라",MID(K2905,2,2)="06","전라",MID(K2905,2,2)="07","경북",MID(K2905,2,2)="08","경남",MID(K2905,2,2)="09","강원",MID(K2905,2,2)="10","제주",TRUE,"국외")</f>
        <v>서울</v>
      </c>
    </row>
    <row r="2906" spans="1:12" ht="17.25" thickBot="1">
      <c r="A2906" s="3" t="s">
        <v>2850</v>
      </c>
      <c r="B2906" s="3" t="s">
        <v>42</v>
      </c>
      <c r="C2906" s="3" t="s">
        <v>172</v>
      </c>
      <c r="D2906" s="4" t="s">
        <v>254</v>
      </c>
      <c r="E2906" s="4" t="s">
        <v>2661</v>
      </c>
      <c r="F2906" s="4">
        <v>1997</v>
      </c>
      <c r="G2906" s="8">
        <v>0.2</v>
      </c>
      <c r="H2906" s="4" t="s">
        <v>2661</v>
      </c>
      <c r="I2906" s="8">
        <v>0.2</v>
      </c>
      <c r="J2906" s="3">
        <f>2000</f>
        <v>2000</v>
      </c>
      <c r="K2906" s="3">
        <v>50502</v>
      </c>
      <c r="L2906" s="17" t="str" cm="1">
        <f t="array" ref="L2906">_xlfn.IFS(MID(K2906,2,2)="01", "서울", MID(K2906,2,2)="02","경기",MID(K2906,2,2)="03","충청",MID(K2906,2,2)="04","충청",MID(K2906,2,2)="05","전라",MID(K2906,2,2)="06","전라",MID(K2906,2,2)="07","경북",MID(K2906,2,2)="08","경남",MID(K2906,2,2)="09","강원",MID(K2906,2,2)="10","제주",TRUE,"국외")</f>
        <v>전라</v>
      </c>
    </row>
    <row r="2907" spans="1:12" ht="17.25" thickBot="1">
      <c r="A2907" s="3" t="s">
        <v>2851</v>
      </c>
      <c r="B2907" s="3" t="s">
        <v>11</v>
      </c>
      <c r="C2907" s="3" t="s">
        <v>119</v>
      </c>
      <c r="D2907" s="4" t="s">
        <v>254</v>
      </c>
      <c r="E2907" s="4" t="s">
        <v>3</v>
      </c>
      <c r="F2907" s="4">
        <v>1997</v>
      </c>
      <c r="G2907" s="8">
        <v>0.1</v>
      </c>
      <c r="H2907" s="4" t="s">
        <v>3</v>
      </c>
      <c r="I2907" s="8">
        <v>0.1</v>
      </c>
      <c r="J2907" s="3">
        <f>1994</f>
        <v>1994</v>
      </c>
      <c r="K2907" s="3">
        <v>50802</v>
      </c>
      <c r="L2907" s="17" t="str" cm="1">
        <f t="array" ref="L2907">_xlfn.IFS(MID(K2907,2,2)="01", "서울", MID(K2907,2,2)="02","경기",MID(K2907,2,2)="03","충청",MID(K2907,2,2)="04","충청",MID(K2907,2,2)="05","전라",MID(K2907,2,2)="06","전라",MID(K2907,2,2)="07","경북",MID(K2907,2,2)="08","경남",MID(K2907,2,2)="09","강원",MID(K2907,2,2)="10","제주",TRUE,"국외")</f>
        <v>경남</v>
      </c>
    </row>
    <row r="2908" spans="1:12" ht="17.25" thickBot="1">
      <c r="A2908" s="3" t="s">
        <v>2852</v>
      </c>
      <c r="B2908" s="3" t="s">
        <v>145</v>
      </c>
      <c r="C2908" s="3" t="s">
        <v>99</v>
      </c>
      <c r="D2908" s="4" t="s">
        <v>254</v>
      </c>
      <c r="E2908" s="4" t="s">
        <v>20</v>
      </c>
      <c r="F2908" s="4">
        <v>1997</v>
      </c>
      <c r="G2908" s="8">
        <v>0.1</v>
      </c>
      <c r="H2908" s="4" t="s">
        <v>20</v>
      </c>
      <c r="I2908" s="8">
        <v>0.1</v>
      </c>
      <c r="J2908" s="3">
        <f>2009</f>
        <v>2009</v>
      </c>
      <c r="K2908" s="3">
        <v>50106</v>
      </c>
      <c r="L2908" s="17" t="str" cm="1">
        <f t="array" ref="L2908">_xlfn.IFS(MID(K2908,2,2)="01", "서울", MID(K2908,2,2)="02","경기",MID(K2908,2,2)="03","충청",MID(K2908,2,2)="04","충청",MID(K2908,2,2)="05","전라",MID(K2908,2,2)="06","전라",MID(K2908,2,2)="07","경북",MID(K2908,2,2)="08","경남",MID(K2908,2,2)="09","강원",MID(K2908,2,2)="10","제주",TRUE,"국외")</f>
        <v>서울</v>
      </c>
    </row>
    <row r="2909" spans="1:12" ht="17.25" thickBot="1">
      <c r="A2909" s="3" t="s">
        <v>2853</v>
      </c>
      <c r="B2909" s="3" t="s">
        <v>22</v>
      </c>
      <c r="C2909" s="3" t="s">
        <v>221</v>
      </c>
      <c r="D2909" s="4" t="s">
        <v>254</v>
      </c>
      <c r="E2909" s="4" t="s">
        <v>2725</v>
      </c>
      <c r="F2909" s="4">
        <v>2001</v>
      </c>
      <c r="G2909" s="9"/>
      <c r="H2909" s="4" t="s">
        <v>26</v>
      </c>
      <c r="I2909" s="8">
        <v>0.4</v>
      </c>
      <c r="J2909" s="3">
        <f>2218</f>
        <v>2218</v>
      </c>
      <c r="K2909" s="3">
        <v>50209</v>
      </c>
      <c r="L2909" s="17" t="str" cm="1">
        <f t="array" ref="L2909">_xlfn.IFS(MID(K2909,2,2)="01", "서울", MID(K2909,2,2)="02","경기",MID(K2909,2,2)="03","충청",MID(K2909,2,2)="04","충청",MID(K2909,2,2)="05","전라",MID(K2909,2,2)="06","전라",MID(K2909,2,2)="07","경북",MID(K2909,2,2)="08","경남",MID(K2909,2,2)="09","강원",MID(K2909,2,2)="10","제주",TRUE,"국외")</f>
        <v>경기</v>
      </c>
    </row>
    <row r="2910" spans="1:12" ht="17.25" thickBot="1">
      <c r="A2910" s="3" t="s">
        <v>2854</v>
      </c>
      <c r="B2910" s="3" t="s">
        <v>2139</v>
      </c>
      <c r="C2910" s="3"/>
      <c r="D2910" s="4" t="s">
        <v>254</v>
      </c>
      <c r="E2910" s="4" t="s">
        <v>2164</v>
      </c>
      <c r="F2910" s="4">
        <v>1998</v>
      </c>
      <c r="G2910" s="9"/>
      <c r="H2910" s="4" t="s">
        <v>2164</v>
      </c>
      <c r="I2910" s="8">
        <v>1.1000000000000001</v>
      </c>
      <c r="J2910" s="3">
        <v>10419</v>
      </c>
      <c r="K2910" s="3">
        <v>50104</v>
      </c>
      <c r="L2910" s="17" t="str" cm="1">
        <f t="array" ref="L2910">_xlfn.IFS(MID(K2910,2,2)="01", "서울", MID(K2910,2,2)="02","경기",MID(K2910,2,2)="03","충청",MID(K2910,2,2)="04","충청",MID(K2910,2,2)="05","전라",MID(K2910,2,2)="06","전라",MID(K2910,2,2)="07","경북",MID(K2910,2,2)="08","경남",MID(K2910,2,2)="09","강원",MID(K2910,2,2)="10","제주",TRUE,"국외")</f>
        <v>서울</v>
      </c>
    </row>
    <row r="2911" spans="1:12" ht="17.25" thickBot="1">
      <c r="A2911" s="3" t="s">
        <v>2855</v>
      </c>
      <c r="B2911" s="3" t="s">
        <v>464</v>
      </c>
      <c r="C2911" s="3"/>
      <c r="D2911" s="4" t="s">
        <v>1777</v>
      </c>
      <c r="E2911" s="4" t="s">
        <v>9</v>
      </c>
      <c r="F2911" s="4">
        <v>1998</v>
      </c>
      <c r="G2911" s="9"/>
      <c r="H2911" s="4" t="s">
        <v>9</v>
      </c>
      <c r="I2911" s="8">
        <v>0.4</v>
      </c>
      <c r="J2911" s="3">
        <f>2060</f>
        <v>2060</v>
      </c>
      <c r="K2911" s="3">
        <v>50706</v>
      </c>
      <c r="L2911" s="17" t="str" cm="1">
        <f t="array" ref="L2911">_xlfn.IFS(MID(K2911,2,2)="01", "서울", MID(K2911,2,2)="02","경기",MID(K2911,2,2)="03","충청",MID(K2911,2,2)="04","충청",MID(K2911,2,2)="05","전라",MID(K2911,2,2)="06","전라",MID(K2911,2,2)="07","경북",MID(K2911,2,2)="08","경남",MID(K2911,2,2)="09","강원",MID(K2911,2,2)="10","제주",TRUE,"국외")</f>
        <v>경북</v>
      </c>
    </row>
    <row r="2912" spans="1:12" ht="17.25" thickBot="1">
      <c r="A2912" s="3" t="s">
        <v>2856</v>
      </c>
      <c r="B2912" s="3" t="s">
        <v>93</v>
      </c>
      <c r="C2912" s="3" t="s">
        <v>329</v>
      </c>
      <c r="D2912" s="4" t="s">
        <v>1777</v>
      </c>
      <c r="E2912" s="4" t="s">
        <v>9</v>
      </c>
      <c r="F2912" s="4">
        <v>1998</v>
      </c>
      <c r="G2912" s="9"/>
      <c r="H2912" s="4" t="s">
        <v>9</v>
      </c>
      <c r="I2912" s="8">
        <v>-0.1</v>
      </c>
      <c r="J2912" s="3">
        <f>2023</f>
        <v>2023</v>
      </c>
      <c r="K2912" s="3">
        <v>50805</v>
      </c>
      <c r="L2912" s="17" t="str" cm="1">
        <f t="array" ref="L2912">_xlfn.IFS(MID(K2912,2,2)="01", "서울", MID(K2912,2,2)="02","경기",MID(K2912,2,2)="03","충청",MID(K2912,2,2)="04","충청",MID(K2912,2,2)="05","전라",MID(K2912,2,2)="06","전라",MID(K2912,2,2)="07","경북",MID(K2912,2,2)="08","경남",MID(K2912,2,2)="09","강원",MID(K2912,2,2)="10","제주",TRUE,"국외")</f>
        <v>경남</v>
      </c>
    </row>
    <row r="2913" spans="1:12" ht="17.25" thickBot="1">
      <c r="A2913" s="3" t="s">
        <v>755</v>
      </c>
      <c r="B2913" s="3" t="s">
        <v>70</v>
      </c>
      <c r="C2913" s="3"/>
      <c r="D2913" s="4" t="s">
        <v>2710</v>
      </c>
      <c r="E2913" s="4" t="s">
        <v>20</v>
      </c>
      <c r="F2913" s="4">
        <v>1997</v>
      </c>
      <c r="G2913" s="8">
        <v>0</v>
      </c>
      <c r="H2913" s="4" t="s">
        <v>20</v>
      </c>
      <c r="I2913" s="8">
        <v>3.5</v>
      </c>
      <c r="J2913" s="3">
        <v>10504</v>
      </c>
      <c r="K2913" s="3">
        <v>50103</v>
      </c>
      <c r="L2913" s="17" t="str" cm="1">
        <f t="array" ref="L2913">_xlfn.IFS(MID(K2913,2,2)="01", "서울", MID(K2913,2,2)="02","경기",MID(K2913,2,2)="03","충청",MID(K2913,2,2)="04","충청",MID(K2913,2,2)="05","전라",MID(K2913,2,2)="06","전라",MID(K2913,2,2)="07","경북",MID(K2913,2,2)="08","경남",MID(K2913,2,2)="09","강원",MID(K2913,2,2)="10","제주",TRUE,"국외")</f>
        <v>서울</v>
      </c>
    </row>
    <row r="2914" spans="1:12" ht="17.25" thickBot="1">
      <c r="A2914" s="3" t="s">
        <v>2857</v>
      </c>
      <c r="B2914" s="3" t="s">
        <v>8</v>
      </c>
      <c r="C2914" s="3" t="s">
        <v>208</v>
      </c>
      <c r="D2914" s="4" t="s">
        <v>2710</v>
      </c>
      <c r="E2914" s="4" t="s">
        <v>20</v>
      </c>
      <c r="F2914" s="4">
        <v>2003</v>
      </c>
      <c r="G2914" s="9"/>
      <c r="H2914" s="4" t="s">
        <v>20</v>
      </c>
      <c r="I2914" s="8">
        <v>1.4</v>
      </c>
      <c r="J2914" s="3">
        <f>2297</f>
        <v>2297</v>
      </c>
      <c r="K2914" s="3">
        <v>50116</v>
      </c>
      <c r="L2914" s="17" t="str" cm="1">
        <f t="array" ref="L2914">_xlfn.IFS(MID(K2914,2,2)="01", "서울", MID(K2914,2,2)="02","경기",MID(K2914,2,2)="03","충청",MID(K2914,2,2)="04","충청",MID(K2914,2,2)="05","전라",MID(K2914,2,2)="06","전라",MID(K2914,2,2)="07","경북",MID(K2914,2,2)="08","경남",MID(K2914,2,2)="09","강원",MID(K2914,2,2)="10","제주",TRUE,"국외")</f>
        <v>서울</v>
      </c>
    </row>
    <row r="2915" spans="1:12" ht="17.25" thickBot="1">
      <c r="A2915" s="3" t="s">
        <v>2858</v>
      </c>
      <c r="B2915" s="3" t="s">
        <v>8</v>
      </c>
      <c r="C2915" s="3"/>
      <c r="D2915" s="4" t="s">
        <v>2710</v>
      </c>
      <c r="E2915" s="4" t="s">
        <v>20</v>
      </c>
      <c r="F2915" s="4">
        <v>1997</v>
      </c>
      <c r="G2915" s="8">
        <v>0</v>
      </c>
      <c r="H2915" s="4" t="s">
        <v>6</v>
      </c>
      <c r="I2915" s="8">
        <v>4</v>
      </c>
      <c r="J2915" s="3">
        <v>10098</v>
      </c>
      <c r="K2915" s="3">
        <v>50116</v>
      </c>
      <c r="L2915" s="17" t="str" cm="1">
        <f t="array" ref="L2915">_xlfn.IFS(MID(K2915,2,2)="01", "서울", MID(K2915,2,2)="02","경기",MID(K2915,2,2)="03","충청",MID(K2915,2,2)="04","충청",MID(K2915,2,2)="05","전라",MID(K2915,2,2)="06","전라",MID(K2915,2,2)="07","경북",MID(K2915,2,2)="08","경남",MID(K2915,2,2)="09","강원",MID(K2915,2,2)="10","제주",TRUE,"국외")</f>
        <v>서울</v>
      </c>
    </row>
    <row r="2916" spans="1:12" ht="17.25" thickBot="1">
      <c r="A2916" s="3" t="s">
        <v>2859</v>
      </c>
      <c r="B2916" s="3" t="s">
        <v>8</v>
      </c>
      <c r="C2916" s="3" t="s">
        <v>218</v>
      </c>
      <c r="D2916" s="4" t="s">
        <v>2710</v>
      </c>
      <c r="E2916" s="4" t="s">
        <v>2725</v>
      </c>
      <c r="F2916" s="4">
        <v>2001</v>
      </c>
      <c r="G2916" s="9"/>
      <c r="H2916" s="4" t="s">
        <v>26</v>
      </c>
      <c r="I2916" s="8">
        <v>-0.3</v>
      </c>
      <c r="J2916" s="3">
        <f>2191</f>
        <v>2191</v>
      </c>
      <c r="K2916" s="3">
        <v>50116</v>
      </c>
      <c r="L2916" s="17" t="str" cm="1">
        <f t="array" ref="L2916">_xlfn.IFS(MID(K2916,2,2)="01", "서울", MID(K2916,2,2)="02","경기",MID(K2916,2,2)="03","충청",MID(K2916,2,2)="04","충청",MID(K2916,2,2)="05","전라",MID(K2916,2,2)="06","전라",MID(K2916,2,2)="07","경북",MID(K2916,2,2)="08","경남",MID(K2916,2,2)="09","강원",MID(K2916,2,2)="10","제주",TRUE,"국외")</f>
        <v>서울</v>
      </c>
    </row>
    <row r="2917" spans="1:12" ht="17.25" thickBot="1">
      <c r="A2917" s="3" t="s">
        <v>2860</v>
      </c>
      <c r="B2917" s="3" t="s">
        <v>38</v>
      </c>
      <c r="C2917" s="3" t="s">
        <v>45</v>
      </c>
      <c r="D2917" s="4" t="s">
        <v>2710</v>
      </c>
      <c r="E2917" s="4" t="s">
        <v>2725</v>
      </c>
      <c r="F2917" s="4">
        <v>2001</v>
      </c>
      <c r="G2917" s="9"/>
      <c r="H2917" s="4" t="s">
        <v>26</v>
      </c>
      <c r="I2917" s="8">
        <v>0.2</v>
      </c>
      <c r="J2917" s="3">
        <f>2222</f>
        <v>2222</v>
      </c>
      <c r="K2917" s="3">
        <v>50109</v>
      </c>
      <c r="L2917" s="17" t="str" cm="1">
        <f t="array" ref="L2917">_xlfn.IFS(MID(K2917,2,2)="01", "서울", MID(K2917,2,2)="02","경기",MID(K2917,2,2)="03","충청",MID(K2917,2,2)="04","충청",MID(K2917,2,2)="05","전라",MID(K2917,2,2)="06","전라",MID(K2917,2,2)="07","경북",MID(K2917,2,2)="08","경남",MID(K2917,2,2)="09","강원",MID(K2917,2,2)="10","제주",TRUE,"국외")</f>
        <v>서울</v>
      </c>
    </row>
    <row r="2918" spans="1:12" ht="17.25" thickBot="1">
      <c r="A2918" s="3" t="s">
        <v>1401</v>
      </c>
      <c r="B2918" s="3" t="s">
        <v>11</v>
      </c>
      <c r="C2918" s="3"/>
      <c r="D2918" s="4" t="s">
        <v>2710</v>
      </c>
      <c r="E2918" s="4" t="s">
        <v>9</v>
      </c>
      <c r="F2918" s="4">
        <v>1997</v>
      </c>
      <c r="G2918" s="8">
        <v>-0.1</v>
      </c>
      <c r="H2918" s="4" t="s">
        <v>9</v>
      </c>
      <c r="I2918" s="8">
        <v>0.1</v>
      </c>
      <c r="J2918" s="3">
        <f>2016</f>
        <v>2016</v>
      </c>
      <c r="K2918" s="3">
        <v>50802</v>
      </c>
      <c r="L2918" s="17" t="str" cm="1">
        <f t="array" ref="L2918">_xlfn.IFS(MID(K2918,2,2)="01", "서울", MID(K2918,2,2)="02","경기",MID(K2918,2,2)="03","충청",MID(K2918,2,2)="04","충청",MID(K2918,2,2)="05","전라",MID(K2918,2,2)="06","전라",MID(K2918,2,2)="07","경북",MID(K2918,2,2)="08","경남",MID(K2918,2,2)="09","강원",MID(K2918,2,2)="10","제주",TRUE,"국외")</f>
        <v>경남</v>
      </c>
    </row>
    <row r="2919" spans="1:12" ht="17.25" thickBot="1">
      <c r="A2919" s="3" t="s">
        <v>2861</v>
      </c>
      <c r="B2919" s="3" t="s">
        <v>36</v>
      </c>
      <c r="C2919" s="3" t="s">
        <v>174</v>
      </c>
      <c r="D2919" s="4" t="s">
        <v>2710</v>
      </c>
      <c r="E2919" s="4" t="s">
        <v>3</v>
      </c>
      <c r="F2919" s="4">
        <v>2001</v>
      </c>
      <c r="G2919" s="9"/>
      <c r="H2919" s="4" t="s">
        <v>3</v>
      </c>
      <c r="I2919" s="8">
        <v>0.7</v>
      </c>
      <c r="J2919" s="3">
        <f>2190</f>
        <v>2190</v>
      </c>
      <c r="K2919" s="3">
        <v>50402</v>
      </c>
      <c r="L2919" s="17" t="str" cm="1">
        <f t="array" ref="L2919">_xlfn.IFS(MID(K2919,2,2)="01", "서울", MID(K2919,2,2)="02","경기",MID(K2919,2,2)="03","충청",MID(K2919,2,2)="04","충청",MID(K2919,2,2)="05","전라",MID(K2919,2,2)="06","전라",MID(K2919,2,2)="07","경북",MID(K2919,2,2)="08","경남",MID(K2919,2,2)="09","강원",MID(K2919,2,2)="10","제주",TRUE,"국외")</f>
        <v>충청</v>
      </c>
    </row>
    <row r="2920" spans="1:12" ht="17.25" thickBot="1">
      <c r="A2920" s="3" t="s">
        <v>2862</v>
      </c>
      <c r="B2920" s="3" t="s">
        <v>78</v>
      </c>
      <c r="C2920" s="3"/>
      <c r="D2920" s="4" t="s">
        <v>2710</v>
      </c>
      <c r="E2920" s="4" t="s">
        <v>3</v>
      </c>
      <c r="F2920" s="4">
        <v>1999</v>
      </c>
      <c r="G2920" s="9"/>
      <c r="H2920" s="4" t="s">
        <v>3</v>
      </c>
      <c r="I2920" s="8">
        <v>0</v>
      </c>
      <c r="J2920" s="3">
        <f>2076</f>
        <v>2076</v>
      </c>
      <c r="K2920" s="3">
        <v>50401</v>
      </c>
      <c r="L2920" s="17" t="str" cm="1">
        <f t="array" ref="L2920">_xlfn.IFS(MID(K2920,2,2)="01", "서울", MID(K2920,2,2)="02","경기",MID(K2920,2,2)="03","충청",MID(K2920,2,2)="04","충청",MID(K2920,2,2)="05","전라",MID(K2920,2,2)="06","전라",MID(K2920,2,2)="07","경북",MID(K2920,2,2)="08","경남",MID(K2920,2,2)="09","강원",MID(K2920,2,2)="10","제주",TRUE,"국외")</f>
        <v>충청</v>
      </c>
    </row>
    <row r="2921" spans="1:12" ht="17.25" thickBot="1">
      <c r="A2921" s="3" t="s">
        <v>2863</v>
      </c>
      <c r="B2921" s="3" t="s">
        <v>25</v>
      </c>
      <c r="C2921" s="3" t="s">
        <v>739</v>
      </c>
      <c r="D2921" s="4" t="s">
        <v>2710</v>
      </c>
      <c r="E2921" s="4" t="s">
        <v>3</v>
      </c>
      <c r="F2921" s="4">
        <v>2001</v>
      </c>
      <c r="G2921" s="9"/>
      <c r="H2921" s="4" t="s">
        <v>23</v>
      </c>
      <c r="I2921" s="8">
        <v>2.9</v>
      </c>
      <c r="J2921" s="3">
        <v>10228</v>
      </c>
      <c r="K2921" s="3">
        <v>50403</v>
      </c>
      <c r="L2921" s="17" t="str" cm="1">
        <f t="array" ref="L2921">_xlfn.IFS(MID(K2921,2,2)="01", "서울", MID(K2921,2,2)="02","경기",MID(K2921,2,2)="03","충청",MID(K2921,2,2)="04","충청",MID(K2921,2,2)="05","전라",MID(K2921,2,2)="06","전라",MID(K2921,2,2)="07","경북",MID(K2921,2,2)="08","경남",MID(K2921,2,2)="09","강원",MID(K2921,2,2)="10","제주",TRUE,"국외")</f>
        <v>충청</v>
      </c>
    </row>
    <row r="2922" spans="1:12" ht="17.25" thickBot="1">
      <c r="A2922" s="3" t="s">
        <v>2864</v>
      </c>
      <c r="B2922" s="3" t="s">
        <v>22</v>
      </c>
      <c r="C2922" s="3"/>
      <c r="D2922" s="4" t="s">
        <v>2710</v>
      </c>
      <c r="E2922" s="4" t="s">
        <v>2164</v>
      </c>
      <c r="F2922" s="4">
        <v>2001</v>
      </c>
      <c r="G2922" s="9"/>
      <c r="H2922" s="4" t="s">
        <v>2164</v>
      </c>
      <c r="I2922" s="8">
        <v>0.8</v>
      </c>
      <c r="J2922" s="3">
        <f>2215</f>
        <v>2215</v>
      </c>
      <c r="K2922" s="3">
        <v>50209</v>
      </c>
      <c r="L2922" s="17" t="str" cm="1">
        <f t="array" ref="L2922">_xlfn.IFS(MID(K2922,2,2)="01", "서울", MID(K2922,2,2)="02","경기",MID(K2922,2,2)="03","충청",MID(K2922,2,2)="04","충청",MID(K2922,2,2)="05","전라",MID(K2922,2,2)="06","전라",MID(K2922,2,2)="07","경북",MID(K2922,2,2)="08","경남",MID(K2922,2,2)="09","강원",MID(K2922,2,2)="10","제주",TRUE,"국외")</f>
        <v>경기</v>
      </c>
    </row>
    <row r="2923" spans="1:12" ht="17.25" thickBot="1">
      <c r="A2923" s="3" t="s">
        <v>2865</v>
      </c>
      <c r="B2923" s="3" t="s">
        <v>241</v>
      </c>
      <c r="C2923" s="3"/>
      <c r="D2923" s="4" t="s">
        <v>2710</v>
      </c>
      <c r="E2923" s="4" t="s">
        <v>2164</v>
      </c>
      <c r="F2923" s="4">
        <v>1997</v>
      </c>
      <c r="G2923" s="8">
        <v>-0.2</v>
      </c>
      <c r="H2923" s="4" t="s">
        <v>2164</v>
      </c>
      <c r="I2923" s="8">
        <v>-0.8</v>
      </c>
      <c r="J2923" s="3">
        <f>1996</f>
        <v>1996</v>
      </c>
      <c r="K2923" s="3">
        <v>50202</v>
      </c>
      <c r="L2923" s="17" t="str" cm="1">
        <f t="array" ref="L2923">_xlfn.IFS(MID(K2923,2,2)="01", "서울", MID(K2923,2,2)="02","경기",MID(K2923,2,2)="03","충청",MID(K2923,2,2)="04","충청",MID(K2923,2,2)="05","전라",MID(K2923,2,2)="06","전라",MID(K2923,2,2)="07","경북",MID(K2923,2,2)="08","경남",MID(K2923,2,2)="09","강원",MID(K2923,2,2)="10","제주",TRUE,"국외")</f>
        <v>경기</v>
      </c>
    </row>
    <row r="2924" spans="1:12" ht="17.25" thickBot="1">
      <c r="A2924" s="3" t="s">
        <v>2866</v>
      </c>
      <c r="B2924" s="3" t="s">
        <v>52</v>
      </c>
      <c r="C2924" s="3" t="s">
        <v>83</v>
      </c>
      <c r="D2924" s="4" t="s">
        <v>2710</v>
      </c>
      <c r="E2924" s="4" t="s">
        <v>9</v>
      </c>
      <c r="F2924" s="4">
        <v>2001</v>
      </c>
      <c r="G2924" s="9"/>
      <c r="H2924" s="4" t="s">
        <v>23</v>
      </c>
      <c r="I2924" s="8">
        <v>6.8</v>
      </c>
      <c r="J2924" s="3">
        <v>10327</v>
      </c>
      <c r="K2924" s="3">
        <v>50803</v>
      </c>
      <c r="L2924" s="17" t="str" cm="1">
        <f t="array" ref="L2924">_xlfn.IFS(MID(K2924,2,2)="01", "서울", MID(K2924,2,2)="02","경기",MID(K2924,2,2)="03","충청",MID(K2924,2,2)="04","충청",MID(K2924,2,2)="05","전라",MID(K2924,2,2)="06","전라",MID(K2924,2,2)="07","경북",MID(K2924,2,2)="08","경남",MID(K2924,2,2)="09","강원",MID(K2924,2,2)="10","제주",TRUE,"국외")</f>
        <v>경남</v>
      </c>
    </row>
    <row r="2925" spans="1:12" ht="17.25" thickBot="1">
      <c r="A2925" s="5" t="s">
        <v>1922</v>
      </c>
      <c r="B2925" s="5" t="s">
        <v>158</v>
      </c>
      <c r="C2925" s="5" t="s">
        <v>218</v>
      </c>
      <c r="D2925" s="6" t="s">
        <v>2710</v>
      </c>
      <c r="E2925" s="6" t="s">
        <v>2661</v>
      </c>
      <c r="F2925" s="6">
        <v>2001</v>
      </c>
      <c r="G2925" s="11"/>
      <c r="H2925" s="6" t="s">
        <v>607</v>
      </c>
      <c r="I2925" s="12">
        <v>63.4</v>
      </c>
      <c r="J2925" s="5">
        <v>10154</v>
      </c>
      <c r="K2925" s="5">
        <v>50501</v>
      </c>
      <c r="L2925" s="17" t="str" cm="1">
        <f t="array" ref="L2925">_xlfn.IFS(MID(K2925,2,2)="01", "서울", MID(K2925,2,2)="02","경기",MID(K2925,2,2)="03","충청",MID(K2925,2,2)="04","충청",MID(K2925,2,2)="05","전라",MID(K2925,2,2)="06","전라",MID(K2925,2,2)="07","경북",MID(K2925,2,2)="08","경남",MID(K2925,2,2)="09","강원",MID(K2925,2,2)="10","제주",TRUE,"국외")</f>
        <v>전라</v>
      </c>
    </row>
    <row r="2926" spans="1:12" ht="17.25" thickBot="1">
      <c r="A2926" s="3" t="s">
        <v>2867</v>
      </c>
      <c r="B2926" s="3" t="s">
        <v>107</v>
      </c>
      <c r="C2926" s="3" t="s">
        <v>45</v>
      </c>
      <c r="D2926" s="4" t="s">
        <v>243</v>
      </c>
      <c r="E2926" s="4" t="s">
        <v>2523</v>
      </c>
      <c r="F2926" s="4">
        <v>1996</v>
      </c>
      <c r="G2926" s="8">
        <v>2.2000000000000002</v>
      </c>
      <c r="H2926" s="4" t="s">
        <v>6</v>
      </c>
      <c r="I2926" s="8">
        <v>24.3</v>
      </c>
      <c r="J2926" s="3">
        <v>10009</v>
      </c>
      <c r="K2926" s="3">
        <v>50602</v>
      </c>
      <c r="L2926" s="17" t="str" cm="1">
        <f t="array" ref="L2926">_xlfn.IFS(MID(K2926,2,2)="01", "서울", MID(K2926,2,2)="02","경기",MID(K2926,2,2)="03","충청",MID(K2926,2,2)="04","충청",MID(K2926,2,2)="05","전라",MID(K2926,2,2)="06","전라",MID(K2926,2,2)="07","경북",MID(K2926,2,2)="08","경남",MID(K2926,2,2)="09","강원",MID(K2926,2,2)="10","제주",TRUE,"국외")</f>
        <v>전라</v>
      </c>
    </row>
    <row r="2927" spans="1:12" ht="17.25" thickBot="1">
      <c r="A2927" s="3" t="s">
        <v>2868</v>
      </c>
      <c r="B2927" s="3" t="s">
        <v>145</v>
      </c>
      <c r="C2927" s="3" t="s">
        <v>83</v>
      </c>
      <c r="D2927" s="4" t="s">
        <v>243</v>
      </c>
      <c r="E2927" s="4" t="s">
        <v>20</v>
      </c>
      <c r="F2927" s="4">
        <v>1999</v>
      </c>
      <c r="G2927" s="9"/>
      <c r="H2927" s="4" t="s">
        <v>20</v>
      </c>
      <c r="I2927" s="8">
        <v>-0.4</v>
      </c>
      <c r="J2927" s="3">
        <f>2107</f>
        <v>2107</v>
      </c>
      <c r="K2927" s="3">
        <v>50106</v>
      </c>
      <c r="L2927" s="17" t="str" cm="1">
        <f t="array" ref="L2927">_xlfn.IFS(MID(K2927,2,2)="01", "서울", MID(K2927,2,2)="02","경기",MID(K2927,2,2)="03","충청",MID(K2927,2,2)="04","충청",MID(K2927,2,2)="05","전라",MID(K2927,2,2)="06","전라",MID(K2927,2,2)="07","경북",MID(K2927,2,2)="08","경남",MID(K2927,2,2)="09","강원",MID(K2927,2,2)="10","제주",TRUE,"국외")</f>
        <v>서울</v>
      </c>
    </row>
    <row r="2928" spans="1:12" ht="17.25" thickBot="1">
      <c r="A2928" s="3" t="s">
        <v>2869</v>
      </c>
      <c r="B2928" s="3" t="s">
        <v>5</v>
      </c>
      <c r="C2928" s="3" t="s">
        <v>172</v>
      </c>
      <c r="D2928" s="4" t="s">
        <v>243</v>
      </c>
      <c r="E2928" s="4" t="s">
        <v>2725</v>
      </c>
      <c r="F2928" s="4">
        <v>1991</v>
      </c>
      <c r="G2928" s="8">
        <v>0</v>
      </c>
      <c r="H2928" s="4" t="s">
        <v>9</v>
      </c>
      <c r="I2928" s="8">
        <v>15.4</v>
      </c>
      <c r="J2928" s="3">
        <v>14231</v>
      </c>
      <c r="K2928" s="3">
        <v>50114</v>
      </c>
      <c r="L2928" s="17" t="str" cm="1">
        <f t="array" ref="L2928">_xlfn.IFS(MID(K2928,2,2)="01", "서울", MID(K2928,2,2)="02","경기",MID(K2928,2,2)="03","충청",MID(K2928,2,2)="04","충청",MID(K2928,2,2)="05","전라",MID(K2928,2,2)="06","전라",MID(K2928,2,2)="07","경북",MID(K2928,2,2)="08","경남",MID(K2928,2,2)="09","강원",MID(K2928,2,2)="10","제주",TRUE,"국외")</f>
        <v>서울</v>
      </c>
    </row>
    <row r="2929" spans="1:12" ht="17.25" thickBot="1">
      <c r="A2929" s="3" t="s">
        <v>2870</v>
      </c>
      <c r="B2929" s="3" t="s">
        <v>335</v>
      </c>
      <c r="C2929" s="3" t="s">
        <v>739</v>
      </c>
      <c r="D2929" s="4" t="s">
        <v>243</v>
      </c>
      <c r="E2929" s="4" t="s">
        <v>9</v>
      </c>
      <c r="F2929" s="4">
        <v>1996</v>
      </c>
      <c r="G2929" s="8">
        <v>-1</v>
      </c>
      <c r="H2929" s="4" t="s">
        <v>26</v>
      </c>
      <c r="I2929" s="8">
        <v>7.6</v>
      </c>
      <c r="J2929" s="3">
        <f>1967</f>
        <v>1967</v>
      </c>
      <c r="K2929" s="3">
        <v>50804</v>
      </c>
      <c r="L2929" s="17" t="str" cm="1">
        <f t="array" ref="L2929">_xlfn.IFS(MID(K2929,2,2)="01", "서울", MID(K2929,2,2)="02","경기",MID(K2929,2,2)="03","충청",MID(K2929,2,2)="04","충청",MID(K2929,2,2)="05","전라",MID(K2929,2,2)="06","전라",MID(K2929,2,2)="07","경북",MID(K2929,2,2)="08","경남",MID(K2929,2,2)="09","강원",MID(K2929,2,2)="10","제주",TRUE,"국외")</f>
        <v>경남</v>
      </c>
    </row>
    <row r="2930" spans="1:12" ht="17.25" thickBot="1">
      <c r="A2930" s="3" t="s">
        <v>2871</v>
      </c>
      <c r="B2930" s="3" t="s">
        <v>2524</v>
      </c>
      <c r="C2930" s="3" t="s">
        <v>538</v>
      </c>
      <c r="D2930" s="4" t="s">
        <v>243</v>
      </c>
      <c r="E2930" s="4" t="s">
        <v>23</v>
      </c>
      <c r="F2930" s="4">
        <v>1996</v>
      </c>
      <c r="G2930" s="8">
        <v>3.8</v>
      </c>
      <c r="H2930" s="4" t="s">
        <v>23</v>
      </c>
      <c r="I2930" s="8">
        <v>11.5</v>
      </c>
      <c r="J2930" s="3">
        <f>1965</f>
        <v>1965</v>
      </c>
      <c r="K2930" s="3">
        <v>50711</v>
      </c>
      <c r="L2930" s="17" t="str" cm="1">
        <f t="array" ref="L2930">_xlfn.IFS(MID(K2930,2,2)="01", "서울", MID(K2930,2,2)="02","경기",MID(K2930,2,2)="03","충청",MID(K2930,2,2)="04","충청",MID(K2930,2,2)="05","전라",MID(K2930,2,2)="06","전라",MID(K2930,2,2)="07","경북",MID(K2930,2,2)="08","경남",MID(K2930,2,2)="09","강원",MID(K2930,2,2)="10","제주",TRUE,"국외")</f>
        <v>경북</v>
      </c>
    </row>
    <row r="2931" spans="1:12" ht="17.25" thickBot="1">
      <c r="A2931" s="3" t="s">
        <v>2872</v>
      </c>
      <c r="B2931" s="3" t="s">
        <v>78</v>
      </c>
      <c r="C2931" s="3" t="s">
        <v>45</v>
      </c>
      <c r="D2931" s="4" t="s">
        <v>243</v>
      </c>
      <c r="E2931" s="4" t="s">
        <v>3</v>
      </c>
      <c r="F2931" s="4">
        <v>1996</v>
      </c>
      <c r="G2931" s="8">
        <v>2.1</v>
      </c>
      <c r="H2931" s="4" t="s">
        <v>26</v>
      </c>
      <c r="I2931" s="8">
        <v>7.3</v>
      </c>
      <c r="J2931" s="3">
        <v>14889</v>
      </c>
      <c r="K2931" s="3">
        <v>50401</v>
      </c>
      <c r="L2931" s="17" t="str" cm="1">
        <f t="array" ref="L2931">_xlfn.IFS(MID(K2931,2,2)="01", "서울", MID(K2931,2,2)="02","경기",MID(K2931,2,2)="03","충청",MID(K2931,2,2)="04","충청",MID(K2931,2,2)="05","전라",MID(K2931,2,2)="06","전라",MID(K2931,2,2)="07","경북",MID(K2931,2,2)="08","경남",MID(K2931,2,2)="09","강원",MID(K2931,2,2)="10","제주",TRUE,"국외")</f>
        <v>충청</v>
      </c>
    </row>
    <row r="2932" spans="1:12" ht="17.25" thickBot="1">
      <c r="A2932" s="3" t="s">
        <v>2873</v>
      </c>
      <c r="B2932" s="3" t="s">
        <v>22</v>
      </c>
      <c r="C2932" s="3" t="s">
        <v>122</v>
      </c>
      <c r="D2932" s="4" t="s">
        <v>243</v>
      </c>
      <c r="E2932" s="4" t="s">
        <v>2164</v>
      </c>
      <c r="F2932" s="4">
        <v>1996</v>
      </c>
      <c r="G2932" s="8">
        <v>-0.7</v>
      </c>
      <c r="H2932" s="4" t="s">
        <v>20</v>
      </c>
      <c r="I2932" s="8">
        <v>12.8</v>
      </c>
      <c r="J2932" s="3">
        <v>10537</v>
      </c>
      <c r="K2932" s="3">
        <v>50209</v>
      </c>
      <c r="L2932" s="17" t="str" cm="1">
        <f t="array" ref="L2932">_xlfn.IFS(MID(K2932,2,2)="01", "서울", MID(K2932,2,2)="02","경기",MID(K2932,2,2)="03","충청",MID(K2932,2,2)="04","충청",MID(K2932,2,2)="05","전라",MID(K2932,2,2)="06","전라",MID(K2932,2,2)="07","경북",MID(K2932,2,2)="08","경남",MID(K2932,2,2)="09","강원",MID(K2932,2,2)="10","제주",TRUE,"국외")</f>
        <v>경기</v>
      </c>
    </row>
    <row r="2933" spans="1:12" ht="17.25" thickBot="1">
      <c r="A2933" s="3" t="s">
        <v>2874</v>
      </c>
      <c r="B2933" s="3" t="s">
        <v>158</v>
      </c>
      <c r="C2933" s="3" t="s">
        <v>99</v>
      </c>
      <c r="D2933" s="4" t="s">
        <v>243</v>
      </c>
      <c r="E2933" s="4" t="s">
        <v>2661</v>
      </c>
      <c r="F2933" s="4">
        <v>1996</v>
      </c>
      <c r="G2933" s="8">
        <v>0.9</v>
      </c>
      <c r="H2933" s="4" t="s">
        <v>2661</v>
      </c>
      <c r="I2933" s="8">
        <v>0.9</v>
      </c>
      <c r="J2933" s="3">
        <f>1914</f>
        <v>1914</v>
      </c>
      <c r="K2933" s="3">
        <v>50501</v>
      </c>
      <c r="L2933" s="17" t="str" cm="1">
        <f t="array" ref="L2933">_xlfn.IFS(MID(K2933,2,2)="01", "서울", MID(K2933,2,2)="02","경기",MID(K2933,2,2)="03","충청",MID(K2933,2,2)="04","충청",MID(K2933,2,2)="05","전라",MID(K2933,2,2)="06","전라",MID(K2933,2,2)="07","경북",MID(K2933,2,2)="08","경남",MID(K2933,2,2)="09","강원",MID(K2933,2,2)="10","제주",TRUE,"국외")</f>
        <v>전라</v>
      </c>
    </row>
    <row r="2934" spans="1:12" ht="17.25" thickBot="1">
      <c r="A2934" s="3" t="s">
        <v>536</v>
      </c>
      <c r="B2934" s="3" t="s">
        <v>8</v>
      </c>
      <c r="C2934" s="3" t="s">
        <v>45</v>
      </c>
      <c r="D2934" s="4" t="s">
        <v>254</v>
      </c>
      <c r="E2934" s="4" t="s">
        <v>2725</v>
      </c>
      <c r="F2934" s="4">
        <v>2008</v>
      </c>
      <c r="G2934" s="9"/>
      <c r="H2934" s="4" t="s">
        <v>26</v>
      </c>
      <c r="I2934" s="8">
        <v>10.3</v>
      </c>
      <c r="J2934" s="3">
        <v>10200</v>
      </c>
      <c r="K2934" s="3">
        <v>50116</v>
      </c>
      <c r="L2934" s="17" t="str" cm="1">
        <f t="array" ref="L2934">_xlfn.IFS(MID(K2934,2,2)="01", "서울", MID(K2934,2,2)="02","경기",MID(K2934,2,2)="03","충청",MID(K2934,2,2)="04","충청",MID(K2934,2,2)="05","전라",MID(K2934,2,2)="06","전라",MID(K2934,2,2)="07","경북",MID(K2934,2,2)="08","경남",MID(K2934,2,2)="09","강원",MID(K2934,2,2)="10","제주",TRUE,"국외")</f>
        <v>서울</v>
      </c>
    </row>
    <row r="2935" spans="1:12" ht="17.25" thickBot="1">
      <c r="A2935" s="3" t="s">
        <v>2875</v>
      </c>
      <c r="B2935" s="3" t="s">
        <v>5</v>
      </c>
      <c r="C2935" s="3" t="s">
        <v>2876</v>
      </c>
      <c r="D2935" s="4" t="s">
        <v>254</v>
      </c>
      <c r="E2935" s="4" t="s">
        <v>2523</v>
      </c>
      <c r="F2935" s="4">
        <v>1996</v>
      </c>
      <c r="G2935" s="8">
        <v>0</v>
      </c>
      <c r="H2935" s="4" t="s">
        <v>6</v>
      </c>
      <c r="I2935" s="8">
        <v>61.6</v>
      </c>
      <c r="J2935" s="3">
        <v>10032</v>
      </c>
      <c r="K2935" s="3">
        <v>50114</v>
      </c>
      <c r="L2935" s="17" t="str" cm="1">
        <f t="array" ref="L2935">_xlfn.IFS(MID(K2935,2,2)="01", "서울", MID(K2935,2,2)="02","경기",MID(K2935,2,2)="03","충청",MID(K2935,2,2)="04","충청",MID(K2935,2,2)="05","전라",MID(K2935,2,2)="06","전라",MID(K2935,2,2)="07","경북",MID(K2935,2,2)="08","경남",MID(K2935,2,2)="09","강원",MID(K2935,2,2)="10","제주",TRUE,"국외")</f>
        <v>서울</v>
      </c>
    </row>
    <row r="2936" spans="1:12" ht="17.25" thickBot="1">
      <c r="A2936" s="3" t="s">
        <v>2877</v>
      </c>
      <c r="B2936" s="3" t="s">
        <v>2491</v>
      </c>
      <c r="C2936" s="3" t="s">
        <v>218</v>
      </c>
      <c r="D2936" s="4" t="s">
        <v>254</v>
      </c>
      <c r="E2936" s="4" t="s">
        <v>9</v>
      </c>
      <c r="F2936" s="4">
        <v>2000</v>
      </c>
      <c r="G2936" s="9"/>
      <c r="H2936" s="4" t="s">
        <v>9</v>
      </c>
      <c r="I2936" s="8">
        <v>-0.1</v>
      </c>
      <c r="J2936" s="3">
        <f>2118</f>
        <v>2118</v>
      </c>
      <c r="K2936" s="3">
        <v>50608</v>
      </c>
      <c r="L2936" s="17" t="str" cm="1">
        <f t="array" ref="L2936">_xlfn.IFS(MID(K2936,2,2)="01", "서울", MID(K2936,2,2)="02","경기",MID(K2936,2,2)="03","충청",MID(K2936,2,2)="04","충청",MID(K2936,2,2)="05","전라",MID(K2936,2,2)="06","전라",MID(K2936,2,2)="07","경북",MID(K2936,2,2)="08","경남",MID(K2936,2,2)="09","강원",MID(K2936,2,2)="10","제주",TRUE,"국외")</f>
        <v>전라</v>
      </c>
    </row>
    <row r="2937" spans="1:12" ht="17.25" thickBot="1">
      <c r="A2937" s="3" t="s">
        <v>781</v>
      </c>
      <c r="B2937" s="3" t="s">
        <v>2470</v>
      </c>
      <c r="C2937" s="3"/>
      <c r="D2937" s="4" t="s">
        <v>254</v>
      </c>
      <c r="E2937" s="4" t="s">
        <v>9</v>
      </c>
      <c r="F2937" s="4">
        <v>1997</v>
      </c>
      <c r="G2937" s="9"/>
      <c r="H2937" s="4" t="s">
        <v>9</v>
      </c>
      <c r="I2937" s="8">
        <v>4</v>
      </c>
      <c r="J2937" s="3">
        <v>10296</v>
      </c>
      <c r="K2937" s="3">
        <v>50704</v>
      </c>
      <c r="L2937" s="17" t="str" cm="1">
        <f t="array" ref="L2937">_xlfn.IFS(MID(K2937,2,2)="01", "서울", MID(K2937,2,2)="02","경기",MID(K2937,2,2)="03","충청",MID(K2937,2,2)="04","충청",MID(K2937,2,2)="05","전라",MID(K2937,2,2)="06","전라",MID(K2937,2,2)="07","경북",MID(K2937,2,2)="08","경남",MID(K2937,2,2)="09","강원",MID(K2937,2,2)="10","제주",TRUE,"국외")</f>
        <v>경북</v>
      </c>
    </row>
    <row r="2938" spans="1:12" ht="17.25" thickBot="1">
      <c r="A2938" s="3" t="s">
        <v>2878</v>
      </c>
      <c r="B2938" s="3" t="s">
        <v>14</v>
      </c>
      <c r="C2938" s="3" t="s">
        <v>549</v>
      </c>
      <c r="D2938" s="4" t="s">
        <v>254</v>
      </c>
      <c r="E2938" s="4" t="s">
        <v>23</v>
      </c>
      <c r="F2938" s="4">
        <v>1997</v>
      </c>
      <c r="G2938" s="9"/>
      <c r="H2938" s="4" t="s">
        <v>23</v>
      </c>
      <c r="I2938" s="8">
        <v>0</v>
      </c>
      <c r="J2938" s="3">
        <v>11441</v>
      </c>
      <c r="K2938" s="3">
        <v>50703</v>
      </c>
      <c r="L2938" s="17" t="str" cm="1">
        <f t="array" ref="L2938">_xlfn.IFS(MID(K2938,2,2)="01", "서울", MID(K2938,2,2)="02","경기",MID(K2938,2,2)="03","충청",MID(K2938,2,2)="04","충청",MID(K2938,2,2)="05","전라",MID(K2938,2,2)="06","전라",MID(K2938,2,2)="07","경북",MID(K2938,2,2)="08","경남",MID(K2938,2,2)="09","강원",MID(K2938,2,2)="10","제주",TRUE,"국외")</f>
        <v>경북</v>
      </c>
    </row>
    <row r="2939" spans="1:12" ht="17.25" thickBot="1">
      <c r="A2939" s="3" t="s">
        <v>2879</v>
      </c>
      <c r="B2939" s="3"/>
      <c r="C2939" s="3" t="s">
        <v>208</v>
      </c>
      <c r="D2939" s="4" t="s">
        <v>254</v>
      </c>
      <c r="E2939" s="4" t="s">
        <v>23</v>
      </c>
      <c r="F2939" s="4">
        <v>2001</v>
      </c>
      <c r="G2939" s="9"/>
      <c r="H2939" s="4" t="s">
        <v>23</v>
      </c>
      <c r="I2939" s="8">
        <v>-0.1</v>
      </c>
      <c r="J2939" s="3">
        <f>2163</f>
        <v>2163</v>
      </c>
      <c r="K2939" s="3"/>
      <c r="L2939" s="17" t="str" cm="1">
        <f t="array" ref="L2939">_xlfn.IFS(MID(K2939,2,2)="01", "서울", MID(K2939,2,2)="02","경기",MID(K2939,2,2)="03","충청",MID(K2939,2,2)="04","충청",MID(K2939,2,2)="05","전라",MID(K2939,2,2)="06","전라",MID(K2939,2,2)="07","경북",MID(K2939,2,2)="08","경남",MID(K2939,2,2)="09","강원",MID(K2939,2,2)="10","제주",TRUE,"국외")</f>
        <v>국외</v>
      </c>
    </row>
    <row r="2940" spans="1:12" ht="17.25" thickBot="1">
      <c r="A2940" s="3" t="s">
        <v>2880</v>
      </c>
      <c r="B2940" s="3" t="s">
        <v>121</v>
      </c>
      <c r="C2940" s="3" t="s">
        <v>211</v>
      </c>
      <c r="D2940" s="4" t="s">
        <v>254</v>
      </c>
      <c r="E2940" s="4" t="s">
        <v>2661</v>
      </c>
      <c r="F2940" s="4">
        <v>2000</v>
      </c>
      <c r="G2940" s="9"/>
      <c r="H2940" s="4" t="s">
        <v>607</v>
      </c>
      <c r="I2940" s="8">
        <v>0</v>
      </c>
      <c r="J2940" s="3">
        <f>2122</f>
        <v>2122</v>
      </c>
      <c r="K2940" s="3">
        <v>50604</v>
      </c>
      <c r="L2940" s="17" t="str" cm="1">
        <f t="array" ref="L2940">_xlfn.IFS(MID(K2940,2,2)="01", "서울", MID(K2940,2,2)="02","경기",MID(K2940,2,2)="03","충청",MID(K2940,2,2)="04","충청",MID(K2940,2,2)="05","전라",MID(K2940,2,2)="06","전라",MID(K2940,2,2)="07","경북",MID(K2940,2,2)="08","경남",MID(K2940,2,2)="09","강원",MID(K2940,2,2)="10","제주",TRUE,"국외")</f>
        <v>전라</v>
      </c>
    </row>
    <row r="2941" spans="1:12" ht="17.25" thickBot="1">
      <c r="A2941" s="3" t="s">
        <v>2881</v>
      </c>
      <c r="B2941" s="3" t="s">
        <v>464</v>
      </c>
      <c r="C2941" s="3"/>
      <c r="D2941" s="4" t="s">
        <v>254</v>
      </c>
      <c r="E2941" s="4" t="s">
        <v>2661</v>
      </c>
      <c r="F2941" s="4">
        <v>1996</v>
      </c>
      <c r="G2941" s="8">
        <v>-0.4</v>
      </c>
      <c r="H2941" s="4" t="s">
        <v>2661</v>
      </c>
      <c r="I2941" s="8">
        <v>-1.1000000000000001</v>
      </c>
      <c r="J2941" s="3">
        <f>1915</f>
        <v>1915</v>
      </c>
      <c r="K2941" s="3">
        <v>50706</v>
      </c>
      <c r="L2941" s="17" t="str" cm="1">
        <f t="array" ref="L2941">_xlfn.IFS(MID(K2941,2,2)="01", "서울", MID(K2941,2,2)="02","경기",MID(K2941,2,2)="03","충청",MID(K2941,2,2)="04","충청",MID(K2941,2,2)="05","전라",MID(K2941,2,2)="06","전라",MID(K2941,2,2)="07","경북",MID(K2941,2,2)="08","경남",MID(K2941,2,2)="09","강원",MID(K2941,2,2)="10","제주",TRUE,"국외")</f>
        <v>경북</v>
      </c>
    </row>
    <row r="2942" spans="1:12" ht="17.25" thickBot="1">
      <c r="A2942" s="3" t="s">
        <v>2882</v>
      </c>
      <c r="B2942" s="3" t="s">
        <v>36</v>
      </c>
      <c r="C2942" s="3" t="s">
        <v>119</v>
      </c>
      <c r="D2942" s="4" t="s">
        <v>254</v>
      </c>
      <c r="E2942" s="4" t="s">
        <v>3</v>
      </c>
      <c r="F2942" s="4">
        <v>1996</v>
      </c>
      <c r="G2942" s="8">
        <v>-0.1</v>
      </c>
      <c r="H2942" s="4" t="s">
        <v>3</v>
      </c>
      <c r="I2942" s="8">
        <v>0</v>
      </c>
      <c r="J2942" s="3">
        <f>1924</f>
        <v>1924</v>
      </c>
      <c r="K2942" s="3">
        <v>50402</v>
      </c>
      <c r="L2942" s="17" t="str" cm="1">
        <f t="array" ref="L2942">_xlfn.IFS(MID(K2942,2,2)="01", "서울", MID(K2942,2,2)="02","경기",MID(K2942,2,2)="03","충청",MID(K2942,2,2)="04","충청",MID(K2942,2,2)="05","전라",MID(K2942,2,2)="06","전라",MID(K2942,2,2)="07","경북",MID(K2942,2,2)="08","경남",MID(K2942,2,2)="09","강원",MID(K2942,2,2)="10","제주",TRUE,"국외")</f>
        <v>충청</v>
      </c>
    </row>
    <row r="2943" spans="1:12" ht="17.25" thickBot="1">
      <c r="A2943" s="3" t="s">
        <v>2883</v>
      </c>
      <c r="B2943" s="3" t="s">
        <v>66</v>
      </c>
      <c r="C2943" s="3" t="s">
        <v>45</v>
      </c>
      <c r="D2943" s="4" t="s">
        <v>254</v>
      </c>
      <c r="E2943" s="4" t="s">
        <v>2523</v>
      </c>
      <c r="F2943" s="4">
        <v>1996</v>
      </c>
      <c r="G2943" s="8">
        <v>0</v>
      </c>
      <c r="H2943" s="4" t="s">
        <v>2523</v>
      </c>
      <c r="I2943" s="8">
        <v>-0.1</v>
      </c>
      <c r="J2943" s="3">
        <f>1920</f>
        <v>1920</v>
      </c>
      <c r="K2943" s="3">
        <v>50110</v>
      </c>
      <c r="L2943" s="17" t="str" cm="1">
        <f t="array" ref="L2943">_xlfn.IFS(MID(K2943,2,2)="01", "서울", MID(K2943,2,2)="02","경기",MID(K2943,2,2)="03","충청",MID(K2943,2,2)="04","충청",MID(K2943,2,2)="05","전라",MID(K2943,2,2)="06","전라",MID(K2943,2,2)="07","경북",MID(K2943,2,2)="08","경남",MID(K2943,2,2)="09","강원",MID(K2943,2,2)="10","제주",TRUE,"국외")</f>
        <v>서울</v>
      </c>
    </row>
    <row r="2944" spans="1:12" ht="17.25" thickBot="1">
      <c r="A2944" s="3" t="s">
        <v>2884</v>
      </c>
      <c r="B2944" s="3" t="s">
        <v>78</v>
      </c>
      <c r="C2944" s="3" t="s">
        <v>45</v>
      </c>
      <c r="D2944" s="4" t="s">
        <v>254</v>
      </c>
      <c r="E2944" s="4" t="s">
        <v>20</v>
      </c>
      <c r="F2944" s="4">
        <v>1996</v>
      </c>
      <c r="G2944" s="8">
        <v>-0.1</v>
      </c>
      <c r="H2944" s="4" t="s">
        <v>20</v>
      </c>
      <c r="I2944" s="8">
        <v>9.5</v>
      </c>
      <c r="J2944" s="3">
        <v>14564</v>
      </c>
      <c r="K2944" s="3">
        <v>50401</v>
      </c>
      <c r="L2944" s="17" t="str" cm="1">
        <f t="array" ref="L2944">_xlfn.IFS(MID(K2944,2,2)="01", "서울", MID(K2944,2,2)="02","경기",MID(K2944,2,2)="03","충청",MID(K2944,2,2)="04","충청",MID(K2944,2,2)="05","전라",MID(K2944,2,2)="06","전라",MID(K2944,2,2)="07","경북",MID(K2944,2,2)="08","경남",MID(K2944,2,2)="09","강원",MID(K2944,2,2)="10","제주",TRUE,"국외")</f>
        <v>충청</v>
      </c>
    </row>
    <row r="2945" spans="1:12" ht="17.25" thickBot="1">
      <c r="A2945" s="3" t="s">
        <v>2885</v>
      </c>
      <c r="B2945" s="3" t="s">
        <v>52</v>
      </c>
      <c r="C2945" s="3" t="s">
        <v>83</v>
      </c>
      <c r="D2945" s="4" t="s">
        <v>254</v>
      </c>
      <c r="E2945" s="4" t="s">
        <v>2725</v>
      </c>
      <c r="F2945" s="4">
        <v>1996</v>
      </c>
      <c r="G2945" s="8">
        <v>-0.2</v>
      </c>
      <c r="H2945" s="4" t="s">
        <v>2725</v>
      </c>
      <c r="I2945" s="8">
        <v>-0.2</v>
      </c>
      <c r="J2945" s="3">
        <f>1918</f>
        <v>1918</v>
      </c>
      <c r="K2945" s="3">
        <v>50803</v>
      </c>
      <c r="L2945" s="17" t="str" cm="1">
        <f t="array" ref="L2945">_xlfn.IFS(MID(K2945,2,2)="01", "서울", MID(K2945,2,2)="02","경기",MID(K2945,2,2)="03","충청",MID(K2945,2,2)="04","충청",MID(K2945,2,2)="05","전라",MID(K2945,2,2)="06","전라",MID(K2945,2,2)="07","경북",MID(K2945,2,2)="08","경남",MID(K2945,2,2)="09","강원",MID(K2945,2,2)="10","제주",TRUE,"국외")</f>
        <v>경남</v>
      </c>
    </row>
    <row r="2946" spans="1:12" ht="17.25" thickBot="1">
      <c r="A2946" s="3" t="s">
        <v>2410</v>
      </c>
      <c r="B2946" s="3" t="s">
        <v>1950</v>
      </c>
      <c r="C2946" s="3" t="s">
        <v>172</v>
      </c>
      <c r="D2946" s="4" t="s">
        <v>254</v>
      </c>
      <c r="E2946" s="4" t="s">
        <v>9</v>
      </c>
      <c r="F2946" s="4">
        <v>1996</v>
      </c>
      <c r="G2946" s="8">
        <v>-0.2</v>
      </c>
      <c r="H2946" s="4" t="s">
        <v>9</v>
      </c>
      <c r="I2946" s="8">
        <v>-0.2</v>
      </c>
      <c r="J2946" s="3">
        <f>1954</f>
        <v>1954</v>
      </c>
      <c r="K2946" s="3">
        <v>50115</v>
      </c>
      <c r="L2946" s="17" t="str" cm="1">
        <f t="array" ref="L2946">_xlfn.IFS(MID(K2946,2,2)="01", "서울", MID(K2946,2,2)="02","경기",MID(K2946,2,2)="03","충청",MID(K2946,2,2)="04","충청",MID(K2946,2,2)="05","전라",MID(K2946,2,2)="06","전라",MID(K2946,2,2)="07","경북",MID(K2946,2,2)="08","경남",MID(K2946,2,2)="09","강원",MID(K2946,2,2)="10","제주",TRUE,"국외")</f>
        <v>서울</v>
      </c>
    </row>
    <row r="2947" spans="1:12" ht="17.25" thickBot="1">
      <c r="A2947" s="3" t="s">
        <v>2886</v>
      </c>
      <c r="B2947" s="3" t="s">
        <v>1834</v>
      </c>
      <c r="C2947" s="3" t="s">
        <v>218</v>
      </c>
      <c r="D2947" s="4" t="s">
        <v>254</v>
      </c>
      <c r="E2947" s="4" t="s">
        <v>23</v>
      </c>
      <c r="F2947" s="4">
        <v>1996</v>
      </c>
      <c r="G2947" s="8">
        <v>-0.7</v>
      </c>
      <c r="H2947" s="4" t="s">
        <v>23</v>
      </c>
      <c r="I2947" s="8">
        <v>-1.6</v>
      </c>
      <c r="J2947" s="3">
        <f>1959</f>
        <v>1959</v>
      </c>
      <c r="K2947" s="3">
        <v>50904</v>
      </c>
      <c r="L2947" s="17" t="str" cm="1">
        <f t="array" ref="L2947">_xlfn.IFS(MID(K2947,2,2)="01", "서울", MID(K2947,2,2)="02","경기",MID(K2947,2,2)="03","충청",MID(K2947,2,2)="04","충청",MID(K2947,2,2)="05","전라",MID(K2947,2,2)="06","전라",MID(K2947,2,2)="07","경북",MID(K2947,2,2)="08","경남",MID(K2947,2,2)="09","강원",MID(K2947,2,2)="10","제주",TRUE,"국외")</f>
        <v>강원</v>
      </c>
    </row>
    <row r="2948" spans="1:12" ht="17.25" thickBot="1">
      <c r="A2948" s="3" t="s">
        <v>2887</v>
      </c>
      <c r="B2948" s="3" t="s">
        <v>107</v>
      </c>
      <c r="C2948" s="3" t="s">
        <v>221</v>
      </c>
      <c r="D2948" s="4" t="s">
        <v>254</v>
      </c>
      <c r="E2948" s="4" t="s">
        <v>2661</v>
      </c>
      <c r="F2948" s="4">
        <v>1996</v>
      </c>
      <c r="G2948" s="8">
        <v>-0.3</v>
      </c>
      <c r="H2948" s="4" t="s">
        <v>2661</v>
      </c>
      <c r="I2948" s="8">
        <v>-0.4</v>
      </c>
      <c r="J2948" s="3">
        <f>1957</f>
        <v>1957</v>
      </c>
      <c r="K2948" s="3">
        <v>50602</v>
      </c>
      <c r="L2948" s="17" t="str" cm="1">
        <f t="array" ref="L2948">_xlfn.IFS(MID(K2948,2,2)="01", "서울", MID(K2948,2,2)="02","경기",MID(K2948,2,2)="03","충청",MID(K2948,2,2)="04","충청",MID(K2948,2,2)="05","전라",MID(K2948,2,2)="06","전라",MID(K2948,2,2)="07","경북",MID(K2948,2,2)="08","경남",MID(K2948,2,2)="09","강원",MID(K2948,2,2)="10","제주",TRUE,"국외")</f>
        <v>전라</v>
      </c>
    </row>
    <row r="2949" spans="1:12" ht="17.25" thickBot="1">
      <c r="A2949" s="3" t="s">
        <v>2888</v>
      </c>
      <c r="B2949" s="3" t="s">
        <v>2470</v>
      </c>
      <c r="C2949" s="3" t="s">
        <v>329</v>
      </c>
      <c r="D2949" s="4" t="s">
        <v>254</v>
      </c>
      <c r="E2949" s="4" t="s">
        <v>2661</v>
      </c>
      <c r="F2949" s="4">
        <v>1996</v>
      </c>
      <c r="G2949" s="8">
        <v>5.3</v>
      </c>
      <c r="H2949" s="4" t="s">
        <v>2661</v>
      </c>
      <c r="I2949" s="8">
        <v>4.8</v>
      </c>
      <c r="J2949" s="3">
        <f>1951</f>
        <v>1951</v>
      </c>
      <c r="K2949" s="3">
        <v>50704</v>
      </c>
      <c r="L2949" s="17" t="str" cm="1">
        <f t="array" ref="L2949">_xlfn.IFS(MID(K2949,2,2)="01", "서울", MID(K2949,2,2)="02","경기",MID(K2949,2,2)="03","충청",MID(K2949,2,2)="04","충청",MID(K2949,2,2)="05","전라",MID(K2949,2,2)="06","전라",MID(K2949,2,2)="07","경북",MID(K2949,2,2)="08","경남",MID(K2949,2,2)="09","강원",MID(K2949,2,2)="10","제주",TRUE,"국외")</f>
        <v>경북</v>
      </c>
    </row>
    <row r="2950" spans="1:12" ht="17.25" thickBot="1">
      <c r="A2950" s="3" t="s">
        <v>2889</v>
      </c>
      <c r="B2950" s="3" t="s">
        <v>78</v>
      </c>
      <c r="C2950" s="3" t="s">
        <v>739</v>
      </c>
      <c r="D2950" s="4" t="s">
        <v>254</v>
      </c>
      <c r="E2950" s="4" t="s">
        <v>3</v>
      </c>
      <c r="F2950" s="4">
        <v>1996</v>
      </c>
      <c r="G2950" s="8">
        <v>0</v>
      </c>
      <c r="H2950" s="4" t="s">
        <v>3</v>
      </c>
      <c r="I2950" s="8">
        <v>-0.1</v>
      </c>
      <c r="J2950" s="3">
        <f>1936</f>
        <v>1936</v>
      </c>
      <c r="K2950" s="3">
        <v>50401</v>
      </c>
      <c r="L2950" s="17" t="str" cm="1">
        <f t="array" ref="L2950">_xlfn.IFS(MID(K2950,2,2)="01", "서울", MID(K2950,2,2)="02","경기",MID(K2950,2,2)="03","충청",MID(K2950,2,2)="04","충청",MID(K2950,2,2)="05","전라",MID(K2950,2,2)="06","전라",MID(K2950,2,2)="07","경북",MID(K2950,2,2)="08","경남",MID(K2950,2,2)="09","강원",MID(K2950,2,2)="10","제주",TRUE,"국외")</f>
        <v>충청</v>
      </c>
    </row>
    <row r="2951" spans="1:12" ht="17.25" thickBot="1">
      <c r="A2951" s="3" t="s">
        <v>2890</v>
      </c>
      <c r="B2951" s="3" t="s">
        <v>32</v>
      </c>
      <c r="C2951" s="3" t="s">
        <v>218</v>
      </c>
      <c r="D2951" s="4" t="s">
        <v>254</v>
      </c>
      <c r="E2951" s="4" t="s">
        <v>2164</v>
      </c>
      <c r="F2951" s="4">
        <v>1997</v>
      </c>
      <c r="G2951" s="9"/>
      <c r="H2951" s="4" t="s">
        <v>2164</v>
      </c>
      <c r="I2951" s="8">
        <v>-0.6</v>
      </c>
      <c r="J2951" s="3">
        <f>2001</f>
        <v>2001</v>
      </c>
      <c r="K2951" s="3">
        <v>50111</v>
      </c>
      <c r="L2951" s="17" t="str" cm="1">
        <f t="array" ref="L2951">_xlfn.IFS(MID(K2951,2,2)="01", "서울", MID(K2951,2,2)="02","경기",MID(K2951,2,2)="03","충청",MID(K2951,2,2)="04","충청",MID(K2951,2,2)="05","전라",MID(K2951,2,2)="06","전라",MID(K2951,2,2)="07","경북",MID(K2951,2,2)="08","경남",MID(K2951,2,2)="09","강원",MID(K2951,2,2)="10","제주",TRUE,"국외")</f>
        <v>서울</v>
      </c>
    </row>
    <row r="2952" spans="1:12" ht="17.25" thickBot="1">
      <c r="A2952" s="3" t="s">
        <v>2891</v>
      </c>
      <c r="B2952" s="3" t="s">
        <v>5</v>
      </c>
      <c r="C2952" s="3" t="s">
        <v>739</v>
      </c>
      <c r="D2952" s="4" t="s">
        <v>254</v>
      </c>
      <c r="E2952" s="4" t="s">
        <v>20</v>
      </c>
      <c r="F2952" s="4">
        <v>1999</v>
      </c>
      <c r="G2952" s="9"/>
      <c r="H2952" s="4" t="s">
        <v>3</v>
      </c>
      <c r="I2952" s="8">
        <v>0</v>
      </c>
      <c r="J2952" s="3">
        <f>2075</f>
        <v>2075</v>
      </c>
      <c r="K2952" s="3">
        <v>50114</v>
      </c>
      <c r="L2952" s="17" t="str" cm="1">
        <f t="array" ref="L2952">_xlfn.IFS(MID(K2952,2,2)="01", "서울", MID(K2952,2,2)="02","경기",MID(K2952,2,2)="03","충청",MID(K2952,2,2)="04","충청",MID(K2952,2,2)="05","전라",MID(K2952,2,2)="06","전라",MID(K2952,2,2)="07","경북",MID(K2952,2,2)="08","경남",MID(K2952,2,2)="09","강원",MID(K2952,2,2)="10","제주",TRUE,"국외")</f>
        <v>서울</v>
      </c>
    </row>
    <row r="2953" spans="1:12" ht="17.25" thickBot="1">
      <c r="A2953" s="3" t="s">
        <v>2892</v>
      </c>
      <c r="B2953" s="3" t="s">
        <v>8</v>
      </c>
      <c r="C2953" s="3" t="s">
        <v>133</v>
      </c>
      <c r="D2953" s="4" t="s">
        <v>254</v>
      </c>
      <c r="E2953" s="4" t="s">
        <v>2725</v>
      </c>
      <c r="F2953" s="4">
        <v>2000</v>
      </c>
      <c r="G2953" s="9"/>
      <c r="H2953" s="4" t="s">
        <v>26</v>
      </c>
      <c r="I2953" s="8">
        <v>2.6</v>
      </c>
      <c r="J2953" s="3">
        <v>10562</v>
      </c>
      <c r="K2953" s="3">
        <v>50116</v>
      </c>
      <c r="L2953" s="17" t="str" cm="1">
        <f t="array" ref="L2953">_xlfn.IFS(MID(K2953,2,2)="01", "서울", MID(K2953,2,2)="02","경기",MID(K2953,2,2)="03","충청",MID(K2953,2,2)="04","충청",MID(K2953,2,2)="05","전라",MID(K2953,2,2)="06","전라",MID(K2953,2,2)="07","경북",MID(K2953,2,2)="08","경남",MID(K2953,2,2)="09","강원",MID(K2953,2,2)="10","제주",TRUE,"국외")</f>
        <v>서울</v>
      </c>
    </row>
    <row r="2954" spans="1:12" ht="17.25" thickBot="1">
      <c r="A2954" s="3" t="s">
        <v>2893</v>
      </c>
      <c r="B2954" s="3" t="s">
        <v>25</v>
      </c>
      <c r="C2954" s="3"/>
      <c r="D2954" s="4" t="s">
        <v>254</v>
      </c>
      <c r="E2954" s="4" t="s">
        <v>9</v>
      </c>
      <c r="F2954" s="4">
        <v>1996</v>
      </c>
      <c r="G2954" s="8">
        <v>-0.1</v>
      </c>
      <c r="H2954" s="4" t="s">
        <v>9</v>
      </c>
      <c r="I2954" s="8">
        <v>-0.1</v>
      </c>
      <c r="J2954" s="3">
        <f>1941</f>
        <v>1941</v>
      </c>
      <c r="K2954" s="3">
        <v>50403</v>
      </c>
      <c r="L2954" s="17" t="str" cm="1">
        <f t="array" ref="L2954">_xlfn.IFS(MID(K2954,2,2)="01", "서울", MID(K2954,2,2)="02","경기",MID(K2954,2,2)="03","충청",MID(K2954,2,2)="04","충청",MID(K2954,2,2)="05","전라",MID(K2954,2,2)="06","전라",MID(K2954,2,2)="07","경북",MID(K2954,2,2)="08","경남",MID(K2954,2,2)="09","강원",MID(K2954,2,2)="10","제주",TRUE,"국외")</f>
        <v>충청</v>
      </c>
    </row>
    <row r="2955" spans="1:12" ht="17.25" thickBot="1">
      <c r="A2955" s="3" t="s">
        <v>2894</v>
      </c>
      <c r="B2955" s="3" t="s">
        <v>34</v>
      </c>
      <c r="C2955" s="3" t="s">
        <v>483</v>
      </c>
      <c r="D2955" s="4" t="s">
        <v>254</v>
      </c>
      <c r="E2955" s="4" t="s">
        <v>23</v>
      </c>
      <c r="F2955" s="4">
        <v>1996</v>
      </c>
      <c r="G2955" s="8">
        <v>0.7</v>
      </c>
      <c r="H2955" s="4" t="s">
        <v>23</v>
      </c>
      <c r="I2955" s="8">
        <v>4.9000000000000004</v>
      </c>
      <c r="J2955" s="3">
        <f>1949</f>
        <v>1949</v>
      </c>
      <c r="K2955" s="3">
        <v>50701</v>
      </c>
      <c r="L2955" s="17" t="str" cm="1">
        <f t="array" ref="L2955">_xlfn.IFS(MID(K2955,2,2)="01", "서울", MID(K2955,2,2)="02","경기",MID(K2955,2,2)="03","충청",MID(K2955,2,2)="04","충청",MID(K2955,2,2)="05","전라",MID(K2955,2,2)="06","전라",MID(K2955,2,2)="07","경북",MID(K2955,2,2)="08","경남",MID(K2955,2,2)="09","강원",MID(K2955,2,2)="10","제주",TRUE,"국외")</f>
        <v>경북</v>
      </c>
    </row>
    <row r="2956" spans="1:12" ht="17.25" thickBot="1">
      <c r="A2956" s="3" t="s">
        <v>2895</v>
      </c>
      <c r="B2956" s="3" t="s">
        <v>34</v>
      </c>
      <c r="C2956" s="3" t="s">
        <v>122</v>
      </c>
      <c r="D2956" s="4" t="s">
        <v>254</v>
      </c>
      <c r="E2956" s="4" t="s">
        <v>2661</v>
      </c>
      <c r="F2956" s="4">
        <v>1996</v>
      </c>
      <c r="G2956" s="9"/>
      <c r="H2956" s="4"/>
      <c r="I2956" s="9"/>
      <c r="J2956" s="3">
        <f>1960</f>
        <v>1960</v>
      </c>
      <c r="K2956" s="3">
        <v>50701</v>
      </c>
      <c r="L2956" s="17" t="str" cm="1">
        <f t="array" ref="L2956">_xlfn.IFS(MID(K2956,2,2)="01", "서울", MID(K2956,2,2)="02","경기",MID(K2956,2,2)="03","충청",MID(K2956,2,2)="04","충청",MID(K2956,2,2)="05","전라",MID(K2956,2,2)="06","전라",MID(K2956,2,2)="07","경북",MID(K2956,2,2)="08","경남",MID(K2956,2,2)="09","강원",MID(K2956,2,2)="10","제주",TRUE,"국외")</f>
        <v>경북</v>
      </c>
    </row>
    <row r="2957" spans="1:12" ht="17.25" thickBot="1">
      <c r="A2957" s="3" t="s">
        <v>2896</v>
      </c>
      <c r="B2957" s="3" t="s">
        <v>38</v>
      </c>
      <c r="C2957" s="3" t="s">
        <v>208</v>
      </c>
      <c r="D2957" s="4" t="s">
        <v>254</v>
      </c>
      <c r="E2957" s="4" t="s">
        <v>3</v>
      </c>
      <c r="F2957" s="4">
        <v>1996</v>
      </c>
      <c r="G2957" s="8">
        <v>2.7</v>
      </c>
      <c r="H2957" s="4" t="s">
        <v>3</v>
      </c>
      <c r="I2957" s="8">
        <v>32.700000000000003</v>
      </c>
      <c r="J2957" s="3">
        <v>10574</v>
      </c>
      <c r="K2957" s="3">
        <v>50109</v>
      </c>
      <c r="L2957" s="17" t="str" cm="1">
        <f t="array" ref="L2957">_xlfn.IFS(MID(K2957,2,2)="01", "서울", MID(K2957,2,2)="02","경기",MID(K2957,2,2)="03","충청",MID(K2957,2,2)="04","충청",MID(K2957,2,2)="05","전라",MID(K2957,2,2)="06","전라",MID(K2957,2,2)="07","경북",MID(K2957,2,2)="08","경남",MID(K2957,2,2)="09","강원",MID(K2957,2,2)="10","제주",TRUE,"국외")</f>
        <v>서울</v>
      </c>
    </row>
    <row r="2958" spans="1:12" ht="17.25" thickBot="1">
      <c r="A2958" s="3" t="s">
        <v>2897</v>
      </c>
      <c r="B2958" s="3" t="s">
        <v>8</v>
      </c>
      <c r="C2958" s="3"/>
      <c r="D2958" s="4" t="s">
        <v>254</v>
      </c>
      <c r="E2958" s="4" t="s">
        <v>2523</v>
      </c>
      <c r="F2958" s="4">
        <v>1996</v>
      </c>
      <c r="G2958" s="8">
        <v>-0.2</v>
      </c>
      <c r="H2958" s="4" t="s">
        <v>2523</v>
      </c>
      <c r="I2958" s="8">
        <v>-0.3</v>
      </c>
      <c r="J2958" s="3">
        <f>1948</f>
        <v>1948</v>
      </c>
      <c r="K2958" s="3">
        <v>50116</v>
      </c>
      <c r="L2958" s="17" t="str" cm="1">
        <f t="array" ref="L2958">_xlfn.IFS(MID(K2958,2,2)="01", "서울", MID(K2958,2,2)="02","경기",MID(K2958,2,2)="03","충청",MID(K2958,2,2)="04","충청",MID(K2958,2,2)="05","전라",MID(K2958,2,2)="06","전라",MID(K2958,2,2)="07","경북",MID(K2958,2,2)="08","경남",MID(K2958,2,2)="09","강원",MID(K2958,2,2)="10","제주",TRUE,"국외")</f>
        <v>서울</v>
      </c>
    </row>
    <row r="2959" spans="1:12" ht="17.25" thickBot="1">
      <c r="A2959" s="3" t="s">
        <v>2898</v>
      </c>
      <c r="B2959" s="3" t="s">
        <v>66</v>
      </c>
      <c r="C2959" s="3" t="s">
        <v>211</v>
      </c>
      <c r="D2959" s="4" t="s">
        <v>254</v>
      </c>
      <c r="E2959" s="4" t="s">
        <v>2164</v>
      </c>
      <c r="F2959" s="4">
        <v>1996</v>
      </c>
      <c r="G2959" s="8">
        <v>0</v>
      </c>
      <c r="H2959" s="4" t="s">
        <v>2164</v>
      </c>
      <c r="I2959" s="8">
        <v>0</v>
      </c>
      <c r="J2959" s="3">
        <f>1935</f>
        <v>1935</v>
      </c>
      <c r="K2959" s="3">
        <v>50110</v>
      </c>
      <c r="L2959" s="17" t="str" cm="1">
        <f t="array" ref="L2959">_xlfn.IFS(MID(K2959,2,2)="01", "서울", MID(K2959,2,2)="02","경기",MID(K2959,2,2)="03","충청",MID(K2959,2,2)="04","충청",MID(K2959,2,2)="05","전라",MID(K2959,2,2)="06","전라",MID(K2959,2,2)="07","경북",MID(K2959,2,2)="08","경남",MID(K2959,2,2)="09","강원",MID(K2959,2,2)="10","제주",TRUE,"국외")</f>
        <v>서울</v>
      </c>
    </row>
    <row r="2960" spans="1:12" ht="17.25" thickBot="1">
      <c r="A2960" s="3" t="s">
        <v>2899</v>
      </c>
      <c r="B2960" s="3" t="s">
        <v>66</v>
      </c>
      <c r="C2960" s="3" t="s">
        <v>172</v>
      </c>
      <c r="D2960" s="4" t="s">
        <v>254</v>
      </c>
      <c r="E2960" s="4" t="s">
        <v>20</v>
      </c>
      <c r="F2960" s="4">
        <v>1999</v>
      </c>
      <c r="G2960" s="9"/>
      <c r="H2960" s="4" t="s">
        <v>9</v>
      </c>
      <c r="I2960" s="8">
        <v>3.1</v>
      </c>
      <c r="J2960" s="3">
        <f>2070</f>
        <v>2070</v>
      </c>
      <c r="K2960" s="3">
        <v>50110</v>
      </c>
      <c r="L2960" s="17" t="str" cm="1">
        <f t="array" ref="L2960">_xlfn.IFS(MID(K2960,2,2)="01", "서울", MID(K2960,2,2)="02","경기",MID(K2960,2,2)="03","충청",MID(K2960,2,2)="04","충청",MID(K2960,2,2)="05","전라",MID(K2960,2,2)="06","전라",MID(K2960,2,2)="07","경북",MID(K2960,2,2)="08","경남",MID(K2960,2,2)="09","강원",MID(K2960,2,2)="10","제주",TRUE,"국외")</f>
        <v>서울</v>
      </c>
    </row>
    <row r="2961" spans="1:12" ht="17.25" thickBot="1">
      <c r="A2961" s="3" t="s">
        <v>2900</v>
      </c>
      <c r="B2961" s="3" t="s">
        <v>1497</v>
      </c>
      <c r="C2961" s="3" t="s">
        <v>122</v>
      </c>
      <c r="D2961" s="4" t="s">
        <v>254</v>
      </c>
      <c r="E2961" s="4" t="s">
        <v>2725</v>
      </c>
      <c r="F2961" s="4">
        <v>2000</v>
      </c>
      <c r="G2961" s="9"/>
      <c r="H2961" s="4"/>
      <c r="I2961" s="9"/>
      <c r="J2961" s="3">
        <f>2151</f>
        <v>2151</v>
      </c>
      <c r="K2961" s="3">
        <v>50112</v>
      </c>
      <c r="L2961" s="17" t="str" cm="1">
        <f t="array" ref="L2961">_xlfn.IFS(MID(K2961,2,2)="01", "서울", MID(K2961,2,2)="02","경기",MID(K2961,2,2)="03","충청",MID(K2961,2,2)="04","충청",MID(K2961,2,2)="05","전라",MID(K2961,2,2)="06","전라",MID(K2961,2,2)="07","경북",MID(K2961,2,2)="08","경남",MID(K2961,2,2)="09","강원",MID(K2961,2,2)="10","제주",TRUE,"국외")</f>
        <v>서울</v>
      </c>
    </row>
    <row r="2962" spans="1:12" ht="17.25" thickBot="1">
      <c r="A2962" s="3" t="s">
        <v>2901</v>
      </c>
      <c r="B2962" s="3" t="s">
        <v>93</v>
      </c>
      <c r="C2962" s="3" t="s">
        <v>329</v>
      </c>
      <c r="D2962" s="4" t="s">
        <v>254</v>
      </c>
      <c r="E2962" s="4" t="s">
        <v>9</v>
      </c>
      <c r="F2962" s="4">
        <v>1996</v>
      </c>
      <c r="G2962" s="8">
        <v>1.3</v>
      </c>
      <c r="H2962" s="4" t="s">
        <v>9</v>
      </c>
      <c r="I2962" s="8">
        <v>14.3</v>
      </c>
      <c r="J2962" s="3">
        <f>1923</f>
        <v>1923</v>
      </c>
      <c r="K2962" s="3">
        <v>50805</v>
      </c>
      <c r="L2962" s="17" t="str" cm="1">
        <f t="array" ref="L2962">_xlfn.IFS(MID(K2962,2,2)="01", "서울", MID(K2962,2,2)="02","경기",MID(K2962,2,2)="03","충청",MID(K2962,2,2)="04","충청",MID(K2962,2,2)="05","전라",MID(K2962,2,2)="06","전라",MID(K2962,2,2)="07","경북",MID(K2962,2,2)="08","경남",MID(K2962,2,2)="09","강원",MID(K2962,2,2)="10","제주",TRUE,"국외")</f>
        <v>경남</v>
      </c>
    </row>
    <row r="2963" spans="1:12" ht="17.25" thickBot="1">
      <c r="A2963" s="3" t="s">
        <v>820</v>
      </c>
      <c r="B2963" s="3" t="s">
        <v>112</v>
      </c>
      <c r="C2963" s="3"/>
      <c r="D2963" s="4" t="s">
        <v>254</v>
      </c>
      <c r="E2963" s="4" t="s">
        <v>23</v>
      </c>
      <c r="F2963" s="4">
        <v>1998</v>
      </c>
      <c r="G2963" s="9"/>
      <c r="H2963" s="4" t="s">
        <v>23</v>
      </c>
      <c r="I2963" s="8">
        <v>23</v>
      </c>
      <c r="J2963" s="3">
        <v>10377</v>
      </c>
      <c r="K2963" s="3">
        <v>50113</v>
      </c>
      <c r="L2963" s="17" t="str" cm="1">
        <f t="array" ref="L2963">_xlfn.IFS(MID(K2963,2,2)="01", "서울", MID(K2963,2,2)="02","경기",MID(K2963,2,2)="03","충청",MID(K2963,2,2)="04","충청",MID(K2963,2,2)="05","전라",MID(K2963,2,2)="06","전라",MID(K2963,2,2)="07","경북",MID(K2963,2,2)="08","경남",MID(K2963,2,2)="09","강원",MID(K2963,2,2)="10","제주",TRUE,"국외")</f>
        <v>서울</v>
      </c>
    </row>
    <row r="2964" spans="1:12" ht="17.25" thickBot="1">
      <c r="A2964" s="3" t="s">
        <v>814</v>
      </c>
      <c r="B2964" s="3" t="s">
        <v>22</v>
      </c>
      <c r="C2964" s="3" t="s">
        <v>174</v>
      </c>
      <c r="D2964" s="4" t="s">
        <v>254</v>
      </c>
      <c r="E2964" s="4" t="s">
        <v>2661</v>
      </c>
      <c r="F2964" s="4">
        <v>1996</v>
      </c>
      <c r="G2964" s="8">
        <v>0.2</v>
      </c>
      <c r="H2964" s="4" t="s">
        <v>2661</v>
      </c>
      <c r="I2964" s="8">
        <v>-0.7</v>
      </c>
      <c r="J2964" s="3">
        <f>1929</f>
        <v>1929</v>
      </c>
      <c r="K2964" s="3">
        <v>50209</v>
      </c>
      <c r="L2964" s="17" t="str" cm="1">
        <f t="array" ref="L2964">_xlfn.IFS(MID(K2964,2,2)="01", "서울", MID(K2964,2,2)="02","경기",MID(K2964,2,2)="03","충청",MID(K2964,2,2)="04","충청",MID(K2964,2,2)="05","전라",MID(K2964,2,2)="06","전라",MID(K2964,2,2)="07","경북",MID(K2964,2,2)="08","경남",MID(K2964,2,2)="09","강원",MID(K2964,2,2)="10","제주",TRUE,"국외")</f>
        <v>경기</v>
      </c>
    </row>
    <row r="2965" spans="1:12" ht="17.25" thickBot="1">
      <c r="A2965" s="3" t="s">
        <v>2902</v>
      </c>
      <c r="B2965" s="3" t="s">
        <v>241</v>
      </c>
      <c r="C2965" s="3" t="s">
        <v>221</v>
      </c>
      <c r="D2965" s="4" t="s">
        <v>254</v>
      </c>
      <c r="E2965" s="4" t="s">
        <v>3</v>
      </c>
      <c r="F2965" s="4">
        <v>1996</v>
      </c>
      <c r="G2965" s="8">
        <v>4.3</v>
      </c>
      <c r="H2965" s="4" t="s">
        <v>3</v>
      </c>
      <c r="I2965" s="8">
        <v>46.2</v>
      </c>
      <c r="J2965" s="3">
        <v>10412</v>
      </c>
      <c r="K2965" s="3">
        <v>50202</v>
      </c>
      <c r="L2965" s="17" t="str" cm="1">
        <f t="array" ref="L2965">_xlfn.IFS(MID(K2965,2,2)="01", "서울", MID(K2965,2,2)="02","경기",MID(K2965,2,2)="03","충청",MID(K2965,2,2)="04","충청",MID(K2965,2,2)="05","전라",MID(K2965,2,2)="06","전라",MID(K2965,2,2)="07","경북",MID(K2965,2,2)="08","경남",MID(K2965,2,2)="09","강원",MID(K2965,2,2)="10","제주",TRUE,"국외")</f>
        <v>경기</v>
      </c>
    </row>
    <row r="2966" spans="1:12" ht="17.25" thickBot="1">
      <c r="A2966" s="3" t="s">
        <v>2903</v>
      </c>
      <c r="B2966" s="3" t="s">
        <v>2491</v>
      </c>
      <c r="C2966" s="3" t="s">
        <v>211</v>
      </c>
      <c r="D2966" s="4" t="s">
        <v>254</v>
      </c>
      <c r="E2966" s="4" t="s">
        <v>2523</v>
      </c>
      <c r="F2966" s="4">
        <v>2000</v>
      </c>
      <c r="G2966" s="9"/>
      <c r="H2966" s="4" t="s">
        <v>2523</v>
      </c>
      <c r="I2966" s="8">
        <v>-0.5</v>
      </c>
      <c r="J2966" s="3">
        <f>2132</f>
        <v>2132</v>
      </c>
      <c r="K2966" s="3">
        <v>50608</v>
      </c>
      <c r="L2966" s="17" t="str" cm="1">
        <f t="array" ref="L2966">_xlfn.IFS(MID(K2966,2,2)="01", "서울", MID(K2966,2,2)="02","경기",MID(K2966,2,2)="03","충청",MID(K2966,2,2)="04","충청",MID(K2966,2,2)="05","전라",MID(K2966,2,2)="06","전라",MID(K2966,2,2)="07","경북",MID(K2966,2,2)="08","경남",MID(K2966,2,2)="09","강원",MID(K2966,2,2)="10","제주",TRUE,"국외")</f>
        <v>전라</v>
      </c>
    </row>
    <row r="2967" spans="1:12" ht="17.25" thickBot="1">
      <c r="A2967" s="3" t="s">
        <v>2904</v>
      </c>
      <c r="B2967" s="3" t="s">
        <v>70</v>
      </c>
      <c r="C2967" s="3" t="s">
        <v>211</v>
      </c>
      <c r="D2967" s="4" t="s">
        <v>254</v>
      </c>
      <c r="E2967" s="4" t="s">
        <v>2164</v>
      </c>
      <c r="F2967" s="4">
        <v>1996</v>
      </c>
      <c r="G2967" s="8">
        <v>0.1</v>
      </c>
      <c r="H2967" s="4" t="s">
        <v>2164</v>
      </c>
      <c r="I2967" s="8">
        <v>0.3</v>
      </c>
      <c r="J2967" s="3">
        <v>12966</v>
      </c>
      <c r="K2967" s="3">
        <v>50103</v>
      </c>
      <c r="L2967" s="17" t="str" cm="1">
        <f t="array" ref="L2967">_xlfn.IFS(MID(K2967,2,2)="01", "서울", MID(K2967,2,2)="02","경기",MID(K2967,2,2)="03","충청",MID(K2967,2,2)="04","충청",MID(K2967,2,2)="05","전라",MID(K2967,2,2)="06","전라",MID(K2967,2,2)="07","경북",MID(K2967,2,2)="08","경남",MID(K2967,2,2)="09","강원",MID(K2967,2,2)="10","제주",TRUE,"국외")</f>
        <v>서울</v>
      </c>
    </row>
    <row r="2968" spans="1:12" ht="17.25" thickBot="1">
      <c r="A2968" s="3" t="s">
        <v>2905</v>
      </c>
      <c r="B2968" s="3" t="s">
        <v>93</v>
      </c>
      <c r="C2968" s="3" t="s">
        <v>119</v>
      </c>
      <c r="D2968" s="4" t="s">
        <v>254</v>
      </c>
      <c r="E2968" s="4" t="s">
        <v>9</v>
      </c>
      <c r="F2968" s="4">
        <v>1996</v>
      </c>
      <c r="G2968" s="8">
        <v>-0.2</v>
      </c>
      <c r="H2968" s="4" t="s">
        <v>9</v>
      </c>
      <c r="I2968" s="8">
        <v>-0.4</v>
      </c>
      <c r="J2968" s="3">
        <f>1934</f>
        <v>1934</v>
      </c>
      <c r="K2968" s="3">
        <v>50805</v>
      </c>
      <c r="L2968" s="17" t="str" cm="1">
        <f t="array" ref="L2968">_xlfn.IFS(MID(K2968,2,2)="01", "서울", MID(K2968,2,2)="02","경기",MID(K2968,2,2)="03","충청",MID(K2968,2,2)="04","충청",MID(K2968,2,2)="05","전라",MID(K2968,2,2)="06","전라",MID(K2968,2,2)="07","경북",MID(K2968,2,2)="08","경남",MID(K2968,2,2)="09","강원",MID(K2968,2,2)="10","제주",TRUE,"국외")</f>
        <v>경남</v>
      </c>
    </row>
    <row r="2969" spans="1:12" ht="17.25" thickBot="1">
      <c r="A2969" s="3" t="s">
        <v>2906</v>
      </c>
      <c r="B2969" s="3" t="s">
        <v>145</v>
      </c>
      <c r="C2969" s="3" t="s">
        <v>538</v>
      </c>
      <c r="D2969" s="4" t="s">
        <v>254</v>
      </c>
      <c r="E2969" s="4" t="s">
        <v>2523</v>
      </c>
      <c r="F2969" s="4">
        <v>1998</v>
      </c>
      <c r="G2969" s="9"/>
      <c r="H2969" s="4" t="s">
        <v>2523</v>
      </c>
      <c r="I2969" s="8">
        <v>2.2999999999999998</v>
      </c>
      <c r="J2969" s="3">
        <f>2048</f>
        <v>2048</v>
      </c>
      <c r="K2969" s="3">
        <v>50106</v>
      </c>
      <c r="L2969" s="17" t="str" cm="1">
        <f t="array" ref="L2969">_xlfn.IFS(MID(K2969,2,2)="01", "서울", MID(K2969,2,2)="02","경기",MID(K2969,2,2)="03","충청",MID(K2969,2,2)="04","충청",MID(K2969,2,2)="05","전라",MID(K2969,2,2)="06","전라",MID(K2969,2,2)="07","경북",MID(K2969,2,2)="08","경남",MID(K2969,2,2)="09","강원",MID(K2969,2,2)="10","제주",TRUE,"국외")</f>
        <v>서울</v>
      </c>
    </row>
    <row r="2970" spans="1:12" ht="17.25" thickBot="1">
      <c r="A2970" s="3" t="s">
        <v>2907</v>
      </c>
      <c r="B2970" s="3" t="s">
        <v>335</v>
      </c>
      <c r="C2970" s="3" t="s">
        <v>739</v>
      </c>
      <c r="D2970" s="4" t="s">
        <v>254</v>
      </c>
      <c r="E2970" s="4" t="s">
        <v>2164</v>
      </c>
      <c r="F2970" s="4">
        <v>1996</v>
      </c>
      <c r="G2970" s="8">
        <v>-0.3</v>
      </c>
      <c r="H2970" s="4" t="s">
        <v>2164</v>
      </c>
      <c r="I2970" s="8">
        <v>-0.5</v>
      </c>
      <c r="J2970" s="3">
        <f>1913</f>
        <v>1913</v>
      </c>
      <c r="K2970" s="3">
        <v>50804</v>
      </c>
      <c r="L2970" s="17" t="str" cm="1">
        <f t="array" ref="L2970">_xlfn.IFS(MID(K2970,2,2)="01", "서울", MID(K2970,2,2)="02","경기",MID(K2970,2,2)="03","충청",MID(K2970,2,2)="04","충청",MID(K2970,2,2)="05","전라",MID(K2970,2,2)="06","전라",MID(K2970,2,2)="07","경북",MID(K2970,2,2)="08","경남",MID(K2970,2,2)="09","강원",MID(K2970,2,2)="10","제주",TRUE,"국외")</f>
        <v>경남</v>
      </c>
    </row>
    <row r="2971" spans="1:12" ht="17.25" thickBot="1">
      <c r="A2971" s="3" t="s">
        <v>2908</v>
      </c>
      <c r="B2971" s="3" t="s">
        <v>145</v>
      </c>
      <c r="C2971" s="3" t="s">
        <v>83</v>
      </c>
      <c r="D2971" s="4" t="s">
        <v>254</v>
      </c>
      <c r="E2971" s="4" t="s">
        <v>20</v>
      </c>
      <c r="F2971" s="4">
        <v>2001</v>
      </c>
      <c r="G2971" s="9"/>
      <c r="H2971" s="4"/>
      <c r="I2971" s="9"/>
      <c r="J2971" s="3">
        <f>2204</f>
        <v>2204</v>
      </c>
      <c r="K2971" s="3">
        <v>50106</v>
      </c>
      <c r="L2971" s="17" t="str" cm="1">
        <f t="array" ref="L2971">_xlfn.IFS(MID(K2971,2,2)="01", "서울", MID(K2971,2,2)="02","경기",MID(K2971,2,2)="03","충청",MID(K2971,2,2)="04","충청",MID(K2971,2,2)="05","전라",MID(K2971,2,2)="06","전라",MID(K2971,2,2)="07","경북",MID(K2971,2,2)="08","경남",MID(K2971,2,2)="09","강원",MID(K2971,2,2)="10","제주",TRUE,"국외")</f>
        <v>서울</v>
      </c>
    </row>
    <row r="2972" spans="1:12" ht="17.25" thickBot="1">
      <c r="A2972" s="3" t="s">
        <v>2909</v>
      </c>
      <c r="B2972" s="3" t="s">
        <v>351</v>
      </c>
      <c r="C2972" s="3" t="s">
        <v>119</v>
      </c>
      <c r="D2972" s="4" t="s">
        <v>254</v>
      </c>
      <c r="E2972" s="4" t="s">
        <v>9</v>
      </c>
      <c r="F2972" s="4">
        <v>2001</v>
      </c>
      <c r="G2972" s="9"/>
      <c r="H2972" s="4" t="s">
        <v>9</v>
      </c>
      <c r="I2972" s="8">
        <v>0</v>
      </c>
      <c r="J2972" s="3">
        <f>2206</f>
        <v>2206</v>
      </c>
      <c r="K2972" s="3">
        <v>50203</v>
      </c>
      <c r="L2972" s="17" t="str" cm="1">
        <f t="array" ref="L2972">_xlfn.IFS(MID(K2972,2,2)="01", "서울", MID(K2972,2,2)="02","경기",MID(K2972,2,2)="03","충청",MID(K2972,2,2)="04","충청",MID(K2972,2,2)="05","전라",MID(K2972,2,2)="06","전라",MID(K2972,2,2)="07","경북",MID(K2972,2,2)="08","경남",MID(K2972,2,2)="09","강원",MID(K2972,2,2)="10","제주",TRUE,"국외")</f>
        <v>경기</v>
      </c>
    </row>
    <row r="2973" spans="1:12" ht="17.25" thickBot="1">
      <c r="A2973" s="3" t="s">
        <v>2910</v>
      </c>
      <c r="B2973" s="3" t="s">
        <v>89</v>
      </c>
      <c r="C2973" s="3" t="s">
        <v>329</v>
      </c>
      <c r="D2973" s="4" t="s">
        <v>254</v>
      </c>
      <c r="E2973" s="4" t="s">
        <v>23</v>
      </c>
      <c r="F2973" s="4">
        <v>2000</v>
      </c>
      <c r="G2973" s="9"/>
      <c r="H2973" s="4" t="s">
        <v>9</v>
      </c>
      <c r="I2973" s="8">
        <v>5</v>
      </c>
      <c r="J2973" s="3">
        <v>10291</v>
      </c>
      <c r="K2973" s="3">
        <v>50806</v>
      </c>
      <c r="L2973" s="17" t="str" cm="1">
        <f t="array" ref="L2973">_xlfn.IFS(MID(K2973,2,2)="01", "서울", MID(K2973,2,2)="02","경기",MID(K2973,2,2)="03","충청",MID(K2973,2,2)="04","충청",MID(K2973,2,2)="05","전라",MID(K2973,2,2)="06","전라",MID(K2973,2,2)="07","경북",MID(K2973,2,2)="08","경남",MID(K2973,2,2)="09","강원",MID(K2973,2,2)="10","제주",TRUE,"국외")</f>
        <v>경남</v>
      </c>
    </row>
    <row r="2974" spans="1:12" ht="17.25" thickBot="1">
      <c r="A2974" s="3" t="s">
        <v>2911</v>
      </c>
      <c r="B2974" s="3" t="s">
        <v>107</v>
      </c>
      <c r="C2974" s="3" t="s">
        <v>45</v>
      </c>
      <c r="D2974" s="4" t="s">
        <v>254</v>
      </c>
      <c r="E2974" s="4" t="s">
        <v>2661</v>
      </c>
      <c r="F2974" s="4">
        <v>1996</v>
      </c>
      <c r="G2974" s="8">
        <v>-0.3</v>
      </c>
      <c r="H2974" s="4" t="s">
        <v>2661</v>
      </c>
      <c r="I2974" s="8">
        <v>-1.1000000000000001</v>
      </c>
      <c r="J2974" s="3">
        <f>1925</f>
        <v>1925</v>
      </c>
      <c r="K2974" s="3">
        <v>50602</v>
      </c>
      <c r="L2974" s="17" t="str" cm="1">
        <f t="array" ref="L2974">_xlfn.IFS(MID(K2974,2,2)="01", "서울", MID(K2974,2,2)="02","경기",MID(K2974,2,2)="03","충청",MID(K2974,2,2)="04","충청",MID(K2974,2,2)="05","전라",MID(K2974,2,2)="06","전라",MID(K2974,2,2)="07","경북",MID(K2974,2,2)="08","경남",MID(K2974,2,2)="09","강원",MID(K2974,2,2)="10","제주",TRUE,"국외")</f>
        <v>전라</v>
      </c>
    </row>
    <row r="2975" spans="1:12" ht="17.25" thickBot="1">
      <c r="A2975" s="3" t="s">
        <v>2912</v>
      </c>
      <c r="B2975" s="3" t="s">
        <v>25</v>
      </c>
      <c r="C2975" s="3"/>
      <c r="D2975" s="4" t="s">
        <v>254</v>
      </c>
      <c r="E2975" s="4" t="s">
        <v>3</v>
      </c>
      <c r="F2975" s="4">
        <v>1996</v>
      </c>
      <c r="G2975" s="8">
        <v>-0.1</v>
      </c>
      <c r="H2975" s="4" t="s">
        <v>3</v>
      </c>
      <c r="I2975" s="8">
        <v>0.7</v>
      </c>
      <c r="J2975" s="3">
        <f>1926</f>
        <v>1926</v>
      </c>
      <c r="K2975" s="3">
        <v>50403</v>
      </c>
      <c r="L2975" s="17" t="str" cm="1">
        <f t="array" ref="L2975">_xlfn.IFS(MID(K2975,2,2)="01", "서울", MID(K2975,2,2)="02","경기",MID(K2975,2,2)="03","충청",MID(K2975,2,2)="04","충청",MID(K2975,2,2)="05","전라",MID(K2975,2,2)="06","전라",MID(K2975,2,2)="07","경북",MID(K2975,2,2)="08","경남",MID(K2975,2,2)="09","강원",MID(K2975,2,2)="10","제주",TRUE,"국외")</f>
        <v>충청</v>
      </c>
    </row>
    <row r="2976" spans="1:12" ht="17.25" thickBot="1">
      <c r="A2976" s="3" t="s">
        <v>2913</v>
      </c>
      <c r="B2976" s="3" t="s">
        <v>66</v>
      </c>
      <c r="C2976" s="3" t="s">
        <v>739</v>
      </c>
      <c r="D2976" s="4" t="s">
        <v>254</v>
      </c>
      <c r="E2976" s="4" t="s">
        <v>2164</v>
      </c>
      <c r="F2976" s="4">
        <v>2000</v>
      </c>
      <c r="G2976" s="9"/>
      <c r="H2976" s="4" t="s">
        <v>2164</v>
      </c>
      <c r="I2976" s="8">
        <v>3.2</v>
      </c>
      <c r="J2976" s="3">
        <v>10575</v>
      </c>
      <c r="K2976" s="3">
        <v>50110</v>
      </c>
      <c r="L2976" s="17" t="str" cm="1">
        <f t="array" ref="L2976">_xlfn.IFS(MID(K2976,2,2)="01", "서울", MID(K2976,2,2)="02","경기",MID(K2976,2,2)="03","충청",MID(K2976,2,2)="04","충청",MID(K2976,2,2)="05","전라",MID(K2976,2,2)="06","전라",MID(K2976,2,2)="07","경북",MID(K2976,2,2)="08","경남",MID(K2976,2,2)="09","강원",MID(K2976,2,2)="10","제주",TRUE,"국외")</f>
        <v>서울</v>
      </c>
    </row>
    <row r="2977" spans="1:12" ht="17.25" thickBot="1">
      <c r="A2977" s="3" t="s">
        <v>2914</v>
      </c>
      <c r="B2977" s="3" t="s">
        <v>22</v>
      </c>
      <c r="C2977" s="3" t="s">
        <v>174</v>
      </c>
      <c r="D2977" s="4" t="s">
        <v>254</v>
      </c>
      <c r="E2977" s="4" t="s">
        <v>23</v>
      </c>
      <c r="F2977" s="4">
        <v>1996</v>
      </c>
      <c r="G2977" s="8">
        <v>0.2</v>
      </c>
      <c r="H2977" s="4" t="s">
        <v>607</v>
      </c>
      <c r="I2977" s="8">
        <v>19.7</v>
      </c>
      <c r="J2977" s="3">
        <v>10102</v>
      </c>
      <c r="K2977" s="3">
        <v>50209</v>
      </c>
      <c r="L2977" s="17" t="str" cm="1">
        <f t="array" ref="L2977">_xlfn.IFS(MID(K2977,2,2)="01", "서울", MID(K2977,2,2)="02","경기",MID(K2977,2,2)="03","충청",MID(K2977,2,2)="04","충청",MID(K2977,2,2)="05","전라",MID(K2977,2,2)="06","전라",MID(K2977,2,2)="07","경북",MID(K2977,2,2)="08","경남",MID(K2977,2,2)="09","강원",MID(K2977,2,2)="10","제주",TRUE,"국외")</f>
        <v>경기</v>
      </c>
    </row>
    <row r="2978" spans="1:12" ht="17.25" thickBot="1">
      <c r="A2978" s="3" t="s">
        <v>2915</v>
      </c>
      <c r="B2978" s="3" t="s">
        <v>361</v>
      </c>
      <c r="C2978" s="3" t="s">
        <v>133</v>
      </c>
      <c r="D2978" s="4" t="s">
        <v>254</v>
      </c>
      <c r="E2978" s="4" t="s">
        <v>23</v>
      </c>
      <c r="F2978" s="4">
        <v>2000</v>
      </c>
      <c r="G2978" s="9"/>
      <c r="H2978" s="4" t="s">
        <v>23</v>
      </c>
      <c r="I2978" s="8">
        <v>1.6</v>
      </c>
      <c r="J2978" s="3">
        <v>10097</v>
      </c>
      <c r="K2978" s="3">
        <v>50121</v>
      </c>
      <c r="L2978" s="17" t="str" cm="1">
        <f t="array" ref="L2978">_xlfn.IFS(MID(K2978,2,2)="01", "서울", MID(K2978,2,2)="02","경기",MID(K2978,2,2)="03","충청",MID(K2978,2,2)="04","충청",MID(K2978,2,2)="05","전라",MID(K2978,2,2)="06","전라",MID(K2978,2,2)="07","경북",MID(K2978,2,2)="08","경남",MID(K2978,2,2)="09","강원",MID(K2978,2,2)="10","제주",TRUE,"국외")</f>
        <v>서울</v>
      </c>
    </row>
    <row r="2979" spans="1:12" ht="17.25" thickBot="1">
      <c r="A2979" s="3" t="s">
        <v>2916</v>
      </c>
      <c r="B2979" s="3" t="s">
        <v>121</v>
      </c>
      <c r="C2979" s="3" t="s">
        <v>221</v>
      </c>
      <c r="D2979" s="4" t="s">
        <v>254</v>
      </c>
      <c r="E2979" s="4" t="s">
        <v>2661</v>
      </c>
      <c r="F2979" s="4">
        <v>1998</v>
      </c>
      <c r="G2979" s="9"/>
      <c r="H2979" s="4" t="s">
        <v>2661</v>
      </c>
      <c r="I2979" s="8">
        <v>0.1</v>
      </c>
      <c r="J2979" s="3">
        <f>2036</f>
        <v>2036</v>
      </c>
      <c r="K2979" s="3">
        <v>50604</v>
      </c>
      <c r="L2979" s="17" t="str" cm="1">
        <f t="array" ref="L2979">_xlfn.IFS(MID(K2979,2,2)="01", "서울", MID(K2979,2,2)="02","경기",MID(K2979,2,2)="03","충청",MID(K2979,2,2)="04","충청",MID(K2979,2,2)="05","전라",MID(K2979,2,2)="06","전라",MID(K2979,2,2)="07","경북",MID(K2979,2,2)="08","경남",MID(K2979,2,2)="09","강원",MID(K2979,2,2)="10","제주",TRUE,"국외")</f>
        <v>전라</v>
      </c>
    </row>
    <row r="2980" spans="1:12" ht="17.25" thickBot="1">
      <c r="A2980" s="3" t="s">
        <v>2917</v>
      </c>
      <c r="B2980" s="3" t="s">
        <v>335</v>
      </c>
      <c r="C2980" s="3" t="s">
        <v>122</v>
      </c>
      <c r="D2980" s="4" t="s">
        <v>254</v>
      </c>
      <c r="E2980" s="4" t="s">
        <v>2164</v>
      </c>
      <c r="F2980" s="4">
        <v>1996</v>
      </c>
      <c r="G2980" s="8">
        <v>-0.1</v>
      </c>
      <c r="H2980" s="4" t="s">
        <v>2164</v>
      </c>
      <c r="I2980" s="8">
        <v>-0.3</v>
      </c>
      <c r="J2980" s="3">
        <f>1912</f>
        <v>1912</v>
      </c>
      <c r="K2980" s="3">
        <v>50804</v>
      </c>
      <c r="L2980" s="17" t="str" cm="1">
        <f t="array" ref="L2980">_xlfn.IFS(MID(K2980,2,2)="01", "서울", MID(K2980,2,2)="02","경기",MID(K2980,2,2)="03","충청",MID(K2980,2,2)="04","충청",MID(K2980,2,2)="05","전라",MID(K2980,2,2)="06","전라",MID(K2980,2,2)="07","경북",MID(K2980,2,2)="08","경남",MID(K2980,2,2)="09","강원",MID(K2980,2,2)="10","제주",TRUE,"국외")</f>
        <v>경남</v>
      </c>
    </row>
    <row r="2981" spans="1:12" ht="17.25" thickBot="1">
      <c r="A2981" s="3" t="s">
        <v>2918</v>
      </c>
      <c r="B2981" s="3" t="s">
        <v>14</v>
      </c>
      <c r="C2981" s="3"/>
      <c r="D2981" s="4" t="s">
        <v>254</v>
      </c>
      <c r="E2981" s="4" t="s">
        <v>20</v>
      </c>
      <c r="F2981" s="4">
        <v>1996</v>
      </c>
      <c r="G2981" s="8">
        <v>-0.6</v>
      </c>
      <c r="H2981" s="4" t="s">
        <v>20</v>
      </c>
      <c r="I2981" s="8">
        <v>-0.6</v>
      </c>
      <c r="J2981" s="3">
        <f>1952</f>
        <v>1952</v>
      </c>
      <c r="K2981" s="3">
        <v>50703</v>
      </c>
      <c r="L2981" s="17" t="str" cm="1">
        <f t="array" ref="L2981">_xlfn.IFS(MID(K2981,2,2)="01", "서울", MID(K2981,2,2)="02","경기",MID(K2981,2,2)="03","충청",MID(K2981,2,2)="04","충청",MID(K2981,2,2)="05","전라",MID(K2981,2,2)="06","전라",MID(K2981,2,2)="07","경북",MID(K2981,2,2)="08","경남",MID(K2981,2,2)="09","강원",MID(K2981,2,2)="10","제주",TRUE,"국외")</f>
        <v>경북</v>
      </c>
    </row>
    <row r="2982" spans="1:12" ht="17.25" thickBot="1">
      <c r="A2982" s="3" t="s">
        <v>2919</v>
      </c>
      <c r="B2982" s="3" t="s">
        <v>11</v>
      </c>
      <c r="C2982" s="3" t="s">
        <v>45</v>
      </c>
      <c r="D2982" s="4" t="s">
        <v>254</v>
      </c>
      <c r="E2982" s="4" t="s">
        <v>2725</v>
      </c>
      <c r="F2982" s="4">
        <v>2000</v>
      </c>
      <c r="G2982" s="9"/>
      <c r="H2982" s="4" t="s">
        <v>23</v>
      </c>
      <c r="I2982" s="8">
        <v>9.9</v>
      </c>
      <c r="J2982" s="3">
        <v>10332</v>
      </c>
      <c r="K2982" s="3">
        <v>50802</v>
      </c>
      <c r="L2982" s="17" t="str" cm="1">
        <f t="array" ref="L2982">_xlfn.IFS(MID(K2982,2,2)="01", "서울", MID(K2982,2,2)="02","경기",MID(K2982,2,2)="03","충청",MID(K2982,2,2)="04","충청",MID(K2982,2,2)="05","전라",MID(K2982,2,2)="06","전라",MID(K2982,2,2)="07","경북",MID(K2982,2,2)="08","경남",MID(K2982,2,2)="09","강원",MID(K2982,2,2)="10","제주",TRUE,"국외")</f>
        <v>경남</v>
      </c>
    </row>
    <row r="2983" spans="1:12" ht="17.25" thickBot="1">
      <c r="A2983" s="3" t="s">
        <v>2920</v>
      </c>
      <c r="B2983" s="3" t="s">
        <v>34</v>
      </c>
      <c r="C2983" s="3"/>
      <c r="D2983" s="4" t="s">
        <v>254</v>
      </c>
      <c r="E2983" s="4" t="s">
        <v>23</v>
      </c>
      <c r="F2983" s="4">
        <v>1996</v>
      </c>
      <c r="G2983" s="8">
        <v>-0.3</v>
      </c>
      <c r="H2983" s="4" t="s">
        <v>23</v>
      </c>
      <c r="I2983" s="8">
        <v>-0.7</v>
      </c>
      <c r="J2983" s="3">
        <f>1945</f>
        <v>1945</v>
      </c>
      <c r="K2983" s="3">
        <v>50701</v>
      </c>
      <c r="L2983" s="17" t="str" cm="1">
        <f t="array" ref="L2983">_xlfn.IFS(MID(K2983,2,2)="01", "서울", MID(K2983,2,2)="02","경기",MID(K2983,2,2)="03","충청",MID(K2983,2,2)="04","충청",MID(K2983,2,2)="05","전라",MID(K2983,2,2)="06","전라",MID(K2983,2,2)="07","경북",MID(K2983,2,2)="08","경남",MID(K2983,2,2)="09","강원",MID(K2983,2,2)="10","제주",TRUE,"국외")</f>
        <v>경북</v>
      </c>
    </row>
    <row r="2984" spans="1:12" ht="17.25" thickBot="1">
      <c r="A2984" s="3" t="s">
        <v>2921</v>
      </c>
      <c r="B2984" s="3" t="s">
        <v>335</v>
      </c>
      <c r="C2984" s="3" t="s">
        <v>208</v>
      </c>
      <c r="D2984" s="4" t="s">
        <v>254</v>
      </c>
      <c r="E2984" s="4" t="s">
        <v>2661</v>
      </c>
      <c r="F2984" s="4">
        <v>1997</v>
      </c>
      <c r="G2984" s="9"/>
      <c r="H2984" s="4" t="s">
        <v>2661</v>
      </c>
      <c r="I2984" s="8">
        <v>0.1</v>
      </c>
      <c r="J2984" s="3">
        <f>1991</f>
        <v>1991</v>
      </c>
      <c r="K2984" s="3">
        <v>50804</v>
      </c>
      <c r="L2984" s="17" t="str" cm="1">
        <f t="array" ref="L2984">_xlfn.IFS(MID(K2984,2,2)="01", "서울", MID(K2984,2,2)="02","경기",MID(K2984,2,2)="03","충청",MID(K2984,2,2)="04","충청",MID(K2984,2,2)="05","전라",MID(K2984,2,2)="06","전라",MID(K2984,2,2)="07","경북",MID(K2984,2,2)="08","경남",MID(K2984,2,2)="09","강원",MID(K2984,2,2)="10","제주",TRUE,"국외")</f>
        <v>경남</v>
      </c>
    </row>
    <row r="2985" spans="1:12" ht="17.25" thickBot="1">
      <c r="A2985" s="3" t="s">
        <v>2922</v>
      </c>
      <c r="B2985" s="3"/>
      <c r="C2985" s="3" t="s">
        <v>174</v>
      </c>
      <c r="D2985" s="4" t="s">
        <v>254</v>
      </c>
      <c r="E2985" s="4" t="s">
        <v>3</v>
      </c>
      <c r="F2985" s="4">
        <v>1996</v>
      </c>
      <c r="G2985" s="8">
        <v>-0.2</v>
      </c>
      <c r="H2985" s="4" t="s">
        <v>3</v>
      </c>
      <c r="I2985" s="8">
        <v>-0.2</v>
      </c>
      <c r="J2985" s="3">
        <f>1916</f>
        <v>1916</v>
      </c>
      <c r="K2985" s="3"/>
      <c r="L2985" s="17" t="str" cm="1">
        <f t="array" ref="L2985">_xlfn.IFS(MID(K2985,2,2)="01", "서울", MID(K2985,2,2)="02","경기",MID(K2985,2,2)="03","충청",MID(K2985,2,2)="04","충청",MID(K2985,2,2)="05","전라",MID(K2985,2,2)="06","전라",MID(K2985,2,2)="07","경북",MID(K2985,2,2)="08","경남",MID(K2985,2,2)="09","강원",MID(K2985,2,2)="10","제주",TRUE,"국외")</f>
        <v>국외</v>
      </c>
    </row>
    <row r="2986" spans="1:12" ht="17.25" thickBot="1">
      <c r="A2986" s="3" t="s">
        <v>2923</v>
      </c>
      <c r="B2986" s="3" t="s">
        <v>52</v>
      </c>
      <c r="C2986" s="3" t="s">
        <v>174</v>
      </c>
      <c r="D2986" s="4" t="s">
        <v>254</v>
      </c>
      <c r="E2986" s="4" t="s">
        <v>3</v>
      </c>
      <c r="F2986" s="4">
        <v>1996</v>
      </c>
      <c r="G2986" s="8">
        <v>-0.4</v>
      </c>
      <c r="H2986" s="4" t="s">
        <v>3</v>
      </c>
      <c r="I2986" s="8">
        <v>0.3</v>
      </c>
      <c r="J2986" s="3">
        <f>1966</f>
        <v>1966</v>
      </c>
      <c r="K2986" s="3">
        <v>50803</v>
      </c>
      <c r="L2986" s="17" t="str" cm="1">
        <f t="array" ref="L2986">_xlfn.IFS(MID(K2986,2,2)="01", "서울", MID(K2986,2,2)="02","경기",MID(K2986,2,2)="03","충청",MID(K2986,2,2)="04","충청",MID(K2986,2,2)="05","전라",MID(K2986,2,2)="06","전라",MID(K2986,2,2)="07","경북",MID(K2986,2,2)="08","경남",MID(K2986,2,2)="09","강원",MID(K2986,2,2)="10","제주",TRUE,"국외")</f>
        <v>경남</v>
      </c>
    </row>
    <row r="2987" spans="1:12" ht="17.25" thickBot="1">
      <c r="A2987" s="3" t="s">
        <v>2924</v>
      </c>
      <c r="B2987" s="3" t="s">
        <v>145</v>
      </c>
      <c r="C2987" s="3" t="s">
        <v>83</v>
      </c>
      <c r="D2987" s="4" t="s">
        <v>254</v>
      </c>
      <c r="E2987" s="4" t="s">
        <v>2523</v>
      </c>
      <c r="F2987" s="4">
        <v>2000</v>
      </c>
      <c r="G2987" s="9"/>
      <c r="H2987" s="4" t="s">
        <v>20</v>
      </c>
      <c r="I2987" s="8">
        <v>1.2</v>
      </c>
      <c r="J2987" s="3">
        <v>10105</v>
      </c>
      <c r="K2987" s="3">
        <v>50106</v>
      </c>
      <c r="L2987" s="17" t="str" cm="1">
        <f t="array" ref="L2987">_xlfn.IFS(MID(K2987,2,2)="01", "서울", MID(K2987,2,2)="02","경기",MID(K2987,2,2)="03","충청",MID(K2987,2,2)="04","충청",MID(K2987,2,2)="05","전라",MID(K2987,2,2)="06","전라",MID(K2987,2,2)="07","경북",MID(K2987,2,2)="08","경남",MID(K2987,2,2)="09","강원",MID(K2987,2,2)="10","제주",TRUE,"국외")</f>
        <v>서울</v>
      </c>
    </row>
    <row r="2988" spans="1:12" ht="17.25" thickBot="1">
      <c r="A2988" s="3" t="s">
        <v>2108</v>
      </c>
      <c r="B2988" s="3" t="s">
        <v>66</v>
      </c>
      <c r="C2988" s="3"/>
      <c r="D2988" s="4" t="s">
        <v>254</v>
      </c>
      <c r="E2988" s="4" t="s">
        <v>2164</v>
      </c>
      <c r="F2988" s="4">
        <v>1997</v>
      </c>
      <c r="G2988" s="9"/>
      <c r="H2988" s="4" t="s">
        <v>2164</v>
      </c>
      <c r="I2988" s="8">
        <v>-0.3</v>
      </c>
      <c r="J2988" s="3">
        <f>1975</f>
        <v>1975</v>
      </c>
      <c r="K2988" s="3">
        <v>50110</v>
      </c>
      <c r="L2988" s="17" t="str" cm="1">
        <f t="array" ref="L2988">_xlfn.IFS(MID(K2988,2,2)="01", "서울", MID(K2988,2,2)="02","경기",MID(K2988,2,2)="03","충청",MID(K2988,2,2)="04","충청",MID(K2988,2,2)="05","전라",MID(K2988,2,2)="06","전라",MID(K2988,2,2)="07","경북",MID(K2988,2,2)="08","경남",MID(K2988,2,2)="09","강원",MID(K2988,2,2)="10","제주",TRUE,"국외")</f>
        <v>서울</v>
      </c>
    </row>
    <row r="2989" spans="1:12" ht="17.25" thickBot="1">
      <c r="A2989" s="3" t="s">
        <v>2925</v>
      </c>
      <c r="B2989" s="3" t="s">
        <v>78</v>
      </c>
      <c r="C2989" s="3"/>
      <c r="D2989" s="4" t="s">
        <v>254</v>
      </c>
      <c r="E2989" s="4" t="s">
        <v>23</v>
      </c>
      <c r="F2989" s="4">
        <v>2000</v>
      </c>
      <c r="G2989" s="9"/>
      <c r="H2989" s="4" t="s">
        <v>23</v>
      </c>
      <c r="I2989" s="8">
        <v>0</v>
      </c>
      <c r="J2989" s="3">
        <f>2128</f>
        <v>2128</v>
      </c>
      <c r="K2989" s="3">
        <v>50401</v>
      </c>
      <c r="L2989" s="17" t="str" cm="1">
        <f t="array" ref="L2989">_xlfn.IFS(MID(K2989,2,2)="01", "서울", MID(K2989,2,2)="02","경기",MID(K2989,2,2)="03","충청",MID(K2989,2,2)="04","충청",MID(K2989,2,2)="05","전라",MID(K2989,2,2)="06","전라",MID(K2989,2,2)="07","경북",MID(K2989,2,2)="08","경남",MID(K2989,2,2)="09","강원",MID(K2989,2,2)="10","제주",TRUE,"국외")</f>
        <v>충청</v>
      </c>
    </row>
    <row r="2990" spans="1:12" ht="17.25" thickBot="1">
      <c r="A2990" s="3" t="s">
        <v>355</v>
      </c>
      <c r="B2990" s="3" t="s">
        <v>36</v>
      </c>
      <c r="C2990" s="3" t="s">
        <v>174</v>
      </c>
      <c r="D2990" s="4" t="s">
        <v>254</v>
      </c>
      <c r="E2990" s="4" t="s">
        <v>3</v>
      </c>
      <c r="F2990" s="4">
        <v>2000</v>
      </c>
      <c r="G2990" s="9"/>
      <c r="H2990" s="4" t="s">
        <v>3</v>
      </c>
      <c r="I2990" s="8">
        <v>-0.1</v>
      </c>
      <c r="J2990" s="3">
        <f>2154</f>
        <v>2154</v>
      </c>
      <c r="K2990" s="3">
        <v>50402</v>
      </c>
      <c r="L2990" s="17" t="str" cm="1">
        <f t="array" ref="L2990">_xlfn.IFS(MID(K2990,2,2)="01", "서울", MID(K2990,2,2)="02","경기",MID(K2990,2,2)="03","충청",MID(K2990,2,2)="04","충청",MID(K2990,2,2)="05","전라",MID(K2990,2,2)="06","전라",MID(K2990,2,2)="07","경북",MID(K2990,2,2)="08","경남",MID(K2990,2,2)="09","강원",MID(K2990,2,2)="10","제주",TRUE,"국외")</f>
        <v>충청</v>
      </c>
    </row>
    <row r="2991" spans="1:12" ht="17.25" thickBot="1">
      <c r="A2991" s="3" t="s">
        <v>2926</v>
      </c>
      <c r="B2991" s="3" t="s">
        <v>22</v>
      </c>
      <c r="C2991" s="3" t="s">
        <v>208</v>
      </c>
      <c r="D2991" s="4" t="s">
        <v>254</v>
      </c>
      <c r="E2991" s="4" t="s">
        <v>2523</v>
      </c>
      <c r="F2991" s="4">
        <v>2000</v>
      </c>
      <c r="G2991" s="9"/>
      <c r="H2991" s="4" t="s">
        <v>2523</v>
      </c>
      <c r="I2991" s="8">
        <v>-1.8</v>
      </c>
      <c r="J2991" s="3">
        <f>2153</f>
        <v>2153</v>
      </c>
      <c r="K2991" s="3">
        <v>50209</v>
      </c>
      <c r="L2991" s="17" t="str" cm="1">
        <f t="array" ref="L2991">_xlfn.IFS(MID(K2991,2,2)="01", "서울", MID(K2991,2,2)="02","경기",MID(K2991,2,2)="03","충청",MID(K2991,2,2)="04","충청",MID(K2991,2,2)="05","전라",MID(K2991,2,2)="06","전라",MID(K2991,2,2)="07","경북",MID(K2991,2,2)="08","경남",MID(K2991,2,2)="09","강원",MID(K2991,2,2)="10","제주",TRUE,"국외")</f>
        <v>경기</v>
      </c>
    </row>
    <row r="2992" spans="1:12" ht="17.25" thickBot="1">
      <c r="A2992" s="3" t="s">
        <v>2927</v>
      </c>
      <c r="B2992" s="3" t="s">
        <v>66</v>
      </c>
      <c r="C2992" s="3" t="s">
        <v>45</v>
      </c>
      <c r="D2992" s="4" t="s">
        <v>254</v>
      </c>
      <c r="E2992" s="4" t="s">
        <v>2164</v>
      </c>
      <c r="F2992" s="4">
        <v>2002</v>
      </c>
      <c r="G2992" s="9"/>
      <c r="H2992" s="4" t="s">
        <v>2164</v>
      </c>
      <c r="I2992" s="8">
        <v>1.7</v>
      </c>
      <c r="J2992" s="3">
        <v>10408</v>
      </c>
      <c r="K2992" s="3">
        <v>50110</v>
      </c>
      <c r="L2992" s="17" t="str" cm="1">
        <f t="array" ref="L2992">_xlfn.IFS(MID(K2992,2,2)="01", "서울", MID(K2992,2,2)="02","경기",MID(K2992,2,2)="03","충청",MID(K2992,2,2)="04","충청",MID(K2992,2,2)="05","전라",MID(K2992,2,2)="06","전라",MID(K2992,2,2)="07","경북",MID(K2992,2,2)="08","경남",MID(K2992,2,2)="09","강원",MID(K2992,2,2)="10","제주",TRUE,"국외")</f>
        <v>서울</v>
      </c>
    </row>
    <row r="2993" spans="1:12" ht="17.25" thickBot="1">
      <c r="A2993" s="3" t="s">
        <v>2928</v>
      </c>
      <c r="B2993" s="3" t="s">
        <v>81</v>
      </c>
      <c r="C2993" s="3"/>
      <c r="D2993" s="4" t="s">
        <v>254</v>
      </c>
      <c r="E2993" s="4" t="s">
        <v>20</v>
      </c>
      <c r="F2993" s="4">
        <v>1996</v>
      </c>
      <c r="G2993" s="8">
        <v>0</v>
      </c>
      <c r="H2993" s="4" t="s">
        <v>20</v>
      </c>
      <c r="I2993" s="8">
        <v>0</v>
      </c>
      <c r="J2993" s="3">
        <f>1940</f>
        <v>1940</v>
      </c>
      <c r="K2993" s="3">
        <v>50105</v>
      </c>
      <c r="L2993" s="17" t="str" cm="1">
        <f t="array" ref="L2993">_xlfn.IFS(MID(K2993,2,2)="01", "서울", MID(K2993,2,2)="02","경기",MID(K2993,2,2)="03","충청",MID(K2993,2,2)="04","충청",MID(K2993,2,2)="05","전라",MID(K2993,2,2)="06","전라",MID(K2993,2,2)="07","경북",MID(K2993,2,2)="08","경남",MID(K2993,2,2)="09","강원",MID(K2993,2,2)="10","제주",TRUE,"국외")</f>
        <v>서울</v>
      </c>
    </row>
    <row r="2994" spans="1:12" ht="17.25" thickBot="1">
      <c r="A2994" s="3" t="s">
        <v>2929</v>
      </c>
      <c r="B2994" s="3" t="s">
        <v>66</v>
      </c>
      <c r="C2994" s="3"/>
      <c r="D2994" s="4" t="s">
        <v>254</v>
      </c>
      <c r="E2994" s="4" t="s">
        <v>23</v>
      </c>
      <c r="F2994" s="4">
        <v>1996</v>
      </c>
      <c r="G2994" s="8">
        <v>-0.1</v>
      </c>
      <c r="H2994" s="4" t="s">
        <v>9</v>
      </c>
      <c r="I2994" s="8">
        <v>0.2</v>
      </c>
      <c r="J2994" s="3">
        <v>11451</v>
      </c>
      <c r="K2994" s="3">
        <v>50110</v>
      </c>
      <c r="L2994" s="17" t="str" cm="1">
        <f t="array" ref="L2994">_xlfn.IFS(MID(K2994,2,2)="01", "서울", MID(K2994,2,2)="02","경기",MID(K2994,2,2)="03","충청",MID(K2994,2,2)="04","충청",MID(K2994,2,2)="05","전라",MID(K2994,2,2)="06","전라",MID(K2994,2,2)="07","경북",MID(K2994,2,2)="08","경남",MID(K2994,2,2)="09","강원",MID(K2994,2,2)="10","제주",TRUE,"국외")</f>
        <v>서울</v>
      </c>
    </row>
    <row r="2995" spans="1:12" ht="17.25" thickBot="1">
      <c r="A2995" s="3" t="s">
        <v>2930</v>
      </c>
      <c r="B2995" s="3" t="s">
        <v>11</v>
      </c>
      <c r="C2995" s="3" t="s">
        <v>119</v>
      </c>
      <c r="D2995" s="4" t="s">
        <v>254</v>
      </c>
      <c r="E2995" s="4" t="s">
        <v>2661</v>
      </c>
      <c r="F2995" s="4">
        <v>1997</v>
      </c>
      <c r="G2995" s="9"/>
      <c r="H2995" s="4" t="s">
        <v>2661</v>
      </c>
      <c r="I2995" s="8">
        <v>-0.2</v>
      </c>
      <c r="J2995" s="3">
        <f>2015</f>
        <v>2015</v>
      </c>
      <c r="K2995" s="3">
        <v>50802</v>
      </c>
      <c r="L2995" s="17" t="str" cm="1">
        <f t="array" ref="L2995">_xlfn.IFS(MID(K2995,2,2)="01", "서울", MID(K2995,2,2)="02","경기",MID(K2995,2,2)="03","충청",MID(K2995,2,2)="04","충청",MID(K2995,2,2)="05","전라",MID(K2995,2,2)="06","전라",MID(K2995,2,2)="07","경북",MID(K2995,2,2)="08","경남",MID(K2995,2,2)="09","강원",MID(K2995,2,2)="10","제주",TRUE,"국외")</f>
        <v>경남</v>
      </c>
    </row>
    <row r="2996" spans="1:12" ht="17.25" thickBot="1">
      <c r="A2996" s="3" t="s">
        <v>2931</v>
      </c>
      <c r="B2996" s="3" t="s">
        <v>361</v>
      </c>
      <c r="C2996" s="3" t="s">
        <v>218</v>
      </c>
      <c r="D2996" s="4" t="s">
        <v>254</v>
      </c>
      <c r="E2996" s="4" t="s">
        <v>2523</v>
      </c>
      <c r="F2996" s="4">
        <v>2000</v>
      </c>
      <c r="G2996" s="9"/>
      <c r="H2996" s="4" t="s">
        <v>607</v>
      </c>
      <c r="I2996" s="8">
        <v>0</v>
      </c>
      <c r="J2996" s="3">
        <f>2123</f>
        <v>2123</v>
      </c>
      <c r="K2996" s="3">
        <v>50121</v>
      </c>
      <c r="L2996" s="17" t="str" cm="1">
        <f t="array" ref="L2996">_xlfn.IFS(MID(K2996,2,2)="01", "서울", MID(K2996,2,2)="02","경기",MID(K2996,2,2)="03","충청",MID(K2996,2,2)="04","충청",MID(K2996,2,2)="05","전라",MID(K2996,2,2)="06","전라",MID(K2996,2,2)="07","경북",MID(K2996,2,2)="08","경남",MID(K2996,2,2)="09","강원",MID(K2996,2,2)="10","제주",TRUE,"국외")</f>
        <v>서울</v>
      </c>
    </row>
    <row r="2997" spans="1:12" ht="17.25" thickBot="1">
      <c r="A2997" s="3" t="s">
        <v>2932</v>
      </c>
      <c r="B2997" s="3" t="s">
        <v>1</v>
      </c>
      <c r="C2997" s="3" t="s">
        <v>218</v>
      </c>
      <c r="D2997" s="4" t="s">
        <v>254</v>
      </c>
      <c r="E2997" s="4" t="s">
        <v>2164</v>
      </c>
      <c r="F2997" s="4">
        <v>2000</v>
      </c>
      <c r="G2997" s="9"/>
      <c r="H2997" s="4" t="s">
        <v>2164</v>
      </c>
      <c r="I2997" s="8">
        <v>15.3</v>
      </c>
      <c r="J2997" s="3">
        <v>10439</v>
      </c>
      <c r="K2997" s="3">
        <v>50107</v>
      </c>
      <c r="L2997" s="17" t="str" cm="1">
        <f t="array" ref="L2997">_xlfn.IFS(MID(K2997,2,2)="01", "서울", MID(K2997,2,2)="02","경기",MID(K2997,2,2)="03","충청",MID(K2997,2,2)="04","충청",MID(K2997,2,2)="05","전라",MID(K2997,2,2)="06","전라",MID(K2997,2,2)="07","경북",MID(K2997,2,2)="08","경남",MID(K2997,2,2)="09","강원",MID(K2997,2,2)="10","제주",TRUE,"국외")</f>
        <v>서울</v>
      </c>
    </row>
    <row r="2998" spans="1:12" ht="17.25" thickBot="1">
      <c r="A2998" s="3" t="s">
        <v>2933</v>
      </c>
      <c r="B2998" s="3" t="s">
        <v>70</v>
      </c>
      <c r="C2998" s="3" t="s">
        <v>211</v>
      </c>
      <c r="D2998" s="4" t="s">
        <v>254</v>
      </c>
      <c r="E2998" s="4" t="s">
        <v>20</v>
      </c>
      <c r="F2998" s="4">
        <v>2001</v>
      </c>
      <c r="G2998" s="9"/>
      <c r="H2998" s="4" t="s">
        <v>20</v>
      </c>
      <c r="I2998" s="8">
        <v>-0.7</v>
      </c>
      <c r="J2998" s="3">
        <f>2168</f>
        <v>2168</v>
      </c>
      <c r="K2998" s="3">
        <v>50103</v>
      </c>
      <c r="L2998" s="17" t="str" cm="1">
        <f t="array" ref="L2998">_xlfn.IFS(MID(K2998,2,2)="01", "서울", MID(K2998,2,2)="02","경기",MID(K2998,2,2)="03","충청",MID(K2998,2,2)="04","충청",MID(K2998,2,2)="05","전라",MID(K2998,2,2)="06","전라",MID(K2998,2,2)="07","경북",MID(K2998,2,2)="08","경남",MID(K2998,2,2)="09","강원",MID(K2998,2,2)="10","제주",TRUE,"국외")</f>
        <v>서울</v>
      </c>
    </row>
    <row r="2999" spans="1:12" ht="17.25" thickBot="1">
      <c r="A2999" s="3" t="s">
        <v>2519</v>
      </c>
      <c r="B2999" s="3" t="s">
        <v>8</v>
      </c>
      <c r="C2999" s="3" t="s">
        <v>45</v>
      </c>
      <c r="D2999" s="4" t="s">
        <v>254</v>
      </c>
      <c r="E2999" s="4" t="s">
        <v>2661</v>
      </c>
      <c r="F2999" s="4">
        <v>2002</v>
      </c>
      <c r="G2999" s="9"/>
      <c r="H2999" s="4" t="s">
        <v>23</v>
      </c>
      <c r="I2999" s="8">
        <v>-0.1</v>
      </c>
      <c r="J2999" s="3">
        <f>2232</f>
        <v>2232</v>
      </c>
      <c r="K2999" s="3">
        <v>50116</v>
      </c>
      <c r="L2999" s="17" t="str" cm="1">
        <f t="array" ref="L2999">_xlfn.IFS(MID(K2999,2,2)="01", "서울", MID(K2999,2,2)="02","경기",MID(K2999,2,2)="03","충청",MID(K2999,2,2)="04","충청",MID(K2999,2,2)="05","전라",MID(K2999,2,2)="06","전라",MID(K2999,2,2)="07","경북",MID(K2999,2,2)="08","경남",MID(K2999,2,2)="09","강원",MID(K2999,2,2)="10","제주",TRUE,"국외")</f>
        <v>서울</v>
      </c>
    </row>
    <row r="3000" spans="1:12" ht="17.25" thickBot="1">
      <c r="A3000" s="3" t="s">
        <v>2934</v>
      </c>
      <c r="B3000" s="3" t="s">
        <v>25</v>
      </c>
      <c r="C3000" s="3" t="s">
        <v>99</v>
      </c>
      <c r="D3000" s="4" t="s">
        <v>254</v>
      </c>
      <c r="E3000" s="4" t="s">
        <v>3</v>
      </c>
      <c r="F3000" s="4">
        <v>1996</v>
      </c>
      <c r="G3000" s="8">
        <v>0</v>
      </c>
      <c r="H3000" s="4" t="s">
        <v>3</v>
      </c>
      <c r="I3000" s="8">
        <v>-0.4</v>
      </c>
      <c r="J3000" s="3">
        <f>1942</f>
        <v>1942</v>
      </c>
      <c r="K3000" s="3">
        <v>50403</v>
      </c>
      <c r="L3000" s="17" t="str" cm="1">
        <f t="array" ref="L3000">_xlfn.IFS(MID(K3000,2,2)="01", "서울", MID(K3000,2,2)="02","경기",MID(K3000,2,2)="03","충청",MID(K3000,2,2)="04","충청",MID(K3000,2,2)="05","전라",MID(K3000,2,2)="06","전라",MID(K3000,2,2)="07","경북",MID(K3000,2,2)="08","경남",MID(K3000,2,2)="09","강원",MID(K3000,2,2)="10","제주",TRUE,"국외")</f>
        <v>충청</v>
      </c>
    </row>
    <row r="3001" spans="1:12" ht="17.25" thickBot="1">
      <c r="A3001" s="3" t="s">
        <v>2935</v>
      </c>
      <c r="B3001" s="3" t="s">
        <v>81</v>
      </c>
      <c r="C3001" s="3"/>
      <c r="D3001" s="4" t="s">
        <v>254</v>
      </c>
      <c r="E3001" s="4" t="s">
        <v>20</v>
      </c>
      <c r="F3001" s="4">
        <v>1997</v>
      </c>
      <c r="G3001" s="9"/>
      <c r="H3001" s="4" t="s">
        <v>20</v>
      </c>
      <c r="I3001" s="8">
        <v>-0.2</v>
      </c>
      <c r="J3001" s="3">
        <f>1990</f>
        <v>1990</v>
      </c>
      <c r="K3001" s="3">
        <v>50105</v>
      </c>
      <c r="L3001" s="17" t="str" cm="1">
        <f t="array" ref="L3001">_xlfn.IFS(MID(K3001,2,2)="01", "서울", MID(K3001,2,2)="02","경기",MID(K3001,2,2)="03","충청",MID(K3001,2,2)="04","충청",MID(K3001,2,2)="05","전라",MID(K3001,2,2)="06","전라",MID(K3001,2,2)="07","경북",MID(K3001,2,2)="08","경남",MID(K3001,2,2)="09","강원",MID(K3001,2,2)="10","제주",TRUE,"국외")</f>
        <v>서울</v>
      </c>
    </row>
    <row r="3002" spans="1:12" ht="17.25" thickBot="1">
      <c r="A3002" s="3" t="s">
        <v>1946</v>
      </c>
      <c r="B3002" s="3"/>
      <c r="C3002" s="3" t="s">
        <v>483</v>
      </c>
      <c r="D3002" s="4" t="s">
        <v>254</v>
      </c>
      <c r="E3002" s="4" t="s">
        <v>2725</v>
      </c>
      <c r="F3002" s="4">
        <v>1996</v>
      </c>
      <c r="G3002" s="8">
        <v>0</v>
      </c>
      <c r="H3002" s="4" t="s">
        <v>2725</v>
      </c>
      <c r="I3002" s="8">
        <v>0</v>
      </c>
      <c r="J3002" s="3">
        <f>1947</f>
        <v>1947</v>
      </c>
      <c r="K3002" s="3"/>
      <c r="L3002" s="17" t="str" cm="1">
        <f t="array" ref="L3002">_xlfn.IFS(MID(K3002,2,2)="01", "서울", MID(K3002,2,2)="02","경기",MID(K3002,2,2)="03","충청",MID(K3002,2,2)="04","충청",MID(K3002,2,2)="05","전라",MID(K3002,2,2)="06","전라",MID(K3002,2,2)="07","경북",MID(K3002,2,2)="08","경남",MID(K3002,2,2)="09","강원",MID(K3002,2,2)="10","제주",TRUE,"국외")</f>
        <v>국외</v>
      </c>
    </row>
    <row r="3003" spans="1:12" ht="17.25" thickBot="1">
      <c r="A3003" s="3" t="s">
        <v>1137</v>
      </c>
      <c r="B3003" s="3" t="s">
        <v>14</v>
      </c>
      <c r="C3003" s="3"/>
      <c r="D3003" s="4" t="s">
        <v>254</v>
      </c>
      <c r="E3003" s="4" t="s">
        <v>23</v>
      </c>
      <c r="F3003" s="4">
        <v>1997</v>
      </c>
      <c r="G3003" s="9"/>
      <c r="H3003" s="4" t="s">
        <v>26</v>
      </c>
      <c r="I3003" s="8">
        <v>12</v>
      </c>
      <c r="J3003" s="3">
        <v>10531</v>
      </c>
      <c r="K3003" s="3">
        <v>50703</v>
      </c>
      <c r="L3003" s="17" t="str" cm="1">
        <f t="array" ref="L3003">_xlfn.IFS(MID(K3003,2,2)="01", "서울", MID(K3003,2,2)="02","경기",MID(K3003,2,2)="03","충청",MID(K3003,2,2)="04","충청",MID(K3003,2,2)="05","전라",MID(K3003,2,2)="06","전라",MID(K3003,2,2)="07","경북",MID(K3003,2,2)="08","경남",MID(K3003,2,2)="09","강원",MID(K3003,2,2)="10","제주",TRUE,"국외")</f>
        <v>경북</v>
      </c>
    </row>
    <row r="3004" spans="1:12" ht="17.25" thickBot="1">
      <c r="A3004" s="3" t="s">
        <v>2936</v>
      </c>
      <c r="B3004" s="3" t="s">
        <v>361</v>
      </c>
      <c r="C3004" s="3" t="s">
        <v>99</v>
      </c>
      <c r="D3004" s="4" t="s">
        <v>254</v>
      </c>
      <c r="E3004" s="4" t="s">
        <v>3</v>
      </c>
      <c r="F3004" s="4">
        <v>1996</v>
      </c>
      <c r="G3004" s="8">
        <v>0.6</v>
      </c>
      <c r="H3004" s="4" t="s">
        <v>3</v>
      </c>
      <c r="I3004" s="8">
        <v>5.8</v>
      </c>
      <c r="J3004" s="3">
        <f>1917</f>
        <v>1917</v>
      </c>
      <c r="K3004" s="3">
        <v>50121</v>
      </c>
      <c r="L3004" s="17" t="str" cm="1">
        <f t="array" ref="L3004">_xlfn.IFS(MID(K3004,2,2)="01", "서울", MID(K3004,2,2)="02","경기",MID(K3004,2,2)="03","충청",MID(K3004,2,2)="04","충청",MID(K3004,2,2)="05","전라",MID(K3004,2,2)="06","전라",MID(K3004,2,2)="07","경북",MID(K3004,2,2)="08","경남",MID(K3004,2,2)="09","강원",MID(K3004,2,2)="10","제주",TRUE,"국외")</f>
        <v>서울</v>
      </c>
    </row>
    <row r="3005" spans="1:12" ht="17.25" thickBot="1">
      <c r="A3005" s="3" t="s">
        <v>2937</v>
      </c>
      <c r="B3005" s="3" t="s">
        <v>32</v>
      </c>
      <c r="C3005" s="3" t="s">
        <v>99</v>
      </c>
      <c r="D3005" s="4" t="s">
        <v>254</v>
      </c>
      <c r="E3005" s="4" t="s">
        <v>2523</v>
      </c>
      <c r="F3005" s="4">
        <v>2000</v>
      </c>
      <c r="G3005" s="9"/>
      <c r="H3005" s="4" t="s">
        <v>6</v>
      </c>
      <c r="I3005" s="8">
        <v>17.5</v>
      </c>
      <c r="J3005" s="3">
        <v>10026</v>
      </c>
      <c r="K3005" s="3">
        <v>50111</v>
      </c>
      <c r="L3005" s="17" t="str" cm="1">
        <f t="array" ref="L3005">_xlfn.IFS(MID(K3005,2,2)="01", "서울", MID(K3005,2,2)="02","경기",MID(K3005,2,2)="03","충청",MID(K3005,2,2)="04","충청",MID(K3005,2,2)="05","전라",MID(K3005,2,2)="06","전라",MID(K3005,2,2)="07","경북",MID(K3005,2,2)="08","경남",MID(K3005,2,2)="09","강원",MID(K3005,2,2)="10","제주",TRUE,"국외")</f>
        <v>서울</v>
      </c>
    </row>
    <row r="3006" spans="1:12" ht="17.25" thickBot="1">
      <c r="A3006" s="3" t="s">
        <v>2938</v>
      </c>
      <c r="B3006" s="3" t="s">
        <v>52</v>
      </c>
      <c r="C3006" s="3" t="s">
        <v>83</v>
      </c>
      <c r="D3006" s="4" t="s">
        <v>254</v>
      </c>
      <c r="E3006" s="4" t="s">
        <v>2661</v>
      </c>
      <c r="F3006" s="4">
        <v>2000</v>
      </c>
      <c r="G3006" s="9"/>
      <c r="H3006" s="4" t="s">
        <v>607</v>
      </c>
      <c r="I3006" s="8">
        <v>5.5</v>
      </c>
      <c r="J3006" s="3">
        <v>10039</v>
      </c>
      <c r="K3006" s="3">
        <v>50803</v>
      </c>
      <c r="L3006" s="17" t="str" cm="1">
        <f t="array" ref="L3006">_xlfn.IFS(MID(K3006,2,2)="01", "서울", MID(K3006,2,2)="02","경기",MID(K3006,2,2)="03","충청",MID(K3006,2,2)="04","충청",MID(K3006,2,2)="05","전라",MID(K3006,2,2)="06","전라",MID(K3006,2,2)="07","경북",MID(K3006,2,2)="08","경남",MID(K3006,2,2)="09","강원",MID(K3006,2,2)="10","제주",TRUE,"국외")</f>
        <v>경남</v>
      </c>
    </row>
    <row r="3007" spans="1:12" ht="17.25" thickBot="1">
      <c r="A3007" s="3" t="s">
        <v>2939</v>
      </c>
      <c r="B3007" s="3" t="s">
        <v>351</v>
      </c>
      <c r="C3007" s="3" t="s">
        <v>329</v>
      </c>
      <c r="D3007" s="4" t="s">
        <v>254</v>
      </c>
      <c r="E3007" s="4" t="s">
        <v>2523</v>
      </c>
      <c r="F3007" s="4">
        <v>1998</v>
      </c>
      <c r="G3007" s="9"/>
      <c r="H3007" s="4" t="s">
        <v>2523</v>
      </c>
      <c r="I3007" s="8">
        <v>-0.1</v>
      </c>
      <c r="J3007" s="3">
        <f>2040</f>
        <v>2040</v>
      </c>
      <c r="K3007" s="3">
        <v>50203</v>
      </c>
      <c r="L3007" s="17" t="str" cm="1">
        <f t="array" ref="L3007">_xlfn.IFS(MID(K3007,2,2)="01", "서울", MID(K3007,2,2)="02","경기",MID(K3007,2,2)="03","충청",MID(K3007,2,2)="04","충청",MID(K3007,2,2)="05","전라",MID(K3007,2,2)="06","전라",MID(K3007,2,2)="07","경북",MID(K3007,2,2)="08","경남",MID(K3007,2,2)="09","강원",MID(K3007,2,2)="10","제주",TRUE,"국외")</f>
        <v>경기</v>
      </c>
    </row>
    <row r="3008" spans="1:12" ht="17.25" thickBot="1">
      <c r="A3008" s="3" t="s">
        <v>2940</v>
      </c>
      <c r="B3008" s="3" t="s">
        <v>66</v>
      </c>
      <c r="C3008" s="3" t="s">
        <v>174</v>
      </c>
      <c r="D3008" s="4" t="s">
        <v>254</v>
      </c>
      <c r="E3008" s="4" t="s">
        <v>2523</v>
      </c>
      <c r="F3008" s="4">
        <v>2000</v>
      </c>
      <c r="G3008" s="9"/>
      <c r="H3008" s="4" t="s">
        <v>20</v>
      </c>
      <c r="I3008" s="8">
        <v>-0.9</v>
      </c>
      <c r="J3008" s="3">
        <f>2126</f>
        <v>2126</v>
      </c>
      <c r="K3008" s="3">
        <v>50110</v>
      </c>
      <c r="L3008" s="17" t="str" cm="1">
        <f t="array" ref="L3008">_xlfn.IFS(MID(K3008,2,2)="01", "서울", MID(K3008,2,2)="02","경기",MID(K3008,2,2)="03","충청",MID(K3008,2,2)="04","충청",MID(K3008,2,2)="05","전라",MID(K3008,2,2)="06","전라",MID(K3008,2,2)="07","경북",MID(K3008,2,2)="08","경남",MID(K3008,2,2)="09","강원",MID(K3008,2,2)="10","제주",TRUE,"국외")</f>
        <v>서울</v>
      </c>
    </row>
    <row r="3009" spans="1:12" ht="17.25" thickBot="1">
      <c r="A3009" s="3" t="s">
        <v>2941</v>
      </c>
      <c r="B3009" s="3" t="s">
        <v>40</v>
      </c>
      <c r="C3009" s="3" t="s">
        <v>221</v>
      </c>
      <c r="D3009" s="4" t="s">
        <v>254</v>
      </c>
      <c r="E3009" s="4" t="s">
        <v>2661</v>
      </c>
      <c r="F3009" s="4">
        <v>1996</v>
      </c>
      <c r="G3009" s="8">
        <v>0</v>
      </c>
      <c r="H3009" s="4" t="s">
        <v>2661</v>
      </c>
      <c r="I3009" s="8">
        <v>0.1</v>
      </c>
      <c r="J3009" s="3">
        <f>1930</f>
        <v>1930</v>
      </c>
      <c r="K3009" s="3">
        <v>50108</v>
      </c>
      <c r="L3009" s="17" t="str" cm="1">
        <f t="array" ref="L3009">_xlfn.IFS(MID(K3009,2,2)="01", "서울", MID(K3009,2,2)="02","경기",MID(K3009,2,2)="03","충청",MID(K3009,2,2)="04","충청",MID(K3009,2,2)="05","전라",MID(K3009,2,2)="06","전라",MID(K3009,2,2)="07","경북",MID(K3009,2,2)="08","경남",MID(K3009,2,2)="09","강원",MID(K3009,2,2)="10","제주",TRUE,"국외")</f>
        <v>서울</v>
      </c>
    </row>
    <row r="3010" spans="1:12" ht="17.25" thickBot="1">
      <c r="A3010" s="3" t="s">
        <v>2817</v>
      </c>
      <c r="B3010" s="3" t="s">
        <v>121</v>
      </c>
      <c r="C3010" s="3"/>
      <c r="D3010" s="4" t="s">
        <v>254</v>
      </c>
      <c r="E3010" s="4" t="s">
        <v>2523</v>
      </c>
      <c r="F3010" s="4">
        <v>1997</v>
      </c>
      <c r="G3010" s="9"/>
      <c r="H3010" s="4" t="s">
        <v>2523</v>
      </c>
      <c r="I3010" s="8">
        <v>-0.2</v>
      </c>
      <c r="J3010" s="3">
        <f>1986</f>
        <v>1986</v>
      </c>
      <c r="K3010" s="3">
        <v>50604</v>
      </c>
      <c r="L3010" s="17" t="str" cm="1">
        <f t="array" ref="L3010">_xlfn.IFS(MID(K3010,2,2)="01", "서울", MID(K3010,2,2)="02","경기",MID(K3010,2,2)="03","충청",MID(K3010,2,2)="04","충청",MID(K3010,2,2)="05","전라",MID(K3010,2,2)="06","전라",MID(K3010,2,2)="07","경북",MID(K3010,2,2)="08","경남",MID(K3010,2,2)="09","강원",MID(K3010,2,2)="10","제주",TRUE,"국외")</f>
        <v>전라</v>
      </c>
    </row>
    <row r="3011" spans="1:12" ht="17.25" thickBot="1">
      <c r="A3011" s="3" t="s">
        <v>2942</v>
      </c>
      <c r="B3011" s="3" t="s">
        <v>22</v>
      </c>
      <c r="C3011" s="3" t="s">
        <v>208</v>
      </c>
      <c r="D3011" s="4" t="s">
        <v>254</v>
      </c>
      <c r="E3011" s="4" t="s">
        <v>2164</v>
      </c>
      <c r="F3011" s="4">
        <v>2000</v>
      </c>
      <c r="G3011" s="9"/>
      <c r="H3011" s="4" t="s">
        <v>2164</v>
      </c>
      <c r="I3011" s="8">
        <v>-2.1</v>
      </c>
      <c r="J3011" s="3">
        <f>2129</f>
        <v>2129</v>
      </c>
      <c r="K3011" s="3">
        <v>50209</v>
      </c>
      <c r="L3011" s="17" t="str" cm="1">
        <f t="array" ref="L3011">_xlfn.IFS(MID(K3011,2,2)="01", "서울", MID(K3011,2,2)="02","경기",MID(K3011,2,2)="03","충청",MID(K3011,2,2)="04","충청",MID(K3011,2,2)="05","전라",MID(K3011,2,2)="06","전라",MID(K3011,2,2)="07","경북",MID(K3011,2,2)="08","경남",MID(K3011,2,2)="09","강원",MID(K3011,2,2)="10","제주",TRUE,"국외")</f>
        <v>경기</v>
      </c>
    </row>
    <row r="3012" spans="1:12" ht="17.25" thickBot="1">
      <c r="A3012" s="3" t="s">
        <v>2943</v>
      </c>
      <c r="B3012" s="3" t="s">
        <v>52</v>
      </c>
      <c r="C3012" s="3" t="s">
        <v>211</v>
      </c>
      <c r="D3012" s="4" t="s">
        <v>181</v>
      </c>
      <c r="E3012" s="4" t="s">
        <v>23</v>
      </c>
      <c r="F3012" s="4">
        <v>1996</v>
      </c>
      <c r="G3012" s="8">
        <v>1.7</v>
      </c>
      <c r="H3012" s="4" t="s">
        <v>23</v>
      </c>
      <c r="I3012" s="8">
        <v>3.9</v>
      </c>
      <c r="J3012" s="3">
        <f>1968</f>
        <v>1968</v>
      </c>
      <c r="K3012" s="3">
        <v>50803</v>
      </c>
      <c r="L3012" s="17" t="str" cm="1">
        <f t="array" ref="L3012">_xlfn.IFS(MID(K3012,2,2)="01", "서울", MID(K3012,2,2)="02","경기",MID(K3012,2,2)="03","충청",MID(K3012,2,2)="04","충청",MID(K3012,2,2)="05","전라",MID(K3012,2,2)="06","전라",MID(K3012,2,2)="07","경북",MID(K3012,2,2)="08","경남",MID(K3012,2,2)="09","강원",MID(K3012,2,2)="10","제주",TRUE,"국외")</f>
        <v>경남</v>
      </c>
    </row>
    <row r="3013" spans="1:12" ht="17.25" thickBot="1">
      <c r="A3013" s="3" t="s">
        <v>2944</v>
      </c>
      <c r="B3013" s="3"/>
      <c r="C3013" s="3" t="s">
        <v>483</v>
      </c>
      <c r="D3013" s="4" t="s">
        <v>1777</v>
      </c>
      <c r="E3013" s="4" t="s">
        <v>2725</v>
      </c>
      <c r="F3013" s="4">
        <v>1996</v>
      </c>
      <c r="G3013" s="8">
        <v>-0.2</v>
      </c>
      <c r="H3013" s="4" t="s">
        <v>2725</v>
      </c>
      <c r="I3013" s="8">
        <v>-0.2</v>
      </c>
      <c r="J3013" s="3">
        <f>1931</f>
        <v>1931</v>
      </c>
      <c r="K3013" s="3"/>
      <c r="L3013" s="17" t="str" cm="1">
        <f t="array" ref="L3013">_xlfn.IFS(MID(K3013,2,2)="01", "서울", MID(K3013,2,2)="02","경기",MID(K3013,2,2)="03","충청",MID(K3013,2,2)="04","충청",MID(K3013,2,2)="05","전라",MID(K3013,2,2)="06","전라",MID(K3013,2,2)="07","경북",MID(K3013,2,2)="08","경남",MID(K3013,2,2)="09","강원",MID(K3013,2,2)="10","제주",TRUE,"국외")</f>
        <v>국외</v>
      </c>
    </row>
    <row r="3014" spans="1:12" ht="17.25" thickBot="1">
      <c r="A3014" s="3" t="s">
        <v>2945</v>
      </c>
      <c r="B3014" s="3" t="s">
        <v>42</v>
      </c>
      <c r="C3014" s="3"/>
      <c r="D3014" s="4" t="s">
        <v>1777</v>
      </c>
      <c r="E3014" s="4" t="s">
        <v>2661</v>
      </c>
      <c r="F3014" s="4">
        <v>1996</v>
      </c>
      <c r="G3014" s="8">
        <v>0</v>
      </c>
      <c r="H3014" s="4" t="s">
        <v>2661</v>
      </c>
      <c r="I3014" s="8">
        <v>0</v>
      </c>
      <c r="J3014" s="3">
        <f>1943</f>
        <v>1943</v>
      </c>
      <c r="K3014" s="3">
        <v>50502</v>
      </c>
      <c r="L3014" s="17" t="str" cm="1">
        <f t="array" ref="L3014">_xlfn.IFS(MID(K3014,2,2)="01", "서울", MID(K3014,2,2)="02","경기",MID(K3014,2,2)="03","충청",MID(K3014,2,2)="04","충청",MID(K3014,2,2)="05","전라",MID(K3014,2,2)="06","전라",MID(K3014,2,2)="07","경북",MID(K3014,2,2)="08","경남",MID(K3014,2,2)="09","강원",MID(K3014,2,2)="10","제주",TRUE,"국외")</f>
        <v>전라</v>
      </c>
    </row>
    <row r="3015" spans="1:12" ht="17.25" thickBot="1">
      <c r="A3015" s="3" t="s">
        <v>2946</v>
      </c>
      <c r="B3015" s="3" t="s">
        <v>335</v>
      </c>
      <c r="C3015" s="3" t="s">
        <v>174</v>
      </c>
      <c r="D3015" s="4" t="s">
        <v>1777</v>
      </c>
      <c r="E3015" s="4" t="s">
        <v>2523</v>
      </c>
      <c r="F3015" s="4">
        <v>1996</v>
      </c>
      <c r="G3015" s="8">
        <v>0</v>
      </c>
      <c r="H3015" s="4" t="s">
        <v>2523</v>
      </c>
      <c r="I3015" s="8">
        <v>0</v>
      </c>
      <c r="J3015" s="3">
        <f>1938</f>
        <v>1938</v>
      </c>
      <c r="K3015" s="3">
        <v>50804</v>
      </c>
      <c r="L3015" s="17" t="str" cm="1">
        <f t="array" ref="L3015">_xlfn.IFS(MID(K3015,2,2)="01", "서울", MID(K3015,2,2)="02","경기",MID(K3015,2,2)="03","충청",MID(K3015,2,2)="04","충청",MID(K3015,2,2)="05","전라",MID(K3015,2,2)="06","전라",MID(K3015,2,2)="07","경북",MID(K3015,2,2)="08","경남",MID(K3015,2,2)="09","강원",MID(K3015,2,2)="10","제주",TRUE,"국외")</f>
        <v>경남</v>
      </c>
    </row>
    <row r="3016" spans="1:12" ht="17.25" thickBot="1">
      <c r="A3016" s="3" t="s">
        <v>2947</v>
      </c>
      <c r="B3016" s="3" t="s">
        <v>38</v>
      </c>
      <c r="C3016" s="3" t="s">
        <v>739</v>
      </c>
      <c r="D3016" s="4" t="s">
        <v>2710</v>
      </c>
      <c r="E3016" s="4" t="s">
        <v>20</v>
      </c>
      <c r="F3016" s="4">
        <v>2000</v>
      </c>
      <c r="G3016" s="9"/>
      <c r="H3016" s="4" t="s">
        <v>20</v>
      </c>
      <c r="I3016" s="8">
        <v>10.3</v>
      </c>
      <c r="J3016" s="3">
        <v>10498</v>
      </c>
      <c r="K3016" s="3">
        <v>50109</v>
      </c>
      <c r="L3016" s="17" t="str" cm="1">
        <f t="array" ref="L3016">_xlfn.IFS(MID(K3016,2,2)="01", "서울", MID(K3016,2,2)="02","경기",MID(K3016,2,2)="03","충청",MID(K3016,2,2)="04","충청",MID(K3016,2,2)="05","전라",MID(K3016,2,2)="06","전라",MID(K3016,2,2)="07","경북",MID(K3016,2,2)="08","경남",MID(K3016,2,2)="09","강원",MID(K3016,2,2)="10","제주",TRUE,"국외")</f>
        <v>서울</v>
      </c>
    </row>
    <row r="3017" spans="1:12" ht="17.25" thickBot="1">
      <c r="A3017" s="3" t="s">
        <v>2948</v>
      </c>
      <c r="B3017" s="3" t="s">
        <v>5</v>
      </c>
      <c r="C3017" s="3"/>
      <c r="D3017" s="4" t="s">
        <v>2710</v>
      </c>
      <c r="E3017" s="4" t="s">
        <v>20</v>
      </c>
      <c r="F3017" s="4">
        <v>1998</v>
      </c>
      <c r="G3017" s="9"/>
      <c r="H3017" s="4" t="s">
        <v>6</v>
      </c>
      <c r="I3017" s="8">
        <v>-0.6</v>
      </c>
      <c r="J3017" s="3">
        <f>2057</f>
        <v>2057</v>
      </c>
      <c r="K3017" s="3">
        <v>50114</v>
      </c>
      <c r="L3017" s="17" t="str" cm="1">
        <f t="array" ref="L3017">_xlfn.IFS(MID(K3017,2,2)="01", "서울", MID(K3017,2,2)="02","경기",MID(K3017,2,2)="03","충청",MID(K3017,2,2)="04","충청",MID(K3017,2,2)="05","전라",MID(K3017,2,2)="06","전라",MID(K3017,2,2)="07","경북",MID(K3017,2,2)="08","경남",MID(K3017,2,2)="09","강원",MID(K3017,2,2)="10","제주",TRUE,"국외")</f>
        <v>서울</v>
      </c>
    </row>
    <row r="3018" spans="1:12" ht="17.25" thickBot="1">
      <c r="A3018" s="3" t="s">
        <v>2949</v>
      </c>
      <c r="B3018" s="3" t="s">
        <v>145</v>
      </c>
      <c r="C3018" s="3" t="s">
        <v>83</v>
      </c>
      <c r="D3018" s="4" t="s">
        <v>2710</v>
      </c>
      <c r="E3018" s="4" t="s">
        <v>20</v>
      </c>
      <c r="F3018" s="4">
        <v>2000</v>
      </c>
      <c r="G3018" s="9"/>
      <c r="H3018" s="4" t="s">
        <v>26</v>
      </c>
      <c r="I3018" s="8">
        <v>0.3</v>
      </c>
      <c r="J3018" s="3">
        <v>10169</v>
      </c>
      <c r="K3018" s="3">
        <v>50106</v>
      </c>
      <c r="L3018" s="17" t="str" cm="1">
        <f t="array" ref="L3018">_xlfn.IFS(MID(K3018,2,2)="01", "서울", MID(K3018,2,2)="02","경기",MID(K3018,2,2)="03","충청",MID(K3018,2,2)="04","충청",MID(K3018,2,2)="05","전라",MID(K3018,2,2)="06","전라",MID(K3018,2,2)="07","경북",MID(K3018,2,2)="08","경남",MID(K3018,2,2)="09","강원",MID(K3018,2,2)="10","제주",TRUE,"국외")</f>
        <v>서울</v>
      </c>
    </row>
    <row r="3019" spans="1:12" ht="17.25" thickBot="1">
      <c r="A3019" s="3" t="s">
        <v>2950</v>
      </c>
      <c r="B3019" s="3" t="s">
        <v>40</v>
      </c>
      <c r="C3019" s="3"/>
      <c r="D3019" s="4" t="s">
        <v>2710</v>
      </c>
      <c r="E3019" s="4" t="s">
        <v>2725</v>
      </c>
      <c r="F3019" s="4">
        <v>1996</v>
      </c>
      <c r="G3019" s="8">
        <v>-0.9</v>
      </c>
      <c r="H3019" s="4" t="s">
        <v>2725</v>
      </c>
      <c r="I3019" s="8">
        <v>0</v>
      </c>
      <c r="J3019" s="3">
        <f>1969</f>
        <v>1969</v>
      </c>
      <c r="K3019" s="3">
        <v>50108</v>
      </c>
      <c r="L3019" s="17" t="str" cm="1">
        <f t="array" ref="L3019">_xlfn.IFS(MID(K3019,2,2)="01", "서울", MID(K3019,2,2)="02","경기",MID(K3019,2,2)="03","충청",MID(K3019,2,2)="04","충청",MID(K3019,2,2)="05","전라",MID(K3019,2,2)="06","전라",MID(K3019,2,2)="07","경북",MID(K3019,2,2)="08","경남",MID(K3019,2,2)="09","강원",MID(K3019,2,2)="10","제주",TRUE,"국외")</f>
        <v>서울</v>
      </c>
    </row>
    <row r="3020" spans="1:12" ht="17.25" thickBot="1">
      <c r="A3020" s="3" t="s">
        <v>2951</v>
      </c>
      <c r="B3020" s="3" t="s">
        <v>52</v>
      </c>
      <c r="C3020" s="3"/>
      <c r="D3020" s="4" t="s">
        <v>2710</v>
      </c>
      <c r="E3020" s="4" t="s">
        <v>9</v>
      </c>
      <c r="F3020" s="4">
        <v>1996</v>
      </c>
      <c r="G3020" s="8">
        <v>0.4</v>
      </c>
      <c r="H3020" s="4" t="s">
        <v>9</v>
      </c>
      <c r="I3020" s="8">
        <v>0.4</v>
      </c>
      <c r="J3020" s="3">
        <f>1963</f>
        <v>1963</v>
      </c>
      <c r="K3020" s="3">
        <v>50803</v>
      </c>
      <c r="L3020" s="17" t="str" cm="1">
        <f t="array" ref="L3020">_xlfn.IFS(MID(K3020,2,2)="01", "서울", MID(K3020,2,2)="02","경기",MID(K3020,2,2)="03","충청",MID(K3020,2,2)="04","충청",MID(K3020,2,2)="05","전라",MID(K3020,2,2)="06","전라",MID(K3020,2,2)="07","경북",MID(K3020,2,2)="08","경남",MID(K3020,2,2)="09","강원",MID(K3020,2,2)="10","제주",TRUE,"국외")</f>
        <v>경남</v>
      </c>
    </row>
    <row r="3021" spans="1:12" ht="17.25" thickBot="1">
      <c r="A3021" s="3" t="s">
        <v>2952</v>
      </c>
      <c r="B3021" s="3" t="s">
        <v>2524</v>
      </c>
      <c r="C3021" s="3"/>
      <c r="D3021" s="4" t="s">
        <v>2710</v>
      </c>
      <c r="E3021" s="4" t="s">
        <v>23</v>
      </c>
      <c r="F3021" s="4"/>
      <c r="G3021" s="9"/>
      <c r="H3021" s="4"/>
      <c r="I3021" s="9"/>
      <c r="J3021" s="3">
        <v>11447</v>
      </c>
      <c r="K3021" s="3">
        <v>50711</v>
      </c>
      <c r="L3021" s="17" t="str" cm="1">
        <f t="array" ref="L3021">_xlfn.IFS(MID(K3021,2,2)="01", "서울", MID(K3021,2,2)="02","경기",MID(K3021,2,2)="03","충청",MID(K3021,2,2)="04","충청",MID(K3021,2,2)="05","전라",MID(K3021,2,2)="06","전라",MID(K3021,2,2)="07","경북",MID(K3021,2,2)="08","경남",MID(K3021,2,2)="09","강원",MID(K3021,2,2)="10","제주",TRUE,"국외")</f>
        <v>경북</v>
      </c>
    </row>
    <row r="3022" spans="1:12" ht="17.25" thickBot="1">
      <c r="A3022" s="3" t="s">
        <v>2953</v>
      </c>
      <c r="B3022" s="3" t="s">
        <v>228</v>
      </c>
      <c r="C3022" s="3"/>
      <c r="D3022" s="4" t="s">
        <v>2710</v>
      </c>
      <c r="E3022" s="4" t="s">
        <v>23</v>
      </c>
      <c r="F3022" s="4">
        <v>1996</v>
      </c>
      <c r="G3022" s="8">
        <v>-0.2</v>
      </c>
      <c r="H3022" s="4" t="s">
        <v>23</v>
      </c>
      <c r="I3022" s="8">
        <v>-0.2</v>
      </c>
      <c r="J3022" s="3">
        <f>1928</f>
        <v>1928</v>
      </c>
      <c r="K3022" s="3">
        <v>50702</v>
      </c>
      <c r="L3022" s="17" t="str" cm="1">
        <f t="array" ref="L3022">_xlfn.IFS(MID(K3022,2,2)="01", "서울", MID(K3022,2,2)="02","경기",MID(K3022,2,2)="03","충청",MID(K3022,2,2)="04","충청",MID(K3022,2,2)="05","전라",MID(K3022,2,2)="06","전라",MID(K3022,2,2)="07","경북",MID(K3022,2,2)="08","경남",MID(K3022,2,2)="09","강원",MID(K3022,2,2)="10","제주",TRUE,"국외")</f>
        <v>경북</v>
      </c>
    </row>
    <row r="3023" spans="1:12" ht="17.25" thickBot="1">
      <c r="A3023" s="3" t="s">
        <v>2954</v>
      </c>
      <c r="B3023" s="3" t="s">
        <v>42</v>
      </c>
      <c r="C3023" s="3" t="s">
        <v>538</v>
      </c>
      <c r="D3023" s="4" t="s">
        <v>2710</v>
      </c>
      <c r="E3023" s="4" t="s">
        <v>2661</v>
      </c>
      <c r="F3023" s="4">
        <v>2001</v>
      </c>
      <c r="G3023" s="9"/>
      <c r="H3023" s="4" t="s">
        <v>607</v>
      </c>
      <c r="I3023" s="8">
        <v>0</v>
      </c>
      <c r="J3023" s="3">
        <f>2185</f>
        <v>2185</v>
      </c>
      <c r="K3023" s="3">
        <v>50502</v>
      </c>
      <c r="L3023" s="17" t="str" cm="1">
        <f t="array" ref="L3023">_xlfn.IFS(MID(K3023,2,2)="01", "서울", MID(K3023,2,2)="02","경기",MID(K3023,2,2)="03","충청",MID(K3023,2,2)="04","충청",MID(K3023,2,2)="05","전라",MID(K3023,2,2)="06","전라",MID(K3023,2,2)="07","경북",MID(K3023,2,2)="08","경남",MID(K3023,2,2)="09","강원",MID(K3023,2,2)="10","제주",TRUE,"국외")</f>
        <v>전라</v>
      </c>
    </row>
    <row r="3024" spans="1:12" ht="17.25" thickBot="1">
      <c r="A3024" s="3" t="s">
        <v>2955</v>
      </c>
      <c r="B3024" s="3" t="s">
        <v>25</v>
      </c>
      <c r="C3024" s="3" t="s">
        <v>2956</v>
      </c>
      <c r="D3024" s="4" t="s">
        <v>2710</v>
      </c>
      <c r="E3024" s="4" t="s">
        <v>3</v>
      </c>
      <c r="F3024" s="4">
        <v>1997</v>
      </c>
      <c r="G3024" s="9"/>
      <c r="H3024" s="4" t="s">
        <v>3</v>
      </c>
      <c r="I3024" s="8">
        <v>1.2</v>
      </c>
      <c r="J3024" s="3">
        <v>10310</v>
      </c>
      <c r="K3024" s="3">
        <v>50403</v>
      </c>
      <c r="L3024" s="17" t="str" cm="1">
        <f t="array" ref="L3024">_xlfn.IFS(MID(K3024,2,2)="01", "서울", MID(K3024,2,2)="02","경기",MID(K3024,2,2)="03","충청",MID(K3024,2,2)="04","충청",MID(K3024,2,2)="05","전라",MID(K3024,2,2)="06","전라",MID(K3024,2,2)="07","경북",MID(K3024,2,2)="08","경남",MID(K3024,2,2)="09","강원",MID(K3024,2,2)="10","제주",TRUE,"국외")</f>
        <v>충청</v>
      </c>
    </row>
    <row r="3025" spans="1:12" ht="17.25" thickBot="1">
      <c r="A3025" s="3" t="s">
        <v>2957</v>
      </c>
      <c r="B3025" s="3" t="s">
        <v>25</v>
      </c>
      <c r="C3025" s="3"/>
      <c r="D3025" s="4" t="s">
        <v>2710</v>
      </c>
      <c r="E3025" s="4" t="s">
        <v>3</v>
      </c>
      <c r="F3025" s="4">
        <v>1996</v>
      </c>
      <c r="G3025" s="8">
        <v>-1.3</v>
      </c>
      <c r="H3025" s="4" t="s">
        <v>20</v>
      </c>
      <c r="I3025" s="8">
        <v>16.399999999999999</v>
      </c>
      <c r="J3025" s="3">
        <v>10449</v>
      </c>
      <c r="K3025" s="3">
        <v>50403</v>
      </c>
      <c r="L3025" s="17" t="str" cm="1">
        <f t="array" ref="L3025">_xlfn.IFS(MID(K3025,2,2)="01", "서울", MID(K3025,2,2)="02","경기",MID(K3025,2,2)="03","충청",MID(K3025,2,2)="04","충청",MID(K3025,2,2)="05","전라",MID(K3025,2,2)="06","전라",MID(K3025,2,2)="07","경북",MID(K3025,2,2)="08","경남",MID(K3025,2,2)="09","강원",MID(K3025,2,2)="10","제주",TRUE,"국외")</f>
        <v>충청</v>
      </c>
    </row>
    <row r="3026" spans="1:12" ht="17.25" thickBot="1">
      <c r="A3026" s="3" t="s">
        <v>2958</v>
      </c>
      <c r="B3026" s="3" t="s">
        <v>121</v>
      </c>
      <c r="C3026" s="3"/>
      <c r="D3026" s="4" t="s">
        <v>2710</v>
      </c>
      <c r="E3026" s="4" t="s">
        <v>2523</v>
      </c>
      <c r="F3026" s="4">
        <v>1996</v>
      </c>
      <c r="G3026" s="8">
        <v>1.3</v>
      </c>
      <c r="H3026" s="4" t="s">
        <v>2523</v>
      </c>
      <c r="I3026" s="8">
        <v>6.2</v>
      </c>
      <c r="J3026" s="3">
        <f>1950</f>
        <v>1950</v>
      </c>
      <c r="K3026" s="3">
        <v>50604</v>
      </c>
      <c r="L3026" s="17" t="str" cm="1">
        <f t="array" ref="L3026">_xlfn.IFS(MID(K3026,2,2)="01", "서울", MID(K3026,2,2)="02","경기",MID(K3026,2,2)="03","충청",MID(K3026,2,2)="04","충청",MID(K3026,2,2)="05","전라",MID(K3026,2,2)="06","전라",MID(K3026,2,2)="07","경북",MID(K3026,2,2)="08","경남",MID(K3026,2,2)="09","강원",MID(K3026,2,2)="10","제주",TRUE,"국외")</f>
        <v>전라</v>
      </c>
    </row>
    <row r="3027" spans="1:12" ht="17.25" thickBot="1">
      <c r="A3027" s="3" t="s">
        <v>2959</v>
      </c>
      <c r="B3027" s="3" t="s">
        <v>5</v>
      </c>
      <c r="C3027" s="3" t="s">
        <v>1347</v>
      </c>
      <c r="D3027" s="4" t="s">
        <v>2710</v>
      </c>
      <c r="E3027" s="4" t="s">
        <v>2725</v>
      </c>
      <c r="F3027" s="4">
        <v>1996</v>
      </c>
      <c r="G3027" s="8">
        <v>1.3</v>
      </c>
      <c r="H3027" s="4" t="s">
        <v>26</v>
      </c>
      <c r="I3027" s="8">
        <v>29.5</v>
      </c>
      <c r="J3027" s="3">
        <v>10510</v>
      </c>
      <c r="K3027" s="3">
        <v>50114</v>
      </c>
      <c r="L3027" s="17" t="str" cm="1">
        <f t="array" ref="L3027">_xlfn.IFS(MID(K3027,2,2)="01", "서울", MID(K3027,2,2)="02","경기",MID(K3027,2,2)="03","충청",MID(K3027,2,2)="04","충청",MID(K3027,2,2)="05","전라",MID(K3027,2,2)="06","전라",MID(K3027,2,2)="07","경북",MID(K3027,2,2)="08","경남",MID(K3027,2,2)="09","강원",MID(K3027,2,2)="10","제주",TRUE,"국외")</f>
        <v>서울</v>
      </c>
    </row>
    <row r="3028" spans="1:12" ht="17.25" thickBot="1">
      <c r="A3028" s="3" t="s">
        <v>1924</v>
      </c>
      <c r="B3028" s="3" t="s">
        <v>107</v>
      </c>
      <c r="C3028" s="3" t="s">
        <v>45</v>
      </c>
      <c r="D3028" s="4" t="s">
        <v>2710</v>
      </c>
      <c r="E3028" s="4" t="s">
        <v>2523</v>
      </c>
      <c r="F3028" s="4">
        <v>2000</v>
      </c>
      <c r="G3028" s="9"/>
      <c r="H3028" s="4" t="s">
        <v>6</v>
      </c>
      <c r="I3028" s="8">
        <v>12.7</v>
      </c>
      <c r="J3028" s="3">
        <v>10001</v>
      </c>
      <c r="K3028" s="3">
        <v>50602</v>
      </c>
      <c r="L3028" s="17" t="str" cm="1">
        <f t="array" ref="L3028">_xlfn.IFS(MID(K3028,2,2)="01", "서울", MID(K3028,2,2)="02","경기",MID(K3028,2,2)="03","충청",MID(K3028,2,2)="04","충청",MID(K3028,2,2)="05","전라",MID(K3028,2,2)="06","전라",MID(K3028,2,2)="07","경북",MID(K3028,2,2)="08","경남",MID(K3028,2,2)="09","강원",MID(K3028,2,2)="10","제주",TRUE,"국외")</f>
        <v>전라</v>
      </c>
    </row>
    <row r="3029" spans="1:12" ht="17.25" thickBot="1">
      <c r="A3029" s="3" t="s">
        <v>2960</v>
      </c>
      <c r="B3029" s="3" t="s">
        <v>107</v>
      </c>
      <c r="C3029" s="3" t="s">
        <v>221</v>
      </c>
      <c r="D3029" s="4" t="s">
        <v>2710</v>
      </c>
      <c r="E3029" s="4" t="s">
        <v>2523</v>
      </c>
      <c r="F3029" s="4">
        <v>2008</v>
      </c>
      <c r="G3029" s="9"/>
      <c r="H3029" s="4" t="s">
        <v>6</v>
      </c>
      <c r="I3029" s="8">
        <v>12</v>
      </c>
      <c r="J3029" s="3">
        <v>10053</v>
      </c>
      <c r="K3029" s="3">
        <v>50602</v>
      </c>
      <c r="L3029" s="17" t="str" cm="1">
        <f t="array" ref="L3029">_xlfn.IFS(MID(K3029,2,2)="01", "서울", MID(K3029,2,2)="02","경기",MID(K3029,2,2)="03","충청",MID(K3029,2,2)="04","충청",MID(K3029,2,2)="05","전라",MID(K3029,2,2)="06","전라",MID(K3029,2,2)="07","경북",MID(K3029,2,2)="08","경남",MID(K3029,2,2)="09","강원",MID(K3029,2,2)="10","제주",TRUE,"국외")</f>
        <v>전라</v>
      </c>
    </row>
    <row r="3030" spans="1:12" ht="17.25" thickBot="1">
      <c r="A3030" s="3" t="s">
        <v>2961</v>
      </c>
      <c r="B3030" s="3" t="s">
        <v>158</v>
      </c>
      <c r="C3030" s="3"/>
      <c r="D3030" s="4" t="s">
        <v>2710</v>
      </c>
      <c r="E3030" s="4" t="s">
        <v>2661</v>
      </c>
      <c r="F3030" s="4">
        <v>1997</v>
      </c>
      <c r="G3030" s="9"/>
      <c r="H3030" s="4" t="s">
        <v>2661</v>
      </c>
      <c r="I3030" s="8">
        <v>-0.1</v>
      </c>
      <c r="J3030" s="3">
        <f>2006</f>
        <v>2006</v>
      </c>
      <c r="K3030" s="3">
        <v>50501</v>
      </c>
      <c r="L3030" s="17" t="str" cm="1">
        <f t="array" ref="L3030">_xlfn.IFS(MID(K3030,2,2)="01", "서울", MID(K3030,2,2)="02","경기",MID(K3030,2,2)="03","충청",MID(K3030,2,2)="04","충청",MID(K3030,2,2)="05","전라",MID(K3030,2,2)="06","전라",MID(K3030,2,2)="07","경북",MID(K3030,2,2)="08","경남",MID(K3030,2,2)="09","강원",MID(K3030,2,2)="10","제주",TRUE,"국외")</f>
        <v>전라</v>
      </c>
    </row>
    <row r="3031" spans="1:12" ht="17.25" thickBot="1">
      <c r="A3031" s="3" t="s">
        <v>2962</v>
      </c>
      <c r="B3031" s="3" t="s">
        <v>22</v>
      </c>
      <c r="C3031" s="3" t="s">
        <v>2599</v>
      </c>
      <c r="D3031" s="4" t="s">
        <v>2710</v>
      </c>
      <c r="E3031" s="4" t="s">
        <v>2164</v>
      </c>
      <c r="F3031" s="4">
        <v>1996</v>
      </c>
      <c r="G3031" s="8">
        <v>4.2</v>
      </c>
      <c r="H3031" s="4" t="s">
        <v>2164</v>
      </c>
      <c r="I3031" s="8">
        <v>47.8</v>
      </c>
      <c r="J3031" s="3">
        <v>10323</v>
      </c>
      <c r="K3031" s="3">
        <v>50209</v>
      </c>
      <c r="L3031" s="17" t="str" cm="1">
        <f t="array" ref="L3031">_xlfn.IFS(MID(K3031,2,2)="01", "서울", MID(K3031,2,2)="02","경기",MID(K3031,2,2)="03","충청",MID(K3031,2,2)="04","충청",MID(K3031,2,2)="05","전라",MID(K3031,2,2)="06","전라",MID(K3031,2,2)="07","경북",MID(K3031,2,2)="08","경남",MID(K3031,2,2)="09","강원",MID(K3031,2,2)="10","제주",TRUE,"국외")</f>
        <v>경기</v>
      </c>
    </row>
    <row r="3032" spans="1:12" ht="17.25" thickBot="1">
      <c r="A3032" s="3" t="s">
        <v>2963</v>
      </c>
      <c r="B3032" s="3" t="s">
        <v>5</v>
      </c>
      <c r="C3032" s="3" t="s">
        <v>45</v>
      </c>
      <c r="D3032" s="4" t="s">
        <v>243</v>
      </c>
      <c r="E3032" s="4" t="s">
        <v>20</v>
      </c>
      <c r="F3032" s="4">
        <v>1995</v>
      </c>
      <c r="G3032" s="8">
        <v>2.2000000000000002</v>
      </c>
      <c r="H3032" s="4" t="s">
        <v>20</v>
      </c>
      <c r="I3032" s="8">
        <v>33.5</v>
      </c>
      <c r="J3032" s="3">
        <f>1867</f>
        <v>1867</v>
      </c>
      <c r="K3032" s="3">
        <v>50114</v>
      </c>
      <c r="L3032" s="17" t="str" cm="1">
        <f t="array" ref="L3032">_xlfn.IFS(MID(K3032,2,2)="01", "서울", MID(K3032,2,2)="02","경기",MID(K3032,2,2)="03","충청",MID(K3032,2,2)="04","충청",MID(K3032,2,2)="05","전라",MID(K3032,2,2)="06","전라",MID(K3032,2,2)="07","경북",MID(K3032,2,2)="08","경남",MID(K3032,2,2)="09","강원",MID(K3032,2,2)="10","제주",TRUE,"국외")</f>
        <v>서울</v>
      </c>
    </row>
    <row r="3033" spans="1:12" ht="17.25" thickBot="1">
      <c r="A3033" s="3" t="s">
        <v>2964</v>
      </c>
      <c r="B3033" s="3" t="s">
        <v>5</v>
      </c>
      <c r="C3033" s="3" t="s">
        <v>208</v>
      </c>
      <c r="D3033" s="4" t="s">
        <v>243</v>
      </c>
      <c r="E3033" s="4" t="s">
        <v>2725</v>
      </c>
      <c r="F3033" s="4">
        <v>1995</v>
      </c>
      <c r="G3033" s="8">
        <v>-0.2</v>
      </c>
      <c r="H3033" s="4" t="s">
        <v>2725</v>
      </c>
      <c r="I3033" s="8">
        <v>-0.2</v>
      </c>
      <c r="J3033" s="3">
        <f>1903</f>
        <v>1903</v>
      </c>
      <c r="K3033" s="3">
        <v>50114</v>
      </c>
      <c r="L3033" s="17" t="str" cm="1">
        <f t="array" ref="L3033">_xlfn.IFS(MID(K3033,2,2)="01", "서울", MID(K3033,2,2)="02","경기",MID(K3033,2,2)="03","충청",MID(K3033,2,2)="04","충청",MID(K3033,2,2)="05","전라",MID(K3033,2,2)="06","전라",MID(K3033,2,2)="07","경북",MID(K3033,2,2)="08","경남",MID(K3033,2,2)="09","강원",MID(K3033,2,2)="10","제주",TRUE,"국외")</f>
        <v>서울</v>
      </c>
    </row>
    <row r="3034" spans="1:12" ht="17.25" thickBot="1">
      <c r="A3034" s="3" t="s">
        <v>2965</v>
      </c>
      <c r="B3034" s="3" t="s">
        <v>2470</v>
      </c>
      <c r="C3034" s="3" t="s">
        <v>83</v>
      </c>
      <c r="D3034" s="4" t="s">
        <v>243</v>
      </c>
      <c r="E3034" s="4" t="s">
        <v>9</v>
      </c>
      <c r="F3034" s="4">
        <v>1997</v>
      </c>
      <c r="G3034" s="9"/>
      <c r="H3034" s="4" t="s">
        <v>9</v>
      </c>
      <c r="I3034" s="8">
        <v>23.6</v>
      </c>
      <c r="J3034" s="3">
        <v>10593</v>
      </c>
      <c r="K3034" s="3">
        <v>50813</v>
      </c>
      <c r="L3034" s="17" t="str" cm="1">
        <f t="array" ref="L3034">_xlfn.IFS(MID(K3034,2,2)="01", "서울", MID(K3034,2,2)="02","경기",MID(K3034,2,2)="03","충청",MID(K3034,2,2)="04","충청",MID(K3034,2,2)="05","전라",MID(K3034,2,2)="06","전라",MID(K3034,2,2)="07","경북",MID(K3034,2,2)="08","경남",MID(K3034,2,2)="09","강원",MID(K3034,2,2)="10","제주",TRUE,"국외")</f>
        <v>경남</v>
      </c>
    </row>
    <row r="3035" spans="1:12" ht="17.25" thickBot="1">
      <c r="A3035" s="3" t="s">
        <v>2966</v>
      </c>
      <c r="B3035" s="3"/>
      <c r="C3035" s="3" t="s">
        <v>119</v>
      </c>
      <c r="D3035" s="4" t="s">
        <v>243</v>
      </c>
      <c r="E3035" s="4" t="s">
        <v>23</v>
      </c>
      <c r="F3035" s="4">
        <v>1995</v>
      </c>
      <c r="G3035" s="8">
        <v>0.1</v>
      </c>
      <c r="H3035" s="4" t="s">
        <v>23</v>
      </c>
      <c r="I3035" s="8">
        <v>0.1</v>
      </c>
      <c r="J3035" s="3">
        <f>1906</f>
        <v>1906</v>
      </c>
      <c r="K3035" s="3"/>
      <c r="L3035" s="17" t="str" cm="1">
        <f t="array" ref="L3035">_xlfn.IFS(MID(K3035,2,2)="01", "서울", MID(K3035,2,2)="02","경기",MID(K3035,2,2)="03","충청",MID(K3035,2,2)="04","충청",MID(K3035,2,2)="05","전라",MID(K3035,2,2)="06","전라",MID(K3035,2,2)="07","경북",MID(K3035,2,2)="08","경남",MID(K3035,2,2)="09","강원",MID(K3035,2,2)="10","제주",TRUE,"국외")</f>
        <v>국외</v>
      </c>
    </row>
    <row r="3036" spans="1:12" ht="17.25" thickBot="1">
      <c r="A3036" s="3" t="s">
        <v>2967</v>
      </c>
      <c r="B3036" s="3" t="s">
        <v>241</v>
      </c>
      <c r="C3036" s="3" t="s">
        <v>221</v>
      </c>
      <c r="D3036" s="4" t="s">
        <v>243</v>
      </c>
      <c r="E3036" s="4" t="s">
        <v>2968</v>
      </c>
      <c r="F3036" s="4">
        <v>1995</v>
      </c>
      <c r="G3036" s="8">
        <v>2.2000000000000002</v>
      </c>
      <c r="H3036" s="4" t="s">
        <v>2164</v>
      </c>
      <c r="I3036" s="8">
        <v>37.1</v>
      </c>
      <c r="J3036" s="3">
        <f>1886</f>
        <v>1886</v>
      </c>
      <c r="K3036" s="3">
        <v>50202</v>
      </c>
      <c r="L3036" s="17" t="str" cm="1">
        <f t="array" ref="L3036">_xlfn.IFS(MID(K3036,2,2)="01", "서울", MID(K3036,2,2)="02","경기",MID(K3036,2,2)="03","충청",MID(K3036,2,2)="04","충청",MID(K3036,2,2)="05","전라",MID(K3036,2,2)="06","전라",MID(K3036,2,2)="07","경북",MID(K3036,2,2)="08","경남",MID(K3036,2,2)="09","강원",MID(K3036,2,2)="10","제주",TRUE,"국외")</f>
        <v>경기</v>
      </c>
    </row>
    <row r="3037" spans="1:12" ht="17.25" thickBot="1">
      <c r="A3037" s="3" t="s">
        <v>2291</v>
      </c>
      <c r="B3037" s="3" t="s">
        <v>78</v>
      </c>
      <c r="C3037" s="3" t="s">
        <v>329</v>
      </c>
      <c r="D3037" s="4" t="s">
        <v>243</v>
      </c>
      <c r="E3037" s="4" t="s">
        <v>3</v>
      </c>
      <c r="F3037" s="4">
        <v>1995</v>
      </c>
      <c r="G3037" s="8">
        <v>-0.1</v>
      </c>
      <c r="H3037" s="4" t="s">
        <v>3</v>
      </c>
      <c r="I3037" s="8">
        <v>0</v>
      </c>
      <c r="J3037" s="3">
        <f>1905</f>
        <v>1905</v>
      </c>
      <c r="K3037" s="3">
        <v>50401</v>
      </c>
      <c r="L3037" s="17" t="str" cm="1">
        <f t="array" ref="L3037">_xlfn.IFS(MID(K3037,2,2)="01", "서울", MID(K3037,2,2)="02","경기",MID(K3037,2,2)="03","충청",MID(K3037,2,2)="04","충청",MID(K3037,2,2)="05","전라",MID(K3037,2,2)="06","전라",MID(K3037,2,2)="07","경북",MID(K3037,2,2)="08","경남",MID(K3037,2,2)="09","강원",MID(K3037,2,2)="10","제주",TRUE,"국외")</f>
        <v>충청</v>
      </c>
    </row>
    <row r="3038" spans="1:12" ht="17.25" thickBot="1">
      <c r="A3038" s="3" t="s">
        <v>2067</v>
      </c>
      <c r="B3038" s="3" t="s">
        <v>2351</v>
      </c>
      <c r="C3038" s="3" t="s">
        <v>483</v>
      </c>
      <c r="D3038" s="4" t="s">
        <v>243</v>
      </c>
      <c r="E3038" s="4" t="s">
        <v>2523</v>
      </c>
      <c r="F3038" s="4">
        <v>1997</v>
      </c>
      <c r="G3038" s="9"/>
      <c r="H3038" s="4" t="s">
        <v>20</v>
      </c>
      <c r="I3038" s="8">
        <v>-1.3</v>
      </c>
      <c r="J3038" s="3">
        <f>2003</f>
        <v>2003</v>
      </c>
      <c r="K3038" s="3">
        <v>50609</v>
      </c>
      <c r="L3038" s="17" t="str" cm="1">
        <f t="array" ref="L3038">_xlfn.IFS(MID(K3038,2,2)="01", "서울", MID(K3038,2,2)="02","경기",MID(K3038,2,2)="03","충청",MID(K3038,2,2)="04","충청",MID(K3038,2,2)="05","전라",MID(K3038,2,2)="06","전라",MID(K3038,2,2)="07","경북",MID(K3038,2,2)="08","경남",MID(K3038,2,2)="09","강원",MID(K3038,2,2)="10","제주",TRUE,"국외")</f>
        <v>전라</v>
      </c>
    </row>
    <row r="3039" spans="1:12" ht="17.25" thickBot="1">
      <c r="A3039" s="3" t="s">
        <v>2969</v>
      </c>
      <c r="B3039" s="3" t="s">
        <v>158</v>
      </c>
      <c r="C3039" s="3" t="s">
        <v>83</v>
      </c>
      <c r="D3039" s="4" t="s">
        <v>243</v>
      </c>
      <c r="E3039" s="4" t="s">
        <v>2661</v>
      </c>
      <c r="F3039" s="4">
        <v>1999</v>
      </c>
      <c r="G3039" s="9"/>
      <c r="H3039" s="4" t="s">
        <v>2164</v>
      </c>
      <c r="I3039" s="8">
        <v>0.1</v>
      </c>
      <c r="J3039" s="3">
        <f>2061</f>
        <v>2061</v>
      </c>
      <c r="K3039" s="3">
        <v>50501</v>
      </c>
      <c r="L3039" s="17" t="str" cm="1">
        <f t="array" ref="L3039">_xlfn.IFS(MID(K3039,2,2)="01", "서울", MID(K3039,2,2)="02","경기",MID(K3039,2,2)="03","충청",MID(K3039,2,2)="04","충청",MID(K3039,2,2)="05","전라",MID(K3039,2,2)="06","전라",MID(K3039,2,2)="07","경북",MID(K3039,2,2)="08","경남",MID(K3039,2,2)="09","강원",MID(K3039,2,2)="10","제주",TRUE,"국외")</f>
        <v>전라</v>
      </c>
    </row>
    <row r="3040" spans="1:12" ht="17.25" thickBot="1">
      <c r="A3040" s="3" t="s">
        <v>2970</v>
      </c>
      <c r="B3040" s="3" t="s">
        <v>5</v>
      </c>
      <c r="C3040" s="3" t="s">
        <v>172</v>
      </c>
      <c r="D3040" s="4" t="s">
        <v>254</v>
      </c>
      <c r="E3040" s="4" t="s">
        <v>20</v>
      </c>
      <c r="F3040" s="4">
        <v>1995</v>
      </c>
      <c r="G3040" s="8">
        <v>-0.1</v>
      </c>
      <c r="H3040" s="4" t="s">
        <v>20</v>
      </c>
      <c r="I3040" s="8">
        <v>0.8</v>
      </c>
      <c r="J3040" s="3">
        <f>1882</f>
        <v>1882</v>
      </c>
      <c r="K3040" s="3">
        <v>50114</v>
      </c>
      <c r="L3040" s="17" t="str" cm="1">
        <f t="array" ref="L3040">_xlfn.IFS(MID(K3040,2,2)="01", "서울", MID(K3040,2,2)="02","경기",MID(K3040,2,2)="03","충청",MID(K3040,2,2)="04","충청",MID(K3040,2,2)="05","전라",MID(K3040,2,2)="06","전라",MID(K3040,2,2)="07","경북",MID(K3040,2,2)="08","경남",MID(K3040,2,2)="09","강원",MID(K3040,2,2)="10","제주",TRUE,"국외")</f>
        <v>서울</v>
      </c>
    </row>
    <row r="3041" spans="1:12" ht="17.25" thickBot="1">
      <c r="A3041" s="3" t="s">
        <v>2971</v>
      </c>
      <c r="B3041" s="3" t="s">
        <v>147</v>
      </c>
      <c r="C3041" s="3" t="s">
        <v>174</v>
      </c>
      <c r="D3041" s="4" t="s">
        <v>254</v>
      </c>
      <c r="E3041" s="4" t="s">
        <v>2725</v>
      </c>
      <c r="F3041" s="4">
        <v>1997</v>
      </c>
      <c r="G3041" s="9"/>
      <c r="H3041" s="4" t="s">
        <v>26</v>
      </c>
      <c r="I3041" s="8">
        <v>0.5</v>
      </c>
      <c r="J3041" s="3">
        <f>1979</f>
        <v>1979</v>
      </c>
      <c r="K3041" s="3">
        <v>50208</v>
      </c>
      <c r="L3041" s="17" t="str" cm="1">
        <f t="array" ref="L3041">_xlfn.IFS(MID(K3041,2,2)="01", "서울", MID(K3041,2,2)="02","경기",MID(K3041,2,2)="03","충청",MID(K3041,2,2)="04","충청",MID(K3041,2,2)="05","전라",MID(K3041,2,2)="06","전라",MID(K3041,2,2)="07","경북",MID(K3041,2,2)="08","경남",MID(K3041,2,2)="09","강원",MID(K3041,2,2)="10","제주",TRUE,"국외")</f>
        <v>경기</v>
      </c>
    </row>
    <row r="3042" spans="1:12" ht="17.25" thickBot="1">
      <c r="A3042" s="3" t="s">
        <v>2972</v>
      </c>
      <c r="B3042" s="3" t="s">
        <v>11</v>
      </c>
      <c r="C3042" s="3" t="s">
        <v>119</v>
      </c>
      <c r="D3042" s="4" t="s">
        <v>254</v>
      </c>
      <c r="E3042" s="4" t="s">
        <v>9</v>
      </c>
      <c r="F3042" s="4">
        <v>1995</v>
      </c>
      <c r="G3042" s="8">
        <v>0.7</v>
      </c>
      <c r="H3042" s="4" t="s">
        <v>9</v>
      </c>
      <c r="I3042" s="8">
        <v>15.2</v>
      </c>
      <c r="J3042" s="3">
        <v>10246</v>
      </c>
      <c r="K3042" s="3">
        <v>50802</v>
      </c>
      <c r="L3042" s="17" t="str" cm="1">
        <f t="array" ref="L3042">_xlfn.IFS(MID(K3042,2,2)="01", "서울", MID(K3042,2,2)="02","경기",MID(K3042,2,2)="03","충청",MID(K3042,2,2)="04","충청",MID(K3042,2,2)="05","전라",MID(K3042,2,2)="06","전라",MID(K3042,2,2)="07","경북",MID(K3042,2,2)="08","경남",MID(K3042,2,2)="09","강원",MID(K3042,2,2)="10","제주",TRUE,"국외")</f>
        <v>경남</v>
      </c>
    </row>
    <row r="3043" spans="1:12" ht="17.25" thickBot="1">
      <c r="A3043" s="3" t="s">
        <v>2973</v>
      </c>
      <c r="B3043" s="3" t="s">
        <v>112</v>
      </c>
      <c r="C3043" s="3" t="s">
        <v>133</v>
      </c>
      <c r="D3043" s="4" t="s">
        <v>254</v>
      </c>
      <c r="E3043" s="4" t="s">
        <v>23</v>
      </c>
      <c r="F3043" s="4">
        <v>1995</v>
      </c>
      <c r="G3043" s="8">
        <v>-0.1</v>
      </c>
      <c r="H3043" s="4" t="s">
        <v>23</v>
      </c>
      <c r="I3043" s="8">
        <v>-3.6</v>
      </c>
      <c r="J3043" s="3">
        <f>1874</f>
        <v>1874</v>
      </c>
      <c r="K3043" s="3">
        <v>50113</v>
      </c>
      <c r="L3043" s="17" t="str" cm="1">
        <f t="array" ref="L3043">_xlfn.IFS(MID(K3043,2,2)="01", "서울", MID(K3043,2,2)="02","경기",MID(K3043,2,2)="03","충청",MID(K3043,2,2)="04","충청",MID(K3043,2,2)="05","전라",MID(K3043,2,2)="06","전라",MID(K3043,2,2)="07","경북",MID(K3043,2,2)="08","경남",MID(K3043,2,2)="09","강원",MID(K3043,2,2)="10","제주",TRUE,"국외")</f>
        <v>서울</v>
      </c>
    </row>
    <row r="3044" spans="1:12" ht="17.25" thickBot="1">
      <c r="A3044" s="3" t="s">
        <v>2974</v>
      </c>
      <c r="B3044" s="3" t="s">
        <v>5</v>
      </c>
      <c r="C3044" s="3" t="s">
        <v>739</v>
      </c>
      <c r="D3044" s="4" t="s">
        <v>254</v>
      </c>
      <c r="E3044" s="4" t="s">
        <v>2661</v>
      </c>
      <c r="F3044" s="4">
        <v>1995</v>
      </c>
      <c r="G3044" s="8">
        <v>0.5</v>
      </c>
      <c r="H3044" s="4" t="s">
        <v>2523</v>
      </c>
      <c r="I3044" s="8">
        <v>4</v>
      </c>
      <c r="J3044" s="3">
        <f>1907</f>
        <v>1907</v>
      </c>
      <c r="K3044" s="3">
        <v>50114</v>
      </c>
      <c r="L3044" s="17" t="str" cm="1">
        <f t="array" ref="L3044">_xlfn.IFS(MID(K3044,2,2)="01", "서울", MID(K3044,2,2)="02","경기",MID(K3044,2,2)="03","충청",MID(K3044,2,2)="04","충청",MID(K3044,2,2)="05","전라",MID(K3044,2,2)="06","전라",MID(K3044,2,2)="07","경북",MID(K3044,2,2)="08","경남",MID(K3044,2,2)="09","강원",MID(K3044,2,2)="10","제주",TRUE,"국외")</f>
        <v>서울</v>
      </c>
    </row>
    <row r="3045" spans="1:12" ht="17.25" thickBot="1">
      <c r="A3045" s="3" t="s">
        <v>2975</v>
      </c>
      <c r="B3045" s="3" t="s">
        <v>25</v>
      </c>
      <c r="C3045" s="3" t="s">
        <v>122</v>
      </c>
      <c r="D3045" s="4" t="s">
        <v>254</v>
      </c>
      <c r="E3045" s="4" t="s">
        <v>2661</v>
      </c>
      <c r="F3045" s="4">
        <v>1995</v>
      </c>
      <c r="G3045" s="8">
        <v>1.1000000000000001</v>
      </c>
      <c r="H3045" s="4" t="s">
        <v>2661</v>
      </c>
      <c r="I3045" s="8">
        <v>7.9</v>
      </c>
      <c r="J3045" s="3">
        <f>1883</f>
        <v>1883</v>
      </c>
      <c r="K3045" s="3">
        <v>50403</v>
      </c>
      <c r="L3045" s="17" t="str" cm="1">
        <f t="array" ref="L3045">_xlfn.IFS(MID(K3045,2,2)="01", "서울", MID(K3045,2,2)="02","경기",MID(K3045,2,2)="03","충청",MID(K3045,2,2)="04","충청",MID(K3045,2,2)="05","전라",MID(K3045,2,2)="06","전라",MID(K3045,2,2)="07","경북",MID(K3045,2,2)="08","경남",MID(K3045,2,2)="09","강원",MID(K3045,2,2)="10","제주",TRUE,"국외")</f>
        <v>충청</v>
      </c>
    </row>
    <row r="3046" spans="1:12" ht="17.25" thickBot="1">
      <c r="A3046" s="3" t="s">
        <v>2976</v>
      </c>
      <c r="B3046" s="3" t="s">
        <v>52</v>
      </c>
      <c r="C3046" s="3" t="s">
        <v>83</v>
      </c>
      <c r="D3046" s="4" t="s">
        <v>254</v>
      </c>
      <c r="E3046" s="4" t="s">
        <v>2968</v>
      </c>
      <c r="F3046" s="4">
        <v>1995</v>
      </c>
      <c r="G3046" s="8">
        <v>-0.1</v>
      </c>
      <c r="H3046" s="4" t="s">
        <v>2968</v>
      </c>
      <c r="I3046" s="8">
        <v>0</v>
      </c>
      <c r="J3046" s="3">
        <f>1868</f>
        <v>1868</v>
      </c>
      <c r="K3046" s="3">
        <v>50803</v>
      </c>
      <c r="L3046" s="17" t="str" cm="1">
        <f t="array" ref="L3046">_xlfn.IFS(MID(K3046,2,2)="01", "서울", MID(K3046,2,2)="02","경기",MID(K3046,2,2)="03","충청",MID(K3046,2,2)="04","충청",MID(K3046,2,2)="05","전라",MID(K3046,2,2)="06","전라",MID(K3046,2,2)="07","경북",MID(K3046,2,2)="08","경남",MID(K3046,2,2)="09","강원",MID(K3046,2,2)="10","제주",TRUE,"국외")</f>
        <v>경남</v>
      </c>
    </row>
    <row r="3047" spans="1:12" ht="17.25" thickBot="1">
      <c r="A3047" s="3" t="s">
        <v>2977</v>
      </c>
      <c r="B3047" s="3" t="s">
        <v>11</v>
      </c>
      <c r="C3047" s="3" t="s">
        <v>119</v>
      </c>
      <c r="D3047" s="4" t="s">
        <v>254</v>
      </c>
      <c r="E3047" s="4" t="s">
        <v>2523</v>
      </c>
      <c r="F3047" s="4">
        <v>1995</v>
      </c>
      <c r="G3047" s="8">
        <v>-0.1</v>
      </c>
      <c r="H3047" s="4" t="s">
        <v>20</v>
      </c>
      <c r="I3047" s="8">
        <v>-1.8</v>
      </c>
      <c r="J3047" s="3">
        <f>1884</f>
        <v>1884</v>
      </c>
      <c r="K3047" s="3">
        <v>50802</v>
      </c>
      <c r="L3047" s="17" t="str" cm="1">
        <f t="array" ref="L3047">_xlfn.IFS(MID(K3047,2,2)="01", "서울", MID(K3047,2,2)="02","경기",MID(K3047,2,2)="03","충청",MID(K3047,2,2)="04","충청",MID(K3047,2,2)="05","전라",MID(K3047,2,2)="06","전라",MID(K3047,2,2)="07","경북",MID(K3047,2,2)="08","경남",MID(K3047,2,2)="09","강원",MID(K3047,2,2)="10","제주",TRUE,"국외")</f>
        <v>경남</v>
      </c>
    </row>
    <row r="3048" spans="1:12" ht="17.25" thickBot="1">
      <c r="A3048" s="3" t="s">
        <v>2978</v>
      </c>
      <c r="B3048" s="3" t="s">
        <v>8</v>
      </c>
      <c r="C3048" s="3" t="s">
        <v>211</v>
      </c>
      <c r="D3048" s="4" t="s">
        <v>254</v>
      </c>
      <c r="E3048" s="4" t="s">
        <v>2725</v>
      </c>
      <c r="F3048" s="4">
        <v>1995</v>
      </c>
      <c r="G3048" s="8">
        <v>2.8</v>
      </c>
      <c r="H3048" s="4" t="s">
        <v>26</v>
      </c>
      <c r="I3048" s="8">
        <v>40.6</v>
      </c>
      <c r="J3048" s="3">
        <f>1894</f>
        <v>1894</v>
      </c>
      <c r="K3048" s="3">
        <v>50116</v>
      </c>
      <c r="L3048" s="17" t="str" cm="1">
        <f t="array" ref="L3048">_xlfn.IFS(MID(K3048,2,2)="01", "서울", MID(K3048,2,2)="02","경기",MID(K3048,2,2)="03","충청",MID(K3048,2,2)="04","충청",MID(K3048,2,2)="05","전라",MID(K3048,2,2)="06","전라",MID(K3048,2,2)="07","경북",MID(K3048,2,2)="08","경남",MID(K3048,2,2)="09","강원",MID(K3048,2,2)="10","제주",TRUE,"국외")</f>
        <v>서울</v>
      </c>
    </row>
    <row r="3049" spans="1:12" ht="17.25" thickBot="1">
      <c r="A3049" s="3" t="s">
        <v>2979</v>
      </c>
      <c r="B3049" s="3" t="s">
        <v>1</v>
      </c>
      <c r="C3049" s="3" t="s">
        <v>45</v>
      </c>
      <c r="D3049" s="4" t="s">
        <v>254</v>
      </c>
      <c r="E3049" s="4" t="s">
        <v>9</v>
      </c>
      <c r="F3049" s="4">
        <v>1998</v>
      </c>
      <c r="G3049" s="9"/>
      <c r="H3049" s="4" t="s">
        <v>9</v>
      </c>
      <c r="I3049" s="8">
        <v>12.6</v>
      </c>
      <c r="J3049" s="3">
        <f>2038</f>
        <v>2038</v>
      </c>
      <c r="K3049" s="3">
        <v>50107</v>
      </c>
      <c r="L3049" s="17" t="str" cm="1">
        <f t="array" ref="L3049">_xlfn.IFS(MID(K3049,2,2)="01", "서울", MID(K3049,2,2)="02","경기",MID(K3049,2,2)="03","충청",MID(K3049,2,2)="04","충청",MID(K3049,2,2)="05","전라",MID(K3049,2,2)="06","전라",MID(K3049,2,2)="07","경북",MID(K3049,2,2)="08","경남",MID(K3049,2,2)="09","강원",MID(K3049,2,2)="10","제주",TRUE,"국외")</f>
        <v>서울</v>
      </c>
    </row>
    <row r="3050" spans="1:12" ht="17.25" thickBot="1">
      <c r="A3050" s="3" t="s">
        <v>2980</v>
      </c>
      <c r="B3050" s="3" t="s">
        <v>70</v>
      </c>
      <c r="C3050" s="3" t="s">
        <v>122</v>
      </c>
      <c r="D3050" s="4" t="s">
        <v>254</v>
      </c>
      <c r="E3050" s="4" t="s">
        <v>23</v>
      </c>
      <c r="F3050" s="4">
        <v>1995</v>
      </c>
      <c r="G3050" s="8">
        <v>1.8</v>
      </c>
      <c r="H3050" s="4" t="s">
        <v>23</v>
      </c>
      <c r="I3050" s="8">
        <v>3.5</v>
      </c>
      <c r="J3050" s="3">
        <v>10321</v>
      </c>
      <c r="K3050" s="3">
        <v>50103</v>
      </c>
      <c r="L3050" s="17" t="str" cm="1">
        <f t="array" ref="L3050">_xlfn.IFS(MID(K3050,2,2)="01", "서울", MID(K3050,2,2)="02","경기",MID(K3050,2,2)="03","충청",MID(K3050,2,2)="04","충청",MID(K3050,2,2)="05","전라",MID(K3050,2,2)="06","전라",MID(K3050,2,2)="07","경북",MID(K3050,2,2)="08","경남",MID(K3050,2,2)="09","강원",MID(K3050,2,2)="10","제주",TRUE,"국외")</f>
        <v>서울</v>
      </c>
    </row>
    <row r="3051" spans="1:12" ht="17.25" thickBot="1">
      <c r="A3051" s="3" t="s">
        <v>2981</v>
      </c>
      <c r="B3051" s="3" t="s">
        <v>81</v>
      </c>
      <c r="C3051" s="3" t="s">
        <v>99</v>
      </c>
      <c r="D3051" s="4" t="s">
        <v>254</v>
      </c>
      <c r="E3051" s="4" t="s">
        <v>2661</v>
      </c>
      <c r="F3051" s="4">
        <v>1995</v>
      </c>
      <c r="G3051" s="8">
        <v>1.1000000000000001</v>
      </c>
      <c r="H3051" s="4" t="s">
        <v>2661</v>
      </c>
      <c r="I3051" s="8">
        <v>0.6</v>
      </c>
      <c r="J3051" s="3">
        <f>1898</f>
        <v>1898</v>
      </c>
      <c r="K3051" s="3">
        <v>50105</v>
      </c>
      <c r="L3051" s="17" t="str" cm="1">
        <f t="array" ref="L3051">_xlfn.IFS(MID(K3051,2,2)="01", "서울", MID(K3051,2,2)="02","경기",MID(K3051,2,2)="03","충청",MID(K3051,2,2)="04","충청",MID(K3051,2,2)="05","전라",MID(K3051,2,2)="06","전라",MID(K3051,2,2)="07","경북",MID(K3051,2,2)="08","경남",MID(K3051,2,2)="09","강원",MID(K3051,2,2)="10","제주",TRUE,"국외")</f>
        <v>서울</v>
      </c>
    </row>
    <row r="3052" spans="1:12" ht="17.25" thickBot="1">
      <c r="A3052" s="3" t="s">
        <v>2982</v>
      </c>
      <c r="B3052" s="3" t="s">
        <v>36</v>
      </c>
      <c r="C3052" s="3" t="s">
        <v>83</v>
      </c>
      <c r="D3052" s="4" t="s">
        <v>254</v>
      </c>
      <c r="E3052" s="4" t="s">
        <v>2968</v>
      </c>
      <c r="F3052" s="4">
        <v>1998</v>
      </c>
      <c r="G3052" s="9"/>
      <c r="H3052" s="4" t="s">
        <v>2164</v>
      </c>
      <c r="I3052" s="8">
        <v>-0.4</v>
      </c>
      <c r="J3052" s="3">
        <f>2028</f>
        <v>2028</v>
      </c>
      <c r="K3052" s="3">
        <v>50402</v>
      </c>
      <c r="L3052" s="17" t="str" cm="1">
        <f t="array" ref="L3052">_xlfn.IFS(MID(K3052,2,2)="01", "서울", MID(K3052,2,2)="02","경기",MID(K3052,2,2)="03","충청",MID(K3052,2,2)="04","충청",MID(K3052,2,2)="05","전라",MID(K3052,2,2)="06","전라",MID(K3052,2,2)="07","경북",MID(K3052,2,2)="08","경남",MID(K3052,2,2)="09","강원",MID(K3052,2,2)="10","제주",TRUE,"국외")</f>
        <v>충청</v>
      </c>
    </row>
    <row r="3053" spans="1:12" ht="17.25" thickBot="1">
      <c r="A3053" s="3" t="s">
        <v>2983</v>
      </c>
      <c r="B3053" s="3" t="s">
        <v>128</v>
      </c>
      <c r="C3053" s="3" t="s">
        <v>538</v>
      </c>
      <c r="D3053" s="4" t="s">
        <v>254</v>
      </c>
      <c r="E3053" s="4" t="s">
        <v>3</v>
      </c>
      <c r="F3053" s="4">
        <v>1995</v>
      </c>
      <c r="G3053" s="8">
        <v>-2.7</v>
      </c>
      <c r="H3053" s="4" t="s">
        <v>3</v>
      </c>
      <c r="I3053" s="8">
        <v>-2.7</v>
      </c>
      <c r="J3053" s="3">
        <f>1910</f>
        <v>1910</v>
      </c>
      <c r="K3053" s="3">
        <v>50901</v>
      </c>
      <c r="L3053" s="17" t="str" cm="1">
        <f t="array" ref="L3053">_xlfn.IFS(MID(K3053,2,2)="01", "서울", MID(K3053,2,2)="02","경기",MID(K3053,2,2)="03","충청",MID(K3053,2,2)="04","충청",MID(K3053,2,2)="05","전라",MID(K3053,2,2)="06","전라",MID(K3053,2,2)="07","경북",MID(K3053,2,2)="08","경남",MID(K3053,2,2)="09","강원",MID(K3053,2,2)="10","제주",TRUE,"국외")</f>
        <v>강원</v>
      </c>
    </row>
    <row r="3054" spans="1:12" ht="17.25" thickBot="1">
      <c r="A3054" s="3" t="s">
        <v>2984</v>
      </c>
      <c r="B3054" s="3" t="s">
        <v>11</v>
      </c>
      <c r="C3054" s="3" t="s">
        <v>221</v>
      </c>
      <c r="D3054" s="4" t="s">
        <v>254</v>
      </c>
      <c r="E3054" s="4" t="s">
        <v>2725</v>
      </c>
      <c r="F3054" s="4">
        <v>1995</v>
      </c>
      <c r="G3054" s="8">
        <v>-0.1</v>
      </c>
      <c r="H3054" s="4" t="s">
        <v>2725</v>
      </c>
      <c r="I3054" s="8">
        <v>0</v>
      </c>
      <c r="J3054" s="3">
        <f>1881</f>
        <v>1881</v>
      </c>
      <c r="K3054" s="3">
        <v>50802</v>
      </c>
      <c r="L3054" s="17" t="str" cm="1">
        <f t="array" ref="L3054">_xlfn.IFS(MID(K3054,2,2)="01", "서울", MID(K3054,2,2)="02","경기",MID(K3054,2,2)="03","충청",MID(K3054,2,2)="04","충청",MID(K3054,2,2)="05","전라",MID(K3054,2,2)="06","전라",MID(K3054,2,2)="07","경북",MID(K3054,2,2)="08","경남",MID(K3054,2,2)="09","강원",MID(K3054,2,2)="10","제주",TRUE,"국외")</f>
        <v>경남</v>
      </c>
    </row>
    <row r="3055" spans="1:12" ht="17.25" thickBot="1">
      <c r="A3055" s="3" t="s">
        <v>2985</v>
      </c>
      <c r="B3055" s="3" t="s">
        <v>11</v>
      </c>
      <c r="C3055" s="3" t="s">
        <v>122</v>
      </c>
      <c r="D3055" s="4" t="s">
        <v>254</v>
      </c>
      <c r="E3055" s="4" t="s">
        <v>9</v>
      </c>
      <c r="F3055" s="4">
        <v>1995</v>
      </c>
      <c r="G3055" s="8">
        <v>0.3</v>
      </c>
      <c r="H3055" s="4" t="s">
        <v>9</v>
      </c>
      <c r="I3055" s="8">
        <v>3.2</v>
      </c>
      <c r="J3055" s="3">
        <f>1899</f>
        <v>1899</v>
      </c>
      <c r="K3055" s="3">
        <v>50802</v>
      </c>
      <c r="L3055" s="17" t="str" cm="1">
        <f t="array" ref="L3055">_xlfn.IFS(MID(K3055,2,2)="01", "서울", MID(K3055,2,2)="02","경기",MID(K3055,2,2)="03","충청",MID(K3055,2,2)="04","충청",MID(K3055,2,2)="05","전라",MID(K3055,2,2)="06","전라",MID(K3055,2,2)="07","경북",MID(K3055,2,2)="08","경남",MID(K3055,2,2)="09","강원",MID(K3055,2,2)="10","제주",TRUE,"국외")</f>
        <v>경남</v>
      </c>
    </row>
    <row r="3056" spans="1:12" ht="17.25" thickBot="1">
      <c r="A3056" s="3" t="s">
        <v>2986</v>
      </c>
      <c r="B3056" s="3"/>
      <c r="C3056" s="3" t="s">
        <v>549</v>
      </c>
      <c r="D3056" s="4" t="s">
        <v>254</v>
      </c>
      <c r="E3056" s="4" t="s">
        <v>23</v>
      </c>
      <c r="F3056" s="4">
        <v>1996</v>
      </c>
      <c r="G3056" s="9"/>
      <c r="H3056" s="4" t="s">
        <v>23</v>
      </c>
      <c r="I3056" s="8">
        <v>0</v>
      </c>
      <c r="J3056" s="3">
        <f>1946</f>
        <v>1946</v>
      </c>
      <c r="K3056" s="3"/>
      <c r="L3056" s="17" t="str" cm="1">
        <f t="array" ref="L3056">_xlfn.IFS(MID(K3056,2,2)="01", "서울", MID(K3056,2,2)="02","경기",MID(K3056,2,2)="03","충청",MID(K3056,2,2)="04","충청",MID(K3056,2,2)="05","전라",MID(K3056,2,2)="06","전라",MID(K3056,2,2)="07","경북",MID(K3056,2,2)="08","경남",MID(K3056,2,2)="09","강원",MID(K3056,2,2)="10","제주",TRUE,"국외")</f>
        <v>국외</v>
      </c>
    </row>
    <row r="3057" spans="1:12" ht="17.25" thickBot="1">
      <c r="A3057" s="3" t="s">
        <v>2987</v>
      </c>
      <c r="B3057" s="3" t="s">
        <v>93</v>
      </c>
      <c r="C3057" s="3" t="s">
        <v>119</v>
      </c>
      <c r="D3057" s="4" t="s">
        <v>254</v>
      </c>
      <c r="E3057" s="4" t="s">
        <v>2661</v>
      </c>
      <c r="F3057" s="4">
        <v>1995</v>
      </c>
      <c r="G3057" s="8">
        <v>-0.1</v>
      </c>
      <c r="H3057" s="4" t="s">
        <v>2661</v>
      </c>
      <c r="I3057" s="8">
        <v>-0.1</v>
      </c>
      <c r="J3057" s="3">
        <f>1892</f>
        <v>1892</v>
      </c>
      <c r="K3057" s="3">
        <v>50805</v>
      </c>
      <c r="L3057" s="17" t="str" cm="1">
        <f t="array" ref="L3057">_xlfn.IFS(MID(K3057,2,2)="01", "서울", MID(K3057,2,2)="02","경기",MID(K3057,2,2)="03","충청",MID(K3057,2,2)="04","충청",MID(K3057,2,2)="05","전라",MID(K3057,2,2)="06","전라",MID(K3057,2,2)="07","경북",MID(K3057,2,2)="08","경남",MID(K3057,2,2)="09","강원",MID(K3057,2,2)="10","제주",TRUE,"국외")</f>
        <v>경남</v>
      </c>
    </row>
    <row r="3058" spans="1:12" ht="17.25" thickBot="1">
      <c r="A3058" s="3" t="s">
        <v>2988</v>
      </c>
      <c r="B3058" s="3" t="s">
        <v>241</v>
      </c>
      <c r="C3058" s="3" t="s">
        <v>739</v>
      </c>
      <c r="D3058" s="4" t="s">
        <v>254</v>
      </c>
      <c r="E3058" s="4" t="s">
        <v>2968</v>
      </c>
      <c r="F3058" s="4">
        <v>1995</v>
      </c>
      <c r="G3058" s="8">
        <v>0.2</v>
      </c>
      <c r="H3058" s="4" t="s">
        <v>2968</v>
      </c>
      <c r="I3058" s="8">
        <v>0.2</v>
      </c>
      <c r="J3058" s="3">
        <f>1878</f>
        <v>1878</v>
      </c>
      <c r="K3058" s="3">
        <v>50202</v>
      </c>
      <c r="L3058" s="17" t="str" cm="1">
        <f t="array" ref="L3058">_xlfn.IFS(MID(K3058,2,2)="01", "서울", MID(K3058,2,2)="02","경기",MID(K3058,2,2)="03","충청",MID(K3058,2,2)="04","충청",MID(K3058,2,2)="05","전라",MID(K3058,2,2)="06","전라",MID(K3058,2,2)="07","경북",MID(K3058,2,2)="08","경남",MID(K3058,2,2)="09","강원",MID(K3058,2,2)="10","제주",TRUE,"국외")</f>
        <v>경기</v>
      </c>
    </row>
    <row r="3059" spans="1:12" ht="17.25" thickBot="1">
      <c r="A3059" s="3" t="s">
        <v>2989</v>
      </c>
      <c r="B3059" s="3" t="s">
        <v>78</v>
      </c>
      <c r="C3059" s="3" t="s">
        <v>133</v>
      </c>
      <c r="D3059" s="4" t="s">
        <v>254</v>
      </c>
      <c r="E3059" s="4" t="s">
        <v>20</v>
      </c>
      <c r="F3059" s="4">
        <v>1996</v>
      </c>
      <c r="G3059" s="9"/>
      <c r="H3059" s="4" t="s">
        <v>20</v>
      </c>
      <c r="I3059" s="8">
        <v>0</v>
      </c>
      <c r="J3059" s="3">
        <f>1919</f>
        <v>1919</v>
      </c>
      <c r="K3059" s="3">
        <v>50401</v>
      </c>
      <c r="L3059" s="17" t="str" cm="1">
        <f t="array" ref="L3059">_xlfn.IFS(MID(K3059,2,2)="01", "서울", MID(K3059,2,2)="02","경기",MID(K3059,2,2)="03","충청",MID(K3059,2,2)="04","충청",MID(K3059,2,2)="05","전라",MID(K3059,2,2)="06","전라",MID(K3059,2,2)="07","경북",MID(K3059,2,2)="08","경남",MID(K3059,2,2)="09","강원",MID(K3059,2,2)="10","제주",TRUE,"국외")</f>
        <v>충청</v>
      </c>
    </row>
    <row r="3060" spans="1:12" ht="17.25" thickBot="1">
      <c r="A3060" s="3" t="s">
        <v>2990</v>
      </c>
      <c r="B3060" s="3"/>
      <c r="C3060" s="3" t="s">
        <v>221</v>
      </c>
      <c r="D3060" s="4" t="s">
        <v>254</v>
      </c>
      <c r="E3060" s="4" t="s">
        <v>2725</v>
      </c>
      <c r="F3060" s="4">
        <v>1995</v>
      </c>
      <c r="G3060" s="8">
        <v>-0.1</v>
      </c>
      <c r="H3060" s="4" t="s">
        <v>2725</v>
      </c>
      <c r="I3060" s="8">
        <v>-0.7</v>
      </c>
      <c r="J3060" s="3">
        <f>1888</f>
        <v>1888</v>
      </c>
      <c r="K3060" s="3"/>
      <c r="L3060" s="17" t="str" cm="1">
        <f t="array" ref="L3060">_xlfn.IFS(MID(K3060,2,2)="01", "서울", MID(K3060,2,2)="02","경기",MID(K3060,2,2)="03","충청",MID(K3060,2,2)="04","충청",MID(K3060,2,2)="05","전라",MID(K3060,2,2)="06","전라",MID(K3060,2,2)="07","경북",MID(K3060,2,2)="08","경남",MID(K3060,2,2)="09","강원",MID(K3060,2,2)="10","제주",TRUE,"국외")</f>
        <v>국외</v>
      </c>
    </row>
    <row r="3061" spans="1:12" ht="17.25" thickBot="1">
      <c r="A3061" s="3" t="s">
        <v>2991</v>
      </c>
      <c r="B3061" s="3" t="s">
        <v>22</v>
      </c>
      <c r="C3061" s="3" t="s">
        <v>208</v>
      </c>
      <c r="D3061" s="4" t="s">
        <v>254</v>
      </c>
      <c r="E3061" s="4" t="s">
        <v>9</v>
      </c>
      <c r="F3061" s="4">
        <v>1995</v>
      </c>
      <c r="G3061" s="8">
        <v>-0.4</v>
      </c>
      <c r="H3061" s="4" t="s">
        <v>9</v>
      </c>
      <c r="I3061" s="8">
        <v>-1</v>
      </c>
      <c r="J3061" s="3">
        <f>1880</f>
        <v>1880</v>
      </c>
      <c r="K3061" s="3">
        <v>50209</v>
      </c>
      <c r="L3061" s="17" t="str" cm="1">
        <f t="array" ref="L3061">_xlfn.IFS(MID(K3061,2,2)="01", "서울", MID(K3061,2,2)="02","경기",MID(K3061,2,2)="03","충청",MID(K3061,2,2)="04","충청",MID(K3061,2,2)="05","전라",MID(K3061,2,2)="06","전라",MID(K3061,2,2)="07","경북",MID(K3061,2,2)="08","경남",MID(K3061,2,2)="09","강원",MID(K3061,2,2)="10","제주",TRUE,"국외")</f>
        <v>경기</v>
      </c>
    </row>
    <row r="3062" spans="1:12" ht="17.25" thickBot="1">
      <c r="A3062" s="3" t="s">
        <v>2992</v>
      </c>
      <c r="B3062" s="3"/>
      <c r="C3062" s="3" t="s">
        <v>329</v>
      </c>
      <c r="D3062" s="4" t="s">
        <v>254</v>
      </c>
      <c r="E3062" s="4" t="s">
        <v>23</v>
      </c>
      <c r="F3062" s="4">
        <v>1995</v>
      </c>
      <c r="G3062" s="8">
        <v>-0.1</v>
      </c>
      <c r="H3062" s="4" t="s">
        <v>23</v>
      </c>
      <c r="I3062" s="8">
        <v>-0.3</v>
      </c>
      <c r="J3062" s="3">
        <f>1890</f>
        <v>1890</v>
      </c>
      <c r="K3062" s="3"/>
      <c r="L3062" s="17" t="str" cm="1">
        <f t="array" ref="L3062">_xlfn.IFS(MID(K3062,2,2)="01", "서울", MID(K3062,2,2)="02","경기",MID(K3062,2,2)="03","충청",MID(K3062,2,2)="04","충청",MID(K3062,2,2)="05","전라",MID(K3062,2,2)="06","전라",MID(K3062,2,2)="07","경북",MID(K3062,2,2)="08","경남",MID(K3062,2,2)="09","강원",MID(K3062,2,2)="10","제주",TRUE,"국외")</f>
        <v>국외</v>
      </c>
    </row>
    <row r="3063" spans="1:12" ht="17.25" thickBot="1">
      <c r="A3063" s="3" t="s">
        <v>2591</v>
      </c>
      <c r="B3063" s="3" t="s">
        <v>40</v>
      </c>
      <c r="C3063" s="3" t="s">
        <v>218</v>
      </c>
      <c r="D3063" s="4" t="s">
        <v>254</v>
      </c>
      <c r="E3063" s="4" t="s">
        <v>20</v>
      </c>
      <c r="F3063" s="4">
        <v>2000</v>
      </c>
      <c r="G3063" s="9"/>
      <c r="H3063" s="4" t="s">
        <v>26</v>
      </c>
      <c r="I3063" s="8">
        <v>5.6</v>
      </c>
      <c r="J3063" s="3">
        <v>10041</v>
      </c>
      <c r="K3063" s="3">
        <v>50108</v>
      </c>
      <c r="L3063" s="17" t="str" cm="1">
        <f t="array" ref="L3063">_xlfn.IFS(MID(K3063,2,2)="01", "서울", MID(K3063,2,2)="02","경기",MID(K3063,2,2)="03","충청",MID(K3063,2,2)="04","충청",MID(K3063,2,2)="05","전라",MID(K3063,2,2)="06","전라",MID(K3063,2,2)="07","경북",MID(K3063,2,2)="08","경남",MID(K3063,2,2)="09","강원",MID(K3063,2,2)="10","제주",TRUE,"국외")</f>
        <v>서울</v>
      </c>
    </row>
    <row r="3064" spans="1:12" ht="17.25" thickBot="1">
      <c r="A3064" s="3" t="s">
        <v>2993</v>
      </c>
      <c r="B3064" s="3" t="s">
        <v>11</v>
      </c>
      <c r="C3064" s="3" t="s">
        <v>119</v>
      </c>
      <c r="D3064" s="4" t="s">
        <v>254</v>
      </c>
      <c r="E3064" s="4" t="s">
        <v>9</v>
      </c>
      <c r="F3064" s="4">
        <v>1995</v>
      </c>
      <c r="G3064" s="8">
        <v>0</v>
      </c>
      <c r="H3064" s="4" t="s">
        <v>9</v>
      </c>
      <c r="I3064" s="8">
        <v>-0.1</v>
      </c>
      <c r="J3064" s="3">
        <f>1875</f>
        <v>1875</v>
      </c>
      <c r="K3064" s="3">
        <v>50802</v>
      </c>
      <c r="L3064" s="17" t="str" cm="1">
        <f t="array" ref="L3064">_xlfn.IFS(MID(K3064,2,2)="01", "서울", MID(K3064,2,2)="02","경기",MID(K3064,2,2)="03","충청",MID(K3064,2,2)="04","충청",MID(K3064,2,2)="05","전라",MID(K3064,2,2)="06","전라",MID(K3064,2,2)="07","경북",MID(K3064,2,2)="08","경남",MID(K3064,2,2)="09","강원",MID(K3064,2,2)="10","제주",TRUE,"국외")</f>
        <v>경남</v>
      </c>
    </row>
    <row r="3065" spans="1:12" ht="17.25" thickBot="1">
      <c r="A3065" s="3" t="s">
        <v>2994</v>
      </c>
      <c r="B3065" s="3"/>
      <c r="C3065" s="3" t="s">
        <v>538</v>
      </c>
      <c r="D3065" s="4" t="s">
        <v>254</v>
      </c>
      <c r="E3065" s="4" t="s">
        <v>23</v>
      </c>
      <c r="F3065" s="4">
        <v>1997</v>
      </c>
      <c r="G3065" s="9"/>
      <c r="H3065" s="4" t="s">
        <v>23</v>
      </c>
      <c r="I3065" s="8">
        <v>0</v>
      </c>
      <c r="J3065" s="3">
        <f>1998</f>
        <v>1998</v>
      </c>
      <c r="K3065" s="3"/>
      <c r="L3065" s="17" t="str" cm="1">
        <f t="array" ref="L3065">_xlfn.IFS(MID(K3065,2,2)="01", "서울", MID(K3065,2,2)="02","경기",MID(K3065,2,2)="03","충청",MID(K3065,2,2)="04","충청",MID(K3065,2,2)="05","전라",MID(K3065,2,2)="06","전라",MID(K3065,2,2)="07","경북",MID(K3065,2,2)="08","경남",MID(K3065,2,2)="09","강원",MID(K3065,2,2)="10","제주",TRUE,"국외")</f>
        <v>국외</v>
      </c>
    </row>
    <row r="3066" spans="1:12" ht="17.25" thickBot="1">
      <c r="A3066" s="3" t="s">
        <v>2995</v>
      </c>
      <c r="B3066" s="3" t="s">
        <v>158</v>
      </c>
      <c r="C3066" s="3" t="s">
        <v>83</v>
      </c>
      <c r="D3066" s="4" t="s">
        <v>254</v>
      </c>
      <c r="E3066" s="4" t="s">
        <v>2661</v>
      </c>
      <c r="F3066" s="4">
        <v>2000</v>
      </c>
      <c r="G3066" s="9"/>
      <c r="H3066" s="4" t="s">
        <v>607</v>
      </c>
      <c r="I3066" s="8">
        <v>-0.2</v>
      </c>
      <c r="J3066" s="3">
        <f>2130</f>
        <v>2130</v>
      </c>
      <c r="K3066" s="3">
        <v>50501</v>
      </c>
      <c r="L3066" s="17" t="str" cm="1">
        <f t="array" ref="L3066">_xlfn.IFS(MID(K3066,2,2)="01", "서울", MID(K3066,2,2)="02","경기",MID(K3066,2,2)="03","충청",MID(K3066,2,2)="04","충청",MID(K3066,2,2)="05","전라",MID(K3066,2,2)="06","전라",MID(K3066,2,2)="07","경북",MID(K3066,2,2)="08","경남",MID(K3066,2,2)="09","강원",MID(K3066,2,2)="10","제주",TRUE,"국외")</f>
        <v>전라</v>
      </c>
    </row>
    <row r="3067" spans="1:12" ht="17.25" thickBot="1">
      <c r="A3067" s="3" t="s">
        <v>2996</v>
      </c>
      <c r="B3067" s="3" t="s">
        <v>52</v>
      </c>
      <c r="C3067" s="3" t="s">
        <v>538</v>
      </c>
      <c r="D3067" s="4" t="s">
        <v>254</v>
      </c>
      <c r="E3067" s="4" t="s">
        <v>2523</v>
      </c>
      <c r="F3067" s="4">
        <v>1996</v>
      </c>
      <c r="G3067" s="9"/>
      <c r="H3067" s="4" t="s">
        <v>2523</v>
      </c>
      <c r="I3067" s="8">
        <v>0.2</v>
      </c>
      <c r="J3067" s="3">
        <f>1944</f>
        <v>1944</v>
      </c>
      <c r="K3067" s="3">
        <v>50803</v>
      </c>
      <c r="L3067" s="17" t="str" cm="1">
        <f t="array" ref="L3067">_xlfn.IFS(MID(K3067,2,2)="01", "서울", MID(K3067,2,2)="02","경기",MID(K3067,2,2)="03","충청",MID(K3067,2,2)="04","충청",MID(K3067,2,2)="05","전라",MID(K3067,2,2)="06","전라",MID(K3067,2,2)="07","경북",MID(K3067,2,2)="08","경남",MID(K3067,2,2)="09","강원",MID(K3067,2,2)="10","제주",TRUE,"국외")</f>
        <v>경남</v>
      </c>
    </row>
    <row r="3068" spans="1:12" ht="17.25" thickBot="1">
      <c r="A3068" s="3" t="s">
        <v>2997</v>
      </c>
      <c r="B3068" s="3" t="s">
        <v>36</v>
      </c>
      <c r="C3068" s="3" t="s">
        <v>739</v>
      </c>
      <c r="D3068" s="4" t="s">
        <v>254</v>
      </c>
      <c r="E3068" s="4" t="s">
        <v>3</v>
      </c>
      <c r="F3068" s="4">
        <v>1995</v>
      </c>
      <c r="G3068" s="8">
        <v>1.5</v>
      </c>
      <c r="H3068" s="4" t="s">
        <v>3</v>
      </c>
      <c r="I3068" s="8">
        <v>6.4</v>
      </c>
      <c r="J3068" s="3">
        <v>14993</v>
      </c>
      <c r="K3068" s="3">
        <v>50402</v>
      </c>
      <c r="L3068" s="17" t="str" cm="1">
        <f t="array" ref="L3068">_xlfn.IFS(MID(K3068,2,2)="01", "서울", MID(K3068,2,2)="02","경기",MID(K3068,2,2)="03","충청",MID(K3068,2,2)="04","충청",MID(K3068,2,2)="05","전라",MID(K3068,2,2)="06","전라",MID(K3068,2,2)="07","경북",MID(K3068,2,2)="08","경남",MID(K3068,2,2)="09","강원",MID(K3068,2,2)="10","제주",TRUE,"국외")</f>
        <v>충청</v>
      </c>
    </row>
    <row r="3069" spans="1:12" ht="17.25" thickBot="1">
      <c r="A3069" s="3" t="s">
        <v>2998</v>
      </c>
      <c r="B3069" s="3" t="s">
        <v>2351</v>
      </c>
      <c r="C3069" s="3" t="s">
        <v>538</v>
      </c>
      <c r="D3069" s="4" t="s">
        <v>254</v>
      </c>
      <c r="E3069" s="4" t="s">
        <v>2523</v>
      </c>
      <c r="F3069" s="4">
        <v>1995</v>
      </c>
      <c r="G3069" s="8">
        <v>0</v>
      </c>
      <c r="H3069" s="4" t="s">
        <v>2523</v>
      </c>
      <c r="I3069" s="8">
        <v>-0.1</v>
      </c>
      <c r="J3069" s="3">
        <v>11445</v>
      </c>
      <c r="K3069" s="3">
        <v>50609</v>
      </c>
      <c r="L3069" s="17" t="str" cm="1">
        <f t="array" ref="L3069">_xlfn.IFS(MID(K3069,2,2)="01", "서울", MID(K3069,2,2)="02","경기",MID(K3069,2,2)="03","충청",MID(K3069,2,2)="04","충청",MID(K3069,2,2)="05","전라",MID(K3069,2,2)="06","전라",MID(K3069,2,2)="07","경북",MID(K3069,2,2)="08","경남",MID(K3069,2,2)="09","강원",MID(K3069,2,2)="10","제주",TRUE,"국외")</f>
        <v>전라</v>
      </c>
    </row>
    <row r="3070" spans="1:12" ht="17.25" thickBot="1">
      <c r="A3070" s="3" t="s">
        <v>1507</v>
      </c>
      <c r="B3070" s="3" t="s">
        <v>5</v>
      </c>
      <c r="C3070" s="3" t="s">
        <v>133</v>
      </c>
      <c r="D3070" s="4" t="s">
        <v>254</v>
      </c>
      <c r="E3070" s="4" t="s">
        <v>23</v>
      </c>
      <c r="F3070" s="4">
        <v>1996</v>
      </c>
      <c r="G3070" s="9"/>
      <c r="H3070" s="4" t="s">
        <v>23</v>
      </c>
      <c r="I3070" s="8">
        <v>0</v>
      </c>
      <c r="J3070" s="3">
        <f>1922</f>
        <v>1922</v>
      </c>
      <c r="K3070" s="3">
        <v>50114</v>
      </c>
      <c r="L3070" s="17" t="str" cm="1">
        <f t="array" ref="L3070">_xlfn.IFS(MID(K3070,2,2)="01", "서울", MID(K3070,2,2)="02","경기",MID(K3070,2,2)="03","충청",MID(K3070,2,2)="04","충청",MID(K3070,2,2)="05","전라",MID(K3070,2,2)="06","전라",MID(K3070,2,2)="07","경북",MID(K3070,2,2)="08","경남",MID(K3070,2,2)="09","강원",MID(K3070,2,2)="10","제주",TRUE,"국외")</f>
        <v>서울</v>
      </c>
    </row>
    <row r="3071" spans="1:12" ht="17.25" thickBot="1">
      <c r="A3071" s="3"/>
      <c r="B3071" s="3"/>
      <c r="C3071" s="3"/>
      <c r="D3071" s="4" t="s">
        <v>181</v>
      </c>
      <c r="E3071" s="4" t="s">
        <v>9</v>
      </c>
      <c r="F3071" s="4">
        <v>1985</v>
      </c>
      <c r="G3071" s="9"/>
      <c r="H3071" s="4"/>
      <c r="I3071" s="9"/>
      <c r="J3071" s="3">
        <f>1260</f>
        <v>1260</v>
      </c>
      <c r="K3071" s="3"/>
      <c r="L3071" s="17" t="str" cm="1">
        <f t="array" ref="L3071">_xlfn.IFS(MID(K3071,2,2)="01", "서울", MID(K3071,2,2)="02","경기",MID(K3071,2,2)="03","충청",MID(K3071,2,2)="04","충청",MID(K3071,2,2)="05","전라",MID(K3071,2,2)="06","전라",MID(K3071,2,2)="07","경북",MID(K3071,2,2)="08","경남",MID(K3071,2,2)="09","강원",MID(K3071,2,2)="10","제주",TRUE,"국외")</f>
        <v>국외</v>
      </c>
    </row>
    <row r="3072" spans="1:12" ht="17.25" thickBot="1">
      <c r="A3072" s="3" t="s">
        <v>2999</v>
      </c>
      <c r="B3072" s="3" t="s">
        <v>335</v>
      </c>
      <c r="C3072" s="3"/>
      <c r="D3072" s="4" t="s">
        <v>1777</v>
      </c>
      <c r="E3072" s="4" t="s">
        <v>9</v>
      </c>
      <c r="F3072" s="4">
        <v>1995</v>
      </c>
      <c r="G3072" s="8">
        <v>0</v>
      </c>
      <c r="H3072" s="4" t="s">
        <v>9</v>
      </c>
      <c r="I3072" s="8">
        <v>0</v>
      </c>
      <c r="J3072" s="3">
        <f>1885</f>
        <v>1885</v>
      </c>
      <c r="K3072" s="3">
        <v>50804</v>
      </c>
      <c r="L3072" s="17" t="str" cm="1">
        <f t="array" ref="L3072">_xlfn.IFS(MID(K3072,2,2)="01", "서울", MID(K3072,2,2)="02","경기",MID(K3072,2,2)="03","충청",MID(K3072,2,2)="04","충청",MID(K3072,2,2)="05","전라",MID(K3072,2,2)="06","전라",MID(K3072,2,2)="07","경북",MID(K3072,2,2)="08","경남",MID(K3072,2,2)="09","강원",MID(K3072,2,2)="10","제주",TRUE,"국외")</f>
        <v>경남</v>
      </c>
    </row>
    <row r="3073" spans="1:12" ht="17.25" thickBot="1">
      <c r="A3073" s="3" t="s">
        <v>3000</v>
      </c>
      <c r="B3073" s="3" t="s">
        <v>11</v>
      </c>
      <c r="C3073" s="3" t="s">
        <v>122</v>
      </c>
      <c r="D3073" s="4" t="s">
        <v>1777</v>
      </c>
      <c r="E3073" s="4" t="s">
        <v>23</v>
      </c>
      <c r="F3073" s="4">
        <v>1995</v>
      </c>
      <c r="G3073" s="8">
        <v>0.3</v>
      </c>
      <c r="H3073" s="4" t="s">
        <v>9</v>
      </c>
      <c r="I3073" s="8">
        <v>20.100000000000001</v>
      </c>
      <c r="J3073" s="3">
        <f>1901</f>
        <v>1901</v>
      </c>
      <c r="K3073" s="3">
        <v>50802</v>
      </c>
      <c r="L3073" s="17" t="str" cm="1">
        <f t="array" ref="L3073">_xlfn.IFS(MID(K3073,2,2)="01", "서울", MID(K3073,2,2)="02","경기",MID(K3073,2,2)="03","충청",MID(K3073,2,2)="04","충청",MID(K3073,2,2)="05","전라",MID(K3073,2,2)="06","전라",MID(K3073,2,2)="07","경북",MID(K3073,2,2)="08","경남",MID(K3073,2,2)="09","강원",MID(K3073,2,2)="10","제주",TRUE,"국외")</f>
        <v>경남</v>
      </c>
    </row>
    <row r="3074" spans="1:12" ht="17.25" thickBot="1">
      <c r="A3074" s="3" t="s">
        <v>3001</v>
      </c>
      <c r="B3074" s="3" t="s">
        <v>38</v>
      </c>
      <c r="C3074" s="3" t="s">
        <v>133</v>
      </c>
      <c r="D3074" s="4" t="s">
        <v>1777</v>
      </c>
      <c r="E3074" s="4" t="s">
        <v>2523</v>
      </c>
      <c r="F3074" s="4">
        <v>1995</v>
      </c>
      <c r="G3074" s="8">
        <v>0.1</v>
      </c>
      <c r="H3074" s="4" t="s">
        <v>2523</v>
      </c>
      <c r="I3074" s="8">
        <v>0.1</v>
      </c>
      <c r="J3074" s="3">
        <f>1877</f>
        <v>1877</v>
      </c>
      <c r="K3074" s="3">
        <v>50109</v>
      </c>
      <c r="L3074" s="17" t="str" cm="1">
        <f t="array" ref="L3074">_xlfn.IFS(MID(K3074,2,2)="01", "서울", MID(K3074,2,2)="02","경기",MID(K3074,2,2)="03","충청",MID(K3074,2,2)="04","충청",MID(K3074,2,2)="05","전라",MID(K3074,2,2)="06","전라",MID(K3074,2,2)="07","경북",MID(K3074,2,2)="08","경남",MID(K3074,2,2)="09","강원",MID(K3074,2,2)="10","제주",TRUE,"국외")</f>
        <v>서울</v>
      </c>
    </row>
    <row r="3075" spans="1:12" ht="17.25" thickBot="1">
      <c r="A3075" s="3" t="s">
        <v>3002</v>
      </c>
      <c r="B3075" s="3" t="s">
        <v>121</v>
      </c>
      <c r="C3075" s="3"/>
      <c r="D3075" s="4" t="s">
        <v>1777</v>
      </c>
      <c r="E3075" s="4" t="s">
        <v>2523</v>
      </c>
      <c r="F3075" s="4">
        <v>1997</v>
      </c>
      <c r="G3075" s="9"/>
      <c r="H3075" s="4" t="s">
        <v>2523</v>
      </c>
      <c r="I3075" s="8">
        <v>0</v>
      </c>
      <c r="J3075" s="3">
        <f>1976</f>
        <v>1976</v>
      </c>
      <c r="K3075" s="3">
        <v>50604</v>
      </c>
      <c r="L3075" s="17" t="str" cm="1">
        <f t="array" ref="L3075">_xlfn.IFS(MID(K3075,2,2)="01", "서울", MID(K3075,2,2)="02","경기",MID(K3075,2,2)="03","충청",MID(K3075,2,2)="04","충청",MID(K3075,2,2)="05","전라",MID(K3075,2,2)="06","전라",MID(K3075,2,2)="07","경북",MID(K3075,2,2)="08","경남",MID(K3075,2,2)="09","강원",MID(K3075,2,2)="10","제주",TRUE,"국외")</f>
        <v>전라</v>
      </c>
    </row>
    <row r="3076" spans="1:12" ht="17.25" thickBot="1">
      <c r="A3076" s="3" t="s">
        <v>3003</v>
      </c>
      <c r="B3076" s="3" t="s">
        <v>158</v>
      </c>
      <c r="C3076" s="3"/>
      <c r="D3076" s="4" t="s">
        <v>1777</v>
      </c>
      <c r="E3076" s="4" t="s">
        <v>20</v>
      </c>
      <c r="F3076" s="4">
        <v>1999</v>
      </c>
      <c r="G3076" s="9"/>
      <c r="H3076" s="4" t="s">
        <v>20</v>
      </c>
      <c r="I3076" s="8">
        <v>0.2</v>
      </c>
      <c r="J3076" s="3">
        <f>2099</f>
        <v>2099</v>
      </c>
      <c r="K3076" s="3">
        <v>50501</v>
      </c>
      <c r="L3076" s="17" t="str" cm="1">
        <f t="array" ref="L3076">_xlfn.IFS(MID(K3076,2,2)="01", "서울", MID(K3076,2,2)="02","경기",MID(K3076,2,2)="03","충청",MID(K3076,2,2)="04","충청",MID(K3076,2,2)="05","전라",MID(K3076,2,2)="06","전라",MID(K3076,2,2)="07","경북",MID(K3076,2,2)="08","경남",MID(K3076,2,2)="09","강원",MID(K3076,2,2)="10","제주",TRUE,"국외")</f>
        <v>전라</v>
      </c>
    </row>
    <row r="3077" spans="1:12" ht="17.25" thickBot="1">
      <c r="A3077" s="3" t="s">
        <v>2774</v>
      </c>
      <c r="B3077" s="3" t="s">
        <v>66</v>
      </c>
      <c r="C3077" s="3"/>
      <c r="D3077" s="4" t="s">
        <v>2710</v>
      </c>
      <c r="E3077" s="4" t="s">
        <v>20</v>
      </c>
      <c r="F3077" s="4">
        <v>1995</v>
      </c>
      <c r="G3077" s="8">
        <v>1.6</v>
      </c>
      <c r="H3077" s="4" t="s">
        <v>20</v>
      </c>
      <c r="I3077" s="8">
        <v>1.3</v>
      </c>
      <c r="J3077" s="3">
        <f>1866</f>
        <v>1866</v>
      </c>
      <c r="K3077" s="3">
        <v>50110</v>
      </c>
      <c r="L3077" s="17" t="str" cm="1">
        <f t="array" ref="L3077">_xlfn.IFS(MID(K3077,2,2)="01", "서울", MID(K3077,2,2)="02","경기",MID(K3077,2,2)="03","충청",MID(K3077,2,2)="04","충청",MID(K3077,2,2)="05","전라",MID(K3077,2,2)="06","전라",MID(K3077,2,2)="07","경북",MID(K3077,2,2)="08","경남",MID(K3077,2,2)="09","강원",MID(K3077,2,2)="10","제주",TRUE,"국외")</f>
        <v>서울</v>
      </c>
    </row>
    <row r="3078" spans="1:12" ht="17.25" thickBot="1">
      <c r="A3078" s="3" t="s">
        <v>3004</v>
      </c>
      <c r="B3078" s="3" t="s">
        <v>5</v>
      </c>
      <c r="C3078" s="3"/>
      <c r="D3078" s="4" t="s">
        <v>2710</v>
      </c>
      <c r="E3078" s="4" t="s">
        <v>20</v>
      </c>
      <c r="F3078" s="4">
        <v>1996</v>
      </c>
      <c r="G3078" s="9"/>
      <c r="H3078" s="4" t="s">
        <v>6</v>
      </c>
      <c r="I3078" s="8">
        <v>-1</v>
      </c>
      <c r="J3078" s="3">
        <f>1933</f>
        <v>1933</v>
      </c>
      <c r="K3078" s="3">
        <v>50114</v>
      </c>
      <c r="L3078" s="17" t="str" cm="1">
        <f t="array" ref="L3078">_xlfn.IFS(MID(K3078,2,2)="01", "서울", MID(K3078,2,2)="02","경기",MID(K3078,2,2)="03","충청",MID(K3078,2,2)="04","충청",MID(K3078,2,2)="05","전라",MID(K3078,2,2)="06","전라",MID(K3078,2,2)="07","경북",MID(K3078,2,2)="08","경남",MID(K3078,2,2)="09","강원",MID(K3078,2,2)="10","제주",TRUE,"국외")</f>
        <v>서울</v>
      </c>
    </row>
    <row r="3079" spans="1:12" ht="17.25" thickBot="1">
      <c r="A3079" s="3" t="s">
        <v>1905</v>
      </c>
      <c r="B3079" s="3" t="s">
        <v>40</v>
      </c>
      <c r="C3079" s="3"/>
      <c r="D3079" s="4" t="s">
        <v>2710</v>
      </c>
      <c r="E3079" s="4" t="s">
        <v>20</v>
      </c>
      <c r="F3079" s="4">
        <v>1996</v>
      </c>
      <c r="G3079" s="9"/>
      <c r="H3079" s="4" t="s">
        <v>20</v>
      </c>
      <c r="I3079" s="8">
        <v>-1.2</v>
      </c>
      <c r="J3079" s="3">
        <f>1955</f>
        <v>1955</v>
      </c>
      <c r="K3079" s="3">
        <v>50108</v>
      </c>
      <c r="L3079" s="17" t="str" cm="1">
        <f t="array" ref="L3079">_xlfn.IFS(MID(K3079,2,2)="01", "서울", MID(K3079,2,2)="02","경기",MID(K3079,2,2)="03","충청",MID(K3079,2,2)="04","충청",MID(K3079,2,2)="05","전라",MID(K3079,2,2)="06","전라",MID(K3079,2,2)="07","경북",MID(K3079,2,2)="08","경남",MID(K3079,2,2)="09","강원",MID(K3079,2,2)="10","제주",TRUE,"국외")</f>
        <v>서울</v>
      </c>
    </row>
    <row r="3080" spans="1:12" ht="17.25" thickBot="1">
      <c r="A3080" s="3" t="s">
        <v>3005</v>
      </c>
      <c r="B3080" s="3" t="s">
        <v>66</v>
      </c>
      <c r="C3080" s="3"/>
      <c r="D3080" s="4" t="s">
        <v>2710</v>
      </c>
      <c r="E3080" s="4" t="s">
        <v>20</v>
      </c>
      <c r="F3080" s="4">
        <v>1996</v>
      </c>
      <c r="G3080" s="9"/>
      <c r="H3080" s="4" t="s">
        <v>20</v>
      </c>
      <c r="I3080" s="8">
        <v>-0.1</v>
      </c>
      <c r="J3080" s="3">
        <f>1927</f>
        <v>1927</v>
      </c>
      <c r="K3080" s="3">
        <v>50110</v>
      </c>
      <c r="L3080" s="17" t="str" cm="1">
        <f t="array" ref="L3080">_xlfn.IFS(MID(K3080,2,2)="01", "서울", MID(K3080,2,2)="02","경기",MID(K3080,2,2)="03","충청",MID(K3080,2,2)="04","충청",MID(K3080,2,2)="05","전라",MID(K3080,2,2)="06","전라",MID(K3080,2,2)="07","경북",MID(K3080,2,2)="08","경남",MID(K3080,2,2)="09","강원",MID(K3080,2,2)="10","제주",TRUE,"국외")</f>
        <v>서울</v>
      </c>
    </row>
    <row r="3081" spans="1:12" ht="17.25" thickBot="1">
      <c r="A3081" s="3" t="s">
        <v>3006</v>
      </c>
      <c r="B3081" s="3" t="s">
        <v>81</v>
      </c>
      <c r="C3081" s="3"/>
      <c r="D3081" s="4" t="s">
        <v>2710</v>
      </c>
      <c r="E3081" s="4" t="s">
        <v>2725</v>
      </c>
      <c r="F3081" s="4">
        <v>1995</v>
      </c>
      <c r="G3081" s="8">
        <v>0.2</v>
      </c>
      <c r="H3081" s="4" t="s">
        <v>26</v>
      </c>
      <c r="I3081" s="8">
        <v>2.5</v>
      </c>
      <c r="J3081" s="3">
        <f>1897</f>
        <v>1897</v>
      </c>
      <c r="K3081" s="3">
        <v>50105</v>
      </c>
      <c r="L3081" s="17" t="str" cm="1">
        <f t="array" ref="L3081">_xlfn.IFS(MID(K3081,2,2)="01", "서울", MID(K3081,2,2)="02","경기",MID(K3081,2,2)="03","충청",MID(K3081,2,2)="04","충청",MID(K3081,2,2)="05","전라",MID(K3081,2,2)="06","전라",MID(K3081,2,2)="07","경북",MID(K3081,2,2)="08","경남",MID(K3081,2,2)="09","강원",MID(K3081,2,2)="10","제주",TRUE,"국외")</f>
        <v>서울</v>
      </c>
    </row>
    <row r="3082" spans="1:12" ht="17.25" thickBot="1">
      <c r="A3082" s="3" t="s">
        <v>3007</v>
      </c>
      <c r="B3082" s="3" t="s">
        <v>361</v>
      </c>
      <c r="C3082" s="3"/>
      <c r="D3082" s="4" t="s">
        <v>2710</v>
      </c>
      <c r="E3082" s="4" t="s">
        <v>2725</v>
      </c>
      <c r="F3082" s="4">
        <v>1996</v>
      </c>
      <c r="G3082" s="9"/>
      <c r="H3082" s="4" t="s">
        <v>2725</v>
      </c>
      <c r="I3082" s="8">
        <v>-0.7</v>
      </c>
      <c r="J3082" s="3">
        <f>1961</f>
        <v>1961</v>
      </c>
      <c r="K3082" s="3">
        <v>50121</v>
      </c>
      <c r="L3082" s="17" t="str" cm="1">
        <f t="array" ref="L3082">_xlfn.IFS(MID(K3082,2,2)="01", "서울", MID(K3082,2,2)="02","경기",MID(K3082,2,2)="03","충청",MID(K3082,2,2)="04","충청",MID(K3082,2,2)="05","전라",MID(K3082,2,2)="06","전라",MID(K3082,2,2)="07","경북",MID(K3082,2,2)="08","경남",MID(K3082,2,2)="09","강원",MID(K3082,2,2)="10","제주",TRUE,"국외")</f>
        <v>서울</v>
      </c>
    </row>
    <row r="3083" spans="1:12" ht="17.25" thickBot="1">
      <c r="A3083" s="3" t="s">
        <v>3008</v>
      </c>
      <c r="B3083" s="3" t="s">
        <v>70</v>
      </c>
      <c r="C3083" s="3" t="s">
        <v>1347</v>
      </c>
      <c r="D3083" s="4" t="s">
        <v>2710</v>
      </c>
      <c r="E3083" s="4" t="s">
        <v>2725</v>
      </c>
      <c r="F3083" s="4">
        <v>1995</v>
      </c>
      <c r="G3083" s="8">
        <v>-0.2</v>
      </c>
      <c r="H3083" s="4" t="s">
        <v>26</v>
      </c>
      <c r="I3083" s="8">
        <v>33.1</v>
      </c>
      <c r="J3083" s="3">
        <v>10264</v>
      </c>
      <c r="K3083" s="3">
        <v>50103</v>
      </c>
      <c r="L3083" s="17" t="str" cm="1">
        <f t="array" ref="L3083">_xlfn.IFS(MID(K3083,2,2)="01", "서울", MID(K3083,2,2)="02","경기",MID(K3083,2,2)="03","충청",MID(K3083,2,2)="04","충청",MID(K3083,2,2)="05","전라",MID(K3083,2,2)="06","전라",MID(K3083,2,2)="07","경북",MID(K3083,2,2)="08","경남",MID(K3083,2,2)="09","강원",MID(K3083,2,2)="10","제주",TRUE,"국외")</f>
        <v>서울</v>
      </c>
    </row>
    <row r="3084" spans="1:12" ht="17.25" thickBot="1">
      <c r="A3084" s="3" t="s">
        <v>3009</v>
      </c>
      <c r="B3084" s="3" t="s">
        <v>81</v>
      </c>
      <c r="C3084" s="3"/>
      <c r="D3084" s="4" t="s">
        <v>2710</v>
      </c>
      <c r="E3084" s="4" t="s">
        <v>2725</v>
      </c>
      <c r="F3084" s="4">
        <v>1997</v>
      </c>
      <c r="G3084" s="9"/>
      <c r="H3084" s="4" t="s">
        <v>26</v>
      </c>
      <c r="I3084" s="8">
        <v>6.1</v>
      </c>
      <c r="J3084" s="3">
        <f>2017</f>
        <v>2017</v>
      </c>
      <c r="K3084" s="3">
        <v>50105</v>
      </c>
      <c r="L3084" s="17" t="str" cm="1">
        <f t="array" ref="L3084">_xlfn.IFS(MID(K3084,2,2)="01", "서울", MID(K3084,2,2)="02","경기",MID(K3084,2,2)="03","충청",MID(K3084,2,2)="04","충청",MID(K3084,2,2)="05","전라",MID(K3084,2,2)="06","전라",MID(K3084,2,2)="07","경북",MID(K3084,2,2)="08","경남",MID(K3084,2,2)="09","강원",MID(K3084,2,2)="10","제주",TRUE,"국외")</f>
        <v>서울</v>
      </c>
    </row>
    <row r="3085" spans="1:12" ht="17.25" thickBot="1">
      <c r="A3085" s="3" t="s">
        <v>3010</v>
      </c>
      <c r="B3085" s="3" t="s">
        <v>2470</v>
      </c>
      <c r="C3085" s="3"/>
      <c r="D3085" s="4" t="s">
        <v>2710</v>
      </c>
      <c r="E3085" s="4" t="s">
        <v>9</v>
      </c>
      <c r="F3085" s="4">
        <v>1997</v>
      </c>
      <c r="G3085" s="9"/>
      <c r="H3085" s="4" t="s">
        <v>9</v>
      </c>
      <c r="I3085" s="8">
        <v>-0.2</v>
      </c>
      <c r="J3085" s="3">
        <f>1977</f>
        <v>1977</v>
      </c>
      <c r="K3085" s="3">
        <v>50813</v>
      </c>
      <c r="L3085" s="17" t="str" cm="1">
        <f t="array" ref="L3085">_xlfn.IFS(MID(K3085,2,2)="01", "서울", MID(K3085,2,2)="02","경기",MID(K3085,2,2)="03","충청",MID(K3085,2,2)="04","충청",MID(K3085,2,2)="05","전라",MID(K3085,2,2)="06","전라",MID(K3085,2,2)="07","경북",MID(K3085,2,2)="08","경남",MID(K3085,2,2)="09","강원",MID(K3085,2,2)="10","제주",TRUE,"국외")</f>
        <v>경남</v>
      </c>
    </row>
    <row r="3086" spans="1:12" ht="17.25" thickBot="1">
      <c r="A3086" s="3" t="s">
        <v>1090</v>
      </c>
      <c r="B3086" s="3" t="s">
        <v>52</v>
      </c>
      <c r="C3086" s="3"/>
      <c r="D3086" s="4" t="s">
        <v>2710</v>
      </c>
      <c r="E3086" s="4" t="s">
        <v>9</v>
      </c>
      <c r="F3086" s="4">
        <v>1995</v>
      </c>
      <c r="G3086" s="8">
        <v>-0.1</v>
      </c>
      <c r="H3086" s="4" t="s">
        <v>9</v>
      </c>
      <c r="I3086" s="8">
        <v>1.2</v>
      </c>
      <c r="J3086" s="3">
        <f>1900</f>
        <v>1900</v>
      </c>
      <c r="K3086" s="3">
        <v>50803</v>
      </c>
      <c r="L3086" s="17" t="str" cm="1">
        <f t="array" ref="L3086">_xlfn.IFS(MID(K3086,2,2)="01", "서울", MID(K3086,2,2)="02","경기",MID(K3086,2,2)="03","충청",MID(K3086,2,2)="04","충청",MID(K3086,2,2)="05","전라",MID(K3086,2,2)="06","전라",MID(K3086,2,2)="07","경북",MID(K3086,2,2)="08","경남",MID(K3086,2,2)="09","강원",MID(K3086,2,2)="10","제주",TRUE,"국외")</f>
        <v>경남</v>
      </c>
    </row>
    <row r="3087" spans="1:12" ht="17.25" thickBot="1">
      <c r="A3087" s="3" t="s">
        <v>3011</v>
      </c>
      <c r="B3087" s="3" t="s">
        <v>93</v>
      </c>
      <c r="C3087" s="3"/>
      <c r="D3087" s="4" t="s">
        <v>2710</v>
      </c>
      <c r="E3087" s="4" t="s">
        <v>9</v>
      </c>
      <c r="F3087" s="4">
        <v>1995</v>
      </c>
      <c r="G3087" s="8">
        <v>1.1000000000000001</v>
      </c>
      <c r="H3087" s="4" t="s">
        <v>9</v>
      </c>
      <c r="I3087" s="8">
        <v>1.6</v>
      </c>
      <c r="J3087" s="3">
        <f>1908</f>
        <v>1908</v>
      </c>
      <c r="K3087" s="3">
        <v>50805</v>
      </c>
      <c r="L3087" s="17" t="str" cm="1">
        <f t="array" ref="L3087">_xlfn.IFS(MID(K3087,2,2)="01", "서울", MID(K3087,2,2)="02","경기",MID(K3087,2,2)="03","충청",MID(K3087,2,2)="04","충청",MID(K3087,2,2)="05","전라",MID(K3087,2,2)="06","전라",MID(K3087,2,2)="07","경북",MID(K3087,2,2)="08","경남",MID(K3087,2,2)="09","강원",MID(K3087,2,2)="10","제주",TRUE,"국외")</f>
        <v>경남</v>
      </c>
    </row>
    <row r="3088" spans="1:12" ht="17.25" thickBot="1">
      <c r="A3088" s="3" t="s">
        <v>3012</v>
      </c>
      <c r="B3088" s="3" t="s">
        <v>34</v>
      </c>
      <c r="C3088" s="3"/>
      <c r="D3088" s="4" t="s">
        <v>2710</v>
      </c>
      <c r="E3088" s="4" t="s">
        <v>23</v>
      </c>
      <c r="F3088" s="4">
        <v>1995</v>
      </c>
      <c r="G3088" s="8">
        <v>0.5</v>
      </c>
      <c r="H3088" s="4" t="s">
        <v>23</v>
      </c>
      <c r="I3088" s="8">
        <v>-0.9</v>
      </c>
      <c r="J3088" s="3">
        <f>1904</f>
        <v>1904</v>
      </c>
      <c r="K3088" s="3">
        <v>50701</v>
      </c>
      <c r="L3088" s="17" t="str" cm="1">
        <f t="array" ref="L3088">_xlfn.IFS(MID(K3088,2,2)="01", "서울", MID(K3088,2,2)="02","경기",MID(K3088,2,2)="03","충청",MID(K3088,2,2)="04","충청",MID(K3088,2,2)="05","전라",MID(K3088,2,2)="06","전라",MID(K3088,2,2)="07","경북",MID(K3088,2,2)="08","경남",MID(K3088,2,2)="09","강원",MID(K3088,2,2)="10","제주",TRUE,"국외")</f>
        <v>경북</v>
      </c>
    </row>
    <row r="3089" spans="1:12" ht="17.25" thickBot="1">
      <c r="A3089" s="3" t="s">
        <v>3013</v>
      </c>
      <c r="B3089" s="3" t="s">
        <v>2524</v>
      </c>
      <c r="C3089" s="3"/>
      <c r="D3089" s="4" t="s">
        <v>2710</v>
      </c>
      <c r="E3089" s="4" t="s">
        <v>23</v>
      </c>
      <c r="F3089" s="4">
        <v>1995</v>
      </c>
      <c r="G3089" s="8">
        <v>0</v>
      </c>
      <c r="H3089" s="4" t="s">
        <v>23</v>
      </c>
      <c r="I3089" s="8">
        <v>0.2</v>
      </c>
      <c r="J3089" s="3">
        <f>1870</f>
        <v>1870</v>
      </c>
      <c r="K3089" s="3">
        <v>50711</v>
      </c>
      <c r="L3089" s="17" t="str" cm="1">
        <f t="array" ref="L3089">_xlfn.IFS(MID(K3089,2,2)="01", "서울", MID(K3089,2,2)="02","경기",MID(K3089,2,2)="03","충청",MID(K3089,2,2)="04","충청",MID(K3089,2,2)="05","전라",MID(K3089,2,2)="06","전라",MID(K3089,2,2)="07","경북",MID(K3089,2,2)="08","경남",MID(K3089,2,2)="09","강원",MID(K3089,2,2)="10","제주",TRUE,"국외")</f>
        <v>경북</v>
      </c>
    </row>
    <row r="3090" spans="1:12" ht="17.25" thickBot="1">
      <c r="A3090" s="3" t="s">
        <v>3014</v>
      </c>
      <c r="B3090" s="3" t="s">
        <v>34</v>
      </c>
      <c r="C3090" s="3"/>
      <c r="D3090" s="4" t="s">
        <v>2710</v>
      </c>
      <c r="E3090" s="4" t="s">
        <v>23</v>
      </c>
      <c r="F3090" s="4">
        <v>1996</v>
      </c>
      <c r="G3090" s="9"/>
      <c r="H3090" s="4" t="s">
        <v>23</v>
      </c>
      <c r="I3090" s="8">
        <v>-0.1</v>
      </c>
      <c r="J3090" s="3">
        <f>1964</f>
        <v>1964</v>
      </c>
      <c r="K3090" s="3">
        <v>50701</v>
      </c>
      <c r="L3090" s="17" t="str" cm="1">
        <f t="array" ref="L3090">_xlfn.IFS(MID(K3090,2,2)="01", "서울", MID(K3090,2,2)="02","경기",MID(K3090,2,2)="03","충청",MID(K3090,2,2)="04","충청",MID(K3090,2,2)="05","전라",MID(K3090,2,2)="06","전라",MID(K3090,2,2)="07","경북",MID(K3090,2,2)="08","경남",MID(K3090,2,2)="09","강원",MID(K3090,2,2)="10","제주",TRUE,"국외")</f>
        <v>경북</v>
      </c>
    </row>
    <row r="3091" spans="1:12" ht="17.25" thickBot="1">
      <c r="A3091" s="3" t="s">
        <v>2480</v>
      </c>
      <c r="B3091" s="3" t="s">
        <v>34</v>
      </c>
      <c r="C3091" s="3"/>
      <c r="D3091" s="4" t="s">
        <v>2710</v>
      </c>
      <c r="E3091" s="4" t="s">
        <v>23</v>
      </c>
      <c r="F3091" s="4">
        <v>1995</v>
      </c>
      <c r="G3091" s="8">
        <v>3.1</v>
      </c>
      <c r="H3091" s="4" t="s">
        <v>23</v>
      </c>
      <c r="I3091" s="8">
        <v>73</v>
      </c>
      <c r="J3091" s="3">
        <v>10881</v>
      </c>
      <c r="K3091" s="3">
        <v>50701</v>
      </c>
      <c r="L3091" s="17" t="str" cm="1">
        <f t="array" ref="L3091">_xlfn.IFS(MID(K3091,2,2)="01", "서울", MID(K3091,2,2)="02","경기",MID(K3091,2,2)="03","충청",MID(K3091,2,2)="04","충청",MID(K3091,2,2)="05","전라",MID(K3091,2,2)="06","전라",MID(K3091,2,2)="07","경북",MID(K3091,2,2)="08","경남",MID(K3091,2,2)="09","강원",MID(K3091,2,2)="10","제주",TRUE,"국외")</f>
        <v>경북</v>
      </c>
    </row>
    <row r="3092" spans="1:12" ht="17.25" thickBot="1">
      <c r="A3092" s="3" t="s">
        <v>3015</v>
      </c>
      <c r="B3092" s="3" t="s">
        <v>464</v>
      </c>
      <c r="C3092" s="3"/>
      <c r="D3092" s="4" t="s">
        <v>2710</v>
      </c>
      <c r="E3092" s="4" t="s">
        <v>23</v>
      </c>
      <c r="F3092" s="4">
        <v>1995</v>
      </c>
      <c r="G3092" s="8">
        <v>0</v>
      </c>
      <c r="H3092" s="4" t="s">
        <v>23</v>
      </c>
      <c r="I3092" s="8">
        <v>-0.1</v>
      </c>
      <c r="J3092" s="3">
        <f>1876</f>
        <v>1876</v>
      </c>
      <c r="K3092" s="3">
        <v>50706</v>
      </c>
      <c r="L3092" s="17" t="str" cm="1">
        <f t="array" ref="L3092">_xlfn.IFS(MID(K3092,2,2)="01", "서울", MID(K3092,2,2)="02","경기",MID(K3092,2,2)="03","충청",MID(K3092,2,2)="04","충청",MID(K3092,2,2)="05","전라",MID(K3092,2,2)="06","전라",MID(K3092,2,2)="07","경북",MID(K3092,2,2)="08","경남",MID(K3092,2,2)="09","강원",MID(K3092,2,2)="10","제주",TRUE,"국외")</f>
        <v>경북</v>
      </c>
    </row>
    <row r="3093" spans="1:12" ht="17.25" thickBot="1">
      <c r="A3093" s="3" t="s">
        <v>3016</v>
      </c>
      <c r="B3093" s="3" t="s">
        <v>147</v>
      </c>
      <c r="C3093" s="3"/>
      <c r="D3093" s="4" t="s">
        <v>2710</v>
      </c>
      <c r="E3093" s="4" t="s">
        <v>2968</v>
      </c>
      <c r="F3093" s="4">
        <v>1995</v>
      </c>
      <c r="G3093" s="8">
        <v>0</v>
      </c>
      <c r="H3093" s="4" t="s">
        <v>2968</v>
      </c>
      <c r="I3093" s="8">
        <v>0.6</v>
      </c>
      <c r="J3093" s="3">
        <f>1896</f>
        <v>1896</v>
      </c>
      <c r="K3093" s="3">
        <v>50208</v>
      </c>
      <c r="L3093" s="17" t="str" cm="1">
        <f t="array" ref="L3093">_xlfn.IFS(MID(K3093,2,2)="01", "서울", MID(K3093,2,2)="02","경기",MID(K3093,2,2)="03","충청",MID(K3093,2,2)="04","충청",MID(K3093,2,2)="05","전라",MID(K3093,2,2)="06","전라",MID(K3093,2,2)="07","경북",MID(K3093,2,2)="08","경남",MID(K3093,2,2)="09","강원",MID(K3093,2,2)="10","제주",TRUE,"국외")</f>
        <v>경기</v>
      </c>
    </row>
    <row r="3094" spans="1:12" ht="17.25" thickBot="1">
      <c r="A3094" s="3" t="s">
        <v>3017</v>
      </c>
      <c r="B3094" s="3" t="s">
        <v>241</v>
      </c>
      <c r="C3094" s="3"/>
      <c r="D3094" s="4" t="s">
        <v>2710</v>
      </c>
      <c r="E3094" s="4" t="s">
        <v>2968</v>
      </c>
      <c r="F3094" s="4">
        <v>1995</v>
      </c>
      <c r="G3094" s="8">
        <v>-0.2</v>
      </c>
      <c r="H3094" s="4" t="s">
        <v>2164</v>
      </c>
      <c r="I3094" s="8">
        <v>-0.7</v>
      </c>
      <c r="J3094" s="3">
        <f>1889</f>
        <v>1889</v>
      </c>
      <c r="K3094" s="3">
        <v>50202</v>
      </c>
      <c r="L3094" s="17" t="str" cm="1">
        <f t="array" ref="L3094">_xlfn.IFS(MID(K3094,2,2)="01", "서울", MID(K3094,2,2)="02","경기",MID(K3094,2,2)="03","충청",MID(K3094,2,2)="04","충청",MID(K3094,2,2)="05","전라",MID(K3094,2,2)="06","전라",MID(K3094,2,2)="07","경북",MID(K3094,2,2)="08","경남",MID(K3094,2,2)="09","강원",MID(K3094,2,2)="10","제주",TRUE,"국외")</f>
        <v>경기</v>
      </c>
    </row>
    <row r="3095" spans="1:12" ht="17.25" thickBot="1">
      <c r="A3095" s="3" t="s">
        <v>3018</v>
      </c>
      <c r="B3095" s="3" t="s">
        <v>351</v>
      </c>
      <c r="C3095" s="3"/>
      <c r="D3095" s="4" t="s">
        <v>2710</v>
      </c>
      <c r="E3095" s="4" t="s">
        <v>2968</v>
      </c>
      <c r="F3095" s="4">
        <v>1995</v>
      </c>
      <c r="G3095" s="8">
        <v>0</v>
      </c>
      <c r="H3095" s="4" t="s">
        <v>2968</v>
      </c>
      <c r="I3095" s="8">
        <v>0</v>
      </c>
      <c r="J3095" s="3">
        <f>1879</f>
        <v>1879</v>
      </c>
      <c r="K3095" s="3">
        <v>50203</v>
      </c>
      <c r="L3095" s="17" t="str" cm="1">
        <f t="array" ref="L3095">_xlfn.IFS(MID(K3095,2,2)="01", "서울", MID(K3095,2,2)="02","경기",MID(K3095,2,2)="03","충청",MID(K3095,2,2)="04","충청",MID(K3095,2,2)="05","전라",MID(K3095,2,2)="06","전라",MID(K3095,2,2)="07","경북",MID(K3095,2,2)="08","경남",MID(K3095,2,2)="09","강원",MID(K3095,2,2)="10","제주",TRUE,"국외")</f>
        <v>경기</v>
      </c>
    </row>
    <row r="3096" spans="1:12" ht="17.25" thickBot="1">
      <c r="A3096" s="3" t="s">
        <v>3019</v>
      </c>
      <c r="B3096" s="3" t="s">
        <v>36</v>
      </c>
      <c r="C3096" s="3"/>
      <c r="D3096" s="4" t="s">
        <v>2710</v>
      </c>
      <c r="E3096" s="4" t="s">
        <v>3</v>
      </c>
      <c r="F3096" s="4">
        <v>1995</v>
      </c>
      <c r="G3096" s="8">
        <v>-0.3</v>
      </c>
      <c r="H3096" s="4" t="s">
        <v>3</v>
      </c>
      <c r="I3096" s="8">
        <v>-2.4</v>
      </c>
      <c r="J3096" s="3">
        <f>1871</f>
        <v>1871</v>
      </c>
      <c r="K3096" s="3">
        <v>50402</v>
      </c>
      <c r="L3096" s="17" t="str" cm="1">
        <f t="array" ref="L3096">_xlfn.IFS(MID(K3096,2,2)="01", "서울", MID(K3096,2,2)="02","경기",MID(K3096,2,2)="03","충청",MID(K3096,2,2)="04","충청",MID(K3096,2,2)="05","전라",MID(K3096,2,2)="06","전라",MID(K3096,2,2)="07","경북",MID(K3096,2,2)="08","경남",MID(K3096,2,2)="09","강원",MID(K3096,2,2)="10","제주",TRUE,"국외")</f>
        <v>충청</v>
      </c>
    </row>
    <row r="3097" spans="1:12" ht="17.25" thickBot="1">
      <c r="A3097" s="3" t="s">
        <v>2973</v>
      </c>
      <c r="B3097" s="3" t="s">
        <v>78</v>
      </c>
      <c r="C3097" s="3"/>
      <c r="D3097" s="4" t="s">
        <v>2710</v>
      </c>
      <c r="E3097" s="4" t="s">
        <v>3</v>
      </c>
      <c r="F3097" s="4">
        <v>1995</v>
      </c>
      <c r="G3097" s="8">
        <v>0.2</v>
      </c>
      <c r="H3097" s="4" t="s">
        <v>3</v>
      </c>
      <c r="I3097" s="8">
        <v>0.1</v>
      </c>
      <c r="J3097" s="3">
        <f>1873</f>
        <v>1873</v>
      </c>
      <c r="K3097" s="3">
        <v>50401</v>
      </c>
      <c r="L3097" s="17" t="str" cm="1">
        <f t="array" ref="L3097">_xlfn.IFS(MID(K3097,2,2)="01", "서울", MID(K3097,2,2)="02","경기",MID(K3097,2,2)="03","충청",MID(K3097,2,2)="04","충청",MID(K3097,2,2)="05","전라",MID(K3097,2,2)="06","전라",MID(K3097,2,2)="07","경북",MID(K3097,2,2)="08","경남",MID(K3097,2,2)="09","강원",MID(K3097,2,2)="10","제주",TRUE,"국외")</f>
        <v>충청</v>
      </c>
    </row>
    <row r="3098" spans="1:12" ht="17.25" thickBot="1">
      <c r="A3098" s="3" t="s">
        <v>2910</v>
      </c>
      <c r="B3098" s="3" t="s">
        <v>2351</v>
      </c>
      <c r="C3098" s="3"/>
      <c r="D3098" s="4" t="s">
        <v>2710</v>
      </c>
      <c r="E3098" s="4" t="s">
        <v>2523</v>
      </c>
      <c r="F3098" s="4">
        <v>1996</v>
      </c>
      <c r="G3098" s="9"/>
      <c r="H3098" s="4" t="s">
        <v>2523</v>
      </c>
      <c r="I3098" s="8">
        <v>2.2999999999999998</v>
      </c>
      <c r="J3098" s="3">
        <f>1962</f>
        <v>1962</v>
      </c>
      <c r="K3098" s="3">
        <v>50609</v>
      </c>
      <c r="L3098" s="17" t="str" cm="1">
        <f t="array" ref="L3098">_xlfn.IFS(MID(K3098,2,2)="01", "서울", MID(K3098,2,2)="02","경기",MID(K3098,2,2)="03","충청",MID(K3098,2,2)="04","충청",MID(K3098,2,2)="05","전라",MID(K3098,2,2)="06","전라",MID(K3098,2,2)="07","경북",MID(K3098,2,2)="08","경남",MID(K3098,2,2)="09","강원",MID(K3098,2,2)="10","제주",TRUE,"국외")</f>
        <v>전라</v>
      </c>
    </row>
    <row r="3099" spans="1:12" ht="17.25" thickBot="1">
      <c r="A3099" s="3" t="s">
        <v>3020</v>
      </c>
      <c r="B3099" s="3" t="s">
        <v>40</v>
      </c>
      <c r="C3099" s="3"/>
      <c r="D3099" s="4" t="s">
        <v>2710</v>
      </c>
      <c r="E3099" s="4" t="s">
        <v>20</v>
      </c>
      <c r="F3099" s="4">
        <v>1996</v>
      </c>
      <c r="G3099" s="9"/>
      <c r="H3099" s="4" t="s">
        <v>20</v>
      </c>
      <c r="I3099" s="8">
        <v>1.8</v>
      </c>
      <c r="J3099" s="3">
        <v>10465</v>
      </c>
      <c r="K3099" s="3">
        <v>50108</v>
      </c>
      <c r="L3099" s="17" t="str" cm="1">
        <f t="array" ref="L3099">_xlfn.IFS(MID(K3099,2,2)="01", "서울", MID(K3099,2,2)="02","경기",MID(K3099,2,2)="03","충청",MID(K3099,2,2)="04","충청",MID(K3099,2,2)="05","전라",MID(K3099,2,2)="06","전라",MID(K3099,2,2)="07","경북",MID(K3099,2,2)="08","경남",MID(K3099,2,2)="09","강원",MID(K3099,2,2)="10","제주",TRUE,"국외")</f>
        <v>서울</v>
      </c>
    </row>
    <row r="3100" spans="1:12" ht="17.25" thickBot="1">
      <c r="A3100" s="3" t="s">
        <v>3021</v>
      </c>
      <c r="B3100" s="3" t="s">
        <v>121</v>
      </c>
      <c r="C3100" s="3"/>
      <c r="D3100" s="4" t="s">
        <v>2710</v>
      </c>
      <c r="E3100" s="4" t="s">
        <v>2523</v>
      </c>
      <c r="F3100" s="4">
        <v>1995</v>
      </c>
      <c r="G3100" s="8">
        <v>-0.3</v>
      </c>
      <c r="H3100" s="4" t="s">
        <v>23</v>
      </c>
      <c r="I3100" s="8">
        <v>75.3</v>
      </c>
      <c r="J3100" s="3">
        <v>11281</v>
      </c>
      <c r="K3100" s="3">
        <v>50604</v>
      </c>
      <c r="L3100" s="17" t="str" cm="1">
        <f t="array" ref="L3100">_xlfn.IFS(MID(K3100,2,2)="01", "서울", MID(K3100,2,2)="02","경기",MID(K3100,2,2)="03","충청",MID(K3100,2,2)="04","충청",MID(K3100,2,2)="05","전라",MID(K3100,2,2)="06","전라",MID(K3100,2,2)="07","경북",MID(K3100,2,2)="08","경남",MID(K3100,2,2)="09","강원",MID(K3100,2,2)="10","제주",TRUE,"국외")</f>
        <v>전라</v>
      </c>
    </row>
    <row r="3101" spans="1:12" ht="17.25" thickBot="1">
      <c r="A3101" s="3" t="s">
        <v>3022</v>
      </c>
      <c r="B3101" s="3" t="s">
        <v>42</v>
      </c>
      <c r="C3101" s="3"/>
      <c r="D3101" s="4" t="s">
        <v>2710</v>
      </c>
      <c r="E3101" s="4" t="s">
        <v>2661</v>
      </c>
      <c r="F3101" s="4">
        <v>1995</v>
      </c>
      <c r="G3101" s="8">
        <v>-0.2</v>
      </c>
      <c r="H3101" s="4" t="s">
        <v>2661</v>
      </c>
      <c r="I3101" s="8">
        <v>-0.2</v>
      </c>
      <c r="J3101" s="3">
        <f>1909</f>
        <v>1909</v>
      </c>
      <c r="K3101" s="3">
        <v>50502</v>
      </c>
      <c r="L3101" s="17" t="str" cm="1">
        <f t="array" ref="L3101">_xlfn.IFS(MID(K3101,2,2)="01", "서울", MID(K3101,2,2)="02","경기",MID(K3101,2,2)="03","충청",MID(K3101,2,2)="04","충청",MID(K3101,2,2)="05","전라",MID(K3101,2,2)="06","전라",MID(K3101,2,2)="07","경북",MID(K3101,2,2)="08","경남",MID(K3101,2,2)="09","강원",MID(K3101,2,2)="10","제주",TRUE,"국외")</f>
        <v>전라</v>
      </c>
    </row>
    <row r="3102" spans="1:12" ht="17.25" thickBot="1">
      <c r="A3102" s="3" t="s">
        <v>3023</v>
      </c>
      <c r="B3102" s="3" t="s">
        <v>5</v>
      </c>
      <c r="C3102" s="3" t="s">
        <v>739</v>
      </c>
      <c r="D3102" s="4" t="s">
        <v>243</v>
      </c>
      <c r="E3102" s="4" t="s">
        <v>20</v>
      </c>
      <c r="F3102" s="4">
        <v>1994</v>
      </c>
      <c r="G3102" s="8">
        <v>7.5</v>
      </c>
      <c r="H3102" s="4" t="s">
        <v>20</v>
      </c>
      <c r="I3102" s="8">
        <v>45.6</v>
      </c>
      <c r="J3102" s="3">
        <f>1783</f>
        <v>1783</v>
      </c>
      <c r="K3102" s="3">
        <v>50114</v>
      </c>
      <c r="L3102" s="17" t="str" cm="1">
        <f t="array" ref="L3102">_xlfn.IFS(MID(K3102,2,2)="01", "서울", MID(K3102,2,2)="02","경기",MID(K3102,2,2)="03","충청",MID(K3102,2,2)="04","충청",MID(K3102,2,2)="05","전라",MID(K3102,2,2)="06","전라",MID(K3102,2,2)="07","경북",MID(K3102,2,2)="08","경남",MID(K3102,2,2)="09","강원",MID(K3102,2,2)="10","제주",TRUE,"국외")</f>
        <v>서울</v>
      </c>
    </row>
    <row r="3103" spans="1:12" ht="17.25" thickBot="1">
      <c r="A3103" s="3" t="s">
        <v>3024</v>
      </c>
      <c r="B3103" s="3" t="s">
        <v>8</v>
      </c>
      <c r="C3103" s="3" t="s">
        <v>133</v>
      </c>
      <c r="D3103" s="4" t="s">
        <v>243</v>
      </c>
      <c r="E3103" s="4" t="s">
        <v>2725</v>
      </c>
      <c r="F3103" s="4">
        <v>1994</v>
      </c>
      <c r="G3103" s="8">
        <v>0.4</v>
      </c>
      <c r="H3103" s="4" t="s">
        <v>20</v>
      </c>
      <c r="I3103" s="8">
        <v>9.8000000000000007</v>
      </c>
      <c r="J3103" s="3">
        <v>10507</v>
      </c>
      <c r="K3103" s="3">
        <v>50116</v>
      </c>
      <c r="L3103" s="17" t="str" cm="1">
        <f t="array" ref="L3103">_xlfn.IFS(MID(K3103,2,2)="01", "서울", MID(K3103,2,2)="02","경기",MID(K3103,2,2)="03","충청",MID(K3103,2,2)="04","충청",MID(K3103,2,2)="05","전라",MID(K3103,2,2)="06","전라",MID(K3103,2,2)="07","경북",MID(K3103,2,2)="08","경남",MID(K3103,2,2)="09","강원",MID(K3103,2,2)="10","제주",TRUE,"국외")</f>
        <v>서울</v>
      </c>
    </row>
    <row r="3104" spans="1:12" ht="17.25" thickBot="1">
      <c r="A3104" s="3" t="s">
        <v>3025</v>
      </c>
      <c r="B3104" s="3" t="s">
        <v>93</v>
      </c>
      <c r="C3104" s="3" t="s">
        <v>45</v>
      </c>
      <c r="D3104" s="4" t="s">
        <v>243</v>
      </c>
      <c r="E3104" s="4" t="s">
        <v>9</v>
      </c>
      <c r="F3104" s="4">
        <v>1994</v>
      </c>
      <c r="G3104" s="8">
        <v>1.7</v>
      </c>
      <c r="H3104" s="4" t="s">
        <v>9</v>
      </c>
      <c r="I3104" s="8">
        <v>21.6</v>
      </c>
      <c r="J3104" s="3">
        <f>1837</f>
        <v>1837</v>
      </c>
      <c r="K3104" s="3">
        <v>50805</v>
      </c>
      <c r="L3104" s="17" t="str" cm="1">
        <f t="array" ref="L3104">_xlfn.IFS(MID(K3104,2,2)="01", "서울", MID(K3104,2,2)="02","경기",MID(K3104,2,2)="03","충청",MID(K3104,2,2)="04","충청",MID(K3104,2,2)="05","전라",MID(K3104,2,2)="06","전라",MID(K3104,2,2)="07","경북",MID(K3104,2,2)="08","경남",MID(K3104,2,2)="09","강원",MID(K3104,2,2)="10","제주",TRUE,"국외")</f>
        <v>경남</v>
      </c>
    </row>
    <row r="3105" spans="1:12" ht="17.25" thickBot="1">
      <c r="A3105" s="3" t="s">
        <v>3026</v>
      </c>
      <c r="B3105" s="3" t="s">
        <v>34</v>
      </c>
      <c r="C3105" s="3" t="s">
        <v>122</v>
      </c>
      <c r="D3105" s="4" t="s">
        <v>243</v>
      </c>
      <c r="E3105" s="4" t="s">
        <v>23</v>
      </c>
      <c r="F3105" s="4">
        <v>1994</v>
      </c>
      <c r="G3105" s="8">
        <v>0.3</v>
      </c>
      <c r="H3105" s="4" t="s">
        <v>23</v>
      </c>
      <c r="I3105" s="8">
        <v>-1.7</v>
      </c>
      <c r="J3105" s="3">
        <f>1836</f>
        <v>1836</v>
      </c>
      <c r="K3105" s="3">
        <v>50701</v>
      </c>
      <c r="L3105" s="17" t="str" cm="1">
        <f t="array" ref="L3105">_xlfn.IFS(MID(K3105,2,2)="01", "서울", MID(K3105,2,2)="02","경기",MID(K3105,2,2)="03","충청",MID(K3105,2,2)="04","충청",MID(K3105,2,2)="05","전라",MID(K3105,2,2)="06","전라",MID(K3105,2,2)="07","경북",MID(K3105,2,2)="08","경남",MID(K3105,2,2)="09","강원",MID(K3105,2,2)="10","제주",TRUE,"국외")</f>
        <v>경북</v>
      </c>
    </row>
    <row r="3106" spans="1:12" ht="17.25" thickBot="1">
      <c r="A3106" s="3" t="s">
        <v>3027</v>
      </c>
      <c r="B3106" s="3" t="s">
        <v>158</v>
      </c>
      <c r="C3106" s="3" t="s">
        <v>172</v>
      </c>
      <c r="D3106" s="4" t="s">
        <v>243</v>
      </c>
      <c r="E3106" s="4" t="s">
        <v>2661</v>
      </c>
      <c r="F3106" s="4">
        <v>1994</v>
      </c>
      <c r="G3106" s="8">
        <v>-0.2</v>
      </c>
      <c r="H3106" s="4" t="s">
        <v>2661</v>
      </c>
      <c r="I3106" s="8">
        <v>-0.2</v>
      </c>
      <c r="J3106" s="3">
        <f>1815</f>
        <v>1815</v>
      </c>
      <c r="K3106" s="3">
        <v>50501</v>
      </c>
      <c r="L3106" s="17" t="str" cm="1">
        <f t="array" ref="L3106">_xlfn.IFS(MID(K3106,2,2)="01", "서울", MID(K3106,2,2)="02","경기",MID(K3106,2,2)="03","충청",MID(K3106,2,2)="04","충청",MID(K3106,2,2)="05","전라",MID(K3106,2,2)="06","전라",MID(K3106,2,2)="07","경북",MID(K3106,2,2)="08","경남",MID(K3106,2,2)="09","강원",MID(K3106,2,2)="10","제주",TRUE,"국외")</f>
        <v>전라</v>
      </c>
    </row>
    <row r="3107" spans="1:12" ht="17.25" thickBot="1">
      <c r="A3107" s="3" t="s">
        <v>3028</v>
      </c>
      <c r="B3107" s="3" t="s">
        <v>22</v>
      </c>
      <c r="C3107" s="3" t="s">
        <v>174</v>
      </c>
      <c r="D3107" s="4" t="s">
        <v>243</v>
      </c>
      <c r="E3107" s="4" t="s">
        <v>2968</v>
      </c>
      <c r="F3107" s="4">
        <v>1994</v>
      </c>
      <c r="G3107" s="8">
        <v>4.7</v>
      </c>
      <c r="H3107" s="4" t="s">
        <v>2523</v>
      </c>
      <c r="I3107" s="8">
        <v>17.8</v>
      </c>
      <c r="J3107" s="3">
        <v>10616</v>
      </c>
      <c r="K3107" s="3">
        <v>50209</v>
      </c>
      <c r="L3107" s="17" t="str" cm="1">
        <f t="array" ref="L3107">_xlfn.IFS(MID(K3107,2,2)="01", "서울", MID(K3107,2,2)="02","경기",MID(K3107,2,2)="03","충청",MID(K3107,2,2)="04","충청",MID(K3107,2,2)="05","전라",MID(K3107,2,2)="06","전라",MID(K3107,2,2)="07","경북",MID(K3107,2,2)="08","경남",MID(K3107,2,2)="09","강원",MID(K3107,2,2)="10","제주",TRUE,"국외")</f>
        <v>경기</v>
      </c>
    </row>
    <row r="3108" spans="1:12" ht="17.25" thickBot="1">
      <c r="A3108" s="3" t="s">
        <v>3029</v>
      </c>
      <c r="B3108" s="3" t="s">
        <v>36</v>
      </c>
      <c r="C3108" s="3" t="s">
        <v>172</v>
      </c>
      <c r="D3108" s="4" t="s">
        <v>243</v>
      </c>
      <c r="E3108" s="4" t="s">
        <v>3</v>
      </c>
      <c r="F3108" s="4">
        <v>1994</v>
      </c>
      <c r="G3108" s="8">
        <v>-2.5</v>
      </c>
      <c r="H3108" s="4" t="s">
        <v>3</v>
      </c>
      <c r="I3108" s="8">
        <v>-2.5</v>
      </c>
      <c r="J3108" s="3">
        <f>1842</f>
        <v>1842</v>
      </c>
      <c r="K3108" s="3">
        <v>50402</v>
      </c>
      <c r="L3108" s="17" t="str" cm="1">
        <f t="array" ref="L3108">_xlfn.IFS(MID(K3108,2,2)="01", "서울", MID(K3108,2,2)="02","경기",MID(K3108,2,2)="03","충청",MID(K3108,2,2)="04","충청",MID(K3108,2,2)="05","전라",MID(K3108,2,2)="06","전라",MID(K3108,2,2)="07","경북",MID(K3108,2,2)="08","경남",MID(K3108,2,2)="09","강원",MID(K3108,2,2)="10","제주",TRUE,"국외")</f>
        <v>충청</v>
      </c>
    </row>
    <row r="3109" spans="1:12" ht="17.25" thickBot="1">
      <c r="A3109" s="3" t="s">
        <v>3030</v>
      </c>
      <c r="B3109" s="3" t="s">
        <v>121</v>
      </c>
      <c r="C3109" s="3" t="s">
        <v>122</v>
      </c>
      <c r="D3109" s="4" t="s">
        <v>243</v>
      </c>
      <c r="E3109" s="4" t="s">
        <v>2523</v>
      </c>
      <c r="F3109" s="4">
        <v>1994</v>
      </c>
      <c r="G3109" s="8">
        <v>0.8</v>
      </c>
      <c r="H3109" s="4" t="s">
        <v>2523</v>
      </c>
      <c r="I3109" s="8">
        <v>0.8</v>
      </c>
      <c r="J3109" s="3">
        <f>1861</f>
        <v>1861</v>
      </c>
      <c r="K3109" s="3">
        <v>50604</v>
      </c>
      <c r="L3109" s="17" t="str" cm="1">
        <f t="array" ref="L3109">_xlfn.IFS(MID(K3109,2,2)="01", "서울", MID(K3109,2,2)="02","경기",MID(K3109,2,2)="03","충청",MID(K3109,2,2)="04","충청",MID(K3109,2,2)="05","전라",MID(K3109,2,2)="06","전라",MID(K3109,2,2)="07","경북",MID(K3109,2,2)="08","경남",MID(K3109,2,2)="09","강원",MID(K3109,2,2)="10","제주",TRUE,"국외")</f>
        <v>전라</v>
      </c>
    </row>
    <row r="3110" spans="1:12" ht="17.25" thickBot="1">
      <c r="A3110" s="3" t="s">
        <v>3031</v>
      </c>
      <c r="B3110" s="3" t="s">
        <v>52</v>
      </c>
      <c r="C3110" s="3" t="s">
        <v>329</v>
      </c>
      <c r="D3110" s="4" t="s">
        <v>254</v>
      </c>
      <c r="E3110" s="4" t="s">
        <v>2725</v>
      </c>
      <c r="F3110" s="4">
        <v>1994</v>
      </c>
      <c r="G3110" s="8">
        <v>-0.4</v>
      </c>
      <c r="H3110" s="4" t="s">
        <v>2725</v>
      </c>
      <c r="I3110" s="8">
        <v>2.8</v>
      </c>
      <c r="J3110" s="3">
        <f>1814</f>
        <v>1814</v>
      </c>
      <c r="K3110" s="3">
        <v>50803</v>
      </c>
      <c r="L3110" s="17" t="str" cm="1">
        <f t="array" ref="L3110">_xlfn.IFS(MID(K3110,2,2)="01", "서울", MID(K3110,2,2)="02","경기",MID(K3110,2,2)="03","충청",MID(K3110,2,2)="04","충청",MID(K3110,2,2)="05","전라",MID(K3110,2,2)="06","전라",MID(K3110,2,2)="07","경북",MID(K3110,2,2)="08","경남",MID(K3110,2,2)="09","강원",MID(K3110,2,2)="10","제주",TRUE,"국외")</f>
        <v>경남</v>
      </c>
    </row>
    <row r="3111" spans="1:12" ht="17.25" thickBot="1">
      <c r="A3111" s="3" t="s">
        <v>3032</v>
      </c>
      <c r="B3111" s="3" t="s">
        <v>32</v>
      </c>
      <c r="C3111" s="3" t="s">
        <v>99</v>
      </c>
      <c r="D3111" s="4" t="s">
        <v>254</v>
      </c>
      <c r="E3111" s="4" t="s">
        <v>2968</v>
      </c>
      <c r="F3111" s="4">
        <v>1997</v>
      </c>
      <c r="G3111" s="9"/>
      <c r="H3111" s="4" t="s">
        <v>2164</v>
      </c>
      <c r="I3111" s="8">
        <v>-0.1</v>
      </c>
      <c r="J3111" s="3">
        <f>1999</f>
        <v>1999</v>
      </c>
      <c r="K3111" s="3">
        <v>50111</v>
      </c>
      <c r="L3111" s="17" t="str" cm="1">
        <f t="array" ref="L3111">_xlfn.IFS(MID(K3111,2,2)="01", "서울", MID(K3111,2,2)="02","경기",MID(K3111,2,2)="03","충청",MID(K3111,2,2)="04","충청",MID(K3111,2,2)="05","전라",MID(K3111,2,2)="06","전라",MID(K3111,2,2)="07","경북",MID(K3111,2,2)="08","경남",MID(K3111,2,2)="09","강원",MID(K3111,2,2)="10","제주",TRUE,"국외")</f>
        <v>서울</v>
      </c>
    </row>
    <row r="3112" spans="1:12" ht="17.25" thickBot="1">
      <c r="A3112" s="3" t="s">
        <v>3033</v>
      </c>
      <c r="B3112" s="3" t="s">
        <v>8</v>
      </c>
      <c r="C3112" s="3" t="s">
        <v>122</v>
      </c>
      <c r="D3112" s="4" t="s">
        <v>254</v>
      </c>
      <c r="E3112" s="4" t="s">
        <v>3</v>
      </c>
      <c r="F3112" s="4">
        <v>1994</v>
      </c>
      <c r="G3112" s="8">
        <v>0.3</v>
      </c>
      <c r="H3112" s="4" t="s">
        <v>2725</v>
      </c>
      <c r="I3112" s="8">
        <v>0.1</v>
      </c>
      <c r="J3112" s="3">
        <f>1823</f>
        <v>1823</v>
      </c>
      <c r="K3112" s="3">
        <v>50116</v>
      </c>
      <c r="L3112" s="17" t="str" cm="1">
        <f t="array" ref="L3112">_xlfn.IFS(MID(K3112,2,2)="01", "서울", MID(K3112,2,2)="02","경기",MID(K3112,2,2)="03","충청",MID(K3112,2,2)="04","충청",MID(K3112,2,2)="05","전라",MID(K3112,2,2)="06","전라",MID(K3112,2,2)="07","경북",MID(K3112,2,2)="08","경남",MID(K3112,2,2)="09","강원",MID(K3112,2,2)="10","제주",TRUE,"국외")</f>
        <v>서울</v>
      </c>
    </row>
    <row r="3113" spans="1:12" ht="17.25" thickBot="1">
      <c r="A3113" s="3" t="s">
        <v>3034</v>
      </c>
      <c r="B3113" s="3" t="s">
        <v>38</v>
      </c>
      <c r="C3113" s="3" t="s">
        <v>122</v>
      </c>
      <c r="D3113" s="4" t="s">
        <v>254</v>
      </c>
      <c r="E3113" s="4" t="s">
        <v>20</v>
      </c>
      <c r="F3113" s="4">
        <v>1994</v>
      </c>
      <c r="G3113" s="8">
        <v>1.6</v>
      </c>
      <c r="H3113" s="4" t="s">
        <v>20</v>
      </c>
      <c r="I3113" s="8">
        <v>1.3</v>
      </c>
      <c r="J3113" s="3">
        <f>1857</f>
        <v>1857</v>
      </c>
      <c r="K3113" s="3">
        <v>50109</v>
      </c>
      <c r="L3113" s="17" t="str" cm="1">
        <f t="array" ref="L3113">_xlfn.IFS(MID(K3113,2,2)="01", "서울", MID(K3113,2,2)="02","경기",MID(K3113,2,2)="03","충청",MID(K3113,2,2)="04","충청",MID(K3113,2,2)="05","전라",MID(K3113,2,2)="06","전라",MID(K3113,2,2)="07","경북",MID(K3113,2,2)="08","경남",MID(K3113,2,2)="09","강원",MID(K3113,2,2)="10","제주",TRUE,"국외")</f>
        <v>서울</v>
      </c>
    </row>
    <row r="3114" spans="1:12" ht="17.25" thickBot="1">
      <c r="A3114" s="3" t="s">
        <v>3035</v>
      </c>
      <c r="B3114" s="3" t="s">
        <v>40</v>
      </c>
      <c r="C3114" s="3" t="s">
        <v>483</v>
      </c>
      <c r="D3114" s="4" t="s">
        <v>254</v>
      </c>
      <c r="E3114" s="4" t="s">
        <v>2725</v>
      </c>
      <c r="F3114" s="4">
        <v>1994</v>
      </c>
      <c r="G3114" s="8">
        <v>1.6</v>
      </c>
      <c r="H3114" s="4" t="s">
        <v>3</v>
      </c>
      <c r="I3114" s="8">
        <v>-1.3</v>
      </c>
      <c r="J3114" s="3">
        <f>1864</f>
        <v>1864</v>
      </c>
      <c r="K3114" s="3">
        <v>50108</v>
      </c>
      <c r="L3114" s="17" t="str" cm="1">
        <f t="array" ref="L3114">_xlfn.IFS(MID(K3114,2,2)="01", "서울", MID(K3114,2,2)="02","경기",MID(K3114,2,2)="03","충청",MID(K3114,2,2)="04","충청",MID(K3114,2,2)="05","전라",MID(K3114,2,2)="06","전라",MID(K3114,2,2)="07","경북",MID(K3114,2,2)="08","경남",MID(K3114,2,2)="09","강원",MID(K3114,2,2)="10","제주",TRUE,"국외")</f>
        <v>서울</v>
      </c>
    </row>
    <row r="3115" spans="1:12" ht="17.25" thickBot="1">
      <c r="A3115" s="3" t="s">
        <v>3036</v>
      </c>
      <c r="B3115" s="3" t="s">
        <v>1</v>
      </c>
      <c r="C3115" s="3" t="s">
        <v>45</v>
      </c>
      <c r="D3115" s="4" t="s">
        <v>254</v>
      </c>
      <c r="E3115" s="4" t="s">
        <v>9</v>
      </c>
      <c r="F3115" s="4">
        <v>1994</v>
      </c>
      <c r="G3115" s="8">
        <v>0.5</v>
      </c>
      <c r="H3115" s="4" t="s">
        <v>9</v>
      </c>
      <c r="I3115" s="8">
        <v>10.8</v>
      </c>
      <c r="J3115" s="3">
        <f>1819</f>
        <v>1819</v>
      </c>
      <c r="K3115" s="3">
        <v>50107</v>
      </c>
      <c r="L3115" s="17" t="str" cm="1">
        <f t="array" ref="L3115">_xlfn.IFS(MID(K3115,2,2)="01", "서울", MID(K3115,2,2)="02","경기",MID(K3115,2,2)="03","충청",MID(K3115,2,2)="04","충청",MID(K3115,2,2)="05","전라",MID(K3115,2,2)="06","전라",MID(K3115,2,2)="07","경북",MID(K3115,2,2)="08","경남",MID(K3115,2,2)="09","강원",MID(K3115,2,2)="10","제주",TRUE,"국외")</f>
        <v>서울</v>
      </c>
    </row>
    <row r="3116" spans="1:12" ht="17.25" thickBot="1">
      <c r="A3116" s="3" t="s">
        <v>3037</v>
      </c>
      <c r="B3116" s="3" t="s">
        <v>3038</v>
      </c>
      <c r="C3116" s="3" t="s">
        <v>211</v>
      </c>
      <c r="D3116" s="4" t="s">
        <v>254</v>
      </c>
      <c r="E3116" s="4" t="s">
        <v>23</v>
      </c>
      <c r="F3116" s="4">
        <v>1994</v>
      </c>
      <c r="G3116" s="8">
        <v>1.7</v>
      </c>
      <c r="H3116" s="4" t="s">
        <v>23</v>
      </c>
      <c r="I3116" s="8">
        <v>24.9</v>
      </c>
      <c r="J3116" s="3">
        <v>12964</v>
      </c>
      <c r="K3116" s="3">
        <v>50126</v>
      </c>
      <c r="L3116" s="17" t="str" cm="1">
        <f t="array" ref="L3116">_xlfn.IFS(MID(K3116,2,2)="01", "서울", MID(K3116,2,2)="02","경기",MID(K3116,2,2)="03","충청",MID(K3116,2,2)="04","충청",MID(K3116,2,2)="05","전라",MID(K3116,2,2)="06","전라",MID(K3116,2,2)="07","경북",MID(K3116,2,2)="08","경남",MID(K3116,2,2)="09","강원",MID(K3116,2,2)="10","제주",TRUE,"국외")</f>
        <v>서울</v>
      </c>
    </row>
    <row r="3117" spans="1:12" ht="17.25" thickBot="1">
      <c r="A3117" s="3" t="s">
        <v>3039</v>
      </c>
      <c r="B3117" s="3" t="s">
        <v>1950</v>
      </c>
      <c r="C3117" s="3" t="s">
        <v>208</v>
      </c>
      <c r="D3117" s="4" t="s">
        <v>254</v>
      </c>
      <c r="E3117" s="4" t="s">
        <v>2661</v>
      </c>
      <c r="F3117" s="4">
        <v>1994</v>
      </c>
      <c r="G3117" s="8">
        <v>-0.6</v>
      </c>
      <c r="H3117" s="4" t="s">
        <v>2661</v>
      </c>
      <c r="I3117" s="8">
        <v>-1.5</v>
      </c>
      <c r="J3117" s="3">
        <f>1843</f>
        <v>1843</v>
      </c>
      <c r="K3117" s="3">
        <v>50115</v>
      </c>
      <c r="L3117" s="17" t="str" cm="1">
        <f t="array" ref="L3117">_xlfn.IFS(MID(K3117,2,2)="01", "서울", MID(K3117,2,2)="02","경기",MID(K3117,2,2)="03","충청",MID(K3117,2,2)="04","충청",MID(K3117,2,2)="05","전라",MID(K3117,2,2)="06","전라",MID(K3117,2,2)="07","경북",MID(K3117,2,2)="08","경남",MID(K3117,2,2)="09","강원",MID(K3117,2,2)="10","제주",TRUE,"국외")</f>
        <v>서울</v>
      </c>
    </row>
    <row r="3118" spans="1:12" ht="17.25" thickBot="1">
      <c r="A3118" s="3" t="s">
        <v>3040</v>
      </c>
      <c r="B3118" s="3" t="s">
        <v>1497</v>
      </c>
      <c r="C3118" s="3" t="s">
        <v>218</v>
      </c>
      <c r="D3118" s="4" t="s">
        <v>254</v>
      </c>
      <c r="E3118" s="4" t="s">
        <v>2968</v>
      </c>
      <c r="F3118" s="4">
        <v>1994</v>
      </c>
      <c r="G3118" s="8">
        <v>1.5</v>
      </c>
      <c r="H3118" s="4" t="s">
        <v>2164</v>
      </c>
      <c r="I3118" s="8">
        <v>35.799999999999997</v>
      </c>
      <c r="J3118" s="3">
        <v>10402</v>
      </c>
      <c r="K3118" s="3">
        <v>50112</v>
      </c>
      <c r="L3118" s="17" t="str" cm="1">
        <f t="array" ref="L3118">_xlfn.IFS(MID(K3118,2,2)="01", "서울", MID(K3118,2,2)="02","경기",MID(K3118,2,2)="03","충청",MID(K3118,2,2)="04","충청",MID(K3118,2,2)="05","전라",MID(K3118,2,2)="06","전라",MID(K3118,2,2)="07","경북",MID(K3118,2,2)="08","경남",MID(K3118,2,2)="09","강원",MID(K3118,2,2)="10","제주",TRUE,"국외")</f>
        <v>서울</v>
      </c>
    </row>
    <row r="3119" spans="1:12" ht="17.25" thickBot="1">
      <c r="A3119" s="3" t="s">
        <v>3041</v>
      </c>
      <c r="B3119" s="3" t="s">
        <v>3042</v>
      </c>
      <c r="C3119" s="3" t="s">
        <v>549</v>
      </c>
      <c r="D3119" s="4" t="s">
        <v>254</v>
      </c>
      <c r="E3119" s="4" t="s">
        <v>2968</v>
      </c>
      <c r="F3119" s="4">
        <v>1994</v>
      </c>
      <c r="G3119" s="8">
        <v>-1.4</v>
      </c>
      <c r="H3119" s="4" t="s">
        <v>2968</v>
      </c>
      <c r="I3119" s="8">
        <v>-1.6</v>
      </c>
      <c r="J3119" s="3">
        <f>1840</f>
        <v>1840</v>
      </c>
      <c r="K3119" s="3">
        <v>50814</v>
      </c>
      <c r="L3119" s="17" t="str" cm="1">
        <f t="array" ref="L3119">_xlfn.IFS(MID(K3119,2,2)="01", "서울", MID(K3119,2,2)="02","경기",MID(K3119,2,2)="03","충청",MID(K3119,2,2)="04","충청",MID(K3119,2,2)="05","전라",MID(K3119,2,2)="06","전라",MID(K3119,2,2)="07","경북",MID(K3119,2,2)="08","경남",MID(K3119,2,2)="09","강원",MID(K3119,2,2)="10","제주",TRUE,"국외")</f>
        <v>경남</v>
      </c>
    </row>
    <row r="3120" spans="1:12" ht="17.25" thickBot="1">
      <c r="A3120" s="3" t="s">
        <v>3043</v>
      </c>
      <c r="B3120" s="3" t="s">
        <v>11</v>
      </c>
      <c r="C3120" s="3" t="s">
        <v>119</v>
      </c>
      <c r="D3120" s="4" t="s">
        <v>254</v>
      </c>
      <c r="E3120" s="4" t="s">
        <v>3</v>
      </c>
      <c r="F3120" s="4">
        <v>1994</v>
      </c>
      <c r="G3120" s="8">
        <v>0.7</v>
      </c>
      <c r="H3120" s="4" t="s">
        <v>3</v>
      </c>
      <c r="I3120" s="8">
        <v>0.5</v>
      </c>
      <c r="J3120" s="3">
        <f>1786</f>
        <v>1786</v>
      </c>
      <c r="K3120" s="3">
        <v>50802</v>
      </c>
      <c r="L3120" s="17" t="str" cm="1">
        <f t="array" ref="L3120">_xlfn.IFS(MID(K3120,2,2)="01", "서울", MID(K3120,2,2)="02","경기",MID(K3120,2,2)="03","충청",MID(K3120,2,2)="04","충청",MID(K3120,2,2)="05","전라",MID(K3120,2,2)="06","전라",MID(K3120,2,2)="07","경북",MID(K3120,2,2)="08","경남",MID(K3120,2,2)="09","강원",MID(K3120,2,2)="10","제주",TRUE,"국외")</f>
        <v>경남</v>
      </c>
    </row>
    <row r="3121" spans="1:12" ht="17.25" thickBot="1">
      <c r="A3121" s="3" t="s">
        <v>3044</v>
      </c>
      <c r="B3121" s="3" t="s">
        <v>89</v>
      </c>
      <c r="C3121" s="3" t="s">
        <v>329</v>
      </c>
      <c r="D3121" s="4" t="s">
        <v>254</v>
      </c>
      <c r="E3121" s="4" t="s">
        <v>2523</v>
      </c>
      <c r="F3121" s="4">
        <v>1994</v>
      </c>
      <c r="G3121" s="8">
        <v>-0.1</v>
      </c>
      <c r="H3121" s="4" t="s">
        <v>20</v>
      </c>
      <c r="I3121" s="8">
        <v>0</v>
      </c>
      <c r="J3121" s="3">
        <v>14566</v>
      </c>
      <c r="K3121" s="3">
        <v>50806</v>
      </c>
      <c r="L3121" s="17" t="str" cm="1">
        <f t="array" ref="L3121">_xlfn.IFS(MID(K3121,2,2)="01", "서울", MID(K3121,2,2)="02","경기",MID(K3121,2,2)="03","충청",MID(K3121,2,2)="04","충청",MID(K3121,2,2)="05","전라",MID(K3121,2,2)="06","전라",MID(K3121,2,2)="07","경북",MID(K3121,2,2)="08","경남",MID(K3121,2,2)="09","강원",MID(K3121,2,2)="10","제주",TRUE,"국외")</f>
        <v>경남</v>
      </c>
    </row>
    <row r="3122" spans="1:12" ht="17.25" thickBot="1">
      <c r="A3122" s="3" t="s">
        <v>3045</v>
      </c>
      <c r="B3122" s="3" t="s">
        <v>2491</v>
      </c>
      <c r="C3122" s="3" t="s">
        <v>172</v>
      </c>
      <c r="D3122" s="4" t="s">
        <v>254</v>
      </c>
      <c r="E3122" s="4" t="s">
        <v>20</v>
      </c>
      <c r="F3122" s="4">
        <v>1996</v>
      </c>
      <c r="G3122" s="9"/>
      <c r="H3122" s="4" t="s">
        <v>20</v>
      </c>
      <c r="I3122" s="8">
        <v>-0.1</v>
      </c>
      <c r="J3122" s="3">
        <f>1932</f>
        <v>1932</v>
      </c>
      <c r="K3122" s="3">
        <v>50608</v>
      </c>
      <c r="L3122" s="17" t="str" cm="1">
        <f t="array" ref="L3122">_xlfn.IFS(MID(K3122,2,2)="01", "서울", MID(K3122,2,2)="02","경기",MID(K3122,2,2)="03","충청",MID(K3122,2,2)="04","충청",MID(K3122,2,2)="05","전라",MID(K3122,2,2)="06","전라",MID(K3122,2,2)="07","경북",MID(K3122,2,2)="08","경남",MID(K3122,2,2)="09","강원",MID(K3122,2,2)="10","제주",TRUE,"국외")</f>
        <v>전라</v>
      </c>
    </row>
    <row r="3123" spans="1:12" ht="17.25" thickBot="1">
      <c r="A3123" s="3" t="s">
        <v>2155</v>
      </c>
      <c r="B3123" s="3" t="s">
        <v>66</v>
      </c>
      <c r="C3123" s="3" t="s">
        <v>122</v>
      </c>
      <c r="D3123" s="4" t="s">
        <v>254</v>
      </c>
      <c r="E3123" s="4" t="s">
        <v>2725</v>
      </c>
      <c r="F3123" s="4">
        <v>1994</v>
      </c>
      <c r="G3123" s="8">
        <v>1.2</v>
      </c>
      <c r="H3123" s="4" t="s">
        <v>2725</v>
      </c>
      <c r="I3123" s="8">
        <v>0.7</v>
      </c>
      <c r="J3123" s="3">
        <f>1792</f>
        <v>1792</v>
      </c>
      <c r="K3123" s="3">
        <v>50110</v>
      </c>
      <c r="L3123" s="17" t="str" cm="1">
        <f t="array" ref="L3123">_xlfn.IFS(MID(K3123,2,2)="01", "서울", MID(K3123,2,2)="02","경기",MID(K3123,2,2)="03","충청",MID(K3123,2,2)="04","충청",MID(K3123,2,2)="05","전라",MID(K3123,2,2)="06","전라",MID(K3123,2,2)="07","경북",MID(K3123,2,2)="08","경남",MID(K3123,2,2)="09","강원",MID(K3123,2,2)="10","제주",TRUE,"국외")</f>
        <v>서울</v>
      </c>
    </row>
    <row r="3124" spans="1:12" ht="17.25" thickBot="1">
      <c r="A3124" s="3" t="s">
        <v>1780</v>
      </c>
      <c r="B3124" s="3" t="s">
        <v>25</v>
      </c>
      <c r="C3124" s="3" t="s">
        <v>218</v>
      </c>
      <c r="D3124" s="4" t="s">
        <v>254</v>
      </c>
      <c r="E3124" s="4" t="s">
        <v>9</v>
      </c>
      <c r="F3124" s="4">
        <v>1994</v>
      </c>
      <c r="G3124" s="8">
        <v>0</v>
      </c>
      <c r="H3124" s="4" t="s">
        <v>23</v>
      </c>
      <c r="I3124" s="8">
        <v>6.9</v>
      </c>
      <c r="J3124" s="3">
        <f>1800</f>
        <v>1800</v>
      </c>
      <c r="K3124" s="3">
        <v>50403</v>
      </c>
      <c r="L3124" s="17" t="str" cm="1">
        <f t="array" ref="L3124">_xlfn.IFS(MID(K3124,2,2)="01", "서울", MID(K3124,2,2)="02","경기",MID(K3124,2,2)="03","충청",MID(K3124,2,2)="04","충청",MID(K3124,2,2)="05","전라",MID(K3124,2,2)="06","전라",MID(K3124,2,2)="07","경북",MID(K3124,2,2)="08","경남",MID(K3124,2,2)="09","강원",MID(K3124,2,2)="10","제주",TRUE,"국외")</f>
        <v>충청</v>
      </c>
    </row>
    <row r="3125" spans="1:12" ht="17.25" thickBot="1">
      <c r="A3125" s="3" t="s">
        <v>3046</v>
      </c>
      <c r="B3125" s="3"/>
      <c r="C3125" s="3" t="s">
        <v>549</v>
      </c>
      <c r="D3125" s="4" t="s">
        <v>254</v>
      </c>
      <c r="E3125" s="4" t="s">
        <v>23</v>
      </c>
      <c r="F3125" s="4">
        <v>1994</v>
      </c>
      <c r="G3125" s="8">
        <v>0</v>
      </c>
      <c r="H3125" s="4" t="s">
        <v>23</v>
      </c>
      <c r="I3125" s="8">
        <v>-0.9</v>
      </c>
      <c r="J3125" s="3">
        <f>1820</f>
        <v>1820</v>
      </c>
      <c r="K3125" s="3"/>
      <c r="L3125" s="17" t="str" cm="1">
        <f t="array" ref="L3125">_xlfn.IFS(MID(K3125,2,2)="01", "서울", MID(K3125,2,2)="02","경기",MID(K3125,2,2)="03","충청",MID(K3125,2,2)="04","충청",MID(K3125,2,2)="05","전라",MID(K3125,2,2)="06","전라",MID(K3125,2,2)="07","경북",MID(K3125,2,2)="08","경남",MID(K3125,2,2)="09","강원",MID(K3125,2,2)="10","제주",TRUE,"국외")</f>
        <v>국외</v>
      </c>
    </row>
    <row r="3126" spans="1:12" ht="17.25" thickBot="1">
      <c r="A3126" s="3" t="s">
        <v>3047</v>
      </c>
      <c r="B3126" s="3" t="s">
        <v>11</v>
      </c>
      <c r="C3126" s="3" t="s">
        <v>119</v>
      </c>
      <c r="D3126" s="4" t="s">
        <v>254</v>
      </c>
      <c r="E3126" s="4" t="s">
        <v>2661</v>
      </c>
      <c r="F3126" s="4">
        <v>1994</v>
      </c>
      <c r="G3126" s="8">
        <v>-0.2</v>
      </c>
      <c r="H3126" s="4" t="s">
        <v>2661</v>
      </c>
      <c r="I3126" s="8">
        <v>1.7</v>
      </c>
      <c r="J3126" s="3">
        <f>1854</f>
        <v>1854</v>
      </c>
      <c r="K3126" s="3">
        <v>50802</v>
      </c>
      <c r="L3126" s="17" t="str" cm="1">
        <f t="array" ref="L3126">_xlfn.IFS(MID(K3126,2,2)="01", "서울", MID(K3126,2,2)="02","경기",MID(K3126,2,2)="03","충청",MID(K3126,2,2)="04","충청",MID(K3126,2,2)="05","전라",MID(K3126,2,2)="06","전라",MID(K3126,2,2)="07","경북",MID(K3126,2,2)="08","경남",MID(K3126,2,2)="09","강원",MID(K3126,2,2)="10","제주",TRUE,"국외")</f>
        <v>경남</v>
      </c>
    </row>
    <row r="3127" spans="1:12" ht="17.25" thickBot="1">
      <c r="A3127" s="3" t="s">
        <v>3048</v>
      </c>
      <c r="B3127" s="3" t="s">
        <v>52</v>
      </c>
      <c r="C3127" s="3" t="s">
        <v>483</v>
      </c>
      <c r="D3127" s="4" t="s">
        <v>254</v>
      </c>
      <c r="E3127" s="4" t="s">
        <v>2968</v>
      </c>
      <c r="F3127" s="4">
        <v>1994</v>
      </c>
      <c r="G3127" s="8">
        <v>-0.2</v>
      </c>
      <c r="H3127" s="4" t="s">
        <v>2661</v>
      </c>
      <c r="I3127" s="8">
        <v>-0.1</v>
      </c>
      <c r="J3127" s="3">
        <f>1794</f>
        <v>1794</v>
      </c>
      <c r="K3127" s="3">
        <v>50803</v>
      </c>
      <c r="L3127" s="17" t="str" cm="1">
        <f t="array" ref="L3127">_xlfn.IFS(MID(K3127,2,2)="01", "서울", MID(K3127,2,2)="02","경기",MID(K3127,2,2)="03","충청",MID(K3127,2,2)="04","충청",MID(K3127,2,2)="05","전라",MID(K3127,2,2)="06","전라",MID(K3127,2,2)="07","경북",MID(K3127,2,2)="08","경남",MID(K3127,2,2)="09","강원",MID(K3127,2,2)="10","제주",TRUE,"국외")</f>
        <v>경남</v>
      </c>
    </row>
    <row r="3128" spans="1:12" ht="17.25" thickBot="1">
      <c r="A3128" s="3" t="s">
        <v>2622</v>
      </c>
      <c r="B3128" s="3" t="s">
        <v>52</v>
      </c>
      <c r="C3128" s="3" t="s">
        <v>483</v>
      </c>
      <c r="D3128" s="4" t="s">
        <v>254</v>
      </c>
      <c r="E3128" s="4" t="s">
        <v>2968</v>
      </c>
      <c r="F3128" s="4">
        <v>1994</v>
      </c>
      <c r="G3128" s="8">
        <v>-0.1</v>
      </c>
      <c r="H3128" s="4" t="s">
        <v>2968</v>
      </c>
      <c r="I3128" s="8">
        <v>0.2</v>
      </c>
      <c r="J3128" s="3">
        <f>1795</f>
        <v>1795</v>
      </c>
      <c r="K3128" s="3">
        <v>50803</v>
      </c>
      <c r="L3128" s="17" t="str" cm="1">
        <f t="array" ref="L3128">_xlfn.IFS(MID(K3128,2,2)="01", "서울", MID(K3128,2,2)="02","경기",MID(K3128,2,2)="03","충청",MID(K3128,2,2)="04","충청",MID(K3128,2,2)="05","전라",MID(K3128,2,2)="06","전라",MID(K3128,2,2)="07","경북",MID(K3128,2,2)="08","경남",MID(K3128,2,2)="09","강원",MID(K3128,2,2)="10","제주",TRUE,"국외")</f>
        <v>경남</v>
      </c>
    </row>
    <row r="3129" spans="1:12" ht="17.25" thickBot="1">
      <c r="A3129" s="3" t="s">
        <v>3049</v>
      </c>
      <c r="B3129" s="3" t="s">
        <v>11</v>
      </c>
      <c r="C3129" s="3" t="s">
        <v>119</v>
      </c>
      <c r="D3129" s="4" t="s">
        <v>254</v>
      </c>
      <c r="E3129" s="4" t="s">
        <v>3</v>
      </c>
      <c r="F3129" s="4">
        <v>1994</v>
      </c>
      <c r="G3129" s="8">
        <v>0</v>
      </c>
      <c r="H3129" s="4" t="s">
        <v>3</v>
      </c>
      <c r="I3129" s="8">
        <v>-0.1</v>
      </c>
      <c r="J3129" s="3">
        <f>1810</f>
        <v>1810</v>
      </c>
      <c r="K3129" s="3">
        <v>50802</v>
      </c>
      <c r="L3129" s="17" t="str" cm="1">
        <f t="array" ref="L3129">_xlfn.IFS(MID(K3129,2,2)="01", "서울", MID(K3129,2,2)="02","경기",MID(K3129,2,2)="03","충청",MID(K3129,2,2)="04","충청",MID(K3129,2,2)="05","전라",MID(K3129,2,2)="06","전라",MID(K3129,2,2)="07","경북",MID(K3129,2,2)="08","경남",MID(K3129,2,2)="09","강원",MID(K3129,2,2)="10","제주",TRUE,"국외")</f>
        <v>경남</v>
      </c>
    </row>
    <row r="3130" spans="1:12" ht="17.25" thickBot="1">
      <c r="A3130" s="3" t="s">
        <v>3050</v>
      </c>
      <c r="B3130" s="3" t="s">
        <v>34</v>
      </c>
      <c r="C3130" s="3" t="s">
        <v>739</v>
      </c>
      <c r="D3130" s="4" t="s">
        <v>254</v>
      </c>
      <c r="E3130" s="4" t="s">
        <v>2523</v>
      </c>
      <c r="F3130" s="4">
        <v>1994</v>
      </c>
      <c r="G3130" s="8">
        <v>0</v>
      </c>
      <c r="H3130" s="4" t="s">
        <v>2523</v>
      </c>
      <c r="I3130" s="8">
        <v>0</v>
      </c>
      <c r="J3130" s="3">
        <f>1796</f>
        <v>1796</v>
      </c>
      <c r="K3130" s="3">
        <v>50701</v>
      </c>
      <c r="L3130" s="17" t="str" cm="1">
        <f t="array" ref="L3130">_xlfn.IFS(MID(K3130,2,2)="01", "서울", MID(K3130,2,2)="02","경기",MID(K3130,2,2)="03","충청",MID(K3130,2,2)="04","충청",MID(K3130,2,2)="05","전라",MID(K3130,2,2)="06","전라",MID(K3130,2,2)="07","경북",MID(K3130,2,2)="08","경남",MID(K3130,2,2)="09","강원",MID(K3130,2,2)="10","제주",TRUE,"국외")</f>
        <v>경북</v>
      </c>
    </row>
    <row r="3131" spans="1:12" ht="17.25" thickBot="1">
      <c r="A3131" s="3" t="s">
        <v>3051</v>
      </c>
      <c r="B3131" s="3" t="s">
        <v>66</v>
      </c>
      <c r="C3131" s="3" t="s">
        <v>45</v>
      </c>
      <c r="D3131" s="4" t="s">
        <v>254</v>
      </c>
      <c r="E3131" s="4" t="s">
        <v>20</v>
      </c>
      <c r="F3131" s="4">
        <v>1994</v>
      </c>
      <c r="G3131" s="8">
        <v>0.4</v>
      </c>
      <c r="H3131" s="4" t="s">
        <v>20</v>
      </c>
      <c r="I3131" s="8">
        <v>2.2999999999999998</v>
      </c>
      <c r="J3131" s="3">
        <f>1850</f>
        <v>1850</v>
      </c>
      <c r="K3131" s="3">
        <v>50110</v>
      </c>
      <c r="L3131" s="17" t="str" cm="1">
        <f t="array" ref="L3131">_xlfn.IFS(MID(K3131,2,2)="01", "서울", MID(K3131,2,2)="02","경기",MID(K3131,2,2)="03","충청",MID(K3131,2,2)="04","충청",MID(K3131,2,2)="05","전라",MID(K3131,2,2)="06","전라",MID(K3131,2,2)="07","경북",MID(K3131,2,2)="08","경남",MID(K3131,2,2)="09","강원",MID(K3131,2,2)="10","제주",TRUE,"국외")</f>
        <v>서울</v>
      </c>
    </row>
    <row r="3132" spans="1:12" ht="17.25" thickBot="1">
      <c r="A3132" s="3" t="s">
        <v>3052</v>
      </c>
      <c r="B3132" s="3" t="s">
        <v>3038</v>
      </c>
      <c r="C3132" s="3" t="s">
        <v>83</v>
      </c>
      <c r="D3132" s="4" t="s">
        <v>254</v>
      </c>
      <c r="E3132" s="4" t="s">
        <v>2725</v>
      </c>
      <c r="F3132" s="4">
        <v>1994</v>
      </c>
      <c r="G3132" s="8">
        <v>2.2000000000000002</v>
      </c>
      <c r="H3132" s="4" t="s">
        <v>2725</v>
      </c>
      <c r="I3132" s="8">
        <v>4</v>
      </c>
      <c r="J3132" s="3">
        <f>1863</f>
        <v>1863</v>
      </c>
      <c r="K3132" s="3">
        <v>50126</v>
      </c>
      <c r="L3132" s="17" t="str" cm="1">
        <f t="array" ref="L3132">_xlfn.IFS(MID(K3132,2,2)="01", "서울", MID(K3132,2,2)="02","경기",MID(K3132,2,2)="03","충청",MID(K3132,2,2)="04","충청",MID(K3132,2,2)="05","전라",MID(K3132,2,2)="06","전라",MID(K3132,2,2)="07","경북",MID(K3132,2,2)="08","경남",MID(K3132,2,2)="09","강원",MID(K3132,2,2)="10","제주",TRUE,"국외")</f>
        <v>서울</v>
      </c>
    </row>
    <row r="3133" spans="1:12" ht="17.25" thickBot="1">
      <c r="A3133" s="3" t="s">
        <v>3053</v>
      </c>
      <c r="B3133" s="3" t="s">
        <v>50</v>
      </c>
      <c r="C3133" s="3" t="s">
        <v>172</v>
      </c>
      <c r="D3133" s="4" t="s">
        <v>254</v>
      </c>
      <c r="E3133" s="4" t="s">
        <v>9</v>
      </c>
      <c r="F3133" s="4">
        <v>1994</v>
      </c>
      <c r="G3133" s="8">
        <v>0.3</v>
      </c>
      <c r="H3133" s="4" t="s">
        <v>9</v>
      </c>
      <c r="I3133" s="8">
        <v>-0.5</v>
      </c>
      <c r="J3133" s="3">
        <f>1809</f>
        <v>1809</v>
      </c>
      <c r="K3133" s="3">
        <v>50301</v>
      </c>
      <c r="L3133" s="17" t="str" cm="1">
        <f t="array" ref="L3133">_xlfn.IFS(MID(K3133,2,2)="01", "서울", MID(K3133,2,2)="02","경기",MID(K3133,2,2)="03","충청",MID(K3133,2,2)="04","충청",MID(K3133,2,2)="05","전라",MID(K3133,2,2)="06","전라",MID(K3133,2,2)="07","경북",MID(K3133,2,2)="08","경남",MID(K3133,2,2)="09","강원",MID(K3133,2,2)="10","제주",TRUE,"국외")</f>
        <v>충청</v>
      </c>
    </row>
    <row r="3134" spans="1:12" ht="17.25" thickBot="1">
      <c r="A3134" s="3" t="s">
        <v>2526</v>
      </c>
      <c r="B3134" s="3" t="s">
        <v>93</v>
      </c>
      <c r="C3134" s="3" t="s">
        <v>211</v>
      </c>
      <c r="D3134" s="4" t="s">
        <v>254</v>
      </c>
      <c r="E3134" s="4" t="s">
        <v>23</v>
      </c>
      <c r="F3134" s="4">
        <v>1994</v>
      </c>
      <c r="G3134" s="8">
        <v>0.3</v>
      </c>
      <c r="H3134" s="4" t="s">
        <v>23</v>
      </c>
      <c r="I3134" s="8">
        <v>7.4</v>
      </c>
      <c r="J3134" s="3">
        <f>1803</f>
        <v>1803</v>
      </c>
      <c r="K3134" s="3">
        <v>50805</v>
      </c>
      <c r="L3134" s="17" t="str" cm="1">
        <f t="array" ref="L3134">_xlfn.IFS(MID(K3134,2,2)="01", "서울", MID(K3134,2,2)="02","경기",MID(K3134,2,2)="03","충청",MID(K3134,2,2)="04","충청",MID(K3134,2,2)="05","전라",MID(K3134,2,2)="06","전라",MID(K3134,2,2)="07","경북",MID(K3134,2,2)="08","경남",MID(K3134,2,2)="09","강원",MID(K3134,2,2)="10","제주",TRUE,"국외")</f>
        <v>경남</v>
      </c>
    </row>
    <row r="3135" spans="1:12" ht="17.25" thickBot="1">
      <c r="A3135" s="3" t="s">
        <v>3054</v>
      </c>
      <c r="B3135" s="3" t="s">
        <v>5</v>
      </c>
      <c r="C3135" s="3" t="s">
        <v>172</v>
      </c>
      <c r="D3135" s="4" t="s">
        <v>254</v>
      </c>
      <c r="E3135" s="4" t="s">
        <v>2661</v>
      </c>
      <c r="F3135" s="4">
        <v>1994</v>
      </c>
      <c r="G3135" s="8">
        <v>-0.6</v>
      </c>
      <c r="H3135" s="4" t="s">
        <v>2661</v>
      </c>
      <c r="I3135" s="8">
        <v>-0.6</v>
      </c>
      <c r="J3135" s="3">
        <f>1856</f>
        <v>1856</v>
      </c>
      <c r="K3135" s="3">
        <v>50114</v>
      </c>
      <c r="L3135" s="17" t="str" cm="1">
        <f t="array" ref="L3135">_xlfn.IFS(MID(K3135,2,2)="01", "서울", MID(K3135,2,2)="02","경기",MID(K3135,2,2)="03","충청",MID(K3135,2,2)="04","충청",MID(K3135,2,2)="05","전라",MID(K3135,2,2)="06","전라",MID(K3135,2,2)="07","경북",MID(K3135,2,2)="08","경남",MID(K3135,2,2)="09","강원",MID(K3135,2,2)="10","제주",TRUE,"국외")</f>
        <v>서울</v>
      </c>
    </row>
    <row r="3136" spans="1:12" ht="17.25" thickBot="1">
      <c r="A3136" s="3" t="s">
        <v>3055</v>
      </c>
      <c r="B3136" s="3" t="s">
        <v>66</v>
      </c>
      <c r="C3136" s="3" t="s">
        <v>122</v>
      </c>
      <c r="D3136" s="4" t="s">
        <v>254</v>
      </c>
      <c r="E3136" s="4" t="s">
        <v>2523</v>
      </c>
      <c r="F3136" s="4">
        <v>1994</v>
      </c>
      <c r="G3136" s="8">
        <v>-0.2</v>
      </c>
      <c r="H3136" s="4" t="s">
        <v>2523</v>
      </c>
      <c r="I3136" s="8">
        <v>3.3</v>
      </c>
      <c r="J3136" s="3">
        <f>1787</f>
        <v>1787</v>
      </c>
      <c r="K3136" s="3">
        <v>50110</v>
      </c>
      <c r="L3136" s="17" t="str" cm="1">
        <f t="array" ref="L3136">_xlfn.IFS(MID(K3136,2,2)="01", "서울", MID(K3136,2,2)="02","경기",MID(K3136,2,2)="03","충청",MID(K3136,2,2)="04","충청",MID(K3136,2,2)="05","전라",MID(K3136,2,2)="06","전라",MID(K3136,2,2)="07","경북",MID(K3136,2,2)="08","경남",MID(K3136,2,2)="09","강원",MID(K3136,2,2)="10","제주",TRUE,"국외")</f>
        <v>서울</v>
      </c>
    </row>
    <row r="3137" spans="1:12" ht="17.25" thickBot="1">
      <c r="A3137" s="3" t="s">
        <v>3056</v>
      </c>
      <c r="B3137" s="3" t="s">
        <v>3038</v>
      </c>
      <c r="C3137" s="3" t="s">
        <v>211</v>
      </c>
      <c r="D3137" s="4" t="s">
        <v>254</v>
      </c>
      <c r="E3137" s="4" t="s">
        <v>20</v>
      </c>
      <c r="F3137" s="4">
        <v>1994</v>
      </c>
      <c r="G3137" s="8">
        <v>0</v>
      </c>
      <c r="H3137" s="4" t="s">
        <v>20</v>
      </c>
      <c r="I3137" s="8">
        <v>3.4</v>
      </c>
      <c r="J3137" s="3">
        <v>10481</v>
      </c>
      <c r="K3137" s="3">
        <v>50126</v>
      </c>
      <c r="L3137" s="17" t="str" cm="1">
        <f t="array" ref="L3137">_xlfn.IFS(MID(K3137,2,2)="01", "서울", MID(K3137,2,2)="02","경기",MID(K3137,2,2)="03","충청",MID(K3137,2,2)="04","충청",MID(K3137,2,2)="05","전라",MID(K3137,2,2)="06","전라",MID(K3137,2,2)="07","경북",MID(K3137,2,2)="08","경남",MID(K3137,2,2)="09","강원",MID(K3137,2,2)="10","제주",TRUE,"국외")</f>
        <v>서울</v>
      </c>
    </row>
    <row r="3138" spans="1:12" ht="17.25" thickBot="1">
      <c r="A3138" s="3" t="s">
        <v>3057</v>
      </c>
      <c r="B3138" s="3" t="s">
        <v>11</v>
      </c>
      <c r="C3138" s="3"/>
      <c r="D3138" s="4" t="s">
        <v>254</v>
      </c>
      <c r="E3138" s="4" t="s">
        <v>9</v>
      </c>
      <c r="F3138" s="4">
        <v>1994</v>
      </c>
      <c r="G3138" s="8">
        <v>0</v>
      </c>
      <c r="H3138" s="4" t="s">
        <v>9</v>
      </c>
      <c r="I3138" s="8">
        <v>0</v>
      </c>
      <c r="J3138" s="3">
        <f>1831</f>
        <v>1831</v>
      </c>
      <c r="K3138" s="3">
        <v>50802</v>
      </c>
      <c r="L3138" s="17" t="str" cm="1">
        <f t="array" ref="L3138">_xlfn.IFS(MID(K3138,2,2)="01", "서울", MID(K3138,2,2)="02","경기",MID(K3138,2,2)="03","충청",MID(K3138,2,2)="04","충청",MID(K3138,2,2)="05","전라",MID(K3138,2,2)="06","전라",MID(K3138,2,2)="07","경북",MID(K3138,2,2)="08","경남",MID(K3138,2,2)="09","강원",MID(K3138,2,2)="10","제주",TRUE,"국외")</f>
        <v>경남</v>
      </c>
    </row>
    <row r="3139" spans="1:12" ht="17.25" thickBot="1">
      <c r="A3139" s="3" t="s">
        <v>3058</v>
      </c>
      <c r="B3139" s="3" t="s">
        <v>93</v>
      </c>
      <c r="C3139" s="3" t="s">
        <v>329</v>
      </c>
      <c r="D3139" s="4" t="s">
        <v>254</v>
      </c>
      <c r="E3139" s="4" t="s">
        <v>3</v>
      </c>
      <c r="F3139" s="4">
        <v>1994</v>
      </c>
      <c r="G3139" s="8">
        <v>-0.3</v>
      </c>
      <c r="H3139" s="4" t="s">
        <v>3</v>
      </c>
      <c r="I3139" s="8">
        <v>-1.1000000000000001</v>
      </c>
      <c r="J3139" s="3">
        <f>1862</f>
        <v>1862</v>
      </c>
      <c r="K3139" s="3">
        <v>50805</v>
      </c>
      <c r="L3139" s="17" t="str" cm="1">
        <f t="array" ref="L3139">_xlfn.IFS(MID(K3139,2,2)="01", "서울", MID(K3139,2,2)="02","경기",MID(K3139,2,2)="03","충청",MID(K3139,2,2)="04","충청",MID(K3139,2,2)="05","전라",MID(K3139,2,2)="06","전라",MID(K3139,2,2)="07","경북",MID(K3139,2,2)="08","경남",MID(K3139,2,2)="09","강원",MID(K3139,2,2)="10","제주",TRUE,"국외")</f>
        <v>경남</v>
      </c>
    </row>
    <row r="3140" spans="1:12" ht="17.25" thickBot="1">
      <c r="A3140" s="3" t="s">
        <v>3059</v>
      </c>
      <c r="B3140" s="3" t="s">
        <v>335</v>
      </c>
      <c r="C3140" s="3" t="s">
        <v>329</v>
      </c>
      <c r="D3140" s="4" t="s">
        <v>254</v>
      </c>
      <c r="E3140" s="4" t="s">
        <v>23</v>
      </c>
      <c r="F3140" s="4">
        <v>1994</v>
      </c>
      <c r="G3140" s="8">
        <v>-0.5</v>
      </c>
      <c r="H3140" s="4" t="s">
        <v>23</v>
      </c>
      <c r="I3140" s="8">
        <v>-0.7</v>
      </c>
      <c r="J3140" s="3">
        <f>1829</f>
        <v>1829</v>
      </c>
      <c r="K3140" s="3">
        <v>50804</v>
      </c>
      <c r="L3140" s="17" t="str" cm="1">
        <f t="array" ref="L3140">_xlfn.IFS(MID(K3140,2,2)="01", "서울", MID(K3140,2,2)="02","경기",MID(K3140,2,2)="03","충청",MID(K3140,2,2)="04","충청",MID(K3140,2,2)="05","전라",MID(K3140,2,2)="06","전라",MID(K3140,2,2)="07","경북",MID(K3140,2,2)="08","경남",MID(K3140,2,2)="09","강원",MID(K3140,2,2)="10","제주",TRUE,"국외")</f>
        <v>경남</v>
      </c>
    </row>
    <row r="3141" spans="1:12" ht="17.25" thickBot="1">
      <c r="A3141" s="3" t="s">
        <v>1187</v>
      </c>
      <c r="B3141" s="3" t="s">
        <v>66</v>
      </c>
      <c r="C3141" s="3" t="s">
        <v>119</v>
      </c>
      <c r="D3141" s="4" t="s">
        <v>254</v>
      </c>
      <c r="E3141" s="4" t="s">
        <v>2661</v>
      </c>
      <c r="F3141" s="4">
        <v>1994</v>
      </c>
      <c r="G3141" s="8">
        <v>0.5</v>
      </c>
      <c r="H3141" s="4" t="s">
        <v>2661</v>
      </c>
      <c r="I3141" s="8">
        <v>1.3</v>
      </c>
      <c r="J3141" s="3">
        <f>1801</f>
        <v>1801</v>
      </c>
      <c r="K3141" s="3">
        <v>50110</v>
      </c>
      <c r="L3141" s="17" t="str" cm="1">
        <f t="array" ref="L3141">_xlfn.IFS(MID(K3141,2,2)="01", "서울", MID(K3141,2,2)="02","경기",MID(K3141,2,2)="03","충청",MID(K3141,2,2)="04","충청",MID(K3141,2,2)="05","전라",MID(K3141,2,2)="06","전라",MID(K3141,2,2)="07","경북",MID(K3141,2,2)="08","경남",MID(K3141,2,2)="09","강원",MID(K3141,2,2)="10","제주",TRUE,"국외")</f>
        <v>서울</v>
      </c>
    </row>
    <row r="3142" spans="1:12" ht="17.25" thickBot="1">
      <c r="A3142" s="3" t="s">
        <v>3060</v>
      </c>
      <c r="B3142" s="3" t="s">
        <v>5</v>
      </c>
      <c r="C3142" s="3" t="s">
        <v>172</v>
      </c>
      <c r="D3142" s="4" t="s">
        <v>254</v>
      </c>
      <c r="E3142" s="4" t="s">
        <v>2968</v>
      </c>
      <c r="F3142" s="4">
        <v>1994</v>
      </c>
      <c r="G3142" s="8">
        <v>0.2</v>
      </c>
      <c r="H3142" s="4" t="s">
        <v>2164</v>
      </c>
      <c r="I3142" s="8">
        <v>0.7</v>
      </c>
      <c r="J3142" s="3">
        <f>1784</f>
        <v>1784</v>
      </c>
      <c r="K3142" s="3">
        <v>50114</v>
      </c>
      <c r="L3142" s="17" t="str" cm="1">
        <f t="array" ref="L3142">_xlfn.IFS(MID(K3142,2,2)="01", "서울", MID(K3142,2,2)="02","경기",MID(K3142,2,2)="03","충청",MID(K3142,2,2)="04","충청",MID(K3142,2,2)="05","전라",MID(K3142,2,2)="06","전라",MID(K3142,2,2)="07","경북",MID(K3142,2,2)="08","경남",MID(K3142,2,2)="09","강원",MID(K3142,2,2)="10","제주",TRUE,"국외")</f>
        <v>서울</v>
      </c>
    </row>
    <row r="3143" spans="1:12" ht="17.25" thickBot="1">
      <c r="A3143" s="3" t="s">
        <v>3061</v>
      </c>
      <c r="B3143" s="3" t="s">
        <v>121</v>
      </c>
      <c r="C3143" s="3"/>
      <c r="D3143" s="4" t="s">
        <v>254</v>
      </c>
      <c r="E3143" s="4" t="s">
        <v>2523</v>
      </c>
      <c r="F3143" s="4">
        <v>1994</v>
      </c>
      <c r="G3143" s="8">
        <v>0</v>
      </c>
      <c r="H3143" s="4" t="s">
        <v>2523</v>
      </c>
      <c r="I3143" s="8">
        <v>-0.1</v>
      </c>
      <c r="J3143" s="3">
        <f>1812</f>
        <v>1812</v>
      </c>
      <c r="K3143" s="3">
        <v>50604</v>
      </c>
      <c r="L3143" s="17" t="str" cm="1">
        <f t="array" ref="L3143">_xlfn.IFS(MID(K3143,2,2)="01", "서울", MID(K3143,2,2)="02","경기",MID(K3143,2,2)="03","충청",MID(K3143,2,2)="04","충청",MID(K3143,2,2)="05","전라",MID(K3143,2,2)="06","전라",MID(K3143,2,2)="07","경북",MID(K3143,2,2)="08","경남",MID(K3143,2,2)="09","강원",MID(K3143,2,2)="10","제주",TRUE,"국외")</f>
        <v>전라</v>
      </c>
    </row>
    <row r="3144" spans="1:12" ht="17.25" thickBot="1">
      <c r="A3144" s="3" t="s">
        <v>3062</v>
      </c>
      <c r="B3144" s="3" t="s">
        <v>241</v>
      </c>
      <c r="C3144" s="3" t="s">
        <v>549</v>
      </c>
      <c r="D3144" s="4" t="s">
        <v>254</v>
      </c>
      <c r="E3144" s="4" t="s">
        <v>20</v>
      </c>
      <c r="F3144" s="4">
        <v>1994</v>
      </c>
      <c r="G3144" s="8">
        <v>0.9</v>
      </c>
      <c r="H3144" s="4" t="s">
        <v>2661</v>
      </c>
      <c r="I3144" s="8">
        <v>0.1</v>
      </c>
      <c r="J3144" s="3">
        <f>1849</f>
        <v>1849</v>
      </c>
      <c r="K3144" s="3">
        <v>50202</v>
      </c>
      <c r="L3144" s="17" t="str" cm="1">
        <f t="array" ref="L3144">_xlfn.IFS(MID(K3144,2,2)="01", "서울", MID(K3144,2,2)="02","경기",MID(K3144,2,2)="03","충청",MID(K3144,2,2)="04","충청",MID(K3144,2,2)="05","전라",MID(K3144,2,2)="06","전라",MID(K3144,2,2)="07","경북",MID(K3144,2,2)="08","경남",MID(K3144,2,2)="09","강원",MID(K3144,2,2)="10","제주",TRUE,"국외")</f>
        <v>경기</v>
      </c>
    </row>
    <row r="3145" spans="1:12" ht="17.25" thickBot="1">
      <c r="A3145" s="3" t="s">
        <v>3063</v>
      </c>
      <c r="B3145" s="3" t="s">
        <v>93</v>
      </c>
      <c r="C3145" s="3" t="s">
        <v>45</v>
      </c>
      <c r="D3145" s="4" t="s">
        <v>254</v>
      </c>
      <c r="E3145" s="4" t="s">
        <v>2661</v>
      </c>
      <c r="F3145" s="4">
        <v>1994</v>
      </c>
      <c r="G3145" s="8">
        <v>1.5</v>
      </c>
      <c r="H3145" s="4" t="s">
        <v>2661</v>
      </c>
      <c r="I3145" s="8">
        <v>21.5</v>
      </c>
      <c r="J3145" s="3">
        <v>12657</v>
      </c>
      <c r="K3145" s="3">
        <v>50805</v>
      </c>
      <c r="L3145" s="17" t="str" cm="1">
        <f t="array" ref="L3145">_xlfn.IFS(MID(K3145,2,2)="01", "서울", MID(K3145,2,2)="02","경기",MID(K3145,2,2)="03","충청",MID(K3145,2,2)="04","충청",MID(K3145,2,2)="05","전라",MID(K3145,2,2)="06","전라",MID(K3145,2,2)="07","경북",MID(K3145,2,2)="08","경남",MID(K3145,2,2)="09","강원",MID(K3145,2,2)="10","제주",TRUE,"국외")</f>
        <v>경남</v>
      </c>
    </row>
    <row r="3146" spans="1:12" ht="17.25" thickBot="1">
      <c r="A3146" s="3" t="s">
        <v>3064</v>
      </c>
      <c r="B3146" s="3" t="s">
        <v>38</v>
      </c>
      <c r="C3146" s="3" t="s">
        <v>122</v>
      </c>
      <c r="D3146" s="4" t="s">
        <v>254</v>
      </c>
      <c r="E3146" s="4" t="s">
        <v>20</v>
      </c>
      <c r="F3146" s="4">
        <v>1994</v>
      </c>
      <c r="G3146" s="8">
        <v>3.7</v>
      </c>
      <c r="H3146" s="4" t="s">
        <v>20</v>
      </c>
      <c r="I3146" s="8">
        <v>10.8</v>
      </c>
      <c r="J3146" s="3">
        <f>1782</f>
        <v>1782</v>
      </c>
      <c r="K3146" s="3">
        <v>50109</v>
      </c>
      <c r="L3146" s="17" t="str" cm="1">
        <f t="array" ref="L3146">_xlfn.IFS(MID(K3146,2,2)="01", "서울", MID(K3146,2,2)="02","경기",MID(K3146,2,2)="03","충청",MID(K3146,2,2)="04","충청",MID(K3146,2,2)="05","전라",MID(K3146,2,2)="06","전라",MID(K3146,2,2)="07","경북",MID(K3146,2,2)="08","경남",MID(K3146,2,2)="09","강원",MID(K3146,2,2)="10","제주",TRUE,"국외")</f>
        <v>서울</v>
      </c>
    </row>
    <row r="3147" spans="1:12" ht="17.25" thickBot="1">
      <c r="A3147" s="3" t="s">
        <v>3065</v>
      </c>
      <c r="B3147" s="3" t="s">
        <v>2470</v>
      </c>
      <c r="C3147" s="3"/>
      <c r="D3147" s="4" t="s">
        <v>181</v>
      </c>
      <c r="E3147" s="4" t="s">
        <v>9</v>
      </c>
      <c r="F3147" s="4">
        <v>1994</v>
      </c>
      <c r="G3147" s="8">
        <v>0.6</v>
      </c>
      <c r="H3147" s="4" t="s">
        <v>9</v>
      </c>
      <c r="I3147" s="8">
        <v>17.7</v>
      </c>
      <c r="J3147" s="3">
        <v>10511</v>
      </c>
      <c r="K3147" s="3">
        <v>50813</v>
      </c>
      <c r="L3147" s="17" t="str" cm="1">
        <f t="array" ref="L3147">_xlfn.IFS(MID(K3147,2,2)="01", "서울", MID(K3147,2,2)="02","경기",MID(K3147,2,2)="03","충청",MID(K3147,2,2)="04","충청",MID(K3147,2,2)="05","전라",MID(K3147,2,2)="06","전라",MID(K3147,2,2)="07","경북",MID(K3147,2,2)="08","경남",MID(K3147,2,2)="09","강원",MID(K3147,2,2)="10","제주",TRUE,"국외")</f>
        <v>경남</v>
      </c>
    </row>
    <row r="3148" spans="1:12" ht="17.25" thickBot="1">
      <c r="A3148" s="3" t="s">
        <v>3066</v>
      </c>
      <c r="B3148" s="3" t="s">
        <v>722</v>
      </c>
      <c r="C3148" s="3"/>
      <c r="D3148" s="4" t="s">
        <v>181</v>
      </c>
      <c r="E3148" s="4" t="s">
        <v>9</v>
      </c>
      <c r="F3148" s="4">
        <v>1994</v>
      </c>
      <c r="G3148" s="8">
        <v>-0.6</v>
      </c>
      <c r="H3148" s="4" t="s">
        <v>9</v>
      </c>
      <c r="I3148" s="8">
        <v>-0.6</v>
      </c>
      <c r="J3148" s="3">
        <f>1833</f>
        <v>1833</v>
      </c>
      <c r="K3148" s="3">
        <v>51100</v>
      </c>
      <c r="L3148" s="17" t="str" cm="1">
        <f t="array" ref="L3148">_xlfn.IFS(MID(K3148,2,2)="01", "서울", MID(K3148,2,2)="02","경기",MID(K3148,2,2)="03","충청",MID(K3148,2,2)="04","충청",MID(K3148,2,2)="05","전라",MID(K3148,2,2)="06","전라",MID(K3148,2,2)="07","경북",MID(K3148,2,2)="08","경남",MID(K3148,2,2)="09","강원",MID(K3148,2,2)="10","제주",TRUE,"국외")</f>
        <v>국외</v>
      </c>
    </row>
    <row r="3149" spans="1:12" ht="17.25" thickBot="1">
      <c r="A3149" s="3" t="s">
        <v>3067</v>
      </c>
      <c r="B3149" s="3"/>
      <c r="C3149" s="3"/>
      <c r="D3149" s="4" t="s">
        <v>181</v>
      </c>
      <c r="E3149" s="4" t="s">
        <v>23</v>
      </c>
      <c r="F3149" s="4">
        <v>1994</v>
      </c>
      <c r="G3149" s="8">
        <v>1.8</v>
      </c>
      <c r="H3149" s="4" t="s">
        <v>2661</v>
      </c>
      <c r="I3149" s="8">
        <v>7.9</v>
      </c>
      <c r="J3149" s="3">
        <f>1797</f>
        <v>1797</v>
      </c>
      <c r="K3149" s="3"/>
      <c r="L3149" s="17" t="str" cm="1">
        <f t="array" ref="L3149">_xlfn.IFS(MID(K3149,2,2)="01", "서울", MID(K3149,2,2)="02","경기",MID(K3149,2,2)="03","충청",MID(K3149,2,2)="04","충청",MID(K3149,2,2)="05","전라",MID(K3149,2,2)="06","전라",MID(K3149,2,2)="07","경북",MID(K3149,2,2)="08","경남",MID(K3149,2,2)="09","강원",MID(K3149,2,2)="10","제주",TRUE,"국외")</f>
        <v>국외</v>
      </c>
    </row>
    <row r="3150" spans="1:12" ht="17.25" thickBot="1">
      <c r="A3150" s="3" t="s">
        <v>3068</v>
      </c>
      <c r="B3150" s="3"/>
      <c r="C3150" s="3"/>
      <c r="D3150" s="4" t="s">
        <v>181</v>
      </c>
      <c r="E3150" s="4" t="s">
        <v>2523</v>
      </c>
      <c r="F3150" s="4">
        <v>1994</v>
      </c>
      <c r="G3150" s="8">
        <v>-1.1000000000000001</v>
      </c>
      <c r="H3150" s="4" t="s">
        <v>2523</v>
      </c>
      <c r="I3150" s="8">
        <v>-1.1000000000000001</v>
      </c>
      <c r="J3150" s="3">
        <f>1788</f>
        <v>1788</v>
      </c>
      <c r="K3150" s="3"/>
      <c r="L3150" s="17" t="str" cm="1">
        <f t="array" ref="L3150">_xlfn.IFS(MID(K3150,2,2)="01", "서울", MID(K3150,2,2)="02","경기",MID(K3150,2,2)="03","충청",MID(K3150,2,2)="04","충청",MID(K3150,2,2)="05","전라",MID(K3150,2,2)="06","전라",MID(K3150,2,2)="07","경북",MID(K3150,2,2)="08","경남",MID(K3150,2,2)="09","강원",MID(K3150,2,2)="10","제주",TRUE,"국외")</f>
        <v>국외</v>
      </c>
    </row>
    <row r="3151" spans="1:12" ht="17.25" thickBot="1">
      <c r="A3151" s="3" t="s">
        <v>3069</v>
      </c>
      <c r="B3151" s="3" t="s">
        <v>40</v>
      </c>
      <c r="C3151" s="3" t="s">
        <v>218</v>
      </c>
      <c r="D3151" s="4" t="s">
        <v>1777</v>
      </c>
      <c r="E3151" s="4" t="s">
        <v>20</v>
      </c>
      <c r="F3151" s="4">
        <v>1996</v>
      </c>
      <c r="G3151" s="9"/>
      <c r="H3151" s="4" t="s">
        <v>20</v>
      </c>
      <c r="I3151" s="8">
        <v>-0.7</v>
      </c>
      <c r="J3151" s="3">
        <f>1953</f>
        <v>1953</v>
      </c>
      <c r="K3151" s="3">
        <v>50108</v>
      </c>
      <c r="L3151" s="17" t="str" cm="1">
        <f t="array" ref="L3151">_xlfn.IFS(MID(K3151,2,2)="01", "서울", MID(K3151,2,2)="02","경기",MID(K3151,2,2)="03","충청",MID(K3151,2,2)="04","충청",MID(K3151,2,2)="05","전라",MID(K3151,2,2)="06","전라",MID(K3151,2,2)="07","경북",MID(K3151,2,2)="08","경남",MID(K3151,2,2)="09","강원",MID(K3151,2,2)="10","제주",TRUE,"국외")</f>
        <v>서울</v>
      </c>
    </row>
    <row r="3152" spans="1:12" ht="17.25" thickBot="1">
      <c r="A3152" s="3" t="s">
        <v>3070</v>
      </c>
      <c r="B3152" s="3" t="s">
        <v>335</v>
      </c>
      <c r="C3152" s="3" t="s">
        <v>122</v>
      </c>
      <c r="D3152" s="4" t="s">
        <v>1777</v>
      </c>
      <c r="E3152" s="4" t="s">
        <v>2725</v>
      </c>
      <c r="F3152" s="4">
        <v>1994</v>
      </c>
      <c r="G3152" s="8">
        <v>0.3</v>
      </c>
      <c r="H3152" s="4" t="s">
        <v>2725</v>
      </c>
      <c r="I3152" s="8">
        <v>0.2</v>
      </c>
      <c r="J3152" s="3">
        <f>1846</f>
        <v>1846</v>
      </c>
      <c r="K3152" s="3">
        <v>50804</v>
      </c>
      <c r="L3152" s="17" t="str" cm="1">
        <f t="array" ref="L3152">_xlfn.IFS(MID(K3152,2,2)="01", "서울", MID(K3152,2,2)="02","경기",MID(K3152,2,2)="03","충청",MID(K3152,2,2)="04","충청",MID(K3152,2,2)="05","전라",MID(K3152,2,2)="06","전라",MID(K3152,2,2)="07","경북",MID(K3152,2,2)="08","경남",MID(K3152,2,2)="09","강원",MID(K3152,2,2)="10","제주",TRUE,"국외")</f>
        <v>경남</v>
      </c>
    </row>
    <row r="3153" spans="1:12" ht="17.25" thickBot="1">
      <c r="A3153" s="3" t="s">
        <v>1192</v>
      </c>
      <c r="B3153" s="3" t="s">
        <v>93</v>
      </c>
      <c r="C3153" s="3" t="s">
        <v>329</v>
      </c>
      <c r="D3153" s="4" t="s">
        <v>1777</v>
      </c>
      <c r="E3153" s="4" t="s">
        <v>9</v>
      </c>
      <c r="F3153" s="4">
        <v>1995</v>
      </c>
      <c r="G3153" s="9"/>
      <c r="H3153" s="4" t="s">
        <v>9</v>
      </c>
      <c r="I3153" s="8">
        <v>-1.3</v>
      </c>
      <c r="J3153" s="3">
        <f>1872</f>
        <v>1872</v>
      </c>
      <c r="K3153" s="3">
        <v>50805</v>
      </c>
      <c r="L3153" s="17" t="str" cm="1">
        <f t="array" ref="L3153">_xlfn.IFS(MID(K3153,2,2)="01", "서울", MID(K3153,2,2)="02","경기",MID(K3153,2,2)="03","충청",MID(K3153,2,2)="04","충청",MID(K3153,2,2)="05","전라",MID(K3153,2,2)="06","전라",MID(K3153,2,2)="07","경북",MID(K3153,2,2)="08","경남",MID(K3153,2,2)="09","강원",MID(K3153,2,2)="10","제주",TRUE,"국외")</f>
        <v>경남</v>
      </c>
    </row>
    <row r="3154" spans="1:12" ht="17.25" thickBot="1">
      <c r="A3154" s="3" t="s">
        <v>3071</v>
      </c>
      <c r="B3154" s="3"/>
      <c r="C3154" s="3" t="s">
        <v>122</v>
      </c>
      <c r="D3154" s="4" t="s">
        <v>1777</v>
      </c>
      <c r="E3154" s="4" t="s">
        <v>23</v>
      </c>
      <c r="F3154" s="4">
        <v>1994</v>
      </c>
      <c r="G3154" s="8">
        <v>-0.1</v>
      </c>
      <c r="H3154" s="4" t="s">
        <v>23</v>
      </c>
      <c r="I3154" s="8">
        <v>-0.1</v>
      </c>
      <c r="J3154" s="3">
        <f>1827</f>
        <v>1827</v>
      </c>
      <c r="K3154" s="3"/>
      <c r="L3154" s="17" t="str" cm="1">
        <f t="array" ref="L3154">_xlfn.IFS(MID(K3154,2,2)="01", "서울", MID(K3154,2,2)="02","경기",MID(K3154,2,2)="03","충청",MID(K3154,2,2)="04","충청",MID(K3154,2,2)="05","전라",MID(K3154,2,2)="06","전라",MID(K3154,2,2)="07","경북",MID(K3154,2,2)="08","경남",MID(K3154,2,2)="09","강원",MID(K3154,2,2)="10","제주",TRUE,"국외")</f>
        <v>국외</v>
      </c>
    </row>
    <row r="3155" spans="1:12" ht="17.25" thickBot="1">
      <c r="A3155" s="3" t="s">
        <v>3072</v>
      </c>
      <c r="B3155" s="3" t="s">
        <v>228</v>
      </c>
      <c r="C3155" s="3" t="s">
        <v>483</v>
      </c>
      <c r="D3155" s="4" t="s">
        <v>1777</v>
      </c>
      <c r="E3155" s="4" t="s">
        <v>23</v>
      </c>
      <c r="F3155" s="4">
        <v>1994</v>
      </c>
      <c r="G3155" s="8">
        <v>0</v>
      </c>
      <c r="H3155" s="4" t="s">
        <v>23</v>
      </c>
      <c r="I3155" s="8">
        <v>10.9</v>
      </c>
      <c r="J3155" s="3">
        <f>1828</f>
        <v>1828</v>
      </c>
      <c r="K3155" s="3">
        <v>50702</v>
      </c>
      <c r="L3155" s="17" t="str" cm="1">
        <f t="array" ref="L3155">_xlfn.IFS(MID(K3155,2,2)="01", "서울", MID(K3155,2,2)="02","경기",MID(K3155,2,2)="03","충청",MID(K3155,2,2)="04","충청",MID(K3155,2,2)="05","전라",MID(K3155,2,2)="06","전라",MID(K3155,2,2)="07","경북",MID(K3155,2,2)="08","경남",MID(K3155,2,2)="09","강원",MID(K3155,2,2)="10","제주",TRUE,"국외")</f>
        <v>경북</v>
      </c>
    </row>
    <row r="3156" spans="1:12" ht="17.25" thickBot="1">
      <c r="A3156" s="3" t="s">
        <v>3073</v>
      </c>
      <c r="B3156" s="3" t="s">
        <v>121</v>
      </c>
      <c r="C3156" s="3" t="s">
        <v>221</v>
      </c>
      <c r="D3156" s="4" t="s">
        <v>1777</v>
      </c>
      <c r="E3156" s="4" t="s">
        <v>2661</v>
      </c>
      <c r="F3156" s="4">
        <v>1994</v>
      </c>
      <c r="G3156" s="8">
        <v>1.3</v>
      </c>
      <c r="H3156" s="4" t="s">
        <v>2661</v>
      </c>
      <c r="I3156" s="8">
        <v>2.4</v>
      </c>
      <c r="J3156" s="3">
        <f>1839</f>
        <v>1839</v>
      </c>
      <c r="K3156" s="3">
        <v>50604</v>
      </c>
      <c r="L3156" s="17" t="str" cm="1">
        <f t="array" ref="L3156">_xlfn.IFS(MID(K3156,2,2)="01", "서울", MID(K3156,2,2)="02","경기",MID(K3156,2,2)="03","충청",MID(K3156,2,2)="04","충청",MID(K3156,2,2)="05","전라",MID(K3156,2,2)="06","전라",MID(K3156,2,2)="07","경북",MID(K3156,2,2)="08","경남",MID(K3156,2,2)="09","강원",MID(K3156,2,2)="10","제주",TRUE,"국외")</f>
        <v>전라</v>
      </c>
    </row>
    <row r="3157" spans="1:12" ht="17.25" thickBot="1">
      <c r="A3157" s="3" t="s">
        <v>3074</v>
      </c>
      <c r="B3157" s="3" t="s">
        <v>38</v>
      </c>
      <c r="C3157" s="3" t="s">
        <v>208</v>
      </c>
      <c r="D3157" s="4" t="s">
        <v>1777</v>
      </c>
      <c r="E3157" s="4" t="s">
        <v>2661</v>
      </c>
      <c r="F3157" s="4">
        <v>1994</v>
      </c>
      <c r="G3157" s="8">
        <v>-0.2</v>
      </c>
      <c r="H3157" s="4" t="s">
        <v>2661</v>
      </c>
      <c r="I3157" s="8">
        <v>-1.3</v>
      </c>
      <c r="J3157" s="3">
        <f>1821</f>
        <v>1821</v>
      </c>
      <c r="K3157" s="3">
        <v>50109</v>
      </c>
      <c r="L3157" s="17" t="str" cm="1">
        <f t="array" ref="L3157">_xlfn.IFS(MID(K3157,2,2)="01", "서울", MID(K3157,2,2)="02","경기",MID(K3157,2,2)="03","충청",MID(K3157,2,2)="04","충청",MID(K3157,2,2)="05","전라",MID(K3157,2,2)="06","전라",MID(K3157,2,2)="07","경북",MID(K3157,2,2)="08","경남",MID(K3157,2,2)="09","강원",MID(K3157,2,2)="10","제주",TRUE,"국외")</f>
        <v>서울</v>
      </c>
    </row>
    <row r="3158" spans="1:12" ht="17.25" thickBot="1">
      <c r="A3158" s="3" t="s">
        <v>3075</v>
      </c>
      <c r="B3158" s="3" t="s">
        <v>121</v>
      </c>
      <c r="C3158" s="3" t="s">
        <v>221</v>
      </c>
      <c r="D3158" s="4" t="s">
        <v>1777</v>
      </c>
      <c r="E3158" s="4" t="s">
        <v>2523</v>
      </c>
      <c r="F3158" s="4">
        <v>1994</v>
      </c>
      <c r="G3158" s="8">
        <v>-0.1</v>
      </c>
      <c r="H3158" s="4" t="s">
        <v>2523</v>
      </c>
      <c r="I3158" s="8">
        <v>-0.1</v>
      </c>
      <c r="J3158" s="3">
        <f>1808</f>
        <v>1808</v>
      </c>
      <c r="K3158" s="3">
        <v>50604</v>
      </c>
      <c r="L3158" s="17" t="str" cm="1">
        <f t="array" ref="L3158">_xlfn.IFS(MID(K3158,2,2)="01", "서울", MID(K3158,2,2)="02","경기",MID(K3158,2,2)="03","충청",MID(K3158,2,2)="04","충청",MID(K3158,2,2)="05","전라",MID(K3158,2,2)="06","전라",MID(K3158,2,2)="07","경북",MID(K3158,2,2)="08","경남",MID(K3158,2,2)="09","강원",MID(K3158,2,2)="10","제주",TRUE,"국외")</f>
        <v>전라</v>
      </c>
    </row>
    <row r="3159" spans="1:12" ht="17.25" thickBot="1">
      <c r="A3159" s="3" t="s">
        <v>155</v>
      </c>
      <c r="B3159" s="3" t="s">
        <v>66</v>
      </c>
      <c r="C3159" s="3"/>
      <c r="D3159" s="4" t="s">
        <v>2710</v>
      </c>
      <c r="E3159" s="4" t="s">
        <v>20</v>
      </c>
      <c r="F3159" s="4">
        <v>1994</v>
      </c>
      <c r="G3159" s="8">
        <v>5.2</v>
      </c>
      <c r="H3159" s="4" t="s">
        <v>20</v>
      </c>
      <c r="I3159" s="8">
        <v>56.9</v>
      </c>
      <c r="J3159" s="3">
        <v>10109</v>
      </c>
      <c r="K3159" s="3">
        <v>50110</v>
      </c>
      <c r="L3159" s="17" t="str" cm="1">
        <f t="array" ref="L3159">_xlfn.IFS(MID(K3159,2,2)="01", "서울", MID(K3159,2,2)="02","경기",MID(K3159,2,2)="03","충청",MID(K3159,2,2)="04","충청",MID(K3159,2,2)="05","전라",MID(K3159,2,2)="06","전라",MID(K3159,2,2)="07","경북",MID(K3159,2,2)="08","경남",MID(K3159,2,2)="09","강원",MID(K3159,2,2)="10","제주",TRUE,"국외")</f>
        <v>서울</v>
      </c>
    </row>
    <row r="3160" spans="1:12" ht="17.25" thickBot="1">
      <c r="A3160" s="3" t="s">
        <v>3076</v>
      </c>
      <c r="B3160" s="3" t="s">
        <v>8</v>
      </c>
      <c r="C3160" s="3"/>
      <c r="D3160" s="4" t="s">
        <v>2710</v>
      </c>
      <c r="E3160" s="4" t="s">
        <v>20</v>
      </c>
      <c r="F3160" s="4">
        <v>1995</v>
      </c>
      <c r="G3160" s="9"/>
      <c r="H3160" s="4" t="s">
        <v>20</v>
      </c>
      <c r="I3160" s="8">
        <v>0.1</v>
      </c>
      <c r="J3160" s="3">
        <f>1869</f>
        <v>1869</v>
      </c>
      <c r="K3160" s="3">
        <v>50116</v>
      </c>
      <c r="L3160" s="17" t="str" cm="1">
        <f t="array" ref="L3160">_xlfn.IFS(MID(K3160,2,2)="01", "서울", MID(K3160,2,2)="02","경기",MID(K3160,2,2)="03","충청",MID(K3160,2,2)="04","충청",MID(K3160,2,2)="05","전라",MID(K3160,2,2)="06","전라",MID(K3160,2,2)="07","경북",MID(K3160,2,2)="08","경남",MID(K3160,2,2)="09","강원",MID(K3160,2,2)="10","제주",TRUE,"국외")</f>
        <v>서울</v>
      </c>
    </row>
    <row r="3161" spans="1:12" ht="17.25" thickBot="1">
      <c r="A3161" s="3" t="s">
        <v>3077</v>
      </c>
      <c r="B3161" s="3" t="s">
        <v>5</v>
      </c>
      <c r="C3161" s="3"/>
      <c r="D3161" s="4" t="s">
        <v>2710</v>
      </c>
      <c r="E3161" s="4" t="s">
        <v>2725</v>
      </c>
      <c r="F3161" s="4">
        <v>1994</v>
      </c>
      <c r="G3161" s="8">
        <v>-0.2</v>
      </c>
      <c r="H3161" s="4" t="s">
        <v>2725</v>
      </c>
      <c r="I3161" s="8">
        <v>-0.5</v>
      </c>
      <c r="J3161" s="3">
        <f>1832</f>
        <v>1832</v>
      </c>
      <c r="K3161" s="3">
        <v>50114</v>
      </c>
      <c r="L3161" s="17" t="str" cm="1">
        <f t="array" ref="L3161">_xlfn.IFS(MID(K3161,2,2)="01", "서울", MID(K3161,2,2)="02","경기",MID(K3161,2,2)="03","충청",MID(K3161,2,2)="04","충청",MID(K3161,2,2)="05","전라",MID(K3161,2,2)="06","전라",MID(K3161,2,2)="07","경북",MID(K3161,2,2)="08","경남",MID(K3161,2,2)="09","강원",MID(K3161,2,2)="10","제주",TRUE,"국외")</f>
        <v>서울</v>
      </c>
    </row>
    <row r="3162" spans="1:12" ht="17.25" thickBot="1">
      <c r="A3162" s="3" t="s">
        <v>3078</v>
      </c>
      <c r="B3162" s="3" t="s">
        <v>8</v>
      </c>
      <c r="C3162" s="3"/>
      <c r="D3162" s="4" t="s">
        <v>2710</v>
      </c>
      <c r="E3162" s="4" t="s">
        <v>2725</v>
      </c>
      <c r="F3162" s="4">
        <v>1994</v>
      </c>
      <c r="G3162" s="8">
        <v>0</v>
      </c>
      <c r="H3162" s="4" t="s">
        <v>2725</v>
      </c>
      <c r="I3162" s="8">
        <v>0</v>
      </c>
      <c r="J3162" s="3">
        <f>1790</f>
        <v>1790</v>
      </c>
      <c r="K3162" s="3">
        <v>50116</v>
      </c>
      <c r="L3162" s="17" t="str" cm="1">
        <f t="array" ref="L3162">_xlfn.IFS(MID(K3162,2,2)="01", "서울", MID(K3162,2,2)="02","경기",MID(K3162,2,2)="03","충청",MID(K3162,2,2)="04","충청",MID(K3162,2,2)="05","전라",MID(K3162,2,2)="06","전라",MID(K3162,2,2)="07","경북",MID(K3162,2,2)="08","경남",MID(K3162,2,2)="09","강원",MID(K3162,2,2)="10","제주",TRUE,"국외")</f>
        <v>서울</v>
      </c>
    </row>
    <row r="3163" spans="1:12" ht="17.25" thickBot="1">
      <c r="A3163" s="3" t="s">
        <v>3079</v>
      </c>
      <c r="B3163" s="3" t="s">
        <v>361</v>
      </c>
      <c r="C3163" s="3"/>
      <c r="D3163" s="4" t="s">
        <v>2710</v>
      </c>
      <c r="E3163" s="4" t="s">
        <v>2725</v>
      </c>
      <c r="F3163" s="4">
        <v>1994</v>
      </c>
      <c r="G3163" s="8">
        <v>-0.1</v>
      </c>
      <c r="H3163" s="4" t="s">
        <v>2164</v>
      </c>
      <c r="I3163" s="8">
        <v>52.3</v>
      </c>
      <c r="J3163" s="3">
        <f>1811</f>
        <v>1811</v>
      </c>
      <c r="K3163" s="3">
        <v>50121</v>
      </c>
      <c r="L3163" s="17" t="str" cm="1">
        <f t="array" ref="L3163">_xlfn.IFS(MID(K3163,2,2)="01", "서울", MID(K3163,2,2)="02","경기",MID(K3163,2,2)="03","충청",MID(K3163,2,2)="04","충청",MID(K3163,2,2)="05","전라",MID(K3163,2,2)="06","전라",MID(K3163,2,2)="07","경북",MID(K3163,2,2)="08","경남",MID(K3163,2,2)="09","강원",MID(K3163,2,2)="10","제주",TRUE,"국외")</f>
        <v>서울</v>
      </c>
    </row>
    <row r="3164" spans="1:12" ht="17.25" thickBot="1">
      <c r="A3164" s="3" t="s">
        <v>3080</v>
      </c>
      <c r="B3164" s="3" t="s">
        <v>68</v>
      </c>
      <c r="C3164" s="3"/>
      <c r="D3164" s="4" t="s">
        <v>2710</v>
      </c>
      <c r="E3164" s="4" t="s">
        <v>2725</v>
      </c>
      <c r="F3164" s="4">
        <v>1994</v>
      </c>
      <c r="G3164" s="8">
        <v>-0.2</v>
      </c>
      <c r="H3164" s="4" t="s">
        <v>2725</v>
      </c>
      <c r="I3164" s="8">
        <v>-0.2</v>
      </c>
      <c r="J3164" s="3">
        <f>1793</f>
        <v>1793</v>
      </c>
      <c r="K3164" s="3">
        <v>50101</v>
      </c>
      <c r="L3164" s="17" t="str" cm="1">
        <f t="array" ref="L3164">_xlfn.IFS(MID(K3164,2,2)="01", "서울", MID(K3164,2,2)="02","경기",MID(K3164,2,2)="03","충청",MID(K3164,2,2)="04","충청",MID(K3164,2,2)="05","전라",MID(K3164,2,2)="06","전라",MID(K3164,2,2)="07","경북",MID(K3164,2,2)="08","경남",MID(K3164,2,2)="09","강원",MID(K3164,2,2)="10","제주",TRUE,"국외")</f>
        <v>서울</v>
      </c>
    </row>
    <row r="3165" spans="1:12" ht="17.25" thickBot="1">
      <c r="A3165" s="3" t="s">
        <v>3081</v>
      </c>
      <c r="B3165" s="3" t="s">
        <v>68</v>
      </c>
      <c r="C3165" s="3"/>
      <c r="D3165" s="4" t="s">
        <v>2710</v>
      </c>
      <c r="E3165" s="4" t="s">
        <v>2725</v>
      </c>
      <c r="F3165" s="4">
        <v>1994</v>
      </c>
      <c r="G3165" s="8">
        <v>-0.1</v>
      </c>
      <c r="H3165" s="4" t="s">
        <v>2725</v>
      </c>
      <c r="I3165" s="8">
        <v>-0.1</v>
      </c>
      <c r="J3165" s="3">
        <f>1791</f>
        <v>1791</v>
      </c>
      <c r="K3165" s="3">
        <v>50101</v>
      </c>
      <c r="L3165" s="17" t="str" cm="1">
        <f t="array" ref="L3165">_xlfn.IFS(MID(K3165,2,2)="01", "서울", MID(K3165,2,2)="02","경기",MID(K3165,2,2)="03","충청",MID(K3165,2,2)="04","충청",MID(K3165,2,2)="05","전라",MID(K3165,2,2)="06","전라",MID(K3165,2,2)="07","경북",MID(K3165,2,2)="08","경남",MID(K3165,2,2)="09","강원",MID(K3165,2,2)="10","제주",TRUE,"국외")</f>
        <v>서울</v>
      </c>
    </row>
    <row r="3166" spans="1:12" ht="17.25" thickBot="1">
      <c r="A3166" s="3" t="s">
        <v>3082</v>
      </c>
      <c r="B3166" s="3" t="s">
        <v>1</v>
      </c>
      <c r="C3166" s="3"/>
      <c r="D3166" s="4" t="s">
        <v>2710</v>
      </c>
      <c r="E3166" s="4" t="s">
        <v>2725</v>
      </c>
      <c r="F3166" s="4">
        <v>1994</v>
      </c>
      <c r="G3166" s="8">
        <v>-1</v>
      </c>
      <c r="H3166" s="4" t="s">
        <v>2725</v>
      </c>
      <c r="I3166" s="8">
        <v>-0.7</v>
      </c>
      <c r="J3166" s="3">
        <f>1847</f>
        <v>1847</v>
      </c>
      <c r="K3166" s="3">
        <v>50107</v>
      </c>
      <c r="L3166" s="17" t="str" cm="1">
        <f t="array" ref="L3166">_xlfn.IFS(MID(K3166,2,2)="01", "서울", MID(K3166,2,2)="02","경기",MID(K3166,2,2)="03","충청",MID(K3166,2,2)="04","충청",MID(K3166,2,2)="05","전라",MID(K3166,2,2)="06","전라",MID(K3166,2,2)="07","경북",MID(K3166,2,2)="08","경남",MID(K3166,2,2)="09","강원",MID(K3166,2,2)="10","제주",TRUE,"국외")</f>
        <v>서울</v>
      </c>
    </row>
    <row r="3167" spans="1:12" ht="17.25" thickBot="1">
      <c r="A3167" s="3" t="s">
        <v>3083</v>
      </c>
      <c r="B3167" s="3" t="s">
        <v>70</v>
      </c>
      <c r="C3167" s="3"/>
      <c r="D3167" s="4" t="s">
        <v>2710</v>
      </c>
      <c r="E3167" s="4" t="s">
        <v>2725</v>
      </c>
      <c r="F3167" s="4">
        <v>1994</v>
      </c>
      <c r="G3167" s="8">
        <v>0.1</v>
      </c>
      <c r="H3167" s="4" t="s">
        <v>2725</v>
      </c>
      <c r="I3167" s="8">
        <v>0.1</v>
      </c>
      <c r="J3167" s="3">
        <f>1825</f>
        <v>1825</v>
      </c>
      <c r="K3167" s="3">
        <v>50103</v>
      </c>
      <c r="L3167" s="17" t="str" cm="1">
        <f t="array" ref="L3167">_xlfn.IFS(MID(K3167,2,2)="01", "서울", MID(K3167,2,2)="02","경기",MID(K3167,2,2)="03","충청",MID(K3167,2,2)="04","충청",MID(K3167,2,2)="05","전라",MID(K3167,2,2)="06","전라",MID(K3167,2,2)="07","경북",MID(K3167,2,2)="08","경남",MID(K3167,2,2)="09","강원",MID(K3167,2,2)="10","제주",TRUE,"국외")</f>
        <v>서울</v>
      </c>
    </row>
    <row r="3168" spans="1:12" ht="17.25" thickBot="1">
      <c r="A3168" s="3" t="s">
        <v>1173</v>
      </c>
      <c r="B3168" s="3" t="s">
        <v>1497</v>
      </c>
      <c r="C3168" s="3"/>
      <c r="D3168" s="4" t="s">
        <v>2710</v>
      </c>
      <c r="E3168" s="4" t="s">
        <v>2725</v>
      </c>
      <c r="F3168" s="4">
        <v>1994</v>
      </c>
      <c r="G3168" s="8">
        <v>0.1</v>
      </c>
      <c r="H3168" s="4" t="s">
        <v>2725</v>
      </c>
      <c r="I3168" s="8">
        <v>0.1</v>
      </c>
      <c r="J3168" s="3">
        <f>1806</f>
        <v>1806</v>
      </c>
      <c r="K3168" s="3">
        <v>50112</v>
      </c>
      <c r="L3168" s="17" t="str" cm="1">
        <f t="array" ref="L3168">_xlfn.IFS(MID(K3168,2,2)="01", "서울", MID(K3168,2,2)="02","경기",MID(K3168,2,2)="03","충청",MID(K3168,2,2)="04","충청",MID(K3168,2,2)="05","전라",MID(K3168,2,2)="06","전라",MID(K3168,2,2)="07","경북",MID(K3168,2,2)="08","경남",MID(K3168,2,2)="09","강원",MID(K3168,2,2)="10","제주",TRUE,"국외")</f>
        <v>서울</v>
      </c>
    </row>
    <row r="3169" spans="1:12" ht="17.25" thickBot="1">
      <c r="A3169" s="3" t="s">
        <v>3084</v>
      </c>
      <c r="B3169" s="3" t="s">
        <v>93</v>
      </c>
      <c r="C3169" s="3"/>
      <c r="D3169" s="4" t="s">
        <v>2710</v>
      </c>
      <c r="E3169" s="4" t="s">
        <v>9</v>
      </c>
      <c r="F3169" s="4">
        <v>1994</v>
      </c>
      <c r="G3169" s="8">
        <v>4.4000000000000004</v>
      </c>
      <c r="H3169" s="4" t="s">
        <v>9</v>
      </c>
      <c r="I3169" s="8">
        <v>30.9</v>
      </c>
      <c r="J3169" s="3">
        <f>1834</f>
        <v>1834</v>
      </c>
      <c r="K3169" s="3">
        <v>50805</v>
      </c>
      <c r="L3169" s="17" t="str" cm="1">
        <f t="array" ref="L3169">_xlfn.IFS(MID(K3169,2,2)="01", "서울", MID(K3169,2,2)="02","경기",MID(K3169,2,2)="03","충청",MID(K3169,2,2)="04","충청",MID(K3169,2,2)="05","전라",MID(K3169,2,2)="06","전라",MID(K3169,2,2)="07","경북",MID(K3169,2,2)="08","경남",MID(K3169,2,2)="09","강원",MID(K3169,2,2)="10","제주",TRUE,"국외")</f>
        <v>경남</v>
      </c>
    </row>
    <row r="3170" spans="1:12" ht="17.25" thickBot="1">
      <c r="A3170" s="3" t="s">
        <v>3085</v>
      </c>
      <c r="B3170" s="3" t="s">
        <v>89</v>
      </c>
      <c r="C3170" s="3"/>
      <c r="D3170" s="4" t="s">
        <v>2710</v>
      </c>
      <c r="E3170" s="4" t="s">
        <v>9</v>
      </c>
      <c r="F3170" s="4">
        <v>1994</v>
      </c>
      <c r="G3170" s="8">
        <v>-0.3</v>
      </c>
      <c r="H3170" s="4" t="s">
        <v>9</v>
      </c>
      <c r="I3170" s="8">
        <v>-0.3</v>
      </c>
      <c r="J3170" s="3">
        <f>1851</f>
        <v>1851</v>
      </c>
      <c r="K3170" s="3">
        <v>50806</v>
      </c>
      <c r="L3170" s="17" t="str" cm="1">
        <f t="array" ref="L3170">_xlfn.IFS(MID(K3170,2,2)="01", "서울", MID(K3170,2,2)="02","경기",MID(K3170,2,2)="03","충청",MID(K3170,2,2)="04","충청",MID(K3170,2,2)="05","전라",MID(K3170,2,2)="06","전라",MID(K3170,2,2)="07","경북",MID(K3170,2,2)="08","경남",MID(K3170,2,2)="09","강원",MID(K3170,2,2)="10","제주",TRUE,"국외")</f>
        <v>경남</v>
      </c>
    </row>
    <row r="3171" spans="1:12" ht="17.25" thickBot="1">
      <c r="A3171" s="3" t="s">
        <v>3086</v>
      </c>
      <c r="B3171" s="3" t="s">
        <v>11</v>
      </c>
      <c r="C3171" s="3"/>
      <c r="D3171" s="4" t="s">
        <v>2710</v>
      </c>
      <c r="E3171" s="4" t="s">
        <v>9</v>
      </c>
      <c r="F3171" s="4">
        <v>1994</v>
      </c>
      <c r="G3171" s="8">
        <v>0.3</v>
      </c>
      <c r="H3171" s="4" t="s">
        <v>9</v>
      </c>
      <c r="I3171" s="8">
        <v>0.3</v>
      </c>
      <c r="J3171" s="3">
        <f>1855</f>
        <v>1855</v>
      </c>
      <c r="K3171" s="3">
        <v>50802</v>
      </c>
      <c r="L3171" s="17" t="str" cm="1">
        <f t="array" ref="L3171">_xlfn.IFS(MID(K3171,2,2)="01", "서울", MID(K3171,2,2)="02","경기",MID(K3171,2,2)="03","충청",MID(K3171,2,2)="04","충청",MID(K3171,2,2)="05","전라",MID(K3171,2,2)="06","전라",MID(K3171,2,2)="07","경북",MID(K3171,2,2)="08","경남",MID(K3171,2,2)="09","강원",MID(K3171,2,2)="10","제주",TRUE,"국외")</f>
        <v>경남</v>
      </c>
    </row>
    <row r="3172" spans="1:12" ht="17.25" thickBot="1">
      <c r="A3172" s="3" t="s">
        <v>3087</v>
      </c>
      <c r="B3172" s="3" t="s">
        <v>34</v>
      </c>
      <c r="C3172" s="3"/>
      <c r="D3172" s="4" t="s">
        <v>2710</v>
      </c>
      <c r="E3172" s="4" t="s">
        <v>23</v>
      </c>
      <c r="F3172" s="4">
        <v>1994</v>
      </c>
      <c r="G3172" s="8">
        <v>0</v>
      </c>
      <c r="H3172" s="4" t="s">
        <v>23</v>
      </c>
      <c r="I3172" s="8">
        <v>0</v>
      </c>
      <c r="J3172" s="3">
        <f>1807</f>
        <v>1807</v>
      </c>
      <c r="K3172" s="3">
        <v>50701</v>
      </c>
      <c r="L3172" s="17" t="str" cm="1">
        <f t="array" ref="L3172">_xlfn.IFS(MID(K3172,2,2)="01", "서울", MID(K3172,2,2)="02","경기",MID(K3172,2,2)="03","충청",MID(K3172,2,2)="04","충청",MID(K3172,2,2)="05","전라",MID(K3172,2,2)="06","전라",MID(K3172,2,2)="07","경북",MID(K3172,2,2)="08","경남",MID(K3172,2,2)="09","강원",MID(K3172,2,2)="10","제주",TRUE,"국외")</f>
        <v>경북</v>
      </c>
    </row>
    <row r="3173" spans="1:12" ht="17.25" thickBot="1">
      <c r="A3173" s="3" t="s">
        <v>3088</v>
      </c>
      <c r="B3173" s="3" t="s">
        <v>22</v>
      </c>
      <c r="C3173" s="3"/>
      <c r="D3173" s="4" t="s">
        <v>2710</v>
      </c>
      <c r="E3173" s="4" t="s">
        <v>2968</v>
      </c>
      <c r="F3173" s="4">
        <v>1994</v>
      </c>
      <c r="G3173" s="8">
        <v>2.4</v>
      </c>
      <c r="H3173" s="4" t="s">
        <v>2968</v>
      </c>
      <c r="I3173" s="8">
        <v>1.4</v>
      </c>
      <c r="J3173" s="3">
        <f>1848</f>
        <v>1848</v>
      </c>
      <c r="K3173" s="3">
        <v>50209</v>
      </c>
      <c r="L3173" s="17" t="str" cm="1">
        <f t="array" ref="L3173">_xlfn.IFS(MID(K3173,2,2)="01", "서울", MID(K3173,2,2)="02","경기",MID(K3173,2,2)="03","충청",MID(K3173,2,2)="04","충청",MID(K3173,2,2)="05","전라",MID(K3173,2,2)="06","전라",MID(K3173,2,2)="07","경북",MID(K3173,2,2)="08","경남",MID(K3173,2,2)="09","강원",MID(K3173,2,2)="10","제주",TRUE,"국외")</f>
        <v>경기</v>
      </c>
    </row>
    <row r="3174" spans="1:12" ht="17.25" thickBot="1">
      <c r="A3174" s="3" t="s">
        <v>1134</v>
      </c>
      <c r="B3174" s="3" t="s">
        <v>241</v>
      </c>
      <c r="C3174" s="3"/>
      <c r="D3174" s="4" t="s">
        <v>2710</v>
      </c>
      <c r="E3174" s="4" t="s">
        <v>2968</v>
      </c>
      <c r="F3174" s="4">
        <v>1995</v>
      </c>
      <c r="G3174" s="9"/>
      <c r="H3174" s="4" t="s">
        <v>2164</v>
      </c>
      <c r="I3174" s="8">
        <v>13.2</v>
      </c>
      <c r="J3174" s="3">
        <v>10153</v>
      </c>
      <c r="K3174" s="3">
        <v>50202</v>
      </c>
      <c r="L3174" s="17" t="str" cm="1">
        <f t="array" ref="L3174">_xlfn.IFS(MID(K3174,2,2)="01", "서울", MID(K3174,2,2)="02","경기",MID(K3174,2,2)="03","충청",MID(K3174,2,2)="04","충청",MID(K3174,2,2)="05","전라",MID(K3174,2,2)="06","전라",MID(K3174,2,2)="07","경북",MID(K3174,2,2)="08","경남",MID(K3174,2,2)="09","강원",MID(K3174,2,2)="10","제주",TRUE,"국외")</f>
        <v>경기</v>
      </c>
    </row>
    <row r="3175" spans="1:12" ht="17.25" thickBot="1">
      <c r="A3175" s="3" t="s">
        <v>3089</v>
      </c>
      <c r="B3175" s="3" t="s">
        <v>25</v>
      </c>
      <c r="C3175" s="3"/>
      <c r="D3175" s="4" t="s">
        <v>2710</v>
      </c>
      <c r="E3175" s="4" t="s">
        <v>3</v>
      </c>
      <c r="F3175" s="4">
        <v>1994</v>
      </c>
      <c r="G3175" s="8">
        <v>0</v>
      </c>
      <c r="H3175" s="4" t="s">
        <v>3</v>
      </c>
      <c r="I3175" s="8">
        <v>0</v>
      </c>
      <c r="J3175" s="3">
        <f>1817</f>
        <v>1817</v>
      </c>
      <c r="K3175" s="3">
        <v>50403</v>
      </c>
      <c r="L3175" s="17" t="str" cm="1">
        <f t="array" ref="L3175">_xlfn.IFS(MID(K3175,2,2)="01", "서울", MID(K3175,2,2)="02","경기",MID(K3175,2,2)="03","충청",MID(K3175,2,2)="04","충청",MID(K3175,2,2)="05","전라",MID(K3175,2,2)="06","전라",MID(K3175,2,2)="07","경북",MID(K3175,2,2)="08","경남",MID(K3175,2,2)="09","강원",MID(K3175,2,2)="10","제주",TRUE,"국외")</f>
        <v>충청</v>
      </c>
    </row>
    <row r="3176" spans="1:12" ht="17.25" thickBot="1">
      <c r="A3176" s="3" t="s">
        <v>3090</v>
      </c>
      <c r="B3176" s="3" t="s">
        <v>50</v>
      </c>
      <c r="C3176" s="3"/>
      <c r="D3176" s="4" t="s">
        <v>2710</v>
      </c>
      <c r="E3176" s="4" t="s">
        <v>3</v>
      </c>
      <c r="F3176" s="4">
        <v>1994</v>
      </c>
      <c r="G3176" s="8">
        <v>3.4</v>
      </c>
      <c r="H3176" s="4" t="s">
        <v>3</v>
      </c>
      <c r="I3176" s="8">
        <v>4.5</v>
      </c>
      <c r="J3176" s="3">
        <f>1785</f>
        <v>1785</v>
      </c>
      <c r="K3176" s="3">
        <v>50301</v>
      </c>
      <c r="L3176" s="17" t="str" cm="1">
        <f t="array" ref="L3176">_xlfn.IFS(MID(K3176,2,2)="01", "서울", MID(K3176,2,2)="02","경기",MID(K3176,2,2)="03","충청",MID(K3176,2,2)="04","충청",MID(K3176,2,2)="05","전라",MID(K3176,2,2)="06","전라",MID(K3176,2,2)="07","경북",MID(K3176,2,2)="08","경남",MID(K3176,2,2)="09","강원",MID(K3176,2,2)="10","제주",TRUE,"국외")</f>
        <v>충청</v>
      </c>
    </row>
    <row r="3177" spans="1:12" ht="17.25" thickBot="1">
      <c r="A3177" s="3" t="s">
        <v>3091</v>
      </c>
      <c r="B3177" s="3" t="s">
        <v>2351</v>
      </c>
      <c r="C3177" s="3"/>
      <c r="D3177" s="4" t="s">
        <v>2710</v>
      </c>
      <c r="E3177" s="4" t="s">
        <v>2523</v>
      </c>
      <c r="F3177" s="4">
        <v>1995</v>
      </c>
      <c r="G3177" s="9"/>
      <c r="H3177" s="4" t="s">
        <v>2523</v>
      </c>
      <c r="I3177" s="8">
        <v>-0.2</v>
      </c>
      <c r="J3177" s="3">
        <f>1891</f>
        <v>1891</v>
      </c>
      <c r="K3177" s="3">
        <v>50609</v>
      </c>
      <c r="L3177" s="17" t="str" cm="1">
        <f t="array" ref="L3177">_xlfn.IFS(MID(K3177,2,2)="01", "서울", MID(K3177,2,2)="02","경기",MID(K3177,2,2)="03","충청",MID(K3177,2,2)="04","충청",MID(K3177,2,2)="05","전라",MID(K3177,2,2)="06","전라",MID(K3177,2,2)="07","경북",MID(K3177,2,2)="08","경남",MID(K3177,2,2)="09","강원",MID(K3177,2,2)="10","제주",TRUE,"국외")</f>
        <v>전라</v>
      </c>
    </row>
    <row r="3178" spans="1:12" ht="17.25" thickBot="1">
      <c r="A3178" s="3" t="s">
        <v>72</v>
      </c>
      <c r="B3178" s="3" t="s">
        <v>5</v>
      </c>
      <c r="C3178" s="3"/>
      <c r="D3178" s="4" t="s">
        <v>2710</v>
      </c>
      <c r="E3178" s="4" t="s">
        <v>20</v>
      </c>
      <c r="F3178" s="4">
        <v>1995</v>
      </c>
      <c r="G3178" s="9"/>
      <c r="H3178" s="4" t="s">
        <v>20</v>
      </c>
      <c r="I3178" s="8">
        <v>1.1000000000000001</v>
      </c>
      <c r="J3178" s="3">
        <v>11238</v>
      </c>
      <c r="K3178" s="3">
        <v>50114</v>
      </c>
      <c r="L3178" s="17" t="str" cm="1">
        <f t="array" ref="L3178">_xlfn.IFS(MID(K3178,2,2)="01", "서울", MID(K3178,2,2)="02","경기",MID(K3178,2,2)="03","충청",MID(K3178,2,2)="04","충청",MID(K3178,2,2)="05","전라",MID(K3178,2,2)="06","전라",MID(K3178,2,2)="07","경북",MID(K3178,2,2)="08","경남",MID(K3178,2,2)="09","강원",MID(K3178,2,2)="10","제주",TRUE,"국외")</f>
        <v>서울</v>
      </c>
    </row>
    <row r="3179" spans="1:12" ht="17.25" thickBot="1">
      <c r="A3179" s="3" t="s">
        <v>3092</v>
      </c>
      <c r="B3179" s="3" t="s">
        <v>107</v>
      </c>
      <c r="C3179" s="3" t="s">
        <v>2876</v>
      </c>
      <c r="D3179" s="4" t="s">
        <v>2710</v>
      </c>
      <c r="E3179" s="4" t="s">
        <v>2523</v>
      </c>
      <c r="F3179" s="4">
        <v>1994</v>
      </c>
      <c r="G3179" s="9"/>
      <c r="H3179" s="4" t="s">
        <v>607</v>
      </c>
      <c r="I3179" s="8">
        <v>37.9</v>
      </c>
      <c r="J3179" s="3">
        <v>10101</v>
      </c>
      <c r="K3179" s="3">
        <v>50602</v>
      </c>
      <c r="L3179" s="17" t="str" cm="1">
        <f t="array" ref="L3179">_xlfn.IFS(MID(K3179,2,2)="01", "서울", MID(K3179,2,2)="02","경기",MID(K3179,2,2)="03","충청",MID(K3179,2,2)="04","충청",MID(K3179,2,2)="05","전라",MID(K3179,2,2)="06","전라",MID(K3179,2,2)="07","경북",MID(K3179,2,2)="08","경남",MID(K3179,2,2)="09","강원",MID(K3179,2,2)="10","제주",TRUE,"국외")</f>
        <v>전라</v>
      </c>
    </row>
    <row r="3180" spans="1:12" ht="17.25" thickBot="1">
      <c r="A3180" s="3" t="s">
        <v>3093</v>
      </c>
      <c r="B3180" s="3" t="s">
        <v>34</v>
      </c>
      <c r="C3180" s="3"/>
      <c r="D3180" s="4" t="s">
        <v>2710</v>
      </c>
      <c r="E3180" s="4" t="s">
        <v>23</v>
      </c>
      <c r="F3180" s="4">
        <v>1994</v>
      </c>
      <c r="G3180" s="8">
        <v>-0.1</v>
      </c>
      <c r="H3180" s="4" t="s">
        <v>23</v>
      </c>
      <c r="I3180" s="8">
        <v>-0.4</v>
      </c>
      <c r="J3180" s="3">
        <f>1858</f>
        <v>1858</v>
      </c>
      <c r="K3180" s="3">
        <v>50701</v>
      </c>
      <c r="L3180" s="17" t="str" cm="1">
        <f t="array" ref="L3180">_xlfn.IFS(MID(K3180,2,2)="01", "서울", MID(K3180,2,2)="02","경기",MID(K3180,2,2)="03","충청",MID(K3180,2,2)="04","충청",MID(K3180,2,2)="05","전라",MID(K3180,2,2)="06","전라",MID(K3180,2,2)="07","경북",MID(K3180,2,2)="08","경남",MID(K3180,2,2)="09","강원",MID(K3180,2,2)="10","제주",TRUE,"국외")</f>
        <v>경북</v>
      </c>
    </row>
    <row r="3181" spans="1:12" ht="17.25" thickBot="1">
      <c r="A3181" s="3" t="s">
        <v>3094</v>
      </c>
      <c r="B3181" s="3" t="s">
        <v>42</v>
      </c>
      <c r="C3181" s="3"/>
      <c r="D3181" s="4" t="s">
        <v>2710</v>
      </c>
      <c r="E3181" s="4" t="s">
        <v>2661</v>
      </c>
      <c r="F3181" s="4">
        <v>1996</v>
      </c>
      <c r="G3181" s="9"/>
      <c r="H3181" s="4" t="s">
        <v>2661</v>
      </c>
      <c r="I3181" s="8">
        <v>-0.1</v>
      </c>
      <c r="J3181" s="3">
        <f>1937</f>
        <v>1937</v>
      </c>
      <c r="K3181" s="3">
        <v>50502</v>
      </c>
      <c r="L3181" s="17" t="str" cm="1">
        <f t="array" ref="L3181">_xlfn.IFS(MID(K3181,2,2)="01", "서울", MID(K3181,2,2)="02","경기",MID(K3181,2,2)="03","충청",MID(K3181,2,2)="04","충청",MID(K3181,2,2)="05","전라",MID(K3181,2,2)="06","전라",MID(K3181,2,2)="07","경북",MID(K3181,2,2)="08","경남",MID(K3181,2,2)="09","강원",MID(K3181,2,2)="10","제주",TRUE,"국외")</f>
        <v>전라</v>
      </c>
    </row>
    <row r="3182" spans="1:12" ht="17.25" thickBot="1">
      <c r="A3182" s="3" t="s">
        <v>1927</v>
      </c>
      <c r="B3182" s="3" t="s">
        <v>1</v>
      </c>
      <c r="C3182" s="3" t="s">
        <v>45</v>
      </c>
      <c r="D3182" s="4" t="s">
        <v>243</v>
      </c>
      <c r="E3182" s="4" t="s">
        <v>20</v>
      </c>
      <c r="F3182" s="4">
        <v>1993</v>
      </c>
      <c r="G3182" s="8">
        <v>1.3</v>
      </c>
      <c r="H3182" s="4" t="s">
        <v>20</v>
      </c>
      <c r="I3182" s="8">
        <v>38.4</v>
      </c>
      <c r="J3182" s="3">
        <f>1762</f>
        <v>1762</v>
      </c>
      <c r="K3182" s="3">
        <v>50107</v>
      </c>
      <c r="L3182" s="17" t="str" cm="1">
        <f t="array" ref="L3182">_xlfn.IFS(MID(K3182,2,2)="01", "서울", MID(K3182,2,2)="02","경기",MID(K3182,2,2)="03","충청",MID(K3182,2,2)="04","충청",MID(K3182,2,2)="05","전라",MID(K3182,2,2)="06","전라",MID(K3182,2,2)="07","경북",MID(K3182,2,2)="08","경남",MID(K3182,2,2)="09","강원",MID(K3182,2,2)="10","제주",TRUE,"국외")</f>
        <v>서울</v>
      </c>
    </row>
    <row r="3183" spans="1:12" ht="17.25" thickBot="1">
      <c r="A3183" s="3" t="s">
        <v>3095</v>
      </c>
      <c r="B3183" s="3" t="s">
        <v>1</v>
      </c>
      <c r="C3183" s="3" t="s">
        <v>208</v>
      </c>
      <c r="D3183" s="4" t="s">
        <v>243</v>
      </c>
      <c r="E3183" s="4" t="s">
        <v>2725</v>
      </c>
      <c r="F3183" s="4">
        <v>1993</v>
      </c>
      <c r="G3183" s="8">
        <v>0.6</v>
      </c>
      <c r="H3183" s="4" t="s">
        <v>2725</v>
      </c>
      <c r="I3183" s="8">
        <v>3.7</v>
      </c>
      <c r="J3183" s="3">
        <f>1757</f>
        <v>1757</v>
      </c>
      <c r="K3183" s="3">
        <v>50107</v>
      </c>
      <c r="L3183" s="17" t="str" cm="1">
        <f t="array" ref="L3183">_xlfn.IFS(MID(K3183,2,2)="01", "서울", MID(K3183,2,2)="02","경기",MID(K3183,2,2)="03","충청",MID(K3183,2,2)="04","충청",MID(K3183,2,2)="05","전라",MID(K3183,2,2)="06","전라",MID(K3183,2,2)="07","경북",MID(K3183,2,2)="08","경남",MID(K3183,2,2)="09","강원",MID(K3183,2,2)="10","제주",TRUE,"국외")</f>
        <v>서울</v>
      </c>
    </row>
    <row r="3184" spans="1:12" ht="17.25" thickBot="1">
      <c r="A3184" s="3" t="s">
        <v>3096</v>
      </c>
      <c r="B3184" s="3" t="s">
        <v>52</v>
      </c>
      <c r="C3184" s="3" t="s">
        <v>329</v>
      </c>
      <c r="D3184" s="4" t="s">
        <v>243</v>
      </c>
      <c r="E3184" s="4" t="s">
        <v>9</v>
      </c>
      <c r="F3184" s="4">
        <v>1995</v>
      </c>
      <c r="G3184" s="9"/>
      <c r="H3184" s="4" t="s">
        <v>9</v>
      </c>
      <c r="I3184" s="8">
        <v>-0.1</v>
      </c>
      <c r="J3184" s="3">
        <f>1893</f>
        <v>1893</v>
      </c>
      <c r="K3184" s="3">
        <v>50803</v>
      </c>
      <c r="L3184" s="17" t="str" cm="1">
        <f t="array" ref="L3184">_xlfn.IFS(MID(K3184,2,2)="01", "서울", MID(K3184,2,2)="02","경기",MID(K3184,2,2)="03","충청",MID(K3184,2,2)="04","충청",MID(K3184,2,2)="05","전라",MID(K3184,2,2)="06","전라",MID(K3184,2,2)="07","경북",MID(K3184,2,2)="08","경남",MID(K3184,2,2)="09","강원",MID(K3184,2,2)="10","제주",TRUE,"국외")</f>
        <v>경남</v>
      </c>
    </row>
    <row r="3185" spans="1:12" ht="17.25" thickBot="1">
      <c r="A3185" s="3" t="s">
        <v>3097</v>
      </c>
      <c r="B3185" s="3" t="s">
        <v>2524</v>
      </c>
      <c r="C3185" s="3" t="s">
        <v>538</v>
      </c>
      <c r="D3185" s="4" t="s">
        <v>243</v>
      </c>
      <c r="E3185" s="4" t="s">
        <v>23</v>
      </c>
      <c r="F3185" s="4">
        <v>1993</v>
      </c>
      <c r="G3185" s="8">
        <v>7.1</v>
      </c>
      <c r="H3185" s="4" t="s">
        <v>23</v>
      </c>
      <c r="I3185" s="8">
        <v>91.1</v>
      </c>
      <c r="J3185" s="3">
        <v>10339</v>
      </c>
      <c r="K3185" s="3">
        <v>50711</v>
      </c>
      <c r="L3185" s="17" t="str" cm="1">
        <f t="array" ref="L3185">_xlfn.IFS(MID(K3185,2,2)="01", "서울", MID(K3185,2,2)="02","경기",MID(K3185,2,2)="03","충청",MID(K3185,2,2)="04","충청",MID(K3185,2,2)="05","전라",MID(K3185,2,2)="06","전라",MID(K3185,2,2)="07","경북",MID(K3185,2,2)="08","경남",MID(K3185,2,2)="09","강원",MID(K3185,2,2)="10","제주",TRUE,"국외")</f>
        <v>경북</v>
      </c>
    </row>
    <row r="3186" spans="1:12" ht="17.25" thickBot="1">
      <c r="A3186" s="3" t="s">
        <v>3098</v>
      </c>
      <c r="B3186" s="3" t="s">
        <v>158</v>
      </c>
      <c r="C3186" s="3" t="s">
        <v>172</v>
      </c>
      <c r="D3186" s="4" t="s">
        <v>243</v>
      </c>
      <c r="E3186" s="4" t="s">
        <v>2661</v>
      </c>
      <c r="F3186" s="4">
        <v>1994</v>
      </c>
      <c r="G3186" s="9"/>
      <c r="H3186" s="4" t="s">
        <v>2661</v>
      </c>
      <c r="I3186" s="8">
        <v>-0.1</v>
      </c>
      <c r="J3186" s="3">
        <f>1804</f>
        <v>1804</v>
      </c>
      <c r="K3186" s="3">
        <v>50501</v>
      </c>
      <c r="L3186" s="17" t="str" cm="1">
        <f t="array" ref="L3186">_xlfn.IFS(MID(K3186,2,2)="01", "서울", MID(K3186,2,2)="02","경기",MID(K3186,2,2)="03","충청",MID(K3186,2,2)="04","충청",MID(K3186,2,2)="05","전라",MID(K3186,2,2)="06","전라",MID(K3186,2,2)="07","경북",MID(K3186,2,2)="08","경남",MID(K3186,2,2)="09","강원",MID(K3186,2,2)="10","제주",TRUE,"국외")</f>
        <v>전라</v>
      </c>
    </row>
    <row r="3187" spans="1:12" ht="17.25" thickBot="1">
      <c r="A3187" s="3" t="s">
        <v>3099</v>
      </c>
      <c r="B3187" s="3" t="s">
        <v>22</v>
      </c>
      <c r="C3187" s="3" t="s">
        <v>122</v>
      </c>
      <c r="D3187" s="4" t="s">
        <v>243</v>
      </c>
      <c r="E3187" s="4" t="s">
        <v>2968</v>
      </c>
      <c r="F3187" s="4">
        <v>1993</v>
      </c>
      <c r="G3187" s="8">
        <v>0.7</v>
      </c>
      <c r="H3187" s="4" t="s">
        <v>2164</v>
      </c>
      <c r="I3187" s="8">
        <v>4.2</v>
      </c>
      <c r="J3187" s="3">
        <f>1769</f>
        <v>1769</v>
      </c>
      <c r="K3187" s="3">
        <v>50209</v>
      </c>
      <c r="L3187" s="17" t="str" cm="1">
        <f t="array" ref="L3187">_xlfn.IFS(MID(K3187,2,2)="01", "서울", MID(K3187,2,2)="02","경기",MID(K3187,2,2)="03","충청",MID(K3187,2,2)="04","충청",MID(K3187,2,2)="05","전라",MID(K3187,2,2)="06","전라",MID(K3187,2,2)="07","경북",MID(K3187,2,2)="08","경남",MID(K3187,2,2)="09","강원",MID(K3187,2,2)="10","제주",TRUE,"국외")</f>
        <v>경기</v>
      </c>
    </row>
    <row r="3188" spans="1:12" ht="17.25" thickBot="1">
      <c r="A3188" s="3" t="s">
        <v>3100</v>
      </c>
      <c r="B3188" s="3" t="s">
        <v>36</v>
      </c>
      <c r="C3188" s="3" t="s">
        <v>739</v>
      </c>
      <c r="D3188" s="4" t="s">
        <v>243</v>
      </c>
      <c r="E3188" s="4" t="s">
        <v>3101</v>
      </c>
      <c r="F3188" s="4">
        <v>1993</v>
      </c>
      <c r="G3188" s="8">
        <v>0.6</v>
      </c>
      <c r="H3188" s="4" t="s">
        <v>3</v>
      </c>
      <c r="I3188" s="8">
        <v>48</v>
      </c>
      <c r="J3188" s="3">
        <v>10580</v>
      </c>
      <c r="K3188" s="3">
        <v>50402</v>
      </c>
      <c r="L3188" s="17" t="str" cm="1">
        <f t="array" ref="L3188">_xlfn.IFS(MID(K3188,2,2)="01", "서울", MID(K3188,2,2)="02","경기",MID(K3188,2,2)="03","충청",MID(K3188,2,2)="04","충청",MID(K3188,2,2)="05","전라",MID(K3188,2,2)="06","전라",MID(K3188,2,2)="07","경북",MID(K3188,2,2)="08","경남",MID(K3188,2,2)="09","강원",MID(K3188,2,2)="10","제주",TRUE,"국외")</f>
        <v>충청</v>
      </c>
    </row>
    <row r="3189" spans="1:12" ht="17.25" thickBot="1">
      <c r="A3189" s="3" t="s">
        <v>3102</v>
      </c>
      <c r="B3189" s="3" t="s">
        <v>107</v>
      </c>
      <c r="C3189" s="3" t="s">
        <v>208</v>
      </c>
      <c r="D3189" s="4" t="s">
        <v>243</v>
      </c>
      <c r="E3189" s="4" t="s">
        <v>2523</v>
      </c>
      <c r="F3189" s="4">
        <v>1993</v>
      </c>
      <c r="G3189" s="8">
        <v>5.8</v>
      </c>
      <c r="H3189" s="4" t="s">
        <v>6</v>
      </c>
      <c r="I3189" s="8">
        <v>69.2</v>
      </c>
      <c r="J3189" s="3">
        <v>10036</v>
      </c>
      <c r="K3189" s="3">
        <v>50602</v>
      </c>
      <c r="L3189" s="17" t="str" cm="1">
        <f t="array" ref="L3189">_xlfn.IFS(MID(K3189,2,2)="01", "서울", MID(K3189,2,2)="02","경기",MID(K3189,2,2)="03","충청",MID(K3189,2,2)="04","충청",MID(K3189,2,2)="05","전라",MID(K3189,2,2)="06","전라",MID(K3189,2,2)="07","경북",MID(K3189,2,2)="08","경남",MID(K3189,2,2)="09","강원",MID(K3189,2,2)="10","제주",TRUE,"국외")</f>
        <v>전라</v>
      </c>
    </row>
    <row r="3190" spans="1:12" ht="17.25" thickBot="1">
      <c r="A3190" s="3" t="s">
        <v>134</v>
      </c>
      <c r="B3190" s="3" t="s">
        <v>228</v>
      </c>
      <c r="C3190" s="3" t="s">
        <v>483</v>
      </c>
      <c r="D3190" s="4" t="s">
        <v>254</v>
      </c>
      <c r="E3190" s="4" t="s">
        <v>2725</v>
      </c>
      <c r="F3190" s="4">
        <v>1993</v>
      </c>
      <c r="G3190" s="8">
        <v>0.7</v>
      </c>
      <c r="H3190" s="4" t="s">
        <v>2725</v>
      </c>
      <c r="I3190" s="8">
        <v>14.1</v>
      </c>
      <c r="J3190" s="3">
        <f>1724</f>
        <v>1724</v>
      </c>
      <c r="K3190" s="3">
        <v>50702</v>
      </c>
      <c r="L3190" s="17" t="str" cm="1">
        <f t="array" ref="L3190">_xlfn.IFS(MID(K3190,2,2)="01", "서울", MID(K3190,2,2)="02","경기",MID(K3190,2,2)="03","충청",MID(K3190,2,2)="04","충청",MID(K3190,2,2)="05","전라",MID(K3190,2,2)="06","전라",MID(K3190,2,2)="07","경북",MID(K3190,2,2)="08","경남",MID(K3190,2,2)="09","강원",MID(K3190,2,2)="10","제주",TRUE,"국외")</f>
        <v>경북</v>
      </c>
    </row>
    <row r="3191" spans="1:12" ht="17.25" thickBot="1">
      <c r="A3191" s="3" t="s">
        <v>3103</v>
      </c>
      <c r="B3191" s="3" t="s">
        <v>93</v>
      </c>
      <c r="C3191" s="3" t="s">
        <v>119</v>
      </c>
      <c r="D3191" s="4" t="s">
        <v>254</v>
      </c>
      <c r="E3191" s="4" t="s">
        <v>3101</v>
      </c>
      <c r="F3191" s="4">
        <v>1993</v>
      </c>
      <c r="G3191" s="8">
        <v>-0.1</v>
      </c>
      <c r="H3191" s="4" t="s">
        <v>3</v>
      </c>
      <c r="I3191" s="8">
        <v>0.4</v>
      </c>
      <c r="J3191" s="3">
        <f>1727</f>
        <v>1727</v>
      </c>
      <c r="K3191" s="3">
        <v>50805</v>
      </c>
      <c r="L3191" s="17" t="str" cm="1">
        <f t="array" ref="L3191">_xlfn.IFS(MID(K3191,2,2)="01", "서울", MID(K3191,2,2)="02","경기",MID(K3191,2,2)="03","충청",MID(K3191,2,2)="04","충청",MID(K3191,2,2)="05","전라",MID(K3191,2,2)="06","전라",MID(K3191,2,2)="07","경북",MID(K3191,2,2)="08","경남",MID(K3191,2,2)="09","강원",MID(K3191,2,2)="10","제주",TRUE,"국외")</f>
        <v>경남</v>
      </c>
    </row>
    <row r="3192" spans="1:12" ht="17.25" thickBot="1">
      <c r="A3192" s="3" t="s">
        <v>53</v>
      </c>
      <c r="B3192" s="3" t="s">
        <v>25</v>
      </c>
      <c r="C3192" s="3" t="s">
        <v>538</v>
      </c>
      <c r="D3192" s="4" t="s">
        <v>254</v>
      </c>
      <c r="E3192" s="4" t="s">
        <v>20</v>
      </c>
      <c r="F3192" s="4">
        <v>1993</v>
      </c>
      <c r="G3192" s="8">
        <v>0.3</v>
      </c>
      <c r="H3192" s="4" t="s">
        <v>20</v>
      </c>
      <c r="I3192" s="8">
        <v>6.2</v>
      </c>
      <c r="J3192" s="3">
        <v>10458</v>
      </c>
      <c r="K3192" s="3">
        <v>50403</v>
      </c>
      <c r="L3192" s="17" t="str" cm="1">
        <f t="array" ref="L3192">_xlfn.IFS(MID(K3192,2,2)="01", "서울", MID(K3192,2,2)="02","경기",MID(K3192,2,2)="03","충청",MID(K3192,2,2)="04","충청",MID(K3192,2,2)="05","전라",MID(K3192,2,2)="06","전라",MID(K3192,2,2)="07","경북",MID(K3192,2,2)="08","경남",MID(K3192,2,2)="09","강원",MID(K3192,2,2)="10","제주",TRUE,"국외")</f>
        <v>충청</v>
      </c>
    </row>
    <row r="3193" spans="1:12" ht="17.25" thickBot="1">
      <c r="A3193" s="3" t="s">
        <v>3104</v>
      </c>
      <c r="B3193" s="3" t="s">
        <v>128</v>
      </c>
      <c r="C3193" s="3" t="s">
        <v>133</v>
      </c>
      <c r="D3193" s="4" t="s">
        <v>254</v>
      </c>
      <c r="E3193" s="4" t="s">
        <v>2725</v>
      </c>
      <c r="F3193" s="4">
        <v>1993</v>
      </c>
      <c r="G3193" s="8">
        <v>-0.2</v>
      </c>
      <c r="H3193" s="4" t="s">
        <v>2725</v>
      </c>
      <c r="I3193" s="8">
        <v>-1.2</v>
      </c>
      <c r="J3193" s="3">
        <f>1773</f>
        <v>1773</v>
      </c>
      <c r="K3193" s="3">
        <v>50901</v>
      </c>
      <c r="L3193" s="17" t="str" cm="1">
        <f t="array" ref="L3193">_xlfn.IFS(MID(K3193,2,2)="01", "서울", MID(K3193,2,2)="02","경기",MID(K3193,2,2)="03","충청",MID(K3193,2,2)="04","충청",MID(K3193,2,2)="05","전라",MID(K3193,2,2)="06","전라",MID(K3193,2,2)="07","경북",MID(K3193,2,2)="08","경남",MID(K3193,2,2)="09","강원",MID(K3193,2,2)="10","제주",TRUE,"국외")</f>
        <v>강원</v>
      </c>
    </row>
    <row r="3194" spans="1:12" ht="17.25" thickBot="1">
      <c r="A3194" s="3" t="s">
        <v>3105</v>
      </c>
      <c r="B3194" s="3" t="s">
        <v>93</v>
      </c>
      <c r="C3194" s="3" t="s">
        <v>122</v>
      </c>
      <c r="D3194" s="4" t="s">
        <v>254</v>
      </c>
      <c r="E3194" s="4" t="s">
        <v>9</v>
      </c>
      <c r="F3194" s="4">
        <v>1995</v>
      </c>
      <c r="G3194" s="9"/>
      <c r="H3194" s="4" t="s">
        <v>9</v>
      </c>
      <c r="I3194" s="8">
        <v>35.700000000000003</v>
      </c>
      <c r="J3194" s="3">
        <f>1865</f>
        <v>1865</v>
      </c>
      <c r="K3194" s="3">
        <v>50805</v>
      </c>
      <c r="L3194" s="17" t="str" cm="1">
        <f t="array" ref="L3194">_xlfn.IFS(MID(K3194,2,2)="01", "서울", MID(K3194,2,2)="02","경기",MID(K3194,2,2)="03","충청",MID(K3194,2,2)="04","충청",MID(K3194,2,2)="05","전라",MID(K3194,2,2)="06","전라",MID(K3194,2,2)="07","경북",MID(K3194,2,2)="08","경남",MID(K3194,2,2)="09","강원",MID(K3194,2,2)="10","제주",TRUE,"국외")</f>
        <v>경남</v>
      </c>
    </row>
    <row r="3195" spans="1:12" ht="17.25" thickBot="1">
      <c r="A3195" s="3" t="s">
        <v>2558</v>
      </c>
      <c r="B3195" s="3" t="s">
        <v>78</v>
      </c>
      <c r="C3195" s="3" t="s">
        <v>329</v>
      </c>
      <c r="D3195" s="4" t="s">
        <v>254</v>
      </c>
      <c r="E3195" s="4" t="s">
        <v>3101</v>
      </c>
      <c r="F3195" s="4">
        <v>1993</v>
      </c>
      <c r="G3195" s="8">
        <v>1.6</v>
      </c>
      <c r="H3195" s="4" t="s">
        <v>3</v>
      </c>
      <c r="I3195" s="8">
        <v>0.3</v>
      </c>
      <c r="J3195" s="3">
        <f>1759</f>
        <v>1759</v>
      </c>
      <c r="K3195" s="3">
        <v>50401</v>
      </c>
      <c r="L3195" s="17" t="str" cm="1">
        <f t="array" ref="L3195">_xlfn.IFS(MID(K3195,2,2)="01", "서울", MID(K3195,2,2)="02","경기",MID(K3195,2,2)="03","충청",MID(K3195,2,2)="04","충청",MID(K3195,2,2)="05","전라",MID(K3195,2,2)="06","전라",MID(K3195,2,2)="07","경북",MID(K3195,2,2)="08","경남",MID(K3195,2,2)="09","강원",MID(K3195,2,2)="10","제주",TRUE,"국외")</f>
        <v>충청</v>
      </c>
    </row>
    <row r="3196" spans="1:12" ht="17.25" thickBot="1">
      <c r="A3196" s="3" t="s">
        <v>3106</v>
      </c>
      <c r="B3196" s="3" t="s">
        <v>2491</v>
      </c>
      <c r="C3196" s="3" t="s">
        <v>218</v>
      </c>
      <c r="D3196" s="4" t="s">
        <v>254</v>
      </c>
      <c r="E3196" s="4" t="s">
        <v>23</v>
      </c>
      <c r="F3196" s="4">
        <v>1993</v>
      </c>
      <c r="G3196" s="8">
        <v>5.0999999999999996</v>
      </c>
      <c r="H3196" s="4" t="s">
        <v>23</v>
      </c>
      <c r="I3196" s="8">
        <v>32.9</v>
      </c>
      <c r="J3196" s="3">
        <f>1763</f>
        <v>1763</v>
      </c>
      <c r="K3196" s="3">
        <v>50608</v>
      </c>
      <c r="L3196" s="17" t="str" cm="1">
        <f t="array" ref="L3196">_xlfn.IFS(MID(K3196,2,2)="01", "서울", MID(K3196,2,2)="02","경기",MID(K3196,2,2)="03","충청",MID(K3196,2,2)="04","충청",MID(K3196,2,2)="05","전라",MID(K3196,2,2)="06","전라",MID(K3196,2,2)="07","경북",MID(K3196,2,2)="08","경남",MID(K3196,2,2)="09","강원",MID(K3196,2,2)="10","제주",TRUE,"국외")</f>
        <v>전라</v>
      </c>
    </row>
    <row r="3197" spans="1:12" ht="17.25" thickBot="1">
      <c r="A3197" s="3" t="s">
        <v>3107</v>
      </c>
      <c r="B3197" s="3" t="s">
        <v>107</v>
      </c>
      <c r="C3197" s="3" t="s">
        <v>221</v>
      </c>
      <c r="D3197" s="4" t="s">
        <v>254</v>
      </c>
      <c r="E3197" s="4" t="s">
        <v>2661</v>
      </c>
      <c r="F3197" s="4">
        <v>1993</v>
      </c>
      <c r="G3197" s="8">
        <v>0</v>
      </c>
      <c r="H3197" s="4" t="s">
        <v>2661</v>
      </c>
      <c r="I3197" s="8">
        <v>15.2</v>
      </c>
      <c r="J3197" s="3">
        <f>1775</f>
        <v>1775</v>
      </c>
      <c r="K3197" s="3">
        <v>50602</v>
      </c>
      <c r="L3197" s="17" t="str" cm="1">
        <f t="array" ref="L3197">_xlfn.IFS(MID(K3197,2,2)="01", "서울", MID(K3197,2,2)="02","경기",MID(K3197,2,2)="03","충청",MID(K3197,2,2)="04","충청",MID(K3197,2,2)="05","전라",MID(K3197,2,2)="06","전라",MID(K3197,2,2)="07","경북",MID(K3197,2,2)="08","경남",MID(K3197,2,2)="09","강원",MID(K3197,2,2)="10","제주",TRUE,"국외")</f>
        <v>전라</v>
      </c>
    </row>
    <row r="3198" spans="1:12" ht="17.25" thickBot="1">
      <c r="A3198" s="3" t="s">
        <v>3108</v>
      </c>
      <c r="B3198" s="3" t="s">
        <v>40</v>
      </c>
      <c r="C3198" s="3" t="s">
        <v>218</v>
      </c>
      <c r="D3198" s="4" t="s">
        <v>254</v>
      </c>
      <c r="E3198" s="4" t="s">
        <v>2661</v>
      </c>
      <c r="F3198" s="4">
        <v>1993</v>
      </c>
      <c r="G3198" s="8">
        <v>3.5</v>
      </c>
      <c r="H3198" s="4" t="s">
        <v>2661</v>
      </c>
      <c r="I3198" s="8">
        <v>29.1</v>
      </c>
      <c r="J3198" s="3">
        <v>13285</v>
      </c>
      <c r="K3198" s="3">
        <v>50108</v>
      </c>
      <c r="L3198" s="17" t="str" cm="1">
        <f t="array" ref="L3198">_xlfn.IFS(MID(K3198,2,2)="01", "서울", MID(K3198,2,2)="02","경기",MID(K3198,2,2)="03","충청",MID(K3198,2,2)="04","충청",MID(K3198,2,2)="05","전라",MID(K3198,2,2)="06","전라",MID(K3198,2,2)="07","경북",MID(K3198,2,2)="08","경남",MID(K3198,2,2)="09","강원",MID(K3198,2,2)="10","제주",TRUE,"국외")</f>
        <v>서울</v>
      </c>
    </row>
    <row r="3199" spans="1:12" ht="17.25" thickBot="1">
      <c r="A3199" s="3" t="s">
        <v>3109</v>
      </c>
      <c r="B3199" s="3" t="s">
        <v>241</v>
      </c>
      <c r="C3199" s="3" t="s">
        <v>221</v>
      </c>
      <c r="D3199" s="4" t="s">
        <v>254</v>
      </c>
      <c r="E3199" s="4" t="s">
        <v>2661</v>
      </c>
      <c r="F3199" s="4">
        <v>1993</v>
      </c>
      <c r="G3199" s="8">
        <v>0.3</v>
      </c>
      <c r="H3199" s="4" t="s">
        <v>3</v>
      </c>
      <c r="I3199" s="8">
        <v>3.5</v>
      </c>
      <c r="J3199" s="3">
        <f>1737</f>
        <v>1737</v>
      </c>
      <c r="K3199" s="3">
        <v>50202</v>
      </c>
      <c r="L3199" s="17" t="str" cm="1">
        <f t="array" ref="L3199">_xlfn.IFS(MID(K3199,2,2)="01", "서울", MID(K3199,2,2)="02","경기",MID(K3199,2,2)="03","충청",MID(K3199,2,2)="04","충청",MID(K3199,2,2)="05","전라",MID(K3199,2,2)="06","전라",MID(K3199,2,2)="07","경북",MID(K3199,2,2)="08","경남",MID(K3199,2,2)="09","강원",MID(K3199,2,2)="10","제주",TRUE,"국외")</f>
        <v>경기</v>
      </c>
    </row>
    <row r="3200" spans="1:12" ht="17.25" thickBot="1">
      <c r="A3200" s="3" t="s">
        <v>3110</v>
      </c>
      <c r="B3200" s="3" t="s">
        <v>78</v>
      </c>
      <c r="C3200" s="3" t="s">
        <v>739</v>
      </c>
      <c r="D3200" s="4" t="s">
        <v>254</v>
      </c>
      <c r="E3200" s="4" t="s">
        <v>2968</v>
      </c>
      <c r="F3200" s="4">
        <v>1993</v>
      </c>
      <c r="G3200" s="8">
        <v>0.2</v>
      </c>
      <c r="H3200" s="4" t="s">
        <v>2164</v>
      </c>
      <c r="I3200" s="8">
        <v>-0.1</v>
      </c>
      <c r="J3200" s="3">
        <f>1742</f>
        <v>1742</v>
      </c>
      <c r="K3200" s="3">
        <v>50401</v>
      </c>
      <c r="L3200" s="17" t="str" cm="1">
        <f t="array" ref="L3200">_xlfn.IFS(MID(K3200,2,2)="01", "서울", MID(K3200,2,2)="02","경기",MID(K3200,2,2)="03","충청",MID(K3200,2,2)="04","충청",MID(K3200,2,2)="05","전라",MID(K3200,2,2)="06","전라",MID(K3200,2,2)="07","경북",MID(K3200,2,2)="08","경남",MID(K3200,2,2)="09","강원",MID(K3200,2,2)="10","제주",TRUE,"국외")</f>
        <v>충청</v>
      </c>
    </row>
    <row r="3201" spans="1:12" ht="17.25" thickBot="1">
      <c r="A3201" s="3" t="s">
        <v>3111</v>
      </c>
      <c r="B3201" s="3"/>
      <c r="C3201" s="3" t="s">
        <v>83</v>
      </c>
      <c r="D3201" s="4" t="s">
        <v>254</v>
      </c>
      <c r="E3201" s="4" t="s">
        <v>2523</v>
      </c>
      <c r="F3201" s="4">
        <v>1993</v>
      </c>
      <c r="G3201" s="8">
        <v>0</v>
      </c>
      <c r="H3201" s="4" t="s">
        <v>2523</v>
      </c>
      <c r="I3201" s="8">
        <v>-0.5</v>
      </c>
      <c r="J3201" s="3">
        <f>1720</f>
        <v>1720</v>
      </c>
      <c r="K3201" s="3"/>
      <c r="L3201" s="17" t="str" cm="1">
        <f t="array" ref="L3201">_xlfn.IFS(MID(K3201,2,2)="01", "서울", MID(K3201,2,2)="02","경기",MID(K3201,2,2)="03","충청",MID(K3201,2,2)="04","충청",MID(K3201,2,2)="05","전라",MID(K3201,2,2)="06","전라",MID(K3201,2,2)="07","경북",MID(K3201,2,2)="08","경남",MID(K3201,2,2)="09","강원",MID(K3201,2,2)="10","제주",TRUE,"국외")</f>
        <v>국외</v>
      </c>
    </row>
    <row r="3202" spans="1:12" ht="17.25" thickBot="1">
      <c r="A3202" s="3" t="s">
        <v>1160</v>
      </c>
      <c r="B3202" s="3"/>
      <c r="C3202" s="3" t="s">
        <v>218</v>
      </c>
      <c r="D3202" s="4" t="s">
        <v>254</v>
      </c>
      <c r="E3202" s="4" t="s">
        <v>2725</v>
      </c>
      <c r="F3202" s="4">
        <v>1993</v>
      </c>
      <c r="G3202" s="8">
        <v>0.5</v>
      </c>
      <c r="H3202" s="4" t="s">
        <v>2725</v>
      </c>
      <c r="I3202" s="8">
        <v>1</v>
      </c>
      <c r="J3202" s="3">
        <f>1736</f>
        <v>1736</v>
      </c>
      <c r="K3202" s="3"/>
      <c r="L3202" s="17" t="str" cm="1">
        <f t="array" ref="L3202">_xlfn.IFS(MID(K3202,2,2)="01", "서울", MID(K3202,2,2)="02","경기",MID(K3202,2,2)="03","충청",MID(K3202,2,2)="04","충청",MID(K3202,2,2)="05","전라",MID(K3202,2,2)="06","전라",MID(K3202,2,2)="07","경북",MID(K3202,2,2)="08","경남",MID(K3202,2,2)="09","강원",MID(K3202,2,2)="10","제주",TRUE,"국외")</f>
        <v>국외</v>
      </c>
    </row>
    <row r="3203" spans="1:12" ht="17.25" thickBot="1">
      <c r="A3203" s="3" t="s">
        <v>3112</v>
      </c>
      <c r="B3203" s="3" t="s">
        <v>66</v>
      </c>
      <c r="C3203" s="3" t="s">
        <v>208</v>
      </c>
      <c r="D3203" s="4" t="s">
        <v>254</v>
      </c>
      <c r="E3203" s="4" t="s">
        <v>9</v>
      </c>
      <c r="F3203" s="4">
        <v>1993</v>
      </c>
      <c r="G3203" s="8">
        <v>-0.5</v>
      </c>
      <c r="H3203" s="4" t="s">
        <v>2661</v>
      </c>
      <c r="I3203" s="8">
        <v>1.4</v>
      </c>
      <c r="J3203" s="3">
        <f>1743</f>
        <v>1743</v>
      </c>
      <c r="K3203" s="3">
        <v>50110</v>
      </c>
      <c r="L3203" s="17" t="str" cm="1">
        <f t="array" ref="L3203">_xlfn.IFS(MID(K3203,2,2)="01", "서울", MID(K3203,2,2)="02","경기",MID(K3203,2,2)="03","충청",MID(K3203,2,2)="04","충청",MID(K3203,2,2)="05","전라",MID(K3203,2,2)="06","전라",MID(K3203,2,2)="07","경북",MID(K3203,2,2)="08","경남",MID(K3203,2,2)="09","강원",MID(K3203,2,2)="10","제주",TRUE,"국외")</f>
        <v>서울</v>
      </c>
    </row>
    <row r="3204" spans="1:12" ht="17.25" thickBot="1">
      <c r="A3204" s="3" t="s">
        <v>3113</v>
      </c>
      <c r="B3204" s="3" t="s">
        <v>25</v>
      </c>
      <c r="C3204" s="3" t="s">
        <v>119</v>
      </c>
      <c r="D3204" s="4" t="s">
        <v>254</v>
      </c>
      <c r="E3204" s="4" t="s">
        <v>3101</v>
      </c>
      <c r="F3204" s="4">
        <v>1993</v>
      </c>
      <c r="G3204" s="8">
        <v>2.2000000000000002</v>
      </c>
      <c r="H3204" s="4" t="s">
        <v>3101</v>
      </c>
      <c r="I3204" s="8">
        <v>4</v>
      </c>
      <c r="J3204" s="3">
        <f>1754</f>
        <v>1754</v>
      </c>
      <c r="K3204" s="3">
        <v>50403</v>
      </c>
      <c r="L3204" s="17" t="str" cm="1">
        <f t="array" ref="L3204">_xlfn.IFS(MID(K3204,2,2)="01", "서울", MID(K3204,2,2)="02","경기",MID(K3204,2,2)="03","충청",MID(K3204,2,2)="04","충청",MID(K3204,2,2)="05","전라",MID(K3204,2,2)="06","전라",MID(K3204,2,2)="07","경북",MID(K3204,2,2)="08","경남",MID(K3204,2,2)="09","강원",MID(K3204,2,2)="10","제주",TRUE,"국외")</f>
        <v>충청</v>
      </c>
    </row>
    <row r="3205" spans="1:12" ht="17.25" thickBot="1">
      <c r="A3205" s="3" t="s">
        <v>3114</v>
      </c>
      <c r="B3205" s="3"/>
      <c r="C3205" s="3" t="s">
        <v>119</v>
      </c>
      <c r="D3205" s="4" t="s">
        <v>254</v>
      </c>
      <c r="E3205" s="4" t="s">
        <v>23</v>
      </c>
      <c r="F3205" s="4">
        <v>1993</v>
      </c>
      <c r="G3205" s="8">
        <v>0</v>
      </c>
      <c r="H3205" s="4" t="s">
        <v>23</v>
      </c>
      <c r="I3205" s="8">
        <v>-0.3</v>
      </c>
      <c r="J3205" s="3">
        <f>1756</f>
        <v>1756</v>
      </c>
      <c r="K3205" s="3"/>
      <c r="L3205" s="17" t="str" cm="1">
        <f t="array" ref="L3205">_xlfn.IFS(MID(K3205,2,2)="01", "서울", MID(K3205,2,2)="02","경기",MID(K3205,2,2)="03","충청",MID(K3205,2,2)="04","충청",MID(K3205,2,2)="05","전라",MID(K3205,2,2)="06","전라",MID(K3205,2,2)="07","경북",MID(K3205,2,2)="08","경남",MID(K3205,2,2)="09","강원",MID(K3205,2,2)="10","제주",TRUE,"국외")</f>
        <v>국외</v>
      </c>
    </row>
    <row r="3206" spans="1:12" ht="17.25" thickBot="1">
      <c r="A3206" s="3" t="s">
        <v>3115</v>
      </c>
      <c r="B3206" s="3" t="s">
        <v>107</v>
      </c>
      <c r="C3206" s="3" t="s">
        <v>133</v>
      </c>
      <c r="D3206" s="4" t="s">
        <v>254</v>
      </c>
      <c r="E3206" s="4" t="s">
        <v>2661</v>
      </c>
      <c r="F3206" s="4">
        <v>1993</v>
      </c>
      <c r="G3206" s="8">
        <v>1.7</v>
      </c>
      <c r="H3206" s="4" t="s">
        <v>3</v>
      </c>
      <c r="I3206" s="8">
        <v>8.9</v>
      </c>
      <c r="J3206" s="3">
        <f>1722</f>
        <v>1722</v>
      </c>
      <c r="K3206" s="3">
        <v>50602</v>
      </c>
      <c r="L3206" s="17" t="str" cm="1">
        <f t="array" ref="L3206">_xlfn.IFS(MID(K3206,2,2)="01", "서울", MID(K3206,2,2)="02","경기",MID(K3206,2,2)="03","충청",MID(K3206,2,2)="04","충청",MID(K3206,2,2)="05","전라",MID(K3206,2,2)="06","전라",MID(K3206,2,2)="07","경북",MID(K3206,2,2)="08","경남",MID(K3206,2,2)="09","강원",MID(K3206,2,2)="10","제주",TRUE,"국외")</f>
        <v>전라</v>
      </c>
    </row>
    <row r="3207" spans="1:12" ht="17.25" thickBot="1">
      <c r="A3207" s="3" t="s">
        <v>3116</v>
      </c>
      <c r="B3207" s="3" t="s">
        <v>5</v>
      </c>
      <c r="C3207" s="3" t="s">
        <v>133</v>
      </c>
      <c r="D3207" s="4" t="s">
        <v>254</v>
      </c>
      <c r="E3207" s="4" t="s">
        <v>2968</v>
      </c>
      <c r="F3207" s="4">
        <v>1993</v>
      </c>
      <c r="G3207" s="8">
        <v>0.8</v>
      </c>
      <c r="H3207" s="4" t="s">
        <v>2968</v>
      </c>
      <c r="I3207" s="8">
        <v>1.4</v>
      </c>
      <c r="J3207" s="3">
        <f>1728</f>
        <v>1728</v>
      </c>
      <c r="K3207" s="3">
        <v>50114</v>
      </c>
      <c r="L3207" s="17" t="str" cm="1">
        <f t="array" ref="L3207">_xlfn.IFS(MID(K3207,2,2)="01", "서울", MID(K3207,2,2)="02","경기",MID(K3207,2,2)="03","충청",MID(K3207,2,2)="04","충청",MID(K3207,2,2)="05","전라",MID(K3207,2,2)="06","전라",MID(K3207,2,2)="07","경북",MID(K3207,2,2)="08","경남",MID(K3207,2,2)="09","강원",MID(K3207,2,2)="10","제주",TRUE,"국외")</f>
        <v>서울</v>
      </c>
    </row>
    <row r="3208" spans="1:12" ht="17.25" thickBot="1">
      <c r="A3208" s="3" t="s">
        <v>3117</v>
      </c>
      <c r="B3208" s="3" t="s">
        <v>66</v>
      </c>
      <c r="C3208" s="3" t="s">
        <v>122</v>
      </c>
      <c r="D3208" s="4" t="s">
        <v>254</v>
      </c>
      <c r="E3208" s="4" t="s">
        <v>2523</v>
      </c>
      <c r="F3208" s="4">
        <v>1993</v>
      </c>
      <c r="G3208" s="8">
        <v>0.1</v>
      </c>
      <c r="H3208" s="4" t="s">
        <v>2523</v>
      </c>
      <c r="I3208" s="8">
        <v>0.1</v>
      </c>
      <c r="J3208" s="3">
        <f>1721</f>
        <v>1721</v>
      </c>
      <c r="K3208" s="3">
        <v>50110</v>
      </c>
      <c r="L3208" s="17" t="str" cm="1">
        <f t="array" ref="L3208">_xlfn.IFS(MID(K3208,2,2)="01", "서울", MID(K3208,2,2)="02","경기",MID(K3208,2,2)="03","충청",MID(K3208,2,2)="04","충청",MID(K3208,2,2)="05","전라",MID(K3208,2,2)="06","전라",MID(K3208,2,2)="07","경북",MID(K3208,2,2)="08","경남",MID(K3208,2,2)="09","강원",MID(K3208,2,2)="10","제주",TRUE,"국외")</f>
        <v>서울</v>
      </c>
    </row>
    <row r="3209" spans="1:12" ht="17.25" thickBot="1">
      <c r="A3209" s="3" t="s">
        <v>3118</v>
      </c>
      <c r="B3209" s="3" t="s">
        <v>3038</v>
      </c>
      <c r="C3209" s="3" t="s">
        <v>211</v>
      </c>
      <c r="D3209" s="4" t="s">
        <v>254</v>
      </c>
      <c r="E3209" s="4" t="s">
        <v>20</v>
      </c>
      <c r="F3209" s="4">
        <v>1994</v>
      </c>
      <c r="G3209" s="9"/>
      <c r="H3209" s="4" t="s">
        <v>20</v>
      </c>
      <c r="I3209" s="8">
        <v>-0.1</v>
      </c>
      <c r="J3209" s="3">
        <f>1805</f>
        <v>1805</v>
      </c>
      <c r="K3209" s="3">
        <v>50126</v>
      </c>
      <c r="L3209" s="17" t="str" cm="1">
        <f t="array" ref="L3209">_xlfn.IFS(MID(K3209,2,2)="01", "서울", MID(K3209,2,2)="02","경기",MID(K3209,2,2)="03","충청",MID(K3209,2,2)="04","충청",MID(K3209,2,2)="05","전라",MID(K3209,2,2)="06","전라",MID(K3209,2,2)="07","경북",MID(K3209,2,2)="08","경남",MID(K3209,2,2)="09","강원",MID(K3209,2,2)="10","제주",TRUE,"국외")</f>
        <v>서울</v>
      </c>
    </row>
    <row r="3210" spans="1:12" ht="17.25" thickBot="1">
      <c r="A3210" s="3" t="s">
        <v>3119</v>
      </c>
      <c r="B3210" s="3" t="s">
        <v>11</v>
      </c>
      <c r="C3210" s="3" t="s">
        <v>119</v>
      </c>
      <c r="D3210" s="4" t="s">
        <v>254</v>
      </c>
      <c r="E3210" s="4" t="s">
        <v>9</v>
      </c>
      <c r="F3210" s="4">
        <v>1993</v>
      </c>
      <c r="G3210" s="8">
        <v>-0.1</v>
      </c>
      <c r="H3210" s="4" t="s">
        <v>9</v>
      </c>
      <c r="I3210" s="8">
        <v>-0.7</v>
      </c>
      <c r="J3210" s="3">
        <f>1729</f>
        <v>1729</v>
      </c>
      <c r="K3210" s="3">
        <v>50802</v>
      </c>
      <c r="L3210" s="17" t="str" cm="1">
        <f t="array" ref="L3210">_xlfn.IFS(MID(K3210,2,2)="01", "서울", MID(K3210,2,2)="02","경기",MID(K3210,2,2)="03","충청",MID(K3210,2,2)="04","충청",MID(K3210,2,2)="05","전라",MID(K3210,2,2)="06","전라",MID(K3210,2,2)="07","경북",MID(K3210,2,2)="08","경남",MID(K3210,2,2)="09","강원",MID(K3210,2,2)="10","제주",TRUE,"국외")</f>
        <v>경남</v>
      </c>
    </row>
    <row r="3211" spans="1:12" ht="17.25" thickBot="1">
      <c r="A3211" s="3" t="s">
        <v>604</v>
      </c>
      <c r="B3211" s="3" t="s">
        <v>464</v>
      </c>
      <c r="C3211" s="3" t="s">
        <v>538</v>
      </c>
      <c r="D3211" s="4" t="s">
        <v>254</v>
      </c>
      <c r="E3211" s="4" t="s">
        <v>3101</v>
      </c>
      <c r="F3211" s="4">
        <v>1993</v>
      </c>
      <c r="G3211" s="8">
        <v>0.6</v>
      </c>
      <c r="H3211" s="4" t="s">
        <v>3</v>
      </c>
      <c r="I3211" s="8">
        <v>6.8</v>
      </c>
      <c r="J3211" s="3">
        <f>1748</f>
        <v>1748</v>
      </c>
      <c r="K3211" s="3">
        <v>50706</v>
      </c>
      <c r="L3211" s="17" t="str" cm="1">
        <f t="array" ref="L3211">_xlfn.IFS(MID(K3211,2,2)="01", "서울", MID(K3211,2,2)="02","경기",MID(K3211,2,2)="03","충청",MID(K3211,2,2)="04","충청",MID(K3211,2,2)="05","전라",MID(K3211,2,2)="06","전라",MID(K3211,2,2)="07","경북",MID(K3211,2,2)="08","경남",MID(K3211,2,2)="09","강원",MID(K3211,2,2)="10","제주",TRUE,"국외")</f>
        <v>경북</v>
      </c>
    </row>
    <row r="3212" spans="1:12" ht="17.25" thickBot="1">
      <c r="A3212" s="3" t="s">
        <v>3120</v>
      </c>
      <c r="B3212" s="3" t="s">
        <v>34</v>
      </c>
      <c r="C3212" s="3" t="s">
        <v>739</v>
      </c>
      <c r="D3212" s="4" t="s">
        <v>254</v>
      </c>
      <c r="E3212" s="4" t="s">
        <v>23</v>
      </c>
      <c r="F3212" s="4">
        <v>1993</v>
      </c>
      <c r="G3212" s="8">
        <v>0.3</v>
      </c>
      <c r="H3212" s="4" t="s">
        <v>23</v>
      </c>
      <c r="I3212" s="8">
        <v>57.7</v>
      </c>
      <c r="J3212" s="3">
        <f>1768</f>
        <v>1768</v>
      </c>
      <c r="K3212" s="3">
        <v>50701</v>
      </c>
      <c r="L3212" s="17" t="str" cm="1">
        <f t="array" ref="L3212">_xlfn.IFS(MID(K3212,2,2)="01", "서울", MID(K3212,2,2)="02","경기",MID(K3212,2,2)="03","충청",MID(K3212,2,2)="04","충청",MID(K3212,2,2)="05","전라",MID(K3212,2,2)="06","전라",MID(K3212,2,2)="07","경북",MID(K3212,2,2)="08","경남",MID(K3212,2,2)="09","강원",MID(K3212,2,2)="10","제주",TRUE,"국외")</f>
        <v>경북</v>
      </c>
    </row>
    <row r="3213" spans="1:12" ht="17.25" thickBot="1">
      <c r="A3213" s="3" t="s">
        <v>3121</v>
      </c>
      <c r="B3213" s="3" t="s">
        <v>121</v>
      </c>
      <c r="C3213" s="3" t="s">
        <v>739</v>
      </c>
      <c r="D3213" s="4" t="s">
        <v>254</v>
      </c>
      <c r="E3213" s="4" t="s">
        <v>2968</v>
      </c>
      <c r="F3213" s="4">
        <v>1993</v>
      </c>
      <c r="G3213" s="8">
        <v>0.4</v>
      </c>
      <c r="H3213" s="4" t="s">
        <v>2968</v>
      </c>
      <c r="I3213" s="8">
        <v>0.9</v>
      </c>
      <c r="J3213" s="3">
        <f>1730</f>
        <v>1730</v>
      </c>
      <c r="K3213" s="3">
        <v>50604</v>
      </c>
      <c r="L3213" s="17" t="str" cm="1">
        <f t="array" ref="L3213">_xlfn.IFS(MID(K3213,2,2)="01", "서울", MID(K3213,2,2)="02","경기",MID(K3213,2,2)="03","충청",MID(K3213,2,2)="04","충청",MID(K3213,2,2)="05","전라",MID(K3213,2,2)="06","전라",MID(K3213,2,2)="07","경북",MID(K3213,2,2)="08","경남",MID(K3213,2,2)="09","강원",MID(K3213,2,2)="10","제주",TRUE,"국외")</f>
        <v>전라</v>
      </c>
    </row>
    <row r="3214" spans="1:12" ht="17.25" thickBot="1">
      <c r="A3214" s="3" t="s">
        <v>3122</v>
      </c>
      <c r="B3214" s="3" t="s">
        <v>107</v>
      </c>
      <c r="C3214" s="3" t="s">
        <v>45</v>
      </c>
      <c r="D3214" s="4" t="s">
        <v>254</v>
      </c>
      <c r="E3214" s="4" t="s">
        <v>2523</v>
      </c>
      <c r="F3214" s="4">
        <v>1996</v>
      </c>
      <c r="G3214" s="9"/>
      <c r="H3214" s="4" t="s">
        <v>2523</v>
      </c>
      <c r="I3214" s="8">
        <v>-0.4</v>
      </c>
      <c r="J3214" s="3">
        <f>1958</f>
        <v>1958</v>
      </c>
      <c r="K3214" s="3">
        <v>50602</v>
      </c>
      <c r="L3214" s="17" t="str" cm="1">
        <f t="array" ref="L3214">_xlfn.IFS(MID(K3214,2,2)="01", "서울", MID(K3214,2,2)="02","경기",MID(K3214,2,2)="03","충청",MID(K3214,2,2)="04","충청",MID(K3214,2,2)="05","전라",MID(K3214,2,2)="06","전라",MID(K3214,2,2)="07","경북",MID(K3214,2,2)="08","경남",MID(K3214,2,2)="09","강원",MID(K3214,2,2)="10","제주",TRUE,"국외")</f>
        <v>전라</v>
      </c>
    </row>
    <row r="3215" spans="1:12" ht="17.25" thickBot="1">
      <c r="A3215" s="3" t="s">
        <v>3123</v>
      </c>
      <c r="B3215" s="3" t="s">
        <v>93</v>
      </c>
      <c r="C3215" s="3" t="s">
        <v>211</v>
      </c>
      <c r="D3215" s="4" t="s">
        <v>254</v>
      </c>
      <c r="E3215" s="4" t="s">
        <v>20</v>
      </c>
      <c r="F3215" s="4">
        <v>1993</v>
      </c>
      <c r="G3215" s="8">
        <v>3.3</v>
      </c>
      <c r="H3215" s="4" t="s">
        <v>20</v>
      </c>
      <c r="I3215" s="8">
        <v>2</v>
      </c>
      <c r="J3215" s="3">
        <f>1764</f>
        <v>1764</v>
      </c>
      <c r="K3215" s="3">
        <v>50805</v>
      </c>
      <c r="L3215" s="17" t="str" cm="1">
        <f t="array" ref="L3215">_xlfn.IFS(MID(K3215,2,2)="01", "서울", MID(K3215,2,2)="02","경기",MID(K3215,2,2)="03","충청",MID(K3215,2,2)="04","충청",MID(K3215,2,2)="05","전라",MID(K3215,2,2)="06","전라",MID(K3215,2,2)="07","경북",MID(K3215,2,2)="08","경남",MID(K3215,2,2)="09","강원",MID(K3215,2,2)="10","제주",TRUE,"국외")</f>
        <v>경남</v>
      </c>
    </row>
    <row r="3216" spans="1:12" ht="17.25" thickBot="1">
      <c r="A3216" s="3" t="s">
        <v>1905</v>
      </c>
      <c r="B3216" s="3" t="s">
        <v>74</v>
      </c>
      <c r="C3216" s="3" t="s">
        <v>119</v>
      </c>
      <c r="D3216" s="4" t="s">
        <v>254</v>
      </c>
      <c r="E3216" s="4" t="s">
        <v>9</v>
      </c>
      <c r="F3216" s="4">
        <v>1993</v>
      </c>
      <c r="G3216" s="8">
        <v>-1.2</v>
      </c>
      <c r="H3216" s="4" t="s">
        <v>9</v>
      </c>
      <c r="I3216" s="8">
        <v>-1.2</v>
      </c>
      <c r="J3216" s="3">
        <f>1767</f>
        <v>1767</v>
      </c>
      <c r="K3216" s="3">
        <v>50102</v>
      </c>
      <c r="L3216" s="17" t="str" cm="1">
        <f t="array" ref="L3216">_xlfn.IFS(MID(K3216,2,2)="01", "서울", MID(K3216,2,2)="02","경기",MID(K3216,2,2)="03","충청",MID(K3216,2,2)="04","충청",MID(K3216,2,2)="05","전라",MID(K3216,2,2)="06","전라",MID(K3216,2,2)="07","경북",MID(K3216,2,2)="08","경남",MID(K3216,2,2)="09","강원",MID(K3216,2,2)="10","제주",TRUE,"국외")</f>
        <v>서울</v>
      </c>
    </row>
    <row r="3217" spans="1:12" ht="17.25" thickBot="1">
      <c r="A3217" s="3" t="s">
        <v>3124</v>
      </c>
      <c r="B3217" s="3" t="s">
        <v>34</v>
      </c>
      <c r="C3217" s="3" t="s">
        <v>83</v>
      </c>
      <c r="D3217" s="4" t="s">
        <v>254</v>
      </c>
      <c r="E3217" s="4" t="s">
        <v>3101</v>
      </c>
      <c r="F3217" s="4">
        <v>1996</v>
      </c>
      <c r="G3217" s="9"/>
      <c r="H3217" s="4" t="s">
        <v>3</v>
      </c>
      <c r="I3217" s="8">
        <v>-0.4</v>
      </c>
      <c r="J3217" s="3">
        <f>1921</f>
        <v>1921</v>
      </c>
      <c r="K3217" s="3">
        <v>50701</v>
      </c>
      <c r="L3217" s="17" t="str" cm="1">
        <f t="array" ref="L3217">_xlfn.IFS(MID(K3217,2,2)="01", "서울", MID(K3217,2,2)="02","경기",MID(K3217,2,2)="03","충청",MID(K3217,2,2)="04","충청",MID(K3217,2,2)="05","전라",MID(K3217,2,2)="06","전라",MID(K3217,2,2)="07","경북",MID(K3217,2,2)="08","경남",MID(K3217,2,2)="09","강원",MID(K3217,2,2)="10","제주",TRUE,"국외")</f>
        <v>경북</v>
      </c>
    </row>
    <row r="3218" spans="1:12" ht="17.25" thickBot="1">
      <c r="A3218" s="3" t="s">
        <v>3125</v>
      </c>
      <c r="B3218" s="3" t="s">
        <v>5</v>
      </c>
      <c r="C3218" s="3" t="s">
        <v>218</v>
      </c>
      <c r="D3218" s="4" t="s">
        <v>254</v>
      </c>
      <c r="E3218" s="4" t="s">
        <v>2661</v>
      </c>
      <c r="F3218" s="4">
        <v>1993</v>
      </c>
      <c r="G3218" s="8">
        <v>-0.3</v>
      </c>
      <c r="H3218" s="4" t="s">
        <v>2661</v>
      </c>
      <c r="I3218" s="8">
        <v>0.1</v>
      </c>
      <c r="J3218" s="3">
        <f>1758</f>
        <v>1758</v>
      </c>
      <c r="K3218" s="3">
        <v>50114</v>
      </c>
      <c r="L3218" s="17" t="str" cm="1">
        <f t="array" ref="L3218">_xlfn.IFS(MID(K3218,2,2)="01", "서울", MID(K3218,2,2)="02","경기",MID(K3218,2,2)="03","충청",MID(K3218,2,2)="04","충청",MID(K3218,2,2)="05","전라",MID(K3218,2,2)="06","전라",MID(K3218,2,2)="07","경북",MID(K3218,2,2)="08","경남",MID(K3218,2,2)="09","강원",MID(K3218,2,2)="10","제주",TRUE,"국외")</f>
        <v>서울</v>
      </c>
    </row>
    <row r="3219" spans="1:12" ht="17.25" thickBot="1">
      <c r="A3219" s="3" t="s">
        <v>3126</v>
      </c>
      <c r="B3219" s="3" t="s">
        <v>2524</v>
      </c>
      <c r="C3219" s="3" t="s">
        <v>538</v>
      </c>
      <c r="D3219" s="4" t="s">
        <v>254</v>
      </c>
      <c r="E3219" s="4" t="s">
        <v>2523</v>
      </c>
      <c r="F3219" s="4">
        <v>1993</v>
      </c>
      <c r="G3219" s="8">
        <v>-0.6</v>
      </c>
      <c r="H3219" s="4" t="s">
        <v>2523</v>
      </c>
      <c r="I3219" s="8">
        <v>0.3</v>
      </c>
      <c r="J3219" s="3">
        <f>1779</f>
        <v>1779</v>
      </c>
      <c r="K3219" s="3">
        <v>50711</v>
      </c>
      <c r="L3219" s="17" t="str" cm="1">
        <f t="array" ref="L3219">_xlfn.IFS(MID(K3219,2,2)="01", "서울", MID(K3219,2,2)="02","경기",MID(K3219,2,2)="03","충청",MID(K3219,2,2)="04","충청",MID(K3219,2,2)="05","전라",MID(K3219,2,2)="06","전라",MID(K3219,2,2)="07","경북",MID(K3219,2,2)="08","경남",MID(K3219,2,2)="09","강원",MID(K3219,2,2)="10","제주",TRUE,"국외")</f>
        <v>경북</v>
      </c>
    </row>
    <row r="3220" spans="1:12" ht="17.25" thickBot="1">
      <c r="A3220" s="3" t="s">
        <v>3127</v>
      </c>
      <c r="B3220" s="3" t="s">
        <v>5</v>
      </c>
      <c r="C3220" s="3" t="s">
        <v>174</v>
      </c>
      <c r="D3220" s="4" t="s">
        <v>254</v>
      </c>
      <c r="E3220" s="4" t="s">
        <v>20</v>
      </c>
      <c r="F3220" s="4">
        <v>1993</v>
      </c>
      <c r="G3220" s="8">
        <v>0</v>
      </c>
      <c r="H3220" s="4" t="s">
        <v>20</v>
      </c>
      <c r="I3220" s="8">
        <v>-0.3</v>
      </c>
      <c r="J3220" s="3">
        <f>1755</f>
        <v>1755</v>
      </c>
      <c r="K3220" s="3">
        <v>50114</v>
      </c>
      <c r="L3220" s="17" t="str" cm="1">
        <f t="array" ref="L3220">_xlfn.IFS(MID(K3220,2,2)="01", "서울", MID(K3220,2,2)="02","경기",MID(K3220,2,2)="03","충청",MID(K3220,2,2)="04","충청",MID(K3220,2,2)="05","전라",MID(K3220,2,2)="06","전라",MID(K3220,2,2)="07","경북",MID(K3220,2,2)="08","경남",MID(K3220,2,2)="09","강원",MID(K3220,2,2)="10","제주",TRUE,"국외")</f>
        <v>서울</v>
      </c>
    </row>
    <row r="3221" spans="1:12" ht="17.25" thickBot="1">
      <c r="A3221" s="3" t="s">
        <v>3128</v>
      </c>
      <c r="B3221" s="3" t="s">
        <v>241</v>
      </c>
      <c r="C3221" s="3" t="s">
        <v>221</v>
      </c>
      <c r="D3221" s="4" t="s">
        <v>254</v>
      </c>
      <c r="E3221" s="4" t="s">
        <v>9</v>
      </c>
      <c r="F3221" s="4">
        <v>1993</v>
      </c>
      <c r="G3221" s="8">
        <v>-0.1</v>
      </c>
      <c r="H3221" s="4" t="s">
        <v>9</v>
      </c>
      <c r="I3221" s="8">
        <v>-0.1</v>
      </c>
      <c r="J3221" s="3">
        <f>1740</f>
        <v>1740</v>
      </c>
      <c r="K3221" s="3">
        <v>50202</v>
      </c>
      <c r="L3221" s="17" t="str" cm="1">
        <f t="array" ref="L3221">_xlfn.IFS(MID(K3221,2,2)="01", "서울", MID(K3221,2,2)="02","경기",MID(K3221,2,2)="03","충청",MID(K3221,2,2)="04","충청",MID(K3221,2,2)="05","전라",MID(K3221,2,2)="06","전라",MID(K3221,2,2)="07","경북",MID(K3221,2,2)="08","경남",MID(K3221,2,2)="09","강원",MID(K3221,2,2)="10","제주",TRUE,"국외")</f>
        <v>경기</v>
      </c>
    </row>
    <row r="3222" spans="1:12" ht="17.25" thickBot="1">
      <c r="A3222" s="3" t="s">
        <v>2867</v>
      </c>
      <c r="B3222" s="3" t="s">
        <v>78</v>
      </c>
      <c r="C3222" s="3"/>
      <c r="D3222" s="4" t="s">
        <v>254</v>
      </c>
      <c r="E3222" s="4" t="s">
        <v>23</v>
      </c>
      <c r="F3222" s="4">
        <v>1994</v>
      </c>
      <c r="G3222" s="9"/>
      <c r="H3222" s="4" t="s">
        <v>23</v>
      </c>
      <c r="I3222" s="8">
        <v>-0.3</v>
      </c>
      <c r="J3222" s="3">
        <f>1845</f>
        <v>1845</v>
      </c>
      <c r="K3222" s="3">
        <v>50401</v>
      </c>
      <c r="L3222" s="17" t="str" cm="1">
        <f t="array" ref="L3222">_xlfn.IFS(MID(K3222,2,2)="01", "서울", MID(K3222,2,2)="02","경기",MID(K3222,2,2)="03","충청",MID(K3222,2,2)="04","충청",MID(K3222,2,2)="05","전라",MID(K3222,2,2)="06","전라",MID(K3222,2,2)="07","경북",MID(K3222,2,2)="08","경남",MID(K3222,2,2)="09","강원",MID(K3222,2,2)="10","제주",TRUE,"국외")</f>
        <v>충청</v>
      </c>
    </row>
    <row r="3223" spans="1:12" ht="17.25" thickBot="1">
      <c r="A3223" s="3" t="s">
        <v>3129</v>
      </c>
      <c r="B3223" s="3" t="s">
        <v>34</v>
      </c>
      <c r="C3223" s="3" t="s">
        <v>739</v>
      </c>
      <c r="D3223" s="4" t="s">
        <v>254</v>
      </c>
      <c r="E3223" s="4" t="s">
        <v>2661</v>
      </c>
      <c r="F3223" s="4">
        <v>1994</v>
      </c>
      <c r="G3223" s="9"/>
      <c r="H3223" s="4" t="s">
        <v>2661</v>
      </c>
      <c r="I3223" s="8">
        <v>0.5</v>
      </c>
      <c r="J3223" s="3">
        <f>1824</f>
        <v>1824</v>
      </c>
      <c r="K3223" s="3">
        <v>50701</v>
      </c>
      <c r="L3223" s="17" t="str" cm="1">
        <f t="array" ref="L3223">_xlfn.IFS(MID(K3223,2,2)="01", "서울", MID(K3223,2,2)="02","경기",MID(K3223,2,2)="03","충청",MID(K3223,2,2)="04","충청",MID(K3223,2,2)="05","전라",MID(K3223,2,2)="06","전라",MID(K3223,2,2)="07","경북",MID(K3223,2,2)="08","경남",MID(K3223,2,2)="09","강원",MID(K3223,2,2)="10","제주",TRUE,"국외")</f>
        <v>경북</v>
      </c>
    </row>
    <row r="3224" spans="1:12" ht="17.25" thickBot="1">
      <c r="A3224" s="3" t="s">
        <v>3130</v>
      </c>
      <c r="B3224" s="3" t="s">
        <v>3038</v>
      </c>
      <c r="C3224" s="3"/>
      <c r="D3224" s="4" t="s">
        <v>254</v>
      </c>
      <c r="E3224" s="4" t="s">
        <v>2968</v>
      </c>
      <c r="F3224" s="4">
        <v>1993</v>
      </c>
      <c r="G3224" s="8">
        <v>0</v>
      </c>
      <c r="H3224" s="4" t="s">
        <v>3101</v>
      </c>
      <c r="I3224" s="8">
        <v>0</v>
      </c>
      <c r="J3224" s="3">
        <f>1746</f>
        <v>1746</v>
      </c>
      <c r="K3224" s="3">
        <v>50126</v>
      </c>
      <c r="L3224" s="17" t="str" cm="1">
        <f t="array" ref="L3224">_xlfn.IFS(MID(K3224,2,2)="01", "서울", MID(K3224,2,2)="02","경기",MID(K3224,2,2)="03","충청",MID(K3224,2,2)="04","충청",MID(K3224,2,2)="05","전라",MID(K3224,2,2)="06","전라",MID(K3224,2,2)="07","경북",MID(K3224,2,2)="08","경남",MID(K3224,2,2)="09","강원",MID(K3224,2,2)="10","제주",TRUE,"국외")</f>
        <v>서울</v>
      </c>
    </row>
    <row r="3225" spans="1:12" ht="17.25" thickBot="1">
      <c r="A3225" s="3" t="s">
        <v>3131</v>
      </c>
      <c r="B3225" s="3" t="s">
        <v>66</v>
      </c>
      <c r="C3225" s="3" t="s">
        <v>45</v>
      </c>
      <c r="D3225" s="4" t="s">
        <v>254</v>
      </c>
      <c r="E3225" s="4" t="s">
        <v>20</v>
      </c>
      <c r="F3225" s="4">
        <v>1993</v>
      </c>
      <c r="G3225" s="8">
        <v>0.4</v>
      </c>
      <c r="H3225" s="4" t="s">
        <v>20</v>
      </c>
      <c r="I3225" s="8">
        <v>0.3</v>
      </c>
      <c r="J3225" s="3">
        <f>1723</f>
        <v>1723</v>
      </c>
      <c r="K3225" s="3">
        <v>50110</v>
      </c>
      <c r="L3225" s="17" t="str" cm="1">
        <f t="array" ref="L3225">_xlfn.IFS(MID(K3225,2,2)="01", "서울", MID(K3225,2,2)="02","경기",MID(K3225,2,2)="03","충청",MID(K3225,2,2)="04","충청",MID(K3225,2,2)="05","전라",MID(K3225,2,2)="06","전라",MID(K3225,2,2)="07","경북",MID(K3225,2,2)="08","경남",MID(K3225,2,2)="09","강원",MID(K3225,2,2)="10","제주",TRUE,"국외")</f>
        <v>서울</v>
      </c>
    </row>
    <row r="3226" spans="1:12" ht="17.25" thickBot="1">
      <c r="A3226" s="3" t="s">
        <v>3132</v>
      </c>
      <c r="B3226" s="3" t="s">
        <v>8</v>
      </c>
      <c r="C3226" s="3" t="s">
        <v>208</v>
      </c>
      <c r="D3226" s="4" t="s">
        <v>254</v>
      </c>
      <c r="E3226" s="4" t="s">
        <v>3101</v>
      </c>
      <c r="F3226" s="4">
        <v>1993</v>
      </c>
      <c r="G3226" s="8">
        <v>0.3</v>
      </c>
      <c r="H3226" s="4" t="s">
        <v>3101</v>
      </c>
      <c r="I3226" s="8">
        <v>0.3</v>
      </c>
      <c r="J3226" s="3">
        <v>11439</v>
      </c>
      <c r="K3226" s="3">
        <v>50116</v>
      </c>
      <c r="L3226" s="17" t="str" cm="1">
        <f t="array" ref="L3226">_xlfn.IFS(MID(K3226,2,2)="01", "서울", MID(K3226,2,2)="02","경기",MID(K3226,2,2)="03","충청",MID(K3226,2,2)="04","충청",MID(K3226,2,2)="05","전라",MID(K3226,2,2)="06","전라",MID(K3226,2,2)="07","경북",MID(K3226,2,2)="08","경남",MID(K3226,2,2)="09","강원",MID(K3226,2,2)="10","제주",TRUE,"국외")</f>
        <v>서울</v>
      </c>
    </row>
    <row r="3227" spans="1:12" ht="17.25" thickBot="1">
      <c r="A3227" s="3" t="s">
        <v>3133</v>
      </c>
      <c r="B3227" s="3" t="s">
        <v>22</v>
      </c>
      <c r="C3227" s="3" t="s">
        <v>122</v>
      </c>
      <c r="D3227" s="4" t="s">
        <v>254</v>
      </c>
      <c r="E3227" s="4" t="s">
        <v>20</v>
      </c>
      <c r="F3227" s="4">
        <v>1993</v>
      </c>
      <c r="G3227" s="8">
        <v>0</v>
      </c>
      <c r="H3227" s="4" t="s">
        <v>20</v>
      </c>
      <c r="I3227" s="8">
        <v>-0.1</v>
      </c>
      <c r="J3227" s="3">
        <f>1739</f>
        <v>1739</v>
      </c>
      <c r="K3227" s="3">
        <v>50209</v>
      </c>
      <c r="L3227" s="17" t="str" cm="1">
        <f t="array" ref="L3227">_xlfn.IFS(MID(K3227,2,2)="01", "서울", MID(K3227,2,2)="02","경기",MID(K3227,2,2)="03","충청",MID(K3227,2,2)="04","충청",MID(K3227,2,2)="05","전라",MID(K3227,2,2)="06","전라",MID(K3227,2,2)="07","경북",MID(K3227,2,2)="08","경남",MID(K3227,2,2)="09","강원",MID(K3227,2,2)="10","제주",TRUE,"국외")</f>
        <v>경기</v>
      </c>
    </row>
    <row r="3228" spans="1:12" ht="17.25" thickBot="1">
      <c r="A3228" s="3" t="s">
        <v>3134</v>
      </c>
      <c r="B3228" s="3" t="s">
        <v>241</v>
      </c>
      <c r="C3228" s="3" t="s">
        <v>221</v>
      </c>
      <c r="D3228" s="4" t="s">
        <v>254</v>
      </c>
      <c r="E3228" s="4" t="s">
        <v>3101</v>
      </c>
      <c r="F3228" s="4">
        <v>1993</v>
      </c>
      <c r="G3228" s="8">
        <v>-0.2</v>
      </c>
      <c r="H3228" s="4" t="s">
        <v>3101</v>
      </c>
      <c r="I3228" s="8">
        <v>-0.2</v>
      </c>
      <c r="J3228" s="3">
        <f>1733</f>
        <v>1733</v>
      </c>
      <c r="K3228" s="3">
        <v>50202</v>
      </c>
      <c r="L3228" s="17" t="str" cm="1">
        <f t="array" ref="L3228">_xlfn.IFS(MID(K3228,2,2)="01", "서울", MID(K3228,2,2)="02","경기",MID(K3228,2,2)="03","충청",MID(K3228,2,2)="04","충청",MID(K3228,2,2)="05","전라",MID(K3228,2,2)="06","전라",MID(K3228,2,2)="07","경북",MID(K3228,2,2)="08","경남",MID(K3228,2,2)="09","강원",MID(K3228,2,2)="10","제주",TRUE,"국외")</f>
        <v>경기</v>
      </c>
    </row>
    <row r="3229" spans="1:12" ht="17.25" thickBot="1">
      <c r="A3229" s="3" t="s">
        <v>3135</v>
      </c>
      <c r="B3229" s="3" t="s">
        <v>147</v>
      </c>
      <c r="C3229" s="3"/>
      <c r="D3229" s="4" t="s">
        <v>1407</v>
      </c>
      <c r="E3229" s="4" t="s">
        <v>2968</v>
      </c>
      <c r="F3229" s="4">
        <v>1993</v>
      </c>
      <c r="G3229" s="8">
        <v>0.6</v>
      </c>
      <c r="H3229" s="4" t="s">
        <v>2968</v>
      </c>
      <c r="I3229" s="8">
        <v>0.4</v>
      </c>
      <c r="J3229" s="3">
        <f>1776</f>
        <v>1776</v>
      </c>
      <c r="K3229" s="3">
        <v>50208</v>
      </c>
      <c r="L3229" s="17" t="str" cm="1">
        <f t="array" ref="L3229">_xlfn.IFS(MID(K3229,2,2)="01", "서울", MID(K3229,2,2)="02","경기",MID(K3229,2,2)="03","충청",MID(K3229,2,2)="04","충청",MID(K3229,2,2)="05","전라",MID(K3229,2,2)="06","전라",MID(K3229,2,2)="07","경북",MID(K3229,2,2)="08","경남",MID(K3229,2,2)="09","강원",MID(K3229,2,2)="10","제주",TRUE,"국외")</f>
        <v>경기</v>
      </c>
    </row>
    <row r="3230" spans="1:12" ht="17.25" thickBot="1">
      <c r="A3230" s="3" t="s">
        <v>2755</v>
      </c>
      <c r="B3230" s="3" t="s">
        <v>22</v>
      </c>
      <c r="C3230" s="3"/>
      <c r="D3230" s="4" t="s">
        <v>1407</v>
      </c>
      <c r="E3230" s="4" t="s">
        <v>2968</v>
      </c>
      <c r="F3230" s="4">
        <v>1993</v>
      </c>
      <c r="G3230" s="8">
        <v>0</v>
      </c>
      <c r="H3230" s="4" t="s">
        <v>2968</v>
      </c>
      <c r="I3230" s="8">
        <v>0</v>
      </c>
      <c r="J3230" s="3">
        <f>1734</f>
        <v>1734</v>
      </c>
      <c r="K3230" s="3">
        <v>50209</v>
      </c>
      <c r="L3230" s="17" t="str" cm="1">
        <f t="array" ref="L3230">_xlfn.IFS(MID(K3230,2,2)="01", "서울", MID(K3230,2,2)="02","경기",MID(K3230,2,2)="03","충청",MID(K3230,2,2)="04","충청",MID(K3230,2,2)="05","전라",MID(K3230,2,2)="06","전라",MID(K3230,2,2)="07","경북",MID(K3230,2,2)="08","경남",MID(K3230,2,2)="09","강원",MID(K3230,2,2)="10","제주",TRUE,"국외")</f>
        <v>경기</v>
      </c>
    </row>
    <row r="3231" spans="1:12" ht="17.25" thickBot="1">
      <c r="A3231" s="3" t="s">
        <v>3136</v>
      </c>
      <c r="B3231" s="3"/>
      <c r="C3231" s="3" t="s">
        <v>722</v>
      </c>
      <c r="D3231" s="4" t="s">
        <v>181</v>
      </c>
      <c r="E3231" s="4" t="s">
        <v>23</v>
      </c>
      <c r="F3231" s="4">
        <v>1993</v>
      </c>
      <c r="G3231" s="8">
        <v>-0.8</v>
      </c>
      <c r="H3231" s="4" t="s">
        <v>23</v>
      </c>
      <c r="I3231" s="8">
        <v>-0.4</v>
      </c>
      <c r="J3231" s="3">
        <f>1719</f>
        <v>1719</v>
      </c>
      <c r="K3231" s="3"/>
      <c r="L3231" s="17" t="str" cm="1">
        <f t="array" ref="L3231">_xlfn.IFS(MID(K3231,2,2)="01", "서울", MID(K3231,2,2)="02","경기",MID(K3231,2,2)="03","충청",MID(K3231,2,2)="04","충청",MID(K3231,2,2)="05","전라",MID(K3231,2,2)="06","전라",MID(K3231,2,2)="07","경북",MID(K3231,2,2)="08","경남",MID(K3231,2,2)="09","강원",MID(K3231,2,2)="10","제주",TRUE,"국외")</f>
        <v>국외</v>
      </c>
    </row>
    <row r="3232" spans="1:12" ht="17.25" thickBot="1">
      <c r="A3232" s="3" t="s">
        <v>2187</v>
      </c>
      <c r="B3232" s="3" t="s">
        <v>1</v>
      </c>
      <c r="C3232" s="3" t="s">
        <v>208</v>
      </c>
      <c r="D3232" s="4" t="s">
        <v>1777</v>
      </c>
      <c r="E3232" s="4" t="s">
        <v>2725</v>
      </c>
      <c r="F3232" s="4">
        <v>1993</v>
      </c>
      <c r="G3232" s="8">
        <v>-0.6</v>
      </c>
      <c r="H3232" s="4" t="s">
        <v>2725</v>
      </c>
      <c r="I3232" s="8">
        <v>7.5</v>
      </c>
      <c r="J3232" s="3">
        <f>1777</f>
        <v>1777</v>
      </c>
      <c r="K3232" s="3">
        <v>50107</v>
      </c>
      <c r="L3232" s="17" t="str" cm="1">
        <f t="array" ref="L3232">_xlfn.IFS(MID(K3232,2,2)="01", "서울", MID(K3232,2,2)="02","경기",MID(K3232,2,2)="03","충청",MID(K3232,2,2)="04","충청",MID(K3232,2,2)="05","전라",MID(K3232,2,2)="06","전라",MID(K3232,2,2)="07","경북",MID(K3232,2,2)="08","경남",MID(K3232,2,2)="09","강원",MID(K3232,2,2)="10","제주",TRUE,"국외")</f>
        <v>서울</v>
      </c>
    </row>
    <row r="3233" spans="1:12" ht="17.25" thickBot="1">
      <c r="A3233" s="3" t="s">
        <v>3137</v>
      </c>
      <c r="B3233" s="3" t="s">
        <v>36</v>
      </c>
      <c r="C3233" s="3" t="s">
        <v>99</v>
      </c>
      <c r="D3233" s="4" t="s">
        <v>1777</v>
      </c>
      <c r="E3233" s="4" t="s">
        <v>9</v>
      </c>
      <c r="F3233" s="4">
        <v>1993</v>
      </c>
      <c r="G3233" s="8">
        <v>-0.2</v>
      </c>
      <c r="H3233" s="4" t="s">
        <v>9</v>
      </c>
      <c r="I3233" s="8">
        <v>-0.4</v>
      </c>
      <c r="J3233" s="3">
        <f>1752</f>
        <v>1752</v>
      </c>
      <c r="K3233" s="3">
        <v>50402</v>
      </c>
      <c r="L3233" s="17" t="str" cm="1">
        <f t="array" ref="L3233">_xlfn.IFS(MID(K3233,2,2)="01", "서울", MID(K3233,2,2)="02","경기",MID(K3233,2,2)="03","충청",MID(K3233,2,2)="04","충청",MID(K3233,2,2)="05","전라",MID(K3233,2,2)="06","전라",MID(K3233,2,2)="07","경북",MID(K3233,2,2)="08","경남",MID(K3233,2,2)="09","강원",MID(K3233,2,2)="10","제주",TRUE,"국외")</f>
        <v>충청</v>
      </c>
    </row>
    <row r="3234" spans="1:12" ht="17.25" thickBot="1">
      <c r="A3234" s="3" t="s">
        <v>3138</v>
      </c>
      <c r="B3234" s="3" t="s">
        <v>1950</v>
      </c>
      <c r="C3234" s="3"/>
      <c r="D3234" s="4" t="s">
        <v>1777</v>
      </c>
      <c r="E3234" s="4" t="s">
        <v>3101</v>
      </c>
      <c r="F3234" s="4">
        <v>1994</v>
      </c>
      <c r="G3234" s="9"/>
      <c r="H3234" s="4" t="s">
        <v>3</v>
      </c>
      <c r="I3234" s="8">
        <v>-0.4</v>
      </c>
      <c r="J3234" s="3">
        <f>1799</f>
        <v>1799</v>
      </c>
      <c r="K3234" s="3">
        <v>50115</v>
      </c>
      <c r="L3234" s="17" t="str" cm="1">
        <f t="array" ref="L3234">_xlfn.IFS(MID(K3234,2,2)="01", "서울", MID(K3234,2,2)="02","경기",MID(K3234,2,2)="03","충청",MID(K3234,2,2)="04","충청",MID(K3234,2,2)="05","전라",MID(K3234,2,2)="06","전라",MID(K3234,2,2)="07","경북",MID(K3234,2,2)="08","경남",MID(K3234,2,2)="09","강원",MID(K3234,2,2)="10","제주",TRUE,"국외")</f>
        <v>서울</v>
      </c>
    </row>
    <row r="3235" spans="1:12" ht="17.25" thickBot="1">
      <c r="A3235" s="3" t="s">
        <v>3139</v>
      </c>
      <c r="B3235" s="3" t="s">
        <v>1</v>
      </c>
      <c r="C3235" s="3"/>
      <c r="D3235" s="4" t="s">
        <v>1777</v>
      </c>
      <c r="E3235" s="4" t="s">
        <v>2661</v>
      </c>
      <c r="F3235" s="4">
        <v>1994</v>
      </c>
      <c r="G3235" s="9"/>
      <c r="H3235" s="4" t="s">
        <v>2661</v>
      </c>
      <c r="I3235" s="8">
        <v>0</v>
      </c>
      <c r="J3235" s="3">
        <f>1813</f>
        <v>1813</v>
      </c>
      <c r="K3235" s="3">
        <v>50107</v>
      </c>
      <c r="L3235" s="17" t="str" cm="1">
        <f t="array" ref="L3235">_xlfn.IFS(MID(K3235,2,2)="01", "서울", MID(K3235,2,2)="02","경기",MID(K3235,2,2)="03","충청",MID(K3235,2,2)="04","충청",MID(K3235,2,2)="05","전라",MID(K3235,2,2)="06","전라",MID(K3235,2,2)="07","경북",MID(K3235,2,2)="08","경남",MID(K3235,2,2)="09","강원",MID(K3235,2,2)="10","제주",TRUE,"국외")</f>
        <v>서울</v>
      </c>
    </row>
    <row r="3236" spans="1:12" ht="17.25" thickBot="1">
      <c r="A3236" s="3" t="s">
        <v>3140</v>
      </c>
      <c r="B3236" s="3" t="s">
        <v>22</v>
      </c>
      <c r="C3236" s="3" t="s">
        <v>174</v>
      </c>
      <c r="D3236" s="4" t="s">
        <v>1777</v>
      </c>
      <c r="E3236" s="4" t="s">
        <v>2968</v>
      </c>
      <c r="F3236" s="4">
        <v>1993</v>
      </c>
      <c r="G3236" s="8">
        <v>-0.1</v>
      </c>
      <c r="H3236" s="4" t="s">
        <v>2968</v>
      </c>
      <c r="I3236" s="8">
        <v>-0.7</v>
      </c>
      <c r="J3236" s="3">
        <f>1726</f>
        <v>1726</v>
      </c>
      <c r="K3236" s="3">
        <v>50209</v>
      </c>
      <c r="L3236" s="17" t="str" cm="1">
        <f t="array" ref="L3236">_xlfn.IFS(MID(K3236,2,2)="01", "서울", MID(K3236,2,2)="02","경기",MID(K3236,2,2)="03","충청",MID(K3236,2,2)="04","충청",MID(K3236,2,2)="05","전라",MID(K3236,2,2)="06","전라",MID(K3236,2,2)="07","경북",MID(K3236,2,2)="08","경남",MID(K3236,2,2)="09","강원",MID(K3236,2,2)="10","제주",TRUE,"국외")</f>
        <v>경기</v>
      </c>
    </row>
    <row r="3237" spans="1:12" ht="17.25" thickBot="1">
      <c r="A3237" s="3" t="s">
        <v>3141</v>
      </c>
      <c r="B3237" s="3" t="s">
        <v>2351</v>
      </c>
      <c r="C3237" s="3"/>
      <c r="D3237" s="4" t="s">
        <v>1777</v>
      </c>
      <c r="E3237" s="4" t="s">
        <v>2523</v>
      </c>
      <c r="F3237" s="4">
        <v>1994</v>
      </c>
      <c r="G3237" s="9"/>
      <c r="H3237" s="4" t="s">
        <v>2523</v>
      </c>
      <c r="I3237" s="8">
        <v>0.5</v>
      </c>
      <c r="J3237" s="3">
        <f>1802</f>
        <v>1802</v>
      </c>
      <c r="K3237" s="3">
        <v>50609</v>
      </c>
      <c r="L3237" s="17" t="str" cm="1">
        <f t="array" ref="L3237">_xlfn.IFS(MID(K3237,2,2)="01", "서울", MID(K3237,2,2)="02","경기",MID(K3237,2,2)="03","충청",MID(K3237,2,2)="04","충청",MID(K3237,2,2)="05","전라",MID(K3237,2,2)="06","전라",MID(K3237,2,2)="07","경북",MID(K3237,2,2)="08","경남",MID(K3237,2,2)="09","강원",MID(K3237,2,2)="10","제주",TRUE,"국외")</f>
        <v>전라</v>
      </c>
    </row>
    <row r="3238" spans="1:12" ht="17.25" thickBot="1">
      <c r="A3238" s="3" t="s">
        <v>604</v>
      </c>
      <c r="B3238" s="3" t="s">
        <v>121</v>
      </c>
      <c r="C3238" s="3" t="s">
        <v>739</v>
      </c>
      <c r="D3238" s="4" t="s">
        <v>1777</v>
      </c>
      <c r="E3238" s="4" t="s">
        <v>2523</v>
      </c>
      <c r="F3238" s="4">
        <v>1993</v>
      </c>
      <c r="G3238" s="8">
        <v>-0.2</v>
      </c>
      <c r="H3238" s="4" t="s">
        <v>2523</v>
      </c>
      <c r="I3238" s="8">
        <v>-0.2</v>
      </c>
      <c r="J3238" s="3">
        <v>11438</v>
      </c>
      <c r="K3238" s="3">
        <v>50604</v>
      </c>
      <c r="L3238" s="17" t="str" cm="1">
        <f t="array" ref="L3238">_xlfn.IFS(MID(K3238,2,2)="01", "서울", MID(K3238,2,2)="02","경기",MID(K3238,2,2)="03","충청",MID(K3238,2,2)="04","충청",MID(K3238,2,2)="05","전라",MID(K3238,2,2)="06","전라",MID(K3238,2,2)="07","경북",MID(K3238,2,2)="08","경남",MID(K3238,2,2)="09","강원",MID(K3238,2,2)="10","제주",TRUE,"국외")</f>
        <v>전라</v>
      </c>
    </row>
    <row r="3239" spans="1:12" ht="17.25" thickBot="1">
      <c r="A3239" s="3" t="s">
        <v>3142</v>
      </c>
      <c r="B3239" s="3" t="s">
        <v>89</v>
      </c>
      <c r="C3239" s="3"/>
      <c r="D3239" s="4" t="s">
        <v>205</v>
      </c>
      <c r="E3239" s="4" t="s">
        <v>2523</v>
      </c>
      <c r="F3239" s="4">
        <v>1993</v>
      </c>
      <c r="G3239" s="8">
        <v>-0.4</v>
      </c>
      <c r="H3239" s="4" t="s">
        <v>2523</v>
      </c>
      <c r="I3239" s="8">
        <v>-0.4</v>
      </c>
      <c r="J3239" s="3">
        <f>1780</f>
        <v>1780</v>
      </c>
      <c r="K3239" s="3">
        <v>50806</v>
      </c>
      <c r="L3239" s="17" t="str" cm="1">
        <f t="array" ref="L3239">_xlfn.IFS(MID(K3239,2,2)="01", "서울", MID(K3239,2,2)="02","경기",MID(K3239,2,2)="03","충청",MID(K3239,2,2)="04","충청",MID(K3239,2,2)="05","전라",MID(K3239,2,2)="06","전라",MID(K3239,2,2)="07","경북",MID(K3239,2,2)="08","경남",MID(K3239,2,2)="09","강원",MID(K3239,2,2)="10","제주",TRUE,"국외")</f>
        <v>경남</v>
      </c>
    </row>
    <row r="3240" spans="1:12" ht="17.25" thickBot="1">
      <c r="A3240" s="3" t="s">
        <v>3143</v>
      </c>
      <c r="B3240" s="3" t="s">
        <v>78</v>
      </c>
      <c r="C3240" s="3"/>
      <c r="D3240" s="4" t="s">
        <v>205</v>
      </c>
      <c r="E3240" s="4" t="s">
        <v>20</v>
      </c>
      <c r="F3240" s="4">
        <v>1995</v>
      </c>
      <c r="G3240" s="9"/>
      <c r="H3240" s="4" t="s">
        <v>20</v>
      </c>
      <c r="I3240" s="8">
        <v>-0.1</v>
      </c>
      <c r="J3240" s="3">
        <f>1887</f>
        <v>1887</v>
      </c>
      <c r="K3240" s="3">
        <v>50401</v>
      </c>
      <c r="L3240" s="17" t="str" cm="1">
        <f t="array" ref="L3240">_xlfn.IFS(MID(K3240,2,2)="01", "서울", MID(K3240,2,2)="02","경기",MID(K3240,2,2)="03","충청",MID(K3240,2,2)="04","충청",MID(K3240,2,2)="05","전라",MID(K3240,2,2)="06","전라",MID(K3240,2,2)="07","경북",MID(K3240,2,2)="08","경남",MID(K3240,2,2)="09","강원",MID(K3240,2,2)="10","제주",TRUE,"국외")</f>
        <v>충청</v>
      </c>
    </row>
    <row r="3241" spans="1:12" ht="17.25" thickBot="1">
      <c r="A3241" s="3" t="s">
        <v>3144</v>
      </c>
      <c r="B3241" s="3" t="s">
        <v>361</v>
      </c>
      <c r="C3241" s="3"/>
      <c r="D3241" s="4" t="s">
        <v>2710</v>
      </c>
      <c r="E3241" s="4" t="s">
        <v>20</v>
      </c>
      <c r="F3241" s="4">
        <v>1999</v>
      </c>
      <c r="G3241" s="9"/>
      <c r="H3241" s="4" t="s">
        <v>20</v>
      </c>
      <c r="I3241" s="8">
        <v>0.8</v>
      </c>
      <c r="J3241" s="3">
        <f>2096</f>
        <v>2096</v>
      </c>
      <c r="K3241" s="3">
        <v>50121</v>
      </c>
      <c r="L3241" s="17" t="str" cm="1">
        <f t="array" ref="L3241">_xlfn.IFS(MID(K3241,2,2)="01", "서울", MID(K3241,2,2)="02","경기",MID(K3241,2,2)="03","충청",MID(K3241,2,2)="04","충청",MID(K3241,2,2)="05","전라",MID(K3241,2,2)="06","전라",MID(K3241,2,2)="07","경북",MID(K3241,2,2)="08","경남",MID(K3241,2,2)="09","강원",MID(K3241,2,2)="10","제주",TRUE,"국외")</f>
        <v>서울</v>
      </c>
    </row>
    <row r="3242" spans="1:12" ht="17.25" thickBot="1">
      <c r="A3242" s="3" t="s">
        <v>1270</v>
      </c>
      <c r="B3242" s="3" t="s">
        <v>145</v>
      </c>
      <c r="C3242" s="3"/>
      <c r="D3242" s="4" t="s">
        <v>2710</v>
      </c>
      <c r="E3242" s="4" t="s">
        <v>20</v>
      </c>
      <c r="F3242" s="4">
        <v>1994</v>
      </c>
      <c r="G3242" s="9"/>
      <c r="H3242" s="4" t="s">
        <v>20</v>
      </c>
      <c r="I3242" s="8">
        <v>-0.5</v>
      </c>
      <c r="J3242" s="3">
        <f>1859</f>
        <v>1859</v>
      </c>
      <c r="K3242" s="3">
        <v>50106</v>
      </c>
      <c r="L3242" s="17" t="str" cm="1">
        <f t="array" ref="L3242">_xlfn.IFS(MID(K3242,2,2)="01", "서울", MID(K3242,2,2)="02","경기",MID(K3242,2,2)="03","충청",MID(K3242,2,2)="04","충청",MID(K3242,2,2)="05","전라",MID(K3242,2,2)="06","전라",MID(K3242,2,2)="07","경북",MID(K3242,2,2)="08","경남",MID(K3242,2,2)="09","강원",MID(K3242,2,2)="10","제주",TRUE,"국외")</f>
        <v>서울</v>
      </c>
    </row>
    <row r="3243" spans="1:12" ht="17.25" thickBot="1">
      <c r="A3243" s="3" t="s">
        <v>3145</v>
      </c>
      <c r="B3243" s="3" t="s">
        <v>66</v>
      </c>
      <c r="C3243" s="3" t="s">
        <v>739</v>
      </c>
      <c r="D3243" s="4" t="s">
        <v>2710</v>
      </c>
      <c r="E3243" s="4" t="s">
        <v>2725</v>
      </c>
      <c r="F3243" s="4">
        <v>1999</v>
      </c>
      <c r="G3243" s="9"/>
      <c r="H3243" s="4" t="s">
        <v>607</v>
      </c>
      <c r="I3243" s="8">
        <v>-1.3</v>
      </c>
      <c r="J3243" s="3">
        <f>2062</f>
        <v>2062</v>
      </c>
      <c r="K3243" s="3">
        <v>50110</v>
      </c>
      <c r="L3243" s="17" t="str" cm="1">
        <f t="array" ref="L3243">_xlfn.IFS(MID(K3243,2,2)="01", "서울", MID(K3243,2,2)="02","경기",MID(K3243,2,2)="03","충청",MID(K3243,2,2)="04","충청",MID(K3243,2,2)="05","전라",MID(K3243,2,2)="06","전라",MID(K3243,2,2)="07","경북",MID(K3243,2,2)="08","경남",MID(K3243,2,2)="09","강원",MID(K3243,2,2)="10","제주",TRUE,"국외")</f>
        <v>서울</v>
      </c>
    </row>
    <row r="3244" spans="1:12" ht="17.25" thickBot="1">
      <c r="A3244" s="3" t="s">
        <v>3146</v>
      </c>
      <c r="B3244" s="3" t="s">
        <v>8</v>
      </c>
      <c r="C3244" s="3"/>
      <c r="D3244" s="4" t="s">
        <v>2710</v>
      </c>
      <c r="E3244" s="4" t="s">
        <v>2725</v>
      </c>
      <c r="F3244" s="4">
        <v>1994</v>
      </c>
      <c r="G3244" s="9"/>
      <c r="H3244" s="4" t="s">
        <v>3</v>
      </c>
      <c r="I3244" s="8">
        <v>19.600000000000001</v>
      </c>
      <c r="J3244" s="3">
        <v>10543</v>
      </c>
      <c r="K3244" s="3">
        <v>50116</v>
      </c>
      <c r="L3244" s="17" t="str" cm="1">
        <f t="array" ref="L3244">_xlfn.IFS(MID(K3244,2,2)="01", "서울", MID(K3244,2,2)="02","경기",MID(K3244,2,2)="03","충청",MID(K3244,2,2)="04","충청",MID(K3244,2,2)="05","전라",MID(K3244,2,2)="06","전라",MID(K3244,2,2)="07","경북",MID(K3244,2,2)="08","경남",MID(K3244,2,2)="09","강원",MID(K3244,2,2)="10","제주",TRUE,"국외")</f>
        <v>서울</v>
      </c>
    </row>
    <row r="3245" spans="1:12" ht="17.25" thickBot="1">
      <c r="A3245" s="3" t="s">
        <v>3147</v>
      </c>
      <c r="B3245" s="3" t="s">
        <v>2470</v>
      </c>
      <c r="C3245" s="3"/>
      <c r="D3245" s="4" t="s">
        <v>2710</v>
      </c>
      <c r="E3245" s="4" t="s">
        <v>9</v>
      </c>
      <c r="F3245" s="4">
        <v>1993</v>
      </c>
      <c r="G3245" s="8">
        <v>0.2</v>
      </c>
      <c r="H3245" s="4" t="s">
        <v>9</v>
      </c>
      <c r="I3245" s="8">
        <v>0.3</v>
      </c>
      <c r="J3245" s="3">
        <f>1765</f>
        <v>1765</v>
      </c>
      <c r="K3245" s="3">
        <v>50813</v>
      </c>
      <c r="L3245" s="17" t="str" cm="1">
        <f t="array" ref="L3245">_xlfn.IFS(MID(K3245,2,2)="01", "서울", MID(K3245,2,2)="02","경기",MID(K3245,2,2)="03","충청",MID(K3245,2,2)="04","충청",MID(K3245,2,2)="05","전라",MID(K3245,2,2)="06","전라",MID(K3245,2,2)="07","경북",MID(K3245,2,2)="08","경남",MID(K3245,2,2)="09","강원",MID(K3245,2,2)="10","제주",TRUE,"국외")</f>
        <v>경남</v>
      </c>
    </row>
    <row r="3246" spans="1:12" ht="17.25" thickBot="1">
      <c r="A3246" s="3" t="s">
        <v>3148</v>
      </c>
      <c r="B3246" s="3" t="s">
        <v>11</v>
      </c>
      <c r="C3246" s="3"/>
      <c r="D3246" s="4" t="s">
        <v>2710</v>
      </c>
      <c r="E3246" s="4" t="s">
        <v>9</v>
      </c>
      <c r="F3246" s="4">
        <v>1994</v>
      </c>
      <c r="G3246" s="9"/>
      <c r="H3246" s="4" t="s">
        <v>9</v>
      </c>
      <c r="I3246" s="8">
        <v>-1.2</v>
      </c>
      <c r="J3246" s="3">
        <f>1853</f>
        <v>1853</v>
      </c>
      <c r="K3246" s="3">
        <v>50802</v>
      </c>
      <c r="L3246" s="17" t="str" cm="1">
        <f t="array" ref="L3246">_xlfn.IFS(MID(K3246,2,2)="01", "서울", MID(K3246,2,2)="02","경기",MID(K3246,2,2)="03","충청",MID(K3246,2,2)="04","충청",MID(K3246,2,2)="05","전라",MID(K3246,2,2)="06","전라",MID(K3246,2,2)="07","경북",MID(K3246,2,2)="08","경남",MID(K3246,2,2)="09","강원",MID(K3246,2,2)="10","제주",TRUE,"국외")</f>
        <v>경남</v>
      </c>
    </row>
    <row r="3247" spans="1:12" ht="17.25" thickBot="1">
      <c r="A3247" s="3" t="s">
        <v>3149</v>
      </c>
      <c r="B3247" s="3" t="s">
        <v>78</v>
      </c>
      <c r="C3247" s="3"/>
      <c r="D3247" s="4" t="s">
        <v>2710</v>
      </c>
      <c r="E3247" s="4" t="s">
        <v>3101</v>
      </c>
      <c r="F3247" s="4">
        <v>1993</v>
      </c>
      <c r="G3247" s="8">
        <v>-0.5</v>
      </c>
      <c r="H3247" s="4" t="s">
        <v>23</v>
      </c>
      <c r="I3247" s="8">
        <v>22.8</v>
      </c>
      <c r="J3247" s="3">
        <f>1771</f>
        <v>1771</v>
      </c>
      <c r="K3247" s="3">
        <v>50401</v>
      </c>
      <c r="L3247" s="17" t="str" cm="1">
        <f t="array" ref="L3247">_xlfn.IFS(MID(K3247,2,2)="01", "서울", MID(K3247,2,2)="02","경기",MID(K3247,2,2)="03","충청",MID(K3247,2,2)="04","충청",MID(K3247,2,2)="05","전라",MID(K3247,2,2)="06","전라",MID(K3247,2,2)="07","경북",MID(K3247,2,2)="08","경남",MID(K3247,2,2)="09","강원",MID(K3247,2,2)="10","제주",TRUE,"국외")</f>
        <v>충청</v>
      </c>
    </row>
    <row r="3248" spans="1:12" ht="17.25" thickBot="1">
      <c r="A3248" s="3" t="s">
        <v>3150</v>
      </c>
      <c r="B3248" s="3" t="s">
        <v>464</v>
      </c>
      <c r="C3248" s="3"/>
      <c r="D3248" s="4" t="s">
        <v>2710</v>
      </c>
      <c r="E3248" s="4" t="s">
        <v>23</v>
      </c>
      <c r="F3248" s="4">
        <v>1993</v>
      </c>
      <c r="G3248" s="8">
        <v>0.7</v>
      </c>
      <c r="H3248" s="4" t="s">
        <v>23</v>
      </c>
      <c r="I3248" s="8">
        <v>2.9</v>
      </c>
      <c r="J3248" s="3">
        <f>1781</f>
        <v>1781</v>
      </c>
      <c r="K3248" s="3">
        <v>50706</v>
      </c>
      <c r="L3248" s="17" t="str" cm="1">
        <f t="array" ref="L3248">_xlfn.IFS(MID(K3248,2,2)="01", "서울", MID(K3248,2,2)="02","경기",MID(K3248,2,2)="03","충청",MID(K3248,2,2)="04","충청",MID(K3248,2,2)="05","전라",MID(K3248,2,2)="06","전라",MID(K3248,2,2)="07","경북",MID(K3248,2,2)="08","경남",MID(K3248,2,2)="09","강원",MID(K3248,2,2)="10","제주",TRUE,"국외")</f>
        <v>경북</v>
      </c>
    </row>
    <row r="3249" spans="1:12" ht="17.25" thickBot="1">
      <c r="A3249" s="3" t="s">
        <v>3151</v>
      </c>
      <c r="B3249" s="3" t="s">
        <v>147</v>
      </c>
      <c r="C3249" s="3"/>
      <c r="D3249" s="4" t="s">
        <v>2710</v>
      </c>
      <c r="E3249" s="4" t="s">
        <v>2968</v>
      </c>
      <c r="F3249" s="4">
        <v>1993</v>
      </c>
      <c r="G3249" s="8">
        <v>-0.1</v>
      </c>
      <c r="H3249" s="4" t="s">
        <v>2164</v>
      </c>
      <c r="I3249" s="8">
        <v>-0.7</v>
      </c>
      <c r="J3249" s="3">
        <f>1749</f>
        <v>1749</v>
      </c>
      <c r="K3249" s="3">
        <v>50208</v>
      </c>
      <c r="L3249" s="17" t="str" cm="1">
        <f t="array" ref="L3249">_xlfn.IFS(MID(K3249,2,2)="01", "서울", MID(K3249,2,2)="02","경기",MID(K3249,2,2)="03","충청",MID(K3249,2,2)="04","충청",MID(K3249,2,2)="05","전라",MID(K3249,2,2)="06","전라",MID(K3249,2,2)="07","경북",MID(K3249,2,2)="08","경남",MID(K3249,2,2)="09","강원",MID(K3249,2,2)="10","제주",TRUE,"국외")</f>
        <v>경기</v>
      </c>
    </row>
    <row r="3250" spans="1:12" ht="17.25" thickBot="1">
      <c r="A3250" s="3" t="s">
        <v>3152</v>
      </c>
      <c r="B3250" s="3" t="s">
        <v>351</v>
      </c>
      <c r="C3250" s="3"/>
      <c r="D3250" s="4" t="s">
        <v>2710</v>
      </c>
      <c r="E3250" s="4" t="s">
        <v>2968</v>
      </c>
      <c r="F3250" s="4">
        <v>1993</v>
      </c>
      <c r="G3250" s="8">
        <v>1</v>
      </c>
      <c r="H3250" s="4" t="s">
        <v>9</v>
      </c>
      <c r="I3250" s="8">
        <v>1.3</v>
      </c>
      <c r="J3250" s="3">
        <f>1770</f>
        <v>1770</v>
      </c>
      <c r="K3250" s="3">
        <v>50203</v>
      </c>
      <c r="L3250" s="17" t="str" cm="1">
        <f t="array" ref="L3250">_xlfn.IFS(MID(K3250,2,2)="01", "서울", MID(K3250,2,2)="02","경기",MID(K3250,2,2)="03","충청",MID(K3250,2,2)="04","충청",MID(K3250,2,2)="05","전라",MID(K3250,2,2)="06","전라",MID(K3250,2,2)="07","경북",MID(K3250,2,2)="08","경남",MID(K3250,2,2)="09","강원",MID(K3250,2,2)="10","제주",TRUE,"국외")</f>
        <v>경기</v>
      </c>
    </row>
    <row r="3251" spans="1:12" ht="17.25" thickBot="1">
      <c r="A3251" s="3" t="s">
        <v>3153</v>
      </c>
      <c r="B3251" s="3" t="s">
        <v>121</v>
      </c>
      <c r="C3251" s="3"/>
      <c r="D3251" s="4" t="s">
        <v>2710</v>
      </c>
      <c r="E3251" s="4" t="s">
        <v>2523</v>
      </c>
      <c r="F3251" s="4">
        <v>1993</v>
      </c>
      <c r="G3251" s="8">
        <v>0.4</v>
      </c>
      <c r="H3251" s="4" t="s">
        <v>2523</v>
      </c>
      <c r="I3251" s="8">
        <v>1.9</v>
      </c>
      <c r="J3251" s="3">
        <f>1774</f>
        <v>1774</v>
      </c>
      <c r="K3251" s="3">
        <v>50604</v>
      </c>
      <c r="L3251" s="17" t="str" cm="1">
        <f t="array" ref="L3251">_xlfn.IFS(MID(K3251,2,2)="01", "서울", MID(K3251,2,2)="02","경기",MID(K3251,2,2)="03","충청",MID(K3251,2,2)="04","충청",MID(K3251,2,2)="05","전라",MID(K3251,2,2)="06","전라",MID(K3251,2,2)="07","경북",MID(K3251,2,2)="08","경남",MID(K3251,2,2)="09","강원",MID(K3251,2,2)="10","제주",TRUE,"국외")</f>
        <v>전라</v>
      </c>
    </row>
    <row r="3252" spans="1:12" ht="17.25" thickBot="1">
      <c r="A3252" s="3" t="s">
        <v>3154</v>
      </c>
      <c r="B3252" s="3" t="s">
        <v>121</v>
      </c>
      <c r="C3252" s="3"/>
      <c r="D3252" s="4" t="s">
        <v>2710</v>
      </c>
      <c r="E3252" s="4" t="s">
        <v>2523</v>
      </c>
      <c r="F3252" s="4">
        <v>1993</v>
      </c>
      <c r="G3252" s="8">
        <v>2.2000000000000002</v>
      </c>
      <c r="H3252" s="4" t="s">
        <v>2523</v>
      </c>
      <c r="I3252" s="8">
        <v>26.4</v>
      </c>
      <c r="J3252" s="3">
        <v>10062</v>
      </c>
      <c r="K3252" s="3">
        <v>50604</v>
      </c>
      <c r="L3252" s="17" t="str" cm="1">
        <f t="array" ref="L3252">_xlfn.IFS(MID(K3252,2,2)="01", "서울", MID(K3252,2,2)="02","경기",MID(K3252,2,2)="03","충청",MID(K3252,2,2)="04","충청",MID(K3252,2,2)="05","전라",MID(K3252,2,2)="06","전라",MID(K3252,2,2)="07","경북",MID(K3252,2,2)="08","경남",MID(K3252,2,2)="09","강원",MID(K3252,2,2)="10","제주",TRUE,"국외")</f>
        <v>전라</v>
      </c>
    </row>
    <row r="3253" spans="1:12" ht="17.25" thickBot="1">
      <c r="A3253" s="3" t="s">
        <v>3155</v>
      </c>
      <c r="B3253" s="3" t="s">
        <v>2491</v>
      </c>
      <c r="C3253" s="3"/>
      <c r="D3253" s="4" t="s">
        <v>2710</v>
      </c>
      <c r="E3253" s="4" t="s">
        <v>2523</v>
      </c>
      <c r="F3253" s="4">
        <v>1994</v>
      </c>
      <c r="G3253" s="9"/>
      <c r="H3253" s="4" t="s">
        <v>2523</v>
      </c>
      <c r="I3253" s="8">
        <v>0.1</v>
      </c>
      <c r="J3253" s="3">
        <f>1826</f>
        <v>1826</v>
      </c>
      <c r="K3253" s="3">
        <v>50608</v>
      </c>
      <c r="L3253" s="17" t="str" cm="1">
        <f t="array" ref="L3253">_xlfn.IFS(MID(K3253,2,2)="01", "서울", MID(K3253,2,2)="02","경기",MID(K3253,2,2)="03","충청",MID(K3253,2,2)="04","충청",MID(K3253,2,2)="05","전라",MID(K3253,2,2)="06","전라",MID(K3253,2,2)="07","경북",MID(K3253,2,2)="08","경남",MID(K3253,2,2)="09","강원",MID(K3253,2,2)="10","제주",TRUE,"국외")</f>
        <v>전라</v>
      </c>
    </row>
    <row r="3254" spans="1:12" ht="17.25" thickBot="1">
      <c r="A3254" s="3" t="s">
        <v>3156</v>
      </c>
      <c r="B3254" s="3" t="s">
        <v>2491</v>
      </c>
      <c r="C3254" s="3"/>
      <c r="D3254" s="4" t="s">
        <v>2710</v>
      </c>
      <c r="E3254" s="4" t="s">
        <v>2523</v>
      </c>
      <c r="F3254" s="4">
        <v>1993</v>
      </c>
      <c r="G3254" s="8">
        <v>0.1</v>
      </c>
      <c r="H3254" s="4" t="s">
        <v>2523</v>
      </c>
      <c r="I3254" s="8">
        <v>-0.5</v>
      </c>
      <c r="J3254" s="3">
        <f>1778</f>
        <v>1778</v>
      </c>
      <c r="K3254" s="3">
        <v>50608</v>
      </c>
      <c r="L3254" s="17" t="str" cm="1">
        <f t="array" ref="L3254">_xlfn.IFS(MID(K3254,2,2)="01", "서울", MID(K3254,2,2)="02","경기",MID(K3254,2,2)="03","충청",MID(K3254,2,2)="04","충청",MID(K3254,2,2)="05","전라",MID(K3254,2,2)="06","전라",MID(K3254,2,2)="07","경북",MID(K3254,2,2)="08","경남",MID(K3254,2,2)="09","강원",MID(K3254,2,2)="10","제주",TRUE,"국외")</f>
        <v>전라</v>
      </c>
    </row>
    <row r="3255" spans="1:12" ht="17.25" thickBot="1">
      <c r="A3255" s="3" t="s">
        <v>3157</v>
      </c>
      <c r="B3255" s="3" t="s">
        <v>121</v>
      </c>
      <c r="C3255" s="3"/>
      <c r="D3255" s="4" t="s">
        <v>2710</v>
      </c>
      <c r="E3255" s="4" t="s">
        <v>2523</v>
      </c>
      <c r="F3255" s="4">
        <v>1993</v>
      </c>
      <c r="G3255" s="8">
        <v>-0.1</v>
      </c>
      <c r="H3255" s="4" t="s">
        <v>2523</v>
      </c>
      <c r="I3255" s="8">
        <v>-0.1</v>
      </c>
      <c r="J3255" s="3">
        <f>1745</f>
        <v>1745</v>
      </c>
      <c r="K3255" s="3">
        <v>50604</v>
      </c>
      <c r="L3255" s="17" t="str" cm="1">
        <f t="array" ref="L3255">_xlfn.IFS(MID(K3255,2,2)="01", "서울", MID(K3255,2,2)="02","경기",MID(K3255,2,2)="03","충청",MID(K3255,2,2)="04","충청",MID(K3255,2,2)="05","전라",MID(K3255,2,2)="06","전라",MID(K3255,2,2)="07","경북",MID(K3255,2,2)="08","경남",MID(K3255,2,2)="09","강원",MID(K3255,2,2)="10","제주",TRUE,"국외")</f>
        <v>전라</v>
      </c>
    </row>
    <row r="3256" spans="1:12" ht="17.25" thickBot="1">
      <c r="A3256" s="3" t="s">
        <v>3158</v>
      </c>
      <c r="B3256" s="3" t="s">
        <v>107</v>
      </c>
      <c r="C3256" s="3" t="s">
        <v>83</v>
      </c>
      <c r="D3256" s="4" t="s">
        <v>243</v>
      </c>
      <c r="E3256" s="4" t="s">
        <v>2523</v>
      </c>
      <c r="F3256" s="4">
        <v>1996</v>
      </c>
      <c r="G3256" s="9"/>
      <c r="H3256" s="4" t="s">
        <v>2164</v>
      </c>
      <c r="I3256" s="8">
        <v>55.9</v>
      </c>
      <c r="J3256" s="3">
        <v>10113</v>
      </c>
      <c r="K3256" s="3">
        <v>50602</v>
      </c>
      <c r="L3256" s="17" t="str" cm="1">
        <f t="array" ref="L3256">_xlfn.IFS(MID(K3256,2,2)="01", "서울", MID(K3256,2,2)="02","경기",MID(K3256,2,2)="03","충청",MID(K3256,2,2)="04","충청",MID(K3256,2,2)="05","전라",MID(K3256,2,2)="06","전라",MID(K3256,2,2)="07","경북",MID(K3256,2,2)="08","경남",MID(K3256,2,2)="09","강원",MID(K3256,2,2)="10","제주",TRUE,"국외")</f>
        <v>전라</v>
      </c>
    </row>
    <row r="3257" spans="1:12" ht="17.25" thickBot="1">
      <c r="A3257" s="3" t="s">
        <v>3159</v>
      </c>
      <c r="B3257" s="3" t="s">
        <v>8</v>
      </c>
      <c r="C3257" s="3" t="s">
        <v>83</v>
      </c>
      <c r="D3257" s="4" t="s">
        <v>243</v>
      </c>
      <c r="E3257" s="4" t="s">
        <v>20</v>
      </c>
      <c r="F3257" s="4">
        <v>1997</v>
      </c>
      <c r="G3257" s="9"/>
      <c r="H3257" s="4" t="s">
        <v>2164</v>
      </c>
      <c r="I3257" s="8">
        <v>11</v>
      </c>
      <c r="J3257" s="3">
        <f>2013</f>
        <v>2013</v>
      </c>
      <c r="K3257" s="3">
        <v>50116</v>
      </c>
      <c r="L3257" s="17" t="str" cm="1">
        <f t="array" ref="L3257">_xlfn.IFS(MID(K3257,2,2)="01", "서울", MID(K3257,2,2)="02","경기",MID(K3257,2,2)="03","충청",MID(K3257,2,2)="04","충청",MID(K3257,2,2)="05","전라",MID(K3257,2,2)="06","전라",MID(K3257,2,2)="07","경북",MID(K3257,2,2)="08","경남",MID(K3257,2,2)="09","강원",MID(K3257,2,2)="10","제주",TRUE,"국외")</f>
        <v>서울</v>
      </c>
    </row>
    <row r="3258" spans="1:12" ht="17.25" thickBot="1">
      <c r="A3258" s="3" t="s">
        <v>3160</v>
      </c>
      <c r="B3258" s="3"/>
      <c r="C3258" s="3" t="s">
        <v>122</v>
      </c>
      <c r="D3258" s="4" t="s">
        <v>243</v>
      </c>
      <c r="E3258" s="4" t="s">
        <v>9</v>
      </c>
      <c r="F3258" s="4">
        <v>1992</v>
      </c>
      <c r="G3258" s="8">
        <v>1.5</v>
      </c>
      <c r="H3258" s="4" t="s">
        <v>9</v>
      </c>
      <c r="I3258" s="8">
        <v>0</v>
      </c>
      <c r="J3258" s="3">
        <f>1648</f>
        <v>1648</v>
      </c>
      <c r="K3258" s="3"/>
      <c r="L3258" s="17" t="str" cm="1">
        <f t="array" ref="L3258">_xlfn.IFS(MID(K3258,2,2)="01", "서울", MID(K3258,2,2)="02","경기",MID(K3258,2,2)="03","충청",MID(K3258,2,2)="04","충청",MID(K3258,2,2)="05","전라",MID(K3258,2,2)="06","전라",MID(K3258,2,2)="07","경북",MID(K3258,2,2)="08","경남",MID(K3258,2,2)="09","강원",MID(K3258,2,2)="10","제주",TRUE,"국외")</f>
        <v>국외</v>
      </c>
    </row>
    <row r="3259" spans="1:12" ht="17.25" thickBot="1">
      <c r="A3259" s="3" t="s">
        <v>3161</v>
      </c>
      <c r="B3259" s="3" t="s">
        <v>25</v>
      </c>
      <c r="C3259" s="3" t="s">
        <v>119</v>
      </c>
      <c r="D3259" s="4" t="s">
        <v>243</v>
      </c>
      <c r="E3259" s="4" t="s">
        <v>3101</v>
      </c>
      <c r="F3259" s="4">
        <v>1992</v>
      </c>
      <c r="G3259" s="8">
        <v>0</v>
      </c>
      <c r="H3259" s="4" t="s">
        <v>3</v>
      </c>
      <c r="I3259" s="8">
        <v>3.4</v>
      </c>
      <c r="J3259" s="3">
        <f>1685</f>
        <v>1685</v>
      </c>
      <c r="K3259" s="3">
        <v>50403</v>
      </c>
      <c r="L3259" s="17" t="str" cm="1">
        <f t="array" ref="L3259">_xlfn.IFS(MID(K3259,2,2)="01", "서울", MID(K3259,2,2)="02","경기",MID(K3259,2,2)="03","충청",MID(K3259,2,2)="04","충청",MID(K3259,2,2)="05","전라",MID(K3259,2,2)="06","전라",MID(K3259,2,2)="07","경북",MID(K3259,2,2)="08","경남",MID(K3259,2,2)="09","강원",MID(K3259,2,2)="10","제주",TRUE,"국외")</f>
        <v>충청</v>
      </c>
    </row>
    <row r="3260" spans="1:12" ht="17.25" thickBot="1">
      <c r="A3260" s="3" t="s">
        <v>3162</v>
      </c>
      <c r="B3260" s="3" t="s">
        <v>2524</v>
      </c>
      <c r="C3260" s="3" t="s">
        <v>483</v>
      </c>
      <c r="D3260" s="4" t="s">
        <v>243</v>
      </c>
      <c r="E3260" s="4" t="s">
        <v>23</v>
      </c>
      <c r="F3260" s="4">
        <v>1992</v>
      </c>
      <c r="G3260" s="8">
        <v>-0.4</v>
      </c>
      <c r="H3260" s="4" t="s">
        <v>23</v>
      </c>
      <c r="I3260" s="8">
        <v>16.8</v>
      </c>
      <c r="J3260" s="3">
        <f>1693</f>
        <v>1693</v>
      </c>
      <c r="K3260" s="3">
        <v>50711</v>
      </c>
      <c r="L3260" s="17" t="str" cm="1">
        <f t="array" ref="L3260">_xlfn.IFS(MID(K3260,2,2)="01", "서울", MID(K3260,2,2)="02","경기",MID(K3260,2,2)="03","충청",MID(K3260,2,2)="04","충청",MID(K3260,2,2)="05","전라",MID(K3260,2,2)="06","전라",MID(K3260,2,2)="07","경북",MID(K3260,2,2)="08","경남",MID(K3260,2,2)="09","강원",MID(K3260,2,2)="10","제주",TRUE,"국외")</f>
        <v>경북</v>
      </c>
    </row>
    <row r="3261" spans="1:12" ht="17.25" thickBot="1">
      <c r="A3261" s="3" t="s">
        <v>3163</v>
      </c>
      <c r="B3261" s="3" t="s">
        <v>42</v>
      </c>
      <c r="C3261" s="3" t="s">
        <v>172</v>
      </c>
      <c r="D3261" s="4" t="s">
        <v>243</v>
      </c>
      <c r="E3261" s="4" t="s">
        <v>2661</v>
      </c>
      <c r="F3261" s="4">
        <v>1994</v>
      </c>
      <c r="G3261" s="9"/>
      <c r="H3261" s="4" t="s">
        <v>2661</v>
      </c>
      <c r="I3261" s="8">
        <v>0.2</v>
      </c>
      <c r="J3261" s="3">
        <f>1852</f>
        <v>1852</v>
      </c>
      <c r="K3261" s="3">
        <v>50502</v>
      </c>
      <c r="L3261" s="17" t="str" cm="1">
        <f t="array" ref="L3261">_xlfn.IFS(MID(K3261,2,2)="01", "서울", MID(K3261,2,2)="02","경기",MID(K3261,2,2)="03","충청",MID(K3261,2,2)="04","충청",MID(K3261,2,2)="05","전라",MID(K3261,2,2)="06","전라",MID(K3261,2,2)="07","경북",MID(K3261,2,2)="08","경남",MID(K3261,2,2)="09","강원",MID(K3261,2,2)="10","제주",TRUE,"국외")</f>
        <v>전라</v>
      </c>
    </row>
    <row r="3262" spans="1:12" ht="17.25" thickBot="1">
      <c r="A3262" s="3" t="s">
        <v>3164</v>
      </c>
      <c r="B3262" s="3" t="s">
        <v>241</v>
      </c>
      <c r="C3262" s="3" t="s">
        <v>739</v>
      </c>
      <c r="D3262" s="4" t="s">
        <v>243</v>
      </c>
      <c r="E3262" s="4" t="s">
        <v>2968</v>
      </c>
      <c r="F3262" s="4">
        <v>1992</v>
      </c>
      <c r="G3262" s="8">
        <v>0.3</v>
      </c>
      <c r="H3262" s="4" t="s">
        <v>2164</v>
      </c>
      <c r="I3262" s="8">
        <v>37.1</v>
      </c>
      <c r="J3262" s="3">
        <f>1716</f>
        <v>1716</v>
      </c>
      <c r="K3262" s="3">
        <v>50202</v>
      </c>
      <c r="L3262" s="17" t="str" cm="1">
        <f t="array" ref="L3262">_xlfn.IFS(MID(K3262,2,2)="01", "서울", MID(K3262,2,2)="02","경기",MID(K3262,2,2)="03","충청",MID(K3262,2,2)="04","충청",MID(K3262,2,2)="05","전라",MID(K3262,2,2)="06","전라",MID(K3262,2,2)="07","경북",MID(K3262,2,2)="08","경남",MID(K3262,2,2)="09","강원",MID(K3262,2,2)="10","제주",TRUE,"국외")</f>
        <v>경기</v>
      </c>
    </row>
    <row r="3263" spans="1:12" ht="17.25" thickBot="1">
      <c r="A3263" s="3" t="s">
        <v>3165</v>
      </c>
      <c r="B3263" s="3"/>
      <c r="C3263" s="3" t="s">
        <v>172</v>
      </c>
      <c r="D3263" s="4" t="s">
        <v>254</v>
      </c>
      <c r="E3263" s="4" t="s">
        <v>20</v>
      </c>
      <c r="F3263" s="4">
        <v>1996</v>
      </c>
      <c r="G3263" s="9"/>
      <c r="H3263" s="4" t="s">
        <v>2164</v>
      </c>
      <c r="I3263" s="8">
        <v>0.5</v>
      </c>
      <c r="J3263" s="3">
        <f>1956</f>
        <v>1956</v>
      </c>
      <c r="K3263" s="3"/>
      <c r="L3263" s="17" t="str" cm="1">
        <f t="array" ref="L3263">_xlfn.IFS(MID(K3263,2,2)="01", "서울", MID(K3263,2,2)="02","경기",MID(K3263,2,2)="03","충청",MID(K3263,2,2)="04","충청",MID(K3263,2,2)="05","전라",MID(K3263,2,2)="06","전라",MID(K3263,2,2)="07","경북",MID(K3263,2,2)="08","경남",MID(K3263,2,2)="09","강원",MID(K3263,2,2)="10","제주",TRUE,"국외")</f>
        <v>국외</v>
      </c>
    </row>
    <row r="3264" spans="1:12" ht="17.25" thickBot="1">
      <c r="A3264" s="3" t="s">
        <v>3166</v>
      </c>
      <c r="B3264" s="3" t="s">
        <v>40</v>
      </c>
      <c r="C3264" s="3" t="s">
        <v>208</v>
      </c>
      <c r="D3264" s="4" t="s">
        <v>254</v>
      </c>
      <c r="E3264" s="4" t="s">
        <v>20</v>
      </c>
      <c r="F3264" s="4">
        <v>1992</v>
      </c>
      <c r="G3264" s="8">
        <v>1.3</v>
      </c>
      <c r="H3264" s="4" t="s">
        <v>20</v>
      </c>
      <c r="I3264" s="8">
        <v>15.8</v>
      </c>
      <c r="J3264" s="3">
        <f>1686</f>
        <v>1686</v>
      </c>
      <c r="K3264" s="3">
        <v>50108</v>
      </c>
      <c r="L3264" s="17" t="str" cm="1">
        <f t="array" ref="L3264">_xlfn.IFS(MID(K3264,2,2)="01", "서울", MID(K3264,2,2)="02","경기",MID(K3264,2,2)="03","충청",MID(K3264,2,2)="04","충청",MID(K3264,2,2)="05","전라",MID(K3264,2,2)="06","전라",MID(K3264,2,2)="07","경북",MID(K3264,2,2)="08","경남",MID(K3264,2,2)="09","강원",MID(K3264,2,2)="10","제주",TRUE,"국외")</f>
        <v>서울</v>
      </c>
    </row>
    <row r="3265" spans="1:12" ht="17.25" thickBot="1">
      <c r="A3265" s="3" t="s">
        <v>3167</v>
      </c>
      <c r="B3265" s="3" t="s">
        <v>22</v>
      </c>
      <c r="C3265" s="3" t="s">
        <v>221</v>
      </c>
      <c r="D3265" s="4" t="s">
        <v>254</v>
      </c>
      <c r="E3265" s="4" t="s">
        <v>2725</v>
      </c>
      <c r="F3265" s="4">
        <v>1992</v>
      </c>
      <c r="G3265" s="8">
        <v>0</v>
      </c>
      <c r="H3265" s="4" t="s">
        <v>2725</v>
      </c>
      <c r="I3265" s="8">
        <v>9.5</v>
      </c>
      <c r="J3265" s="3">
        <f>1695</f>
        <v>1695</v>
      </c>
      <c r="K3265" s="3">
        <v>50209</v>
      </c>
      <c r="L3265" s="17" t="str" cm="1">
        <f t="array" ref="L3265">_xlfn.IFS(MID(K3265,2,2)="01", "서울", MID(K3265,2,2)="02","경기",MID(K3265,2,2)="03","충청",MID(K3265,2,2)="04","충청",MID(K3265,2,2)="05","전라",MID(K3265,2,2)="06","전라",MID(K3265,2,2)="07","경북",MID(K3265,2,2)="08","경남",MID(K3265,2,2)="09","강원",MID(K3265,2,2)="10","제주",TRUE,"국외")</f>
        <v>경기</v>
      </c>
    </row>
    <row r="3266" spans="1:12" ht="17.25" thickBot="1">
      <c r="A3266" s="3" t="s">
        <v>3168</v>
      </c>
      <c r="B3266" s="3" t="s">
        <v>36</v>
      </c>
      <c r="C3266" s="3" t="s">
        <v>133</v>
      </c>
      <c r="D3266" s="4" t="s">
        <v>254</v>
      </c>
      <c r="E3266" s="4" t="s">
        <v>9</v>
      </c>
      <c r="F3266" s="4">
        <v>1992</v>
      </c>
      <c r="G3266" s="8">
        <v>-1</v>
      </c>
      <c r="H3266" s="4" t="s">
        <v>9</v>
      </c>
      <c r="I3266" s="8">
        <v>5.5</v>
      </c>
      <c r="J3266" s="3">
        <v>10123</v>
      </c>
      <c r="K3266" s="3">
        <v>50402</v>
      </c>
      <c r="L3266" s="17" t="str" cm="1">
        <f t="array" ref="L3266">_xlfn.IFS(MID(K3266,2,2)="01", "서울", MID(K3266,2,2)="02","경기",MID(K3266,2,2)="03","충청",MID(K3266,2,2)="04","충청",MID(K3266,2,2)="05","전라",MID(K3266,2,2)="06","전라",MID(K3266,2,2)="07","경북",MID(K3266,2,2)="08","경남",MID(K3266,2,2)="09","강원",MID(K3266,2,2)="10","제주",TRUE,"국외")</f>
        <v>충청</v>
      </c>
    </row>
    <row r="3267" spans="1:12" ht="17.25" thickBot="1">
      <c r="A3267" s="3" t="s">
        <v>1316</v>
      </c>
      <c r="B3267" s="3" t="s">
        <v>11</v>
      </c>
      <c r="C3267" s="3" t="s">
        <v>329</v>
      </c>
      <c r="D3267" s="4" t="s">
        <v>254</v>
      </c>
      <c r="E3267" s="4" t="s">
        <v>3101</v>
      </c>
      <c r="F3267" s="4">
        <v>1992</v>
      </c>
      <c r="G3267" s="8">
        <v>-0.2</v>
      </c>
      <c r="H3267" s="4" t="s">
        <v>3</v>
      </c>
      <c r="I3267" s="8">
        <v>-1.9</v>
      </c>
      <c r="J3267" s="3">
        <f>1701</f>
        <v>1701</v>
      </c>
      <c r="K3267" s="3">
        <v>50802</v>
      </c>
      <c r="L3267" s="17" t="str" cm="1">
        <f t="array" ref="L3267">_xlfn.IFS(MID(K3267,2,2)="01", "서울", MID(K3267,2,2)="02","경기",MID(K3267,2,2)="03","충청",MID(K3267,2,2)="04","충청",MID(K3267,2,2)="05","전라",MID(K3267,2,2)="06","전라",MID(K3267,2,2)="07","경북",MID(K3267,2,2)="08","경남",MID(K3267,2,2)="09","강원",MID(K3267,2,2)="10","제주",TRUE,"국외")</f>
        <v>경남</v>
      </c>
    </row>
    <row r="3268" spans="1:12" ht="17.25" thickBot="1">
      <c r="A3268" s="3" t="s">
        <v>3169</v>
      </c>
      <c r="B3268" s="3" t="s">
        <v>66</v>
      </c>
      <c r="C3268" s="3" t="s">
        <v>211</v>
      </c>
      <c r="D3268" s="4" t="s">
        <v>254</v>
      </c>
      <c r="E3268" s="4" t="s">
        <v>23</v>
      </c>
      <c r="F3268" s="4">
        <v>1992</v>
      </c>
      <c r="G3268" s="8">
        <v>5.5</v>
      </c>
      <c r="H3268" s="4" t="s">
        <v>23</v>
      </c>
      <c r="I3268" s="8">
        <v>16.100000000000001</v>
      </c>
      <c r="J3268" s="3">
        <f>1651</f>
        <v>1651</v>
      </c>
      <c r="K3268" s="3">
        <v>50110</v>
      </c>
      <c r="L3268" s="17" t="str" cm="1">
        <f t="array" ref="L3268">_xlfn.IFS(MID(K3268,2,2)="01", "서울", MID(K3268,2,2)="02","경기",MID(K3268,2,2)="03","충청",MID(K3268,2,2)="04","충청",MID(K3268,2,2)="05","전라",MID(K3268,2,2)="06","전라",MID(K3268,2,2)="07","경북",MID(K3268,2,2)="08","경남",MID(K3268,2,2)="09","강원",MID(K3268,2,2)="10","제주",TRUE,"국외")</f>
        <v>서울</v>
      </c>
    </row>
    <row r="3269" spans="1:12" ht="17.25" thickBot="1">
      <c r="A3269" s="3" t="s">
        <v>3170</v>
      </c>
      <c r="B3269" s="3" t="s">
        <v>241</v>
      </c>
      <c r="C3269" s="3" t="s">
        <v>549</v>
      </c>
      <c r="D3269" s="4" t="s">
        <v>254</v>
      </c>
      <c r="E3269" s="4" t="s">
        <v>2661</v>
      </c>
      <c r="F3269" s="4">
        <v>1992</v>
      </c>
      <c r="G3269" s="8">
        <v>0.4</v>
      </c>
      <c r="H3269" s="4" t="s">
        <v>2661</v>
      </c>
      <c r="I3269" s="8">
        <v>2.2999999999999998</v>
      </c>
      <c r="J3269" s="3">
        <f>1715</f>
        <v>1715</v>
      </c>
      <c r="K3269" s="3">
        <v>50202</v>
      </c>
      <c r="L3269" s="17" t="str" cm="1">
        <f t="array" ref="L3269">_xlfn.IFS(MID(K3269,2,2)="01", "서울", MID(K3269,2,2)="02","경기",MID(K3269,2,2)="03","충청",MID(K3269,2,2)="04","충청",MID(K3269,2,2)="05","전라",MID(K3269,2,2)="06","전라",MID(K3269,2,2)="07","경북",MID(K3269,2,2)="08","경남",MID(K3269,2,2)="09","강원",MID(K3269,2,2)="10","제주",TRUE,"국외")</f>
        <v>경기</v>
      </c>
    </row>
    <row r="3270" spans="1:12" ht="17.25" thickBot="1">
      <c r="A3270" s="3" t="s">
        <v>3171</v>
      </c>
      <c r="B3270" s="3" t="s">
        <v>241</v>
      </c>
      <c r="C3270" s="3"/>
      <c r="D3270" s="4" t="s">
        <v>254</v>
      </c>
      <c r="E3270" s="4" t="s">
        <v>2968</v>
      </c>
      <c r="F3270" s="4">
        <v>1992</v>
      </c>
      <c r="G3270" s="8">
        <v>1.2</v>
      </c>
      <c r="H3270" s="4" t="s">
        <v>2164</v>
      </c>
      <c r="I3270" s="8">
        <v>3.3</v>
      </c>
      <c r="J3270" s="3">
        <v>12722</v>
      </c>
      <c r="K3270" s="3">
        <v>50202</v>
      </c>
      <c r="L3270" s="17" t="str" cm="1">
        <f t="array" ref="L3270">_xlfn.IFS(MID(K3270,2,2)="01", "서울", MID(K3270,2,2)="02","경기",MID(K3270,2,2)="03","충청",MID(K3270,2,2)="04","충청",MID(K3270,2,2)="05","전라",MID(K3270,2,2)="06","전라",MID(K3270,2,2)="07","경북",MID(K3270,2,2)="08","경남",MID(K3270,2,2)="09","강원",MID(K3270,2,2)="10","제주",TRUE,"국외")</f>
        <v>경기</v>
      </c>
    </row>
    <row r="3271" spans="1:12" ht="17.25" thickBot="1">
      <c r="A3271" s="3" t="s">
        <v>3172</v>
      </c>
      <c r="B3271" s="3" t="s">
        <v>147</v>
      </c>
      <c r="C3271" s="3" t="s">
        <v>99</v>
      </c>
      <c r="D3271" s="4" t="s">
        <v>254</v>
      </c>
      <c r="E3271" s="4" t="s">
        <v>2523</v>
      </c>
      <c r="F3271" s="4">
        <v>1992</v>
      </c>
      <c r="G3271" s="8">
        <v>-0.1</v>
      </c>
      <c r="H3271" s="4" t="s">
        <v>2523</v>
      </c>
      <c r="I3271" s="8">
        <v>0.6</v>
      </c>
      <c r="J3271" s="3">
        <f>1650</f>
        <v>1650</v>
      </c>
      <c r="K3271" s="3">
        <v>50208</v>
      </c>
      <c r="L3271" s="17" t="str" cm="1">
        <f t="array" ref="L3271">_xlfn.IFS(MID(K3271,2,2)="01", "서울", MID(K3271,2,2)="02","경기",MID(K3271,2,2)="03","충청",MID(K3271,2,2)="04","충청",MID(K3271,2,2)="05","전라",MID(K3271,2,2)="06","전라",MID(K3271,2,2)="07","경북",MID(K3271,2,2)="08","경남",MID(K3271,2,2)="09","강원",MID(K3271,2,2)="10","제주",TRUE,"국외")</f>
        <v>경기</v>
      </c>
    </row>
    <row r="3272" spans="1:12" ht="17.25" thickBot="1">
      <c r="A3272" s="3" t="s">
        <v>3173</v>
      </c>
      <c r="B3272" s="3" t="s">
        <v>128</v>
      </c>
      <c r="C3272" s="3" t="s">
        <v>174</v>
      </c>
      <c r="D3272" s="4" t="s">
        <v>254</v>
      </c>
      <c r="E3272" s="4" t="s">
        <v>20</v>
      </c>
      <c r="F3272" s="4">
        <v>1992</v>
      </c>
      <c r="G3272" s="8">
        <v>0.4</v>
      </c>
      <c r="H3272" s="4" t="s">
        <v>20</v>
      </c>
      <c r="I3272" s="8">
        <v>0.9</v>
      </c>
      <c r="J3272" s="3">
        <f>1707</f>
        <v>1707</v>
      </c>
      <c r="K3272" s="3">
        <v>50901</v>
      </c>
      <c r="L3272" s="17" t="str" cm="1">
        <f t="array" ref="L3272">_xlfn.IFS(MID(K3272,2,2)="01", "서울", MID(K3272,2,2)="02","경기",MID(K3272,2,2)="03","충청",MID(K3272,2,2)="04","충청",MID(K3272,2,2)="05","전라",MID(K3272,2,2)="06","전라",MID(K3272,2,2)="07","경북",MID(K3272,2,2)="08","경남",MID(K3272,2,2)="09","강원",MID(K3272,2,2)="10","제주",TRUE,"국외")</f>
        <v>강원</v>
      </c>
    </row>
    <row r="3273" spans="1:12" ht="17.25" thickBot="1">
      <c r="A3273" s="3" t="s">
        <v>3174</v>
      </c>
      <c r="B3273" s="3" t="s">
        <v>17</v>
      </c>
      <c r="C3273" s="3" t="s">
        <v>83</v>
      </c>
      <c r="D3273" s="4" t="s">
        <v>254</v>
      </c>
      <c r="E3273" s="4" t="s">
        <v>2725</v>
      </c>
      <c r="F3273" s="4">
        <v>1992</v>
      </c>
      <c r="G3273" s="8">
        <v>-0.4</v>
      </c>
      <c r="H3273" s="4" t="s">
        <v>26</v>
      </c>
      <c r="I3273" s="8">
        <v>28</v>
      </c>
      <c r="J3273" s="3">
        <v>10099</v>
      </c>
      <c r="K3273" s="3">
        <v>50903</v>
      </c>
      <c r="L3273" s="17" t="str" cm="1">
        <f t="array" ref="L3273">_xlfn.IFS(MID(K3273,2,2)="01", "서울", MID(K3273,2,2)="02","경기",MID(K3273,2,2)="03","충청",MID(K3273,2,2)="04","충청",MID(K3273,2,2)="05","전라",MID(K3273,2,2)="06","전라",MID(K3273,2,2)="07","경북",MID(K3273,2,2)="08","경남",MID(K3273,2,2)="09","강원",MID(K3273,2,2)="10","제주",TRUE,"국외")</f>
        <v>강원</v>
      </c>
    </row>
    <row r="3274" spans="1:12" ht="17.25" thickBot="1">
      <c r="A3274" s="3" t="s">
        <v>3175</v>
      </c>
      <c r="B3274" s="3" t="s">
        <v>93</v>
      </c>
      <c r="C3274" s="3" t="s">
        <v>45</v>
      </c>
      <c r="D3274" s="4" t="s">
        <v>254</v>
      </c>
      <c r="E3274" s="4" t="s">
        <v>9</v>
      </c>
      <c r="F3274" s="4">
        <v>1992</v>
      </c>
      <c r="G3274" s="8">
        <v>0.8</v>
      </c>
      <c r="H3274" s="4" t="s">
        <v>9</v>
      </c>
      <c r="I3274" s="8">
        <v>3.7</v>
      </c>
      <c r="J3274" s="3">
        <f>1646</f>
        <v>1646</v>
      </c>
      <c r="K3274" s="3">
        <v>50805</v>
      </c>
      <c r="L3274" s="17" t="str" cm="1">
        <f t="array" ref="L3274">_xlfn.IFS(MID(K3274,2,2)="01", "서울", MID(K3274,2,2)="02","경기",MID(K3274,2,2)="03","충청",MID(K3274,2,2)="04","충청",MID(K3274,2,2)="05","전라",MID(K3274,2,2)="06","전라",MID(K3274,2,2)="07","경북",MID(K3274,2,2)="08","경남",MID(K3274,2,2)="09","강원",MID(K3274,2,2)="10","제주",TRUE,"국외")</f>
        <v>경남</v>
      </c>
    </row>
    <row r="3275" spans="1:12" ht="17.25" thickBot="1">
      <c r="A3275" s="3" t="s">
        <v>3099</v>
      </c>
      <c r="B3275" s="3"/>
      <c r="C3275" s="3" t="s">
        <v>119</v>
      </c>
      <c r="D3275" s="4" t="s">
        <v>254</v>
      </c>
      <c r="E3275" s="4" t="s">
        <v>3101</v>
      </c>
      <c r="F3275" s="4">
        <v>1992</v>
      </c>
      <c r="G3275" s="8">
        <v>-0.1</v>
      </c>
      <c r="H3275" s="4" t="s">
        <v>3101</v>
      </c>
      <c r="I3275" s="8">
        <v>-0.1</v>
      </c>
      <c r="J3275" s="3">
        <f>1664</f>
        <v>1664</v>
      </c>
      <c r="K3275" s="3"/>
      <c r="L3275" s="17" t="str" cm="1">
        <f t="array" ref="L3275">_xlfn.IFS(MID(K3275,2,2)="01", "서울", MID(K3275,2,2)="02","경기",MID(K3275,2,2)="03","충청",MID(K3275,2,2)="04","충청",MID(K3275,2,2)="05","전라",MID(K3275,2,2)="06","전라",MID(K3275,2,2)="07","경북",MID(K3275,2,2)="08","경남",MID(K3275,2,2)="09","강원",MID(K3275,2,2)="10","제주",TRUE,"국외")</f>
        <v>국외</v>
      </c>
    </row>
    <row r="3276" spans="1:12" ht="17.25" thickBot="1">
      <c r="A3276" s="3" t="s">
        <v>53</v>
      </c>
      <c r="B3276" s="3"/>
      <c r="C3276" s="3" t="s">
        <v>119</v>
      </c>
      <c r="D3276" s="4" t="s">
        <v>254</v>
      </c>
      <c r="E3276" s="4" t="s">
        <v>23</v>
      </c>
      <c r="F3276" s="4">
        <v>1992</v>
      </c>
      <c r="G3276" s="8">
        <v>0</v>
      </c>
      <c r="H3276" s="4" t="s">
        <v>23</v>
      </c>
      <c r="I3276" s="8">
        <v>0</v>
      </c>
      <c r="J3276" s="3">
        <f>1658</f>
        <v>1658</v>
      </c>
      <c r="K3276" s="3"/>
      <c r="L3276" s="17" t="str" cm="1">
        <f t="array" ref="L3276">_xlfn.IFS(MID(K3276,2,2)="01", "서울", MID(K3276,2,2)="02","경기",MID(K3276,2,2)="03","충청",MID(K3276,2,2)="04","충청",MID(K3276,2,2)="05","전라",MID(K3276,2,2)="06","전라",MID(K3276,2,2)="07","경북",MID(K3276,2,2)="08","경남",MID(K3276,2,2)="09","강원",MID(K3276,2,2)="10","제주",TRUE,"국외")</f>
        <v>국외</v>
      </c>
    </row>
    <row r="3277" spans="1:12" ht="17.25" thickBot="1">
      <c r="A3277" s="3" t="s">
        <v>3097</v>
      </c>
      <c r="B3277" s="3" t="s">
        <v>2524</v>
      </c>
      <c r="C3277" s="3" t="s">
        <v>538</v>
      </c>
      <c r="D3277" s="4" t="s">
        <v>254</v>
      </c>
      <c r="E3277" s="4" t="s">
        <v>2661</v>
      </c>
      <c r="F3277" s="4">
        <v>1993</v>
      </c>
      <c r="G3277" s="9"/>
      <c r="H3277" s="4" t="s">
        <v>23</v>
      </c>
      <c r="I3277" s="8">
        <v>91.1</v>
      </c>
      <c r="J3277" s="3">
        <v>10339</v>
      </c>
      <c r="K3277" s="3">
        <v>50711</v>
      </c>
      <c r="L3277" s="17" t="str" cm="1">
        <f t="array" ref="L3277">_xlfn.IFS(MID(K3277,2,2)="01", "서울", MID(K3277,2,2)="02","경기",MID(K3277,2,2)="03","충청",MID(K3277,2,2)="04","충청",MID(K3277,2,2)="05","전라",MID(K3277,2,2)="06","전라",MID(K3277,2,2)="07","경북",MID(K3277,2,2)="08","경남",MID(K3277,2,2)="09","강원",MID(K3277,2,2)="10","제주",TRUE,"국외")</f>
        <v>경북</v>
      </c>
    </row>
    <row r="3278" spans="1:12" ht="17.25" thickBot="1">
      <c r="A3278" s="3" t="s">
        <v>3148</v>
      </c>
      <c r="B3278" s="3" t="s">
        <v>147</v>
      </c>
      <c r="C3278" s="3" t="s">
        <v>174</v>
      </c>
      <c r="D3278" s="4" t="s">
        <v>254</v>
      </c>
      <c r="E3278" s="4" t="s">
        <v>2968</v>
      </c>
      <c r="F3278" s="4">
        <v>1992</v>
      </c>
      <c r="G3278" s="8">
        <v>-0.1</v>
      </c>
      <c r="H3278" s="4" t="s">
        <v>2968</v>
      </c>
      <c r="I3278" s="8">
        <v>0.7</v>
      </c>
      <c r="J3278" s="3">
        <f>1671</f>
        <v>1671</v>
      </c>
      <c r="K3278" s="3">
        <v>50208</v>
      </c>
      <c r="L3278" s="17" t="str" cm="1">
        <f t="array" ref="L3278">_xlfn.IFS(MID(K3278,2,2)="01", "서울", MID(K3278,2,2)="02","경기",MID(K3278,2,2)="03","충청",MID(K3278,2,2)="04","충청",MID(K3278,2,2)="05","전라",MID(K3278,2,2)="06","전라",MID(K3278,2,2)="07","경북",MID(K3278,2,2)="08","경남",MID(K3278,2,2)="09","강원",MID(K3278,2,2)="10","제주",TRUE,"국외")</f>
        <v>경기</v>
      </c>
    </row>
    <row r="3279" spans="1:12" ht="17.25" thickBot="1">
      <c r="A3279" s="3" t="s">
        <v>3055</v>
      </c>
      <c r="B3279" s="3" t="s">
        <v>66</v>
      </c>
      <c r="C3279" s="3" t="s">
        <v>122</v>
      </c>
      <c r="D3279" s="4" t="s">
        <v>254</v>
      </c>
      <c r="E3279" s="4" t="s">
        <v>2523</v>
      </c>
      <c r="F3279" s="4">
        <v>1994</v>
      </c>
      <c r="G3279" s="9"/>
      <c r="H3279" s="4" t="s">
        <v>2523</v>
      </c>
      <c r="I3279" s="8">
        <v>3.3</v>
      </c>
      <c r="J3279" s="3">
        <f>1787</f>
        <v>1787</v>
      </c>
      <c r="K3279" s="3">
        <v>50110</v>
      </c>
      <c r="L3279" s="17" t="str" cm="1">
        <f t="array" ref="L3279">_xlfn.IFS(MID(K3279,2,2)="01", "서울", MID(K3279,2,2)="02","경기",MID(K3279,2,2)="03","충청",MID(K3279,2,2)="04","충청",MID(K3279,2,2)="05","전라",MID(K3279,2,2)="06","전라",MID(K3279,2,2)="07","경북",MID(K3279,2,2)="08","경남",MID(K3279,2,2)="09","강원",MID(K3279,2,2)="10","제주",TRUE,"국외")</f>
        <v>서울</v>
      </c>
    </row>
    <row r="3280" spans="1:12" ht="17.25" thickBot="1">
      <c r="A3280" s="3" t="s">
        <v>1435</v>
      </c>
      <c r="B3280" s="3" t="s">
        <v>11</v>
      </c>
      <c r="C3280" s="3" t="s">
        <v>119</v>
      </c>
      <c r="D3280" s="4" t="s">
        <v>254</v>
      </c>
      <c r="E3280" s="4" t="s">
        <v>9</v>
      </c>
      <c r="F3280" s="4">
        <v>1992</v>
      </c>
      <c r="G3280" s="8">
        <v>2.2000000000000002</v>
      </c>
      <c r="H3280" s="4" t="s">
        <v>9</v>
      </c>
      <c r="I3280" s="8">
        <v>11</v>
      </c>
      <c r="J3280" s="3">
        <f>1691</f>
        <v>1691</v>
      </c>
      <c r="K3280" s="3">
        <v>50802</v>
      </c>
      <c r="L3280" s="17" t="str" cm="1">
        <f t="array" ref="L3280">_xlfn.IFS(MID(K3280,2,2)="01", "서울", MID(K3280,2,2)="02","경기",MID(K3280,2,2)="03","충청",MID(K3280,2,2)="04","충청",MID(K3280,2,2)="05","전라",MID(K3280,2,2)="06","전라",MID(K3280,2,2)="07","경북",MID(K3280,2,2)="08","경남",MID(K3280,2,2)="09","강원",MID(K3280,2,2)="10","제주",TRUE,"국외")</f>
        <v>경남</v>
      </c>
    </row>
    <row r="3281" spans="1:12" ht="17.25" thickBot="1">
      <c r="A3281" s="3" t="s">
        <v>3176</v>
      </c>
      <c r="B3281" s="3" t="s">
        <v>22</v>
      </c>
      <c r="C3281" s="3" t="s">
        <v>221</v>
      </c>
      <c r="D3281" s="4" t="s">
        <v>254</v>
      </c>
      <c r="E3281" s="4" t="s">
        <v>3101</v>
      </c>
      <c r="F3281" s="4">
        <v>1992</v>
      </c>
      <c r="G3281" s="8">
        <v>0.4</v>
      </c>
      <c r="H3281" s="4" t="s">
        <v>3101</v>
      </c>
      <c r="I3281" s="8">
        <v>0.7</v>
      </c>
      <c r="J3281" s="3">
        <f>1657</f>
        <v>1657</v>
      </c>
      <c r="K3281" s="3">
        <v>50209</v>
      </c>
      <c r="L3281" s="17" t="str" cm="1">
        <f t="array" ref="L3281">_xlfn.IFS(MID(K3281,2,2)="01", "서울", MID(K3281,2,2)="02","경기",MID(K3281,2,2)="03","충청",MID(K3281,2,2)="04","충청",MID(K3281,2,2)="05","전라",MID(K3281,2,2)="06","전라",MID(K3281,2,2)="07","경북",MID(K3281,2,2)="08","경남",MID(K3281,2,2)="09","강원",MID(K3281,2,2)="10","제주",TRUE,"국외")</f>
        <v>경기</v>
      </c>
    </row>
    <row r="3282" spans="1:12" ht="17.25" thickBot="1">
      <c r="A3282" s="3" t="s">
        <v>3177</v>
      </c>
      <c r="B3282" s="3"/>
      <c r="C3282" s="3" t="s">
        <v>122</v>
      </c>
      <c r="D3282" s="4" t="s">
        <v>254</v>
      </c>
      <c r="E3282" s="4" t="s">
        <v>23</v>
      </c>
      <c r="F3282" s="4">
        <v>1992</v>
      </c>
      <c r="G3282" s="8">
        <v>0.2</v>
      </c>
      <c r="H3282" s="4" t="s">
        <v>23</v>
      </c>
      <c r="I3282" s="8">
        <v>0.2</v>
      </c>
      <c r="J3282" s="3">
        <f>1670</f>
        <v>1670</v>
      </c>
      <c r="K3282" s="3"/>
      <c r="L3282" s="17" t="str" cm="1">
        <f t="array" ref="L3282">_xlfn.IFS(MID(K3282,2,2)="01", "서울", MID(K3282,2,2)="02","경기",MID(K3282,2,2)="03","충청",MID(K3282,2,2)="04","충청",MID(K3282,2,2)="05","전라",MID(K3282,2,2)="06","전라",MID(K3282,2,2)="07","경북",MID(K3282,2,2)="08","경남",MID(K3282,2,2)="09","강원",MID(K3282,2,2)="10","제주",TRUE,"국외")</f>
        <v>국외</v>
      </c>
    </row>
    <row r="3283" spans="1:12" ht="17.25" thickBot="1">
      <c r="A3283" s="3" t="s">
        <v>3178</v>
      </c>
      <c r="B3283" s="3" t="s">
        <v>25</v>
      </c>
      <c r="C3283" s="3" t="s">
        <v>739</v>
      </c>
      <c r="D3283" s="4" t="s">
        <v>254</v>
      </c>
      <c r="E3283" s="4" t="s">
        <v>2661</v>
      </c>
      <c r="F3283" s="4">
        <v>1992</v>
      </c>
      <c r="G3283" s="8">
        <v>-0.3</v>
      </c>
      <c r="H3283" s="4" t="s">
        <v>2661</v>
      </c>
      <c r="I3283" s="8">
        <v>-0.3</v>
      </c>
      <c r="J3283" s="3">
        <f>1677</f>
        <v>1677</v>
      </c>
      <c r="K3283" s="3">
        <v>50403</v>
      </c>
      <c r="L3283" s="17" t="str" cm="1">
        <f t="array" ref="L3283">_xlfn.IFS(MID(K3283,2,2)="01", "서울", MID(K3283,2,2)="02","경기",MID(K3283,2,2)="03","충청",MID(K3283,2,2)="04","충청",MID(K3283,2,2)="05","전라",MID(K3283,2,2)="06","전라",MID(K3283,2,2)="07","경북",MID(K3283,2,2)="08","경남",MID(K3283,2,2)="09","강원",MID(K3283,2,2)="10","제주",TRUE,"국외")</f>
        <v>충청</v>
      </c>
    </row>
    <row r="3284" spans="1:12" ht="17.25" thickBot="1">
      <c r="A3284" s="3" t="s">
        <v>3179</v>
      </c>
      <c r="B3284" s="3" t="s">
        <v>2491</v>
      </c>
      <c r="C3284" s="3" t="s">
        <v>122</v>
      </c>
      <c r="D3284" s="4" t="s">
        <v>254</v>
      </c>
      <c r="E3284" s="4" t="s">
        <v>2523</v>
      </c>
      <c r="F3284" s="4">
        <v>1992</v>
      </c>
      <c r="G3284" s="8">
        <v>0</v>
      </c>
      <c r="H3284" s="4" t="s">
        <v>2523</v>
      </c>
      <c r="I3284" s="8">
        <v>0</v>
      </c>
      <c r="J3284" s="3">
        <f>1660</f>
        <v>1660</v>
      </c>
      <c r="K3284" s="3">
        <v>50608</v>
      </c>
      <c r="L3284" s="17" t="str" cm="1">
        <f t="array" ref="L3284">_xlfn.IFS(MID(K3284,2,2)="01", "서울", MID(K3284,2,2)="02","경기",MID(K3284,2,2)="03","충청",MID(K3284,2,2)="04","충청",MID(K3284,2,2)="05","전라",MID(K3284,2,2)="06","전라",MID(K3284,2,2)="07","경북",MID(K3284,2,2)="08","경남",MID(K3284,2,2)="09","강원",MID(K3284,2,2)="10","제주",TRUE,"국외")</f>
        <v>전라</v>
      </c>
    </row>
    <row r="3285" spans="1:12" ht="17.25" thickBot="1">
      <c r="A3285" s="3" t="s">
        <v>3180</v>
      </c>
      <c r="B3285" s="3" t="s">
        <v>5</v>
      </c>
      <c r="C3285" s="3" t="s">
        <v>122</v>
      </c>
      <c r="D3285" s="4" t="s">
        <v>254</v>
      </c>
      <c r="E3285" s="4" t="s">
        <v>20</v>
      </c>
      <c r="F3285" s="4">
        <v>1992</v>
      </c>
      <c r="G3285" s="8">
        <v>0</v>
      </c>
      <c r="H3285" s="4" t="s">
        <v>2661</v>
      </c>
      <c r="I3285" s="8">
        <v>1.1000000000000001</v>
      </c>
      <c r="J3285" s="3">
        <f>1700</f>
        <v>1700</v>
      </c>
      <c r="K3285" s="3">
        <v>50114</v>
      </c>
      <c r="L3285" s="17" t="str" cm="1">
        <f t="array" ref="L3285">_xlfn.IFS(MID(K3285,2,2)="01", "서울", MID(K3285,2,2)="02","경기",MID(K3285,2,2)="03","충청",MID(K3285,2,2)="04","충청",MID(K3285,2,2)="05","전라",MID(K3285,2,2)="06","전라",MID(K3285,2,2)="07","경북",MID(K3285,2,2)="08","경남",MID(K3285,2,2)="09","강원",MID(K3285,2,2)="10","제주",TRUE,"국외")</f>
        <v>서울</v>
      </c>
    </row>
    <row r="3286" spans="1:12" ht="17.25" thickBot="1">
      <c r="A3286" s="3" t="s">
        <v>3181</v>
      </c>
      <c r="B3286" s="3" t="s">
        <v>22</v>
      </c>
      <c r="C3286" s="3" t="s">
        <v>221</v>
      </c>
      <c r="D3286" s="4" t="s">
        <v>254</v>
      </c>
      <c r="E3286" s="4" t="s">
        <v>2725</v>
      </c>
      <c r="F3286" s="4">
        <v>1992</v>
      </c>
      <c r="G3286" s="8">
        <v>0.5</v>
      </c>
      <c r="H3286" s="4" t="s">
        <v>26</v>
      </c>
      <c r="I3286" s="8">
        <v>15</v>
      </c>
      <c r="J3286" s="3">
        <f>1682</f>
        <v>1682</v>
      </c>
      <c r="K3286" s="3">
        <v>50209</v>
      </c>
      <c r="L3286" s="17" t="str" cm="1">
        <f t="array" ref="L3286">_xlfn.IFS(MID(K3286,2,2)="01", "서울", MID(K3286,2,2)="02","경기",MID(K3286,2,2)="03","충청",MID(K3286,2,2)="04","충청",MID(K3286,2,2)="05","전라",MID(K3286,2,2)="06","전라",MID(K3286,2,2)="07","경북",MID(K3286,2,2)="08","경남",MID(K3286,2,2)="09","강원",MID(K3286,2,2)="10","제주",TRUE,"국외")</f>
        <v>경기</v>
      </c>
    </row>
    <row r="3287" spans="1:12" ht="17.25" thickBot="1">
      <c r="A3287" s="3" t="s">
        <v>3182</v>
      </c>
      <c r="B3287" s="3" t="s">
        <v>22</v>
      </c>
      <c r="C3287" s="3" t="s">
        <v>3183</v>
      </c>
      <c r="D3287" s="4" t="s">
        <v>254</v>
      </c>
      <c r="E3287" s="4" t="s">
        <v>9</v>
      </c>
      <c r="F3287" s="4">
        <v>1992</v>
      </c>
      <c r="G3287" s="8">
        <v>0</v>
      </c>
      <c r="H3287" s="4" t="s">
        <v>9</v>
      </c>
      <c r="I3287" s="8">
        <v>-0.2</v>
      </c>
      <c r="J3287" s="3">
        <f>1653</f>
        <v>1653</v>
      </c>
      <c r="K3287" s="3">
        <v>50209</v>
      </c>
      <c r="L3287" s="17" t="str" cm="1">
        <f t="array" ref="L3287">_xlfn.IFS(MID(K3287,2,2)="01", "서울", MID(K3287,2,2)="02","경기",MID(K3287,2,2)="03","충청",MID(K3287,2,2)="04","충청",MID(K3287,2,2)="05","전라",MID(K3287,2,2)="06","전라",MID(K3287,2,2)="07","경북",MID(K3287,2,2)="08","경남",MID(K3287,2,2)="09","강원",MID(K3287,2,2)="10","제주",TRUE,"국외")</f>
        <v>경기</v>
      </c>
    </row>
    <row r="3288" spans="1:12" ht="17.25" thickBot="1">
      <c r="A3288" s="3" t="s">
        <v>3184</v>
      </c>
      <c r="B3288" s="3" t="s">
        <v>11</v>
      </c>
      <c r="C3288" s="3" t="s">
        <v>329</v>
      </c>
      <c r="D3288" s="4" t="s">
        <v>254</v>
      </c>
      <c r="E3288" s="4" t="s">
        <v>3101</v>
      </c>
      <c r="F3288" s="4">
        <v>1992</v>
      </c>
      <c r="G3288" s="8">
        <v>-0.4</v>
      </c>
      <c r="H3288" s="4" t="s">
        <v>3101</v>
      </c>
      <c r="I3288" s="8">
        <v>-0.4</v>
      </c>
      <c r="J3288" s="3">
        <f>1673</f>
        <v>1673</v>
      </c>
      <c r="K3288" s="3">
        <v>50802</v>
      </c>
      <c r="L3288" s="17" t="str" cm="1">
        <f t="array" ref="L3288">_xlfn.IFS(MID(K3288,2,2)="01", "서울", MID(K3288,2,2)="02","경기",MID(K3288,2,2)="03","충청",MID(K3288,2,2)="04","충청",MID(K3288,2,2)="05","전라",MID(K3288,2,2)="06","전라",MID(K3288,2,2)="07","경북",MID(K3288,2,2)="08","경남",MID(K3288,2,2)="09","강원",MID(K3288,2,2)="10","제주",TRUE,"국외")</f>
        <v>경남</v>
      </c>
    </row>
    <row r="3289" spans="1:12" ht="17.25" thickBot="1">
      <c r="A3289" s="3" t="s">
        <v>3185</v>
      </c>
      <c r="B3289" s="3" t="s">
        <v>25</v>
      </c>
      <c r="C3289" s="3" t="s">
        <v>122</v>
      </c>
      <c r="D3289" s="4" t="s">
        <v>254</v>
      </c>
      <c r="E3289" s="4" t="s">
        <v>23</v>
      </c>
      <c r="F3289" s="4">
        <v>1992</v>
      </c>
      <c r="G3289" s="8">
        <v>0.1</v>
      </c>
      <c r="H3289" s="4" t="s">
        <v>23</v>
      </c>
      <c r="I3289" s="8">
        <v>-0.8</v>
      </c>
      <c r="J3289" s="3">
        <f>1687</f>
        <v>1687</v>
      </c>
      <c r="K3289" s="3">
        <v>50403</v>
      </c>
      <c r="L3289" s="17" t="str" cm="1">
        <f t="array" ref="L3289">_xlfn.IFS(MID(K3289,2,2)="01", "서울", MID(K3289,2,2)="02","경기",MID(K3289,2,2)="03","충청",MID(K3289,2,2)="04","충청",MID(K3289,2,2)="05","전라",MID(K3289,2,2)="06","전라",MID(K3289,2,2)="07","경북",MID(K3289,2,2)="08","경남",MID(K3289,2,2)="09","강원",MID(K3289,2,2)="10","제주",TRUE,"국외")</f>
        <v>충청</v>
      </c>
    </row>
    <row r="3290" spans="1:12" ht="17.25" thickBot="1">
      <c r="A3290" s="3" t="s">
        <v>3186</v>
      </c>
      <c r="B3290" s="3" t="s">
        <v>11</v>
      </c>
      <c r="C3290" s="3" t="s">
        <v>329</v>
      </c>
      <c r="D3290" s="4" t="s">
        <v>254</v>
      </c>
      <c r="E3290" s="4" t="s">
        <v>2661</v>
      </c>
      <c r="F3290" s="4">
        <v>1992</v>
      </c>
      <c r="G3290" s="8">
        <v>-0.4</v>
      </c>
      <c r="H3290" s="4" t="s">
        <v>2661</v>
      </c>
      <c r="I3290" s="8">
        <v>-0.5</v>
      </c>
      <c r="J3290" s="3">
        <v>11437</v>
      </c>
      <c r="K3290" s="3">
        <v>50802</v>
      </c>
      <c r="L3290" s="17" t="str" cm="1">
        <f t="array" ref="L3290">_xlfn.IFS(MID(K3290,2,2)="01", "서울", MID(K3290,2,2)="02","경기",MID(K3290,2,2)="03","충청",MID(K3290,2,2)="04","충청",MID(K3290,2,2)="05","전라",MID(K3290,2,2)="06","전라",MID(K3290,2,2)="07","경북",MID(K3290,2,2)="08","경남",MID(K3290,2,2)="09","강원",MID(K3290,2,2)="10","제주",TRUE,"국외")</f>
        <v>경남</v>
      </c>
    </row>
    <row r="3291" spans="1:12" ht="17.25" thickBot="1">
      <c r="A3291" s="3" t="s">
        <v>3187</v>
      </c>
      <c r="B3291" s="3" t="s">
        <v>34</v>
      </c>
      <c r="C3291" s="3" t="s">
        <v>538</v>
      </c>
      <c r="D3291" s="4" t="s">
        <v>254</v>
      </c>
      <c r="E3291" s="4" t="s">
        <v>2968</v>
      </c>
      <c r="F3291" s="4">
        <v>1992</v>
      </c>
      <c r="G3291" s="8">
        <v>0.3</v>
      </c>
      <c r="H3291" s="4" t="s">
        <v>2968</v>
      </c>
      <c r="I3291" s="8">
        <v>0.3</v>
      </c>
      <c r="J3291" s="3">
        <f>1681</f>
        <v>1681</v>
      </c>
      <c r="K3291" s="3">
        <v>50701</v>
      </c>
      <c r="L3291" s="17" t="str" cm="1">
        <f t="array" ref="L3291">_xlfn.IFS(MID(K3291,2,2)="01", "서울", MID(K3291,2,2)="02","경기",MID(K3291,2,2)="03","충청",MID(K3291,2,2)="04","충청",MID(K3291,2,2)="05","전라",MID(K3291,2,2)="06","전라",MID(K3291,2,2)="07","경북",MID(K3291,2,2)="08","경남",MID(K3291,2,2)="09","강원",MID(K3291,2,2)="10","제주",TRUE,"국외")</f>
        <v>경북</v>
      </c>
    </row>
    <row r="3292" spans="1:12" ht="17.25" thickBot="1">
      <c r="A3292" s="3" t="s">
        <v>3188</v>
      </c>
      <c r="B3292" s="3" t="s">
        <v>2524</v>
      </c>
      <c r="C3292" s="3" t="s">
        <v>174</v>
      </c>
      <c r="D3292" s="4" t="s">
        <v>254</v>
      </c>
      <c r="E3292" s="4" t="s">
        <v>20</v>
      </c>
      <c r="F3292" s="4">
        <v>1992</v>
      </c>
      <c r="G3292" s="8">
        <v>0</v>
      </c>
      <c r="H3292" s="4" t="s">
        <v>20</v>
      </c>
      <c r="I3292" s="8">
        <v>0</v>
      </c>
      <c r="J3292" s="3">
        <f>1654</f>
        <v>1654</v>
      </c>
      <c r="K3292" s="3">
        <v>50711</v>
      </c>
      <c r="L3292" s="17" t="str" cm="1">
        <f t="array" ref="L3292">_xlfn.IFS(MID(K3292,2,2)="01", "서울", MID(K3292,2,2)="02","경기",MID(K3292,2,2)="03","충청",MID(K3292,2,2)="04","충청",MID(K3292,2,2)="05","전라",MID(K3292,2,2)="06","전라",MID(K3292,2,2)="07","경북",MID(K3292,2,2)="08","경남",MID(K3292,2,2)="09","강원",MID(K3292,2,2)="10","제주",TRUE,"국외")</f>
        <v>경북</v>
      </c>
    </row>
    <row r="3293" spans="1:12" ht="17.25" thickBot="1">
      <c r="A3293" s="3" t="s">
        <v>2594</v>
      </c>
      <c r="B3293" s="3"/>
      <c r="C3293" s="3" t="s">
        <v>221</v>
      </c>
      <c r="D3293" s="4" t="s">
        <v>254</v>
      </c>
      <c r="E3293" s="4" t="s">
        <v>2968</v>
      </c>
      <c r="F3293" s="4">
        <v>1992</v>
      </c>
      <c r="G3293" s="8">
        <v>-0.3</v>
      </c>
      <c r="H3293" s="4" t="s">
        <v>2725</v>
      </c>
      <c r="I3293" s="8">
        <v>-0.5</v>
      </c>
      <c r="J3293" s="3">
        <f>1712</f>
        <v>1712</v>
      </c>
      <c r="K3293" s="3"/>
      <c r="L3293" s="17" t="str" cm="1">
        <f t="array" ref="L3293">_xlfn.IFS(MID(K3293,2,2)="01", "서울", MID(K3293,2,2)="02","경기",MID(K3293,2,2)="03","충청",MID(K3293,2,2)="04","충청",MID(K3293,2,2)="05","전라",MID(K3293,2,2)="06","전라",MID(K3293,2,2)="07","경북",MID(K3293,2,2)="08","경남",MID(K3293,2,2)="09","강원",MID(K3293,2,2)="10","제주",TRUE,"국외")</f>
        <v>국외</v>
      </c>
    </row>
    <row r="3294" spans="1:12" ht="17.25" thickBot="1">
      <c r="A3294" s="3" t="s">
        <v>3189</v>
      </c>
      <c r="B3294" s="3" t="s">
        <v>38</v>
      </c>
      <c r="C3294" s="3" t="s">
        <v>208</v>
      </c>
      <c r="D3294" s="4" t="s">
        <v>254</v>
      </c>
      <c r="E3294" s="4" t="s">
        <v>9</v>
      </c>
      <c r="F3294" s="4">
        <v>1992</v>
      </c>
      <c r="G3294" s="8">
        <v>-0.1</v>
      </c>
      <c r="H3294" s="4" t="s">
        <v>9</v>
      </c>
      <c r="I3294" s="8">
        <v>-0.1</v>
      </c>
      <c r="J3294" s="3">
        <f>1713</f>
        <v>1713</v>
      </c>
      <c r="K3294" s="3">
        <v>50109</v>
      </c>
      <c r="L3294" s="17" t="str" cm="1">
        <f t="array" ref="L3294">_xlfn.IFS(MID(K3294,2,2)="01", "서울", MID(K3294,2,2)="02","경기",MID(K3294,2,2)="03","충청",MID(K3294,2,2)="04","충청",MID(K3294,2,2)="05","전라",MID(K3294,2,2)="06","전라",MID(K3294,2,2)="07","경북",MID(K3294,2,2)="08","경남",MID(K3294,2,2)="09","강원",MID(K3294,2,2)="10","제주",TRUE,"국외")</f>
        <v>서울</v>
      </c>
    </row>
    <row r="3295" spans="1:12" ht="17.25" thickBot="1">
      <c r="A3295" s="3" t="s">
        <v>3190</v>
      </c>
      <c r="B3295" s="3"/>
      <c r="C3295" s="3" t="s">
        <v>549</v>
      </c>
      <c r="D3295" s="4" t="s">
        <v>254</v>
      </c>
      <c r="E3295" s="4" t="s">
        <v>23</v>
      </c>
      <c r="F3295" s="4">
        <v>1992</v>
      </c>
      <c r="G3295" s="8">
        <v>0</v>
      </c>
      <c r="H3295" s="4" t="s">
        <v>23</v>
      </c>
      <c r="I3295" s="8">
        <v>-0.8</v>
      </c>
      <c r="J3295" s="3">
        <f>1652</f>
        <v>1652</v>
      </c>
      <c r="K3295" s="3"/>
      <c r="L3295" s="17" t="str" cm="1">
        <f t="array" ref="L3295">_xlfn.IFS(MID(K3295,2,2)="01", "서울", MID(K3295,2,2)="02","경기",MID(K3295,2,2)="03","충청",MID(K3295,2,2)="04","충청",MID(K3295,2,2)="05","전라",MID(K3295,2,2)="06","전라",MID(K3295,2,2)="07","경북",MID(K3295,2,2)="08","경남",MID(K3295,2,2)="09","강원",MID(K3295,2,2)="10","제주",TRUE,"국외")</f>
        <v>국외</v>
      </c>
    </row>
    <row r="3296" spans="1:12" ht="17.25" thickBot="1">
      <c r="A3296" s="3" t="s">
        <v>3191</v>
      </c>
      <c r="B3296" s="3" t="s">
        <v>464</v>
      </c>
      <c r="C3296" s="3"/>
      <c r="D3296" s="4" t="s">
        <v>254</v>
      </c>
      <c r="E3296" s="4" t="s">
        <v>23</v>
      </c>
      <c r="F3296" s="4">
        <v>1992</v>
      </c>
      <c r="G3296" s="8">
        <v>3.6</v>
      </c>
      <c r="H3296" s="4" t="s">
        <v>23</v>
      </c>
      <c r="I3296" s="8">
        <v>27.9</v>
      </c>
      <c r="J3296" s="3">
        <f>1694</f>
        <v>1694</v>
      </c>
      <c r="K3296" s="3">
        <v>50706</v>
      </c>
      <c r="L3296" s="17" t="str" cm="1">
        <f t="array" ref="L3296">_xlfn.IFS(MID(K3296,2,2)="01", "서울", MID(K3296,2,2)="02","경기",MID(K3296,2,2)="03","충청",MID(K3296,2,2)="04","충청",MID(K3296,2,2)="05","전라",MID(K3296,2,2)="06","전라",MID(K3296,2,2)="07","경북",MID(K3296,2,2)="08","경남",MID(K3296,2,2)="09","강원",MID(K3296,2,2)="10","제주",TRUE,"국외")</f>
        <v>경북</v>
      </c>
    </row>
    <row r="3297" spans="1:12" ht="17.25" thickBot="1">
      <c r="A3297" s="3" t="s">
        <v>3192</v>
      </c>
      <c r="B3297" s="3" t="s">
        <v>25</v>
      </c>
      <c r="C3297" s="3" t="s">
        <v>538</v>
      </c>
      <c r="D3297" s="4" t="s">
        <v>254</v>
      </c>
      <c r="E3297" s="4" t="s">
        <v>9</v>
      </c>
      <c r="F3297" s="4">
        <v>1992</v>
      </c>
      <c r="G3297" s="8">
        <v>0.1</v>
      </c>
      <c r="H3297" s="4" t="s">
        <v>9</v>
      </c>
      <c r="I3297" s="8">
        <v>-0.8</v>
      </c>
      <c r="J3297" s="3">
        <f>1669</f>
        <v>1669</v>
      </c>
      <c r="K3297" s="3">
        <v>50403</v>
      </c>
      <c r="L3297" s="17" t="str" cm="1">
        <f t="array" ref="L3297">_xlfn.IFS(MID(K3297,2,2)="01", "서울", MID(K3297,2,2)="02","경기",MID(K3297,2,2)="03","충청",MID(K3297,2,2)="04","충청",MID(K3297,2,2)="05","전라",MID(K3297,2,2)="06","전라",MID(K3297,2,2)="07","경북",MID(K3297,2,2)="08","경남",MID(K3297,2,2)="09","강원",MID(K3297,2,2)="10","제주",TRUE,"국외")</f>
        <v>충청</v>
      </c>
    </row>
    <row r="3298" spans="1:12" ht="17.25" thickBot="1">
      <c r="A3298" s="3" t="s">
        <v>3193</v>
      </c>
      <c r="B3298" s="3" t="s">
        <v>176</v>
      </c>
      <c r="C3298" s="3" t="s">
        <v>483</v>
      </c>
      <c r="D3298" s="4" t="s">
        <v>254</v>
      </c>
      <c r="E3298" s="4" t="s">
        <v>23</v>
      </c>
      <c r="F3298" s="4">
        <v>1992</v>
      </c>
      <c r="G3298" s="8">
        <v>-0.1</v>
      </c>
      <c r="H3298" s="4" t="s">
        <v>2523</v>
      </c>
      <c r="I3298" s="8">
        <v>-1.8</v>
      </c>
      <c r="J3298" s="3">
        <f>1661</f>
        <v>1661</v>
      </c>
      <c r="K3298" s="3">
        <v>50302</v>
      </c>
      <c r="L3298" s="17" t="str" cm="1">
        <f t="array" ref="L3298">_xlfn.IFS(MID(K3298,2,2)="01", "서울", MID(K3298,2,2)="02","경기",MID(K3298,2,2)="03","충청",MID(K3298,2,2)="04","충청",MID(K3298,2,2)="05","전라",MID(K3298,2,2)="06","전라",MID(K3298,2,2)="07","경북",MID(K3298,2,2)="08","경남",MID(K3298,2,2)="09","강원",MID(K3298,2,2)="10","제주",TRUE,"국외")</f>
        <v>충청</v>
      </c>
    </row>
    <row r="3299" spans="1:12" ht="17.25" thickBot="1">
      <c r="A3299" s="3" t="s">
        <v>3194</v>
      </c>
      <c r="B3299" s="3" t="s">
        <v>112</v>
      </c>
      <c r="C3299" s="3" t="s">
        <v>172</v>
      </c>
      <c r="D3299" s="4" t="s">
        <v>254</v>
      </c>
      <c r="E3299" s="4" t="s">
        <v>20</v>
      </c>
      <c r="F3299" s="4">
        <v>1992</v>
      </c>
      <c r="G3299" s="8">
        <v>-0.1</v>
      </c>
      <c r="H3299" s="4" t="s">
        <v>20</v>
      </c>
      <c r="I3299" s="8">
        <v>-0.1</v>
      </c>
      <c r="J3299" s="3">
        <f>1684</f>
        <v>1684</v>
      </c>
      <c r="K3299" s="3">
        <v>50113</v>
      </c>
      <c r="L3299" s="17" t="str" cm="1">
        <f t="array" ref="L3299">_xlfn.IFS(MID(K3299,2,2)="01", "서울", MID(K3299,2,2)="02","경기",MID(K3299,2,2)="03","충청",MID(K3299,2,2)="04","충청",MID(K3299,2,2)="05","전라",MID(K3299,2,2)="06","전라",MID(K3299,2,2)="07","경북",MID(K3299,2,2)="08","경남",MID(K3299,2,2)="09","강원",MID(K3299,2,2)="10","제주",TRUE,"국외")</f>
        <v>서울</v>
      </c>
    </row>
    <row r="3300" spans="1:12" ht="17.25" thickBot="1">
      <c r="A3300" s="3" t="s">
        <v>3195</v>
      </c>
      <c r="B3300" s="3" t="s">
        <v>81</v>
      </c>
      <c r="C3300" s="3" t="s">
        <v>218</v>
      </c>
      <c r="D3300" s="4" t="s">
        <v>254</v>
      </c>
      <c r="E3300" s="4" t="s">
        <v>9</v>
      </c>
      <c r="F3300" s="4">
        <v>1992</v>
      </c>
      <c r="G3300" s="8">
        <v>-0.5</v>
      </c>
      <c r="H3300" s="4" t="s">
        <v>9</v>
      </c>
      <c r="I3300" s="8">
        <v>-0.5</v>
      </c>
      <c r="J3300" s="3">
        <f>1709</f>
        <v>1709</v>
      </c>
      <c r="K3300" s="3">
        <v>50105</v>
      </c>
      <c r="L3300" s="17" t="str" cm="1">
        <f t="array" ref="L3300">_xlfn.IFS(MID(K3300,2,2)="01", "서울", MID(K3300,2,2)="02","경기",MID(K3300,2,2)="03","충청",MID(K3300,2,2)="04","충청",MID(K3300,2,2)="05","전라",MID(K3300,2,2)="06","전라",MID(K3300,2,2)="07","경북",MID(K3300,2,2)="08","경남",MID(K3300,2,2)="09","강원",MID(K3300,2,2)="10","제주",TRUE,"국외")</f>
        <v>서울</v>
      </c>
    </row>
    <row r="3301" spans="1:12" ht="17.25" thickBot="1">
      <c r="A3301" s="3" t="s">
        <v>3196</v>
      </c>
      <c r="B3301" s="3" t="s">
        <v>5</v>
      </c>
      <c r="C3301" s="3" t="s">
        <v>83</v>
      </c>
      <c r="D3301" s="4" t="s">
        <v>254</v>
      </c>
      <c r="E3301" s="4" t="s">
        <v>20</v>
      </c>
      <c r="F3301" s="4">
        <v>1992</v>
      </c>
      <c r="G3301" s="8">
        <v>-0.3</v>
      </c>
      <c r="H3301" s="4" t="s">
        <v>20</v>
      </c>
      <c r="I3301" s="8">
        <v>-0.3</v>
      </c>
      <c r="J3301" s="3">
        <f>1659</f>
        <v>1659</v>
      </c>
      <c r="K3301" s="3">
        <v>50114</v>
      </c>
      <c r="L3301" s="17" t="str" cm="1">
        <f t="array" ref="L3301">_xlfn.IFS(MID(K3301,2,2)="01", "서울", MID(K3301,2,2)="02","경기",MID(K3301,2,2)="03","충청",MID(K3301,2,2)="04","충청",MID(K3301,2,2)="05","전라",MID(K3301,2,2)="06","전라",MID(K3301,2,2)="07","경북",MID(K3301,2,2)="08","경남",MID(K3301,2,2)="09","강원",MID(K3301,2,2)="10","제주",TRUE,"국외")</f>
        <v>서울</v>
      </c>
    </row>
    <row r="3302" spans="1:12" ht="17.25" thickBot="1">
      <c r="A3302" s="3" t="s">
        <v>3197</v>
      </c>
      <c r="B3302" s="3" t="s">
        <v>81</v>
      </c>
      <c r="C3302" s="3" t="s">
        <v>3183</v>
      </c>
      <c r="D3302" s="4" t="s">
        <v>254</v>
      </c>
      <c r="E3302" s="4" t="s">
        <v>20</v>
      </c>
      <c r="F3302" s="4">
        <v>1993</v>
      </c>
      <c r="G3302" s="9"/>
      <c r="H3302" s="4" t="s">
        <v>20</v>
      </c>
      <c r="I3302" s="8">
        <v>0.1</v>
      </c>
      <c r="J3302" s="3">
        <f>1753</f>
        <v>1753</v>
      </c>
      <c r="K3302" s="3">
        <v>50105</v>
      </c>
      <c r="L3302" s="17" t="str" cm="1">
        <f t="array" ref="L3302">_xlfn.IFS(MID(K3302,2,2)="01", "서울", MID(K3302,2,2)="02","경기",MID(K3302,2,2)="03","충청",MID(K3302,2,2)="04","충청",MID(K3302,2,2)="05","전라",MID(K3302,2,2)="06","전라",MID(K3302,2,2)="07","경북",MID(K3302,2,2)="08","경남",MID(K3302,2,2)="09","강원",MID(K3302,2,2)="10","제주",TRUE,"국외")</f>
        <v>서울</v>
      </c>
    </row>
    <row r="3303" spans="1:12" ht="17.25" thickBot="1">
      <c r="A3303" s="3" t="s">
        <v>3198</v>
      </c>
      <c r="B3303" s="3"/>
      <c r="C3303" s="3"/>
      <c r="D3303" s="4" t="s">
        <v>181</v>
      </c>
      <c r="E3303" s="4" t="s">
        <v>9</v>
      </c>
      <c r="F3303" s="4">
        <v>1992</v>
      </c>
      <c r="G3303" s="8">
        <v>0</v>
      </c>
      <c r="H3303" s="4" t="s">
        <v>9</v>
      </c>
      <c r="I3303" s="8">
        <v>0</v>
      </c>
      <c r="J3303" s="3">
        <f>1662</f>
        <v>1662</v>
      </c>
      <c r="K3303" s="3"/>
      <c r="L3303" s="17" t="str" cm="1">
        <f t="array" ref="L3303">_xlfn.IFS(MID(K3303,2,2)="01", "서울", MID(K3303,2,2)="02","경기",MID(K3303,2,2)="03","충청",MID(K3303,2,2)="04","충청",MID(K3303,2,2)="05","전라",MID(K3303,2,2)="06","전라",MID(K3303,2,2)="07","경북",MID(K3303,2,2)="08","경남",MID(K3303,2,2)="09","강원",MID(K3303,2,2)="10","제주",TRUE,"국외")</f>
        <v>국외</v>
      </c>
    </row>
    <row r="3304" spans="1:12" ht="17.25" thickBot="1">
      <c r="A3304" s="3" t="s">
        <v>3199</v>
      </c>
      <c r="B3304" s="3"/>
      <c r="C3304" s="3"/>
      <c r="D3304" s="4" t="s">
        <v>181</v>
      </c>
      <c r="E3304" s="4" t="s">
        <v>2661</v>
      </c>
      <c r="F3304" s="4">
        <v>1992</v>
      </c>
      <c r="G3304" s="8">
        <v>-0.1</v>
      </c>
      <c r="H3304" s="4" t="s">
        <v>2661</v>
      </c>
      <c r="I3304" s="8">
        <v>-0.1</v>
      </c>
      <c r="J3304" s="3">
        <f>1718</f>
        <v>1718</v>
      </c>
      <c r="K3304" s="3"/>
      <c r="L3304" s="17" t="str" cm="1">
        <f t="array" ref="L3304">_xlfn.IFS(MID(K3304,2,2)="01", "서울", MID(K3304,2,2)="02","경기",MID(K3304,2,2)="03","충청",MID(K3304,2,2)="04","충청",MID(K3304,2,2)="05","전라",MID(K3304,2,2)="06","전라",MID(K3304,2,2)="07","경북",MID(K3304,2,2)="08","경남",MID(K3304,2,2)="09","강원",MID(K3304,2,2)="10","제주",TRUE,"국외")</f>
        <v>국외</v>
      </c>
    </row>
    <row r="3305" spans="1:12" ht="17.25" thickBot="1">
      <c r="A3305" s="3" t="s">
        <v>3200</v>
      </c>
      <c r="B3305" s="3" t="s">
        <v>1950</v>
      </c>
      <c r="C3305" s="3"/>
      <c r="D3305" s="4" t="s">
        <v>1777</v>
      </c>
      <c r="E3305" s="4" t="s">
        <v>2725</v>
      </c>
      <c r="F3305" s="4">
        <v>1993</v>
      </c>
      <c r="G3305" s="9"/>
      <c r="H3305" s="4" t="s">
        <v>2725</v>
      </c>
      <c r="I3305" s="8">
        <v>-0.7</v>
      </c>
      <c r="J3305" s="3">
        <f>1741</f>
        <v>1741</v>
      </c>
      <c r="K3305" s="3">
        <v>50115</v>
      </c>
      <c r="L3305" s="17" t="str" cm="1">
        <f t="array" ref="L3305">_xlfn.IFS(MID(K3305,2,2)="01", "서울", MID(K3305,2,2)="02","경기",MID(K3305,2,2)="03","충청",MID(K3305,2,2)="04","충청",MID(K3305,2,2)="05","전라",MID(K3305,2,2)="06","전라",MID(K3305,2,2)="07","경북",MID(K3305,2,2)="08","경남",MID(K3305,2,2)="09","강원",MID(K3305,2,2)="10","제주",TRUE,"국외")</f>
        <v>서울</v>
      </c>
    </row>
    <row r="3306" spans="1:12" ht="17.25" thickBot="1">
      <c r="A3306" s="3" t="s">
        <v>3201</v>
      </c>
      <c r="B3306" s="3" t="s">
        <v>11</v>
      </c>
      <c r="C3306" s="3" t="s">
        <v>83</v>
      </c>
      <c r="D3306" s="4" t="s">
        <v>1777</v>
      </c>
      <c r="E3306" s="4" t="s">
        <v>23</v>
      </c>
      <c r="F3306" s="4">
        <v>1992</v>
      </c>
      <c r="G3306" s="8">
        <v>0</v>
      </c>
      <c r="H3306" s="4" t="s">
        <v>23</v>
      </c>
      <c r="I3306" s="8">
        <v>0</v>
      </c>
      <c r="J3306" s="3">
        <f>1666</f>
        <v>1666</v>
      </c>
      <c r="K3306" s="3">
        <v>50802</v>
      </c>
      <c r="L3306" s="17" t="str" cm="1">
        <f t="array" ref="L3306">_xlfn.IFS(MID(K3306,2,2)="01", "서울", MID(K3306,2,2)="02","경기",MID(K3306,2,2)="03","충청",MID(K3306,2,2)="04","충청",MID(K3306,2,2)="05","전라",MID(K3306,2,2)="06","전라",MID(K3306,2,2)="07","경북",MID(K3306,2,2)="08","경남",MID(K3306,2,2)="09","강원",MID(K3306,2,2)="10","제주",TRUE,"국외")</f>
        <v>경남</v>
      </c>
    </row>
    <row r="3307" spans="1:12" ht="17.25" thickBot="1">
      <c r="A3307" s="3" t="s">
        <v>3202</v>
      </c>
      <c r="B3307" s="3"/>
      <c r="C3307" s="3" t="s">
        <v>122</v>
      </c>
      <c r="D3307" s="4" t="s">
        <v>1777</v>
      </c>
      <c r="E3307" s="4" t="s">
        <v>23</v>
      </c>
      <c r="F3307" s="4">
        <v>1992</v>
      </c>
      <c r="G3307" s="8">
        <v>0.3</v>
      </c>
      <c r="H3307" s="4" t="s">
        <v>23</v>
      </c>
      <c r="I3307" s="8">
        <v>0.3</v>
      </c>
      <c r="J3307" s="3">
        <f>1708</f>
        <v>1708</v>
      </c>
      <c r="K3307" s="3"/>
      <c r="L3307" s="17" t="str" cm="1">
        <f t="array" ref="L3307">_xlfn.IFS(MID(K3307,2,2)="01", "서울", MID(K3307,2,2)="02","경기",MID(K3307,2,2)="03","충청",MID(K3307,2,2)="04","충청",MID(K3307,2,2)="05","전라",MID(K3307,2,2)="06","전라",MID(K3307,2,2)="07","경북",MID(K3307,2,2)="08","경남",MID(K3307,2,2)="09","강원",MID(K3307,2,2)="10","제주",TRUE,"국외")</f>
        <v>국외</v>
      </c>
    </row>
    <row r="3308" spans="1:12" ht="17.25" thickBot="1">
      <c r="A3308" s="3" t="s">
        <v>3203</v>
      </c>
      <c r="B3308" s="3" t="s">
        <v>361</v>
      </c>
      <c r="C3308" s="3" t="s">
        <v>739</v>
      </c>
      <c r="D3308" s="4" t="s">
        <v>1777</v>
      </c>
      <c r="E3308" s="4" t="s">
        <v>2661</v>
      </c>
      <c r="F3308" s="4">
        <v>1992</v>
      </c>
      <c r="G3308" s="8">
        <v>0.2</v>
      </c>
      <c r="H3308" s="4" t="s">
        <v>2661</v>
      </c>
      <c r="I3308" s="8">
        <v>-0.1</v>
      </c>
      <c r="J3308" s="3">
        <f>1675</f>
        <v>1675</v>
      </c>
      <c r="K3308" s="3">
        <v>50121</v>
      </c>
      <c r="L3308" s="17" t="str" cm="1">
        <f t="array" ref="L3308">_xlfn.IFS(MID(K3308,2,2)="01", "서울", MID(K3308,2,2)="02","경기",MID(K3308,2,2)="03","충청",MID(K3308,2,2)="04","충청",MID(K3308,2,2)="05","전라",MID(K3308,2,2)="06","전라",MID(K3308,2,2)="07","경북",MID(K3308,2,2)="08","경남",MID(K3308,2,2)="09","강원",MID(K3308,2,2)="10","제주",TRUE,"국외")</f>
        <v>서울</v>
      </c>
    </row>
    <row r="3309" spans="1:12" ht="17.25" thickBot="1">
      <c r="A3309" s="3" t="s">
        <v>536</v>
      </c>
      <c r="B3309" s="3"/>
      <c r="C3309" s="3"/>
      <c r="D3309" s="4" t="s">
        <v>1777</v>
      </c>
      <c r="E3309" s="4" t="s">
        <v>2968</v>
      </c>
      <c r="F3309" s="4">
        <v>1993</v>
      </c>
      <c r="G3309" s="9"/>
      <c r="H3309" s="4" t="s">
        <v>2968</v>
      </c>
      <c r="I3309" s="8">
        <v>-0.2</v>
      </c>
      <c r="J3309" s="3">
        <f>1731</f>
        <v>1731</v>
      </c>
      <c r="K3309" s="3"/>
      <c r="L3309" s="17" t="str" cm="1">
        <f t="array" ref="L3309">_xlfn.IFS(MID(K3309,2,2)="01", "서울", MID(K3309,2,2)="02","경기",MID(K3309,2,2)="03","충청",MID(K3309,2,2)="04","충청",MID(K3309,2,2)="05","전라",MID(K3309,2,2)="06","전라",MID(K3309,2,2)="07","경북",MID(K3309,2,2)="08","경남",MID(K3309,2,2)="09","강원",MID(K3309,2,2)="10","제주",TRUE,"국외")</f>
        <v>국외</v>
      </c>
    </row>
    <row r="3310" spans="1:12" ht="17.25" thickBot="1">
      <c r="A3310" s="3" t="s">
        <v>3204</v>
      </c>
      <c r="B3310" s="3" t="s">
        <v>107</v>
      </c>
      <c r="C3310" s="3" t="s">
        <v>221</v>
      </c>
      <c r="D3310" s="4" t="s">
        <v>1777</v>
      </c>
      <c r="E3310" s="4" t="s">
        <v>2523</v>
      </c>
      <c r="F3310" s="4">
        <v>1992</v>
      </c>
      <c r="G3310" s="8">
        <v>0</v>
      </c>
      <c r="H3310" s="4" t="s">
        <v>2523</v>
      </c>
      <c r="I3310" s="8">
        <v>0</v>
      </c>
      <c r="J3310" s="3">
        <f>1649</f>
        <v>1649</v>
      </c>
      <c r="K3310" s="3">
        <v>50602</v>
      </c>
      <c r="L3310" s="17" t="str" cm="1">
        <f t="array" ref="L3310">_xlfn.IFS(MID(K3310,2,2)="01", "서울", MID(K3310,2,2)="02","경기",MID(K3310,2,2)="03","충청",MID(K3310,2,2)="04","충청",MID(K3310,2,2)="05","전라",MID(K3310,2,2)="06","전라",MID(K3310,2,2)="07","경북",MID(K3310,2,2)="08","경남",MID(K3310,2,2)="09","강원",MID(K3310,2,2)="10","제주",TRUE,"국외")</f>
        <v>전라</v>
      </c>
    </row>
    <row r="3311" spans="1:12" ht="17.25" thickBot="1">
      <c r="A3311" s="3" t="s">
        <v>3205</v>
      </c>
      <c r="B3311" s="3" t="s">
        <v>121</v>
      </c>
      <c r="C3311" s="3" t="s">
        <v>208</v>
      </c>
      <c r="D3311" s="4" t="s">
        <v>1777</v>
      </c>
      <c r="E3311" s="4" t="s">
        <v>2523</v>
      </c>
      <c r="F3311" s="4">
        <v>1992</v>
      </c>
      <c r="G3311" s="8">
        <v>0.5</v>
      </c>
      <c r="H3311" s="4" t="s">
        <v>2523</v>
      </c>
      <c r="I3311" s="8">
        <v>1</v>
      </c>
      <c r="J3311" s="3">
        <f>1647</f>
        <v>1647</v>
      </c>
      <c r="K3311" s="3">
        <v>50604</v>
      </c>
      <c r="L3311" s="17" t="str" cm="1">
        <f t="array" ref="L3311">_xlfn.IFS(MID(K3311,2,2)="01", "서울", MID(K3311,2,2)="02","경기",MID(K3311,2,2)="03","충청",MID(K3311,2,2)="04","충청",MID(K3311,2,2)="05","전라",MID(K3311,2,2)="06","전라",MID(K3311,2,2)="07","경북",MID(K3311,2,2)="08","경남",MID(K3311,2,2)="09","강원",MID(K3311,2,2)="10","제주",TRUE,"국외")</f>
        <v>전라</v>
      </c>
    </row>
    <row r="3312" spans="1:12" ht="17.25" thickBot="1">
      <c r="A3312" s="3" t="s">
        <v>3087</v>
      </c>
      <c r="B3312" s="3" t="s">
        <v>40</v>
      </c>
      <c r="C3312" s="3"/>
      <c r="D3312" s="4" t="s">
        <v>2710</v>
      </c>
      <c r="E3312" s="4" t="s">
        <v>20</v>
      </c>
      <c r="F3312" s="4">
        <v>1992</v>
      </c>
      <c r="G3312" s="8">
        <v>-0.1</v>
      </c>
      <c r="H3312" s="4" t="s">
        <v>2164</v>
      </c>
      <c r="I3312" s="8">
        <v>36.1</v>
      </c>
      <c r="J3312" s="3">
        <f>1668</f>
        <v>1668</v>
      </c>
      <c r="K3312" s="3">
        <v>50108</v>
      </c>
      <c r="L3312" s="17" t="str" cm="1">
        <f t="array" ref="L3312">_xlfn.IFS(MID(K3312,2,2)="01", "서울", MID(K3312,2,2)="02","경기",MID(K3312,2,2)="03","충청",MID(K3312,2,2)="04","충청",MID(K3312,2,2)="05","전라",MID(K3312,2,2)="06","전라",MID(K3312,2,2)="07","경북",MID(K3312,2,2)="08","경남",MID(K3312,2,2)="09","강원",MID(K3312,2,2)="10","제주",TRUE,"국외")</f>
        <v>서울</v>
      </c>
    </row>
    <row r="3313" spans="1:12" ht="17.25" thickBot="1">
      <c r="A3313" s="3" t="s">
        <v>3206</v>
      </c>
      <c r="B3313" s="3" t="s">
        <v>2139</v>
      </c>
      <c r="C3313" s="3"/>
      <c r="D3313" s="4" t="s">
        <v>2710</v>
      </c>
      <c r="E3313" s="4" t="s">
        <v>2725</v>
      </c>
      <c r="F3313" s="4">
        <v>1994</v>
      </c>
      <c r="G3313" s="9"/>
      <c r="H3313" s="4" t="s">
        <v>2725</v>
      </c>
      <c r="I3313" s="8">
        <v>-0.5</v>
      </c>
      <c r="J3313" s="3">
        <f>1798</f>
        <v>1798</v>
      </c>
      <c r="K3313" s="3">
        <v>50104</v>
      </c>
      <c r="L3313" s="17" t="str" cm="1">
        <f t="array" ref="L3313">_xlfn.IFS(MID(K3313,2,2)="01", "서울", MID(K3313,2,2)="02","경기",MID(K3313,2,2)="03","충청",MID(K3313,2,2)="04","충청",MID(K3313,2,2)="05","전라",MID(K3313,2,2)="06","전라",MID(K3313,2,2)="07","경북",MID(K3313,2,2)="08","경남",MID(K3313,2,2)="09","강원",MID(K3313,2,2)="10","제주",TRUE,"국외")</f>
        <v>서울</v>
      </c>
    </row>
    <row r="3314" spans="1:12" ht="17.25" thickBot="1">
      <c r="A3314" s="3" t="s">
        <v>3207</v>
      </c>
      <c r="B3314" s="3" t="s">
        <v>93</v>
      </c>
      <c r="C3314" s="3"/>
      <c r="D3314" s="4" t="s">
        <v>2710</v>
      </c>
      <c r="E3314" s="4" t="s">
        <v>9</v>
      </c>
      <c r="F3314" s="4">
        <v>1992</v>
      </c>
      <c r="G3314" s="8">
        <v>8.8000000000000007</v>
      </c>
      <c r="H3314" s="4" t="s">
        <v>9</v>
      </c>
      <c r="I3314" s="8">
        <v>34.4</v>
      </c>
      <c r="J3314" s="3">
        <f>1689</f>
        <v>1689</v>
      </c>
      <c r="K3314" s="3">
        <v>50805</v>
      </c>
      <c r="L3314" s="17" t="str" cm="1">
        <f t="array" ref="L3314">_xlfn.IFS(MID(K3314,2,2)="01", "서울", MID(K3314,2,2)="02","경기",MID(K3314,2,2)="03","충청",MID(K3314,2,2)="04","충청",MID(K3314,2,2)="05","전라",MID(K3314,2,2)="06","전라",MID(K3314,2,2)="07","경북",MID(K3314,2,2)="08","경남",MID(K3314,2,2)="09","강원",MID(K3314,2,2)="10","제주",TRUE,"국외")</f>
        <v>경남</v>
      </c>
    </row>
    <row r="3315" spans="1:12" ht="17.25" thickBot="1">
      <c r="A3315" s="3" t="s">
        <v>3208</v>
      </c>
      <c r="B3315" s="3" t="s">
        <v>11</v>
      </c>
      <c r="C3315" s="3"/>
      <c r="D3315" s="4" t="s">
        <v>2710</v>
      </c>
      <c r="E3315" s="4" t="s">
        <v>9</v>
      </c>
      <c r="F3315" s="4">
        <v>1992</v>
      </c>
      <c r="G3315" s="8">
        <v>-0.1</v>
      </c>
      <c r="H3315" s="4" t="s">
        <v>9</v>
      </c>
      <c r="I3315" s="8">
        <v>-0.3</v>
      </c>
      <c r="J3315" s="3">
        <f>1680</f>
        <v>1680</v>
      </c>
      <c r="K3315" s="3">
        <v>50802</v>
      </c>
      <c r="L3315" s="17" t="str" cm="1">
        <f t="array" ref="L3315">_xlfn.IFS(MID(K3315,2,2)="01", "서울", MID(K3315,2,2)="02","경기",MID(K3315,2,2)="03","충청",MID(K3315,2,2)="04","충청",MID(K3315,2,2)="05","전라",MID(K3315,2,2)="06","전라",MID(K3315,2,2)="07","경북",MID(K3315,2,2)="08","경남",MID(K3315,2,2)="09","강원",MID(K3315,2,2)="10","제주",TRUE,"국외")</f>
        <v>경남</v>
      </c>
    </row>
    <row r="3316" spans="1:12" ht="17.25" thickBot="1">
      <c r="A3316" s="3" t="s">
        <v>3209</v>
      </c>
      <c r="B3316" s="3" t="s">
        <v>36</v>
      </c>
      <c r="C3316" s="3"/>
      <c r="D3316" s="4" t="s">
        <v>2710</v>
      </c>
      <c r="E3316" s="4" t="s">
        <v>3101</v>
      </c>
      <c r="F3316" s="4">
        <v>1992</v>
      </c>
      <c r="G3316" s="8">
        <v>7.5</v>
      </c>
      <c r="H3316" s="4" t="s">
        <v>3</v>
      </c>
      <c r="I3316" s="8">
        <v>50.7</v>
      </c>
      <c r="J3316" s="3">
        <v>10613</v>
      </c>
      <c r="K3316" s="3">
        <v>50402</v>
      </c>
      <c r="L3316" s="17" t="str" cm="1">
        <f t="array" ref="L3316">_xlfn.IFS(MID(K3316,2,2)="01", "서울", MID(K3316,2,2)="02","경기",MID(K3316,2,2)="03","충청",MID(K3316,2,2)="04","충청",MID(K3316,2,2)="05","전라",MID(K3316,2,2)="06","전라",MID(K3316,2,2)="07","경북",MID(K3316,2,2)="08","경남",MID(K3316,2,2)="09","강원",MID(K3316,2,2)="10","제주",TRUE,"국외")</f>
        <v>충청</v>
      </c>
    </row>
    <row r="3317" spans="1:12" ht="17.25" thickBot="1">
      <c r="A3317" s="3" t="s">
        <v>3210</v>
      </c>
      <c r="B3317" s="3" t="s">
        <v>14</v>
      </c>
      <c r="C3317" s="3"/>
      <c r="D3317" s="4" t="s">
        <v>2710</v>
      </c>
      <c r="E3317" s="4" t="s">
        <v>23</v>
      </c>
      <c r="F3317" s="4">
        <v>1994</v>
      </c>
      <c r="G3317" s="9"/>
      <c r="H3317" s="4" t="s">
        <v>23</v>
      </c>
      <c r="I3317" s="8">
        <v>12.6</v>
      </c>
      <c r="J3317" s="3">
        <f>1816</f>
        <v>1816</v>
      </c>
      <c r="K3317" s="3">
        <v>50703</v>
      </c>
      <c r="L3317" s="17" t="str" cm="1">
        <f t="array" ref="L3317">_xlfn.IFS(MID(K3317,2,2)="01", "서울", MID(K3317,2,2)="02","경기",MID(K3317,2,2)="03","충청",MID(K3317,2,2)="04","충청",MID(K3317,2,2)="05","전라",MID(K3317,2,2)="06","전라",MID(K3317,2,2)="07","경북",MID(K3317,2,2)="08","경남",MID(K3317,2,2)="09","강원",MID(K3317,2,2)="10","제주",TRUE,"국외")</f>
        <v>경북</v>
      </c>
    </row>
    <row r="3318" spans="1:12" ht="17.25" thickBot="1">
      <c r="A3318" s="3" t="s">
        <v>3211</v>
      </c>
      <c r="B3318" s="3" t="s">
        <v>34</v>
      </c>
      <c r="C3318" s="3"/>
      <c r="D3318" s="4" t="s">
        <v>2710</v>
      </c>
      <c r="E3318" s="4" t="s">
        <v>23</v>
      </c>
      <c r="F3318" s="4">
        <v>1992</v>
      </c>
      <c r="G3318" s="8">
        <v>-0.2</v>
      </c>
      <c r="H3318" s="4" t="s">
        <v>23</v>
      </c>
      <c r="I3318" s="8">
        <v>-0.2</v>
      </c>
      <c r="J3318" s="3">
        <f>1683</f>
        <v>1683</v>
      </c>
      <c r="K3318" s="3">
        <v>50701</v>
      </c>
      <c r="L3318" s="17" t="str" cm="1">
        <f t="array" ref="L3318">_xlfn.IFS(MID(K3318,2,2)="01", "서울", MID(K3318,2,2)="02","경기",MID(K3318,2,2)="03","충청",MID(K3318,2,2)="04","충청",MID(K3318,2,2)="05","전라",MID(K3318,2,2)="06","전라",MID(K3318,2,2)="07","경북",MID(K3318,2,2)="08","경남",MID(K3318,2,2)="09","강원",MID(K3318,2,2)="10","제주",TRUE,"국외")</f>
        <v>경북</v>
      </c>
    </row>
    <row r="3319" spans="1:12" ht="17.25" thickBot="1">
      <c r="A3319" s="3" t="s">
        <v>3212</v>
      </c>
      <c r="B3319" s="3" t="s">
        <v>228</v>
      </c>
      <c r="C3319" s="3"/>
      <c r="D3319" s="4" t="s">
        <v>2710</v>
      </c>
      <c r="E3319" s="4" t="s">
        <v>23</v>
      </c>
      <c r="F3319" s="4">
        <v>1994</v>
      </c>
      <c r="G3319" s="9"/>
      <c r="H3319" s="4" t="s">
        <v>23</v>
      </c>
      <c r="I3319" s="8">
        <v>4.5</v>
      </c>
      <c r="J3319" s="3">
        <f>1841</f>
        <v>1841</v>
      </c>
      <c r="K3319" s="3">
        <v>50702</v>
      </c>
      <c r="L3319" s="17" t="str" cm="1">
        <f t="array" ref="L3319">_xlfn.IFS(MID(K3319,2,2)="01", "서울", MID(K3319,2,2)="02","경기",MID(K3319,2,2)="03","충청",MID(K3319,2,2)="04","충청",MID(K3319,2,2)="05","전라",MID(K3319,2,2)="06","전라",MID(K3319,2,2)="07","경북",MID(K3319,2,2)="08","경남",MID(K3319,2,2)="09","강원",MID(K3319,2,2)="10","제주",TRUE,"국외")</f>
        <v>경북</v>
      </c>
    </row>
    <row r="3320" spans="1:12" ht="17.25" thickBot="1">
      <c r="A3320" s="3" t="s">
        <v>3213</v>
      </c>
      <c r="B3320" s="3" t="s">
        <v>128</v>
      </c>
      <c r="C3320" s="3"/>
      <c r="D3320" s="4" t="s">
        <v>2710</v>
      </c>
      <c r="E3320" s="4" t="s">
        <v>2968</v>
      </c>
      <c r="F3320" s="4">
        <v>1993</v>
      </c>
      <c r="G3320" s="9"/>
      <c r="H3320" s="4" t="s">
        <v>2968</v>
      </c>
      <c r="I3320" s="8">
        <v>-0.3</v>
      </c>
      <c r="J3320" s="3">
        <f>1747</f>
        <v>1747</v>
      </c>
      <c r="K3320" s="3">
        <v>50901</v>
      </c>
      <c r="L3320" s="17" t="str" cm="1">
        <f t="array" ref="L3320">_xlfn.IFS(MID(K3320,2,2)="01", "서울", MID(K3320,2,2)="02","경기",MID(K3320,2,2)="03","충청",MID(K3320,2,2)="04","충청",MID(K3320,2,2)="05","전라",MID(K3320,2,2)="06","전라",MID(K3320,2,2)="07","경북",MID(K3320,2,2)="08","경남",MID(K3320,2,2)="09","강원",MID(K3320,2,2)="10","제주",TRUE,"국외")</f>
        <v>강원</v>
      </c>
    </row>
    <row r="3321" spans="1:12" ht="17.25" thickBot="1">
      <c r="A3321" s="3" t="s">
        <v>3214</v>
      </c>
      <c r="B3321" s="3" t="s">
        <v>128</v>
      </c>
      <c r="C3321" s="3"/>
      <c r="D3321" s="4" t="s">
        <v>2710</v>
      </c>
      <c r="E3321" s="4" t="s">
        <v>2968</v>
      </c>
      <c r="F3321" s="4">
        <v>1992</v>
      </c>
      <c r="G3321" s="8">
        <v>0.1</v>
      </c>
      <c r="H3321" s="4" t="s">
        <v>6</v>
      </c>
      <c r="I3321" s="8">
        <v>11.9</v>
      </c>
      <c r="J3321" s="3">
        <v>10020</v>
      </c>
      <c r="K3321" s="3">
        <v>50901</v>
      </c>
      <c r="L3321" s="17" t="str" cm="1">
        <f t="array" ref="L3321">_xlfn.IFS(MID(K3321,2,2)="01", "서울", MID(K3321,2,2)="02","경기",MID(K3321,2,2)="03","충청",MID(K3321,2,2)="04","충청",MID(K3321,2,2)="05","전라",MID(K3321,2,2)="06","전라",MID(K3321,2,2)="07","경북",MID(K3321,2,2)="08","경남",MID(K3321,2,2)="09","강원",MID(K3321,2,2)="10","제주",TRUE,"국외")</f>
        <v>강원</v>
      </c>
    </row>
    <row r="3322" spans="1:12" ht="17.25" thickBot="1">
      <c r="A3322" s="3" t="s">
        <v>3215</v>
      </c>
      <c r="B3322" s="3" t="s">
        <v>153</v>
      </c>
      <c r="C3322" s="3"/>
      <c r="D3322" s="4" t="s">
        <v>2710</v>
      </c>
      <c r="E3322" s="4" t="s">
        <v>2968</v>
      </c>
      <c r="F3322" s="4">
        <v>1992</v>
      </c>
      <c r="G3322" s="8">
        <v>0</v>
      </c>
      <c r="H3322" s="4" t="s">
        <v>2968</v>
      </c>
      <c r="I3322" s="8">
        <v>0</v>
      </c>
      <c r="J3322" s="3">
        <f>1674</f>
        <v>1674</v>
      </c>
      <c r="K3322" s="3">
        <v>50210</v>
      </c>
      <c r="L3322" s="17" t="str" cm="1">
        <f t="array" ref="L3322">_xlfn.IFS(MID(K3322,2,2)="01", "서울", MID(K3322,2,2)="02","경기",MID(K3322,2,2)="03","충청",MID(K3322,2,2)="04","충청",MID(K3322,2,2)="05","전라",MID(K3322,2,2)="06","전라",MID(K3322,2,2)="07","경북",MID(K3322,2,2)="08","경남",MID(K3322,2,2)="09","강원",MID(K3322,2,2)="10","제주",TRUE,"국외")</f>
        <v>경기</v>
      </c>
    </row>
    <row r="3323" spans="1:12" ht="17.25" thickBot="1">
      <c r="A3323" s="3" t="s">
        <v>3216</v>
      </c>
      <c r="B3323" s="3" t="s">
        <v>17</v>
      </c>
      <c r="C3323" s="3"/>
      <c r="D3323" s="4" t="s">
        <v>2710</v>
      </c>
      <c r="E3323" s="4" t="s">
        <v>2968</v>
      </c>
      <c r="F3323" s="4">
        <v>1992</v>
      </c>
      <c r="G3323" s="8">
        <v>1.2</v>
      </c>
      <c r="H3323" s="4" t="s">
        <v>2968</v>
      </c>
      <c r="I3323" s="8">
        <v>5.2</v>
      </c>
      <c r="J3323" s="3">
        <f>1711</f>
        <v>1711</v>
      </c>
      <c r="K3323" s="3">
        <v>50903</v>
      </c>
      <c r="L3323" s="17" t="str" cm="1">
        <f t="array" ref="L3323">_xlfn.IFS(MID(K3323,2,2)="01", "서울", MID(K3323,2,2)="02","경기",MID(K3323,2,2)="03","충청",MID(K3323,2,2)="04","충청",MID(K3323,2,2)="05","전라",MID(K3323,2,2)="06","전라",MID(K3323,2,2)="07","경북",MID(K3323,2,2)="08","경남",MID(K3323,2,2)="09","강원",MID(K3323,2,2)="10","제주",TRUE,"국외")</f>
        <v>강원</v>
      </c>
    </row>
    <row r="3324" spans="1:12" ht="17.25" thickBot="1">
      <c r="A3324" s="3" t="s">
        <v>3217</v>
      </c>
      <c r="B3324" s="3" t="s">
        <v>128</v>
      </c>
      <c r="C3324" s="3"/>
      <c r="D3324" s="4" t="s">
        <v>2710</v>
      </c>
      <c r="E3324" s="4" t="s">
        <v>2968</v>
      </c>
      <c r="F3324" s="4">
        <v>1994</v>
      </c>
      <c r="G3324" s="9"/>
      <c r="H3324" s="4" t="s">
        <v>2164</v>
      </c>
      <c r="I3324" s="8">
        <v>1.9</v>
      </c>
      <c r="J3324" s="3">
        <f>1844</f>
        <v>1844</v>
      </c>
      <c r="K3324" s="3">
        <v>50901</v>
      </c>
      <c r="L3324" s="17" t="str" cm="1">
        <f t="array" ref="L3324">_xlfn.IFS(MID(K3324,2,2)="01", "서울", MID(K3324,2,2)="02","경기",MID(K3324,2,2)="03","충청",MID(K3324,2,2)="04","충청",MID(K3324,2,2)="05","전라",MID(K3324,2,2)="06","전라",MID(K3324,2,2)="07","경북",MID(K3324,2,2)="08","경남",MID(K3324,2,2)="09","강원",MID(K3324,2,2)="10","제주",TRUE,"국외")</f>
        <v>강원</v>
      </c>
    </row>
    <row r="3325" spans="1:12" ht="17.25" thickBot="1">
      <c r="A3325" s="3" t="s">
        <v>3218</v>
      </c>
      <c r="B3325" s="3" t="s">
        <v>153</v>
      </c>
      <c r="C3325" s="3"/>
      <c r="D3325" s="4" t="s">
        <v>2710</v>
      </c>
      <c r="E3325" s="4" t="s">
        <v>2968</v>
      </c>
      <c r="F3325" s="4">
        <v>1992</v>
      </c>
      <c r="G3325" s="8">
        <v>0</v>
      </c>
      <c r="H3325" s="4" t="s">
        <v>2164</v>
      </c>
      <c r="I3325" s="8">
        <v>0.6</v>
      </c>
      <c r="J3325" s="3">
        <f>1688</f>
        <v>1688</v>
      </c>
      <c r="K3325" s="3">
        <v>50210</v>
      </c>
      <c r="L3325" s="17" t="str" cm="1">
        <f t="array" ref="L3325">_xlfn.IFS(MID(K3325,2,2)="01", "서울", MID(K3325,2,2)="02","경기",MID(K3325,2,2)="03","충청",MID(K3325,2,2)="04","충청",MID(K3325,2,2)="05","전라",MID(K3325,2,2)="06","전라",MID(K3325,2,2)="07","경북",MID(K3325,2,2)="08","경남",MID(K3325,2,2)="09","강원",MID(K3325,2,2)="10","제주",TRUE,"국외")</f>
        <v>경기</v>
      </c>
    </row>
    <row r="3326" spans="1:12" ht="17.25" thickBot="1">
      <c r="A3326" s="3" t="s">
        <v>3219</v>
      </c>
      <c r="B3326" s="3" t="s">
        <v>107</v>
      </c>
      <c r="C3326" s="3"/>
      <c r="D3326" s="4" t="s">
        <v>2710</v>
      </c>
      <c r="E3326" s="4" t="s">
        <v>2523</v>
      </c>
      <c r="F3326" s="4">
        <v>1992</v>
      </c>
      <c r="G3326" s="8">
        <v>-1.7</v>
      </c>
      <c r="H3326" s="4" t="s">
        <v>2523</v>
      </c>
      <c r="I3326" s="8">
        <v>-3.7</v>
      </c>
      <c r="J3326" s="3">
        <f>1697</f>
        <v>1697</v>
      </c>
      <c r="K3326" s="3">
        <v>50602</v>
      </c>
      <c r="L3326" s="17" t="str" cm="1">
        <f t="array" ref="L3326">_xlfn.IFS(MID(K3326,2,2)="01", "서울", MID(K3326,2,2)="02","경기",MID(K3326,2,2)="03","충청",MID(K3326,2,2)="04","충청",MID(K3326,2,2)="05","전라",MID(K3326,2,2)="06","전라",MID(K3326,2,2)="07","경북",MID(K3326,2,2)="08","경남",MID(K3326,2,2)="09","강원",MID(K3326,2,2)="10","제주",TRUE,"국외")</f>
        <v>전라</v>
      </c>
    </row>
    <row r="3327" spans="1:12" ht="17.25" thickBot="1">
      <c r="A3327" s="3" t="s">
        <v>799</v>
      </c>
      <c r="B3327" s="3" t="s">
        <v>121</v>
      </c>
      <c r="C3327" s="3"/>
      <c r="D3327" s="4" t="s">
        <v>2710</v>
      </c>
      <c r="E3327" s="4" t="s">
        <v>2523</v>
      </c>
      <c r="F3327" s="4">
        <v>1992</v>
      </c>
      <c r="G3327" s="8">
        <v>-0.2</v>
      </c>
      <c r="H3327" s="4" t="s">
        <v>2523</v>
      </c>
      <c r="I3327" s="8">
        <v>-4.5999999999999996</v>
      </c>
      <c r="J3327" s="3">
        <f>1692</f>
        <v>1692</v>
      </c>
      <c r="K3327" s="3">
        <v>50604</v>
      </c>
      <c r="L3327" s="17" t="str" cm="1">
        <f t="array" ref="L3327">_xlfn.IFS(MID(K3327,2,2)="01", "서울", MID(K3327,2,2)="02","경기",MID(K3327,2,2)="03","충청",MID(K3327,2,2)="04","충청",MID(K3327,2,2)="05","전라",MID(K3327,2,2)="06","전라",MID(K3327,2,2)="07","경북",MID(K3327,2,2)="08","경남",MID(K3327,2,2)="09","강원",MID(K3327,2,2)="10","제주",TRUE,"국외")</f>
        <v>전라</v>
      </c>
    </row>
    <row r="3328" spans="1:12" ht="17.25" thickBot="1">
      <c r="A3328" s="3" t="s">
        <v>3220</v>
      </c>
      <c r="B3328" s="3" t="s">
        <v>2491</v>
      </c>
      <c r="C3328" s="3"/>
      <c r="D3328" s="4" t="s">
        <v>2710</v>
      </c>
      <c r="E3328" s="4" t="s">
        <v>2523</v>
      </c>
      <c r="F3328" s="4">
        <v>1993</v>
      </c>
      <c r="G3328" s="9"/>
      <c r="H3328" s="4" t="s">
        <v>2523</v>
      </c>
      <c r="I3328" s="8">
        <v>0</v>
      </c>
      <c r="J3328" s="3">
        <f>1744</f>
        <v>1744</v>
      </c>
      <c r="K3328" s="3">
        <v>50608</v>
      </c>
      <c r="L3328" s="17" t="str" cm="1">
        <f t="array" ref="L3328">_xlfn.IFS(MID(K3328,2,2)="01", "서울", MID(K3328,2,2)="02","경기",MID(K3328,2,2)="03","충청",MID(K3328,2,2)="04","충청",MID(K3328,2,2)="05","전라",MID(K3328,2,2)="06","전라",MID(K3328,2,2)="07","경북",MID(K3328,2,2)="08","경남",MID(K3328,2,2)="09","강원",MID(K3328,2,2)="10","제주",TRUE,"국외")</f>
        <v>전라</v>
      </c>
    </row>
    <row r="3329" spans="1:12" ht="17.25" thickBot="1">
      <c r="A3329" s="3" t="s">
        <v>3221</v>
      </c>
      <c r="B3329" s="3" t="s">
        <v>63</v>
      </c>
      <c r="C3329" s="3"/>
      <c r="D3329" s="4" t="s">
        <v>2710</v>
      </c>
      <c r="E3329" s="4" t="s">
        <v>9</v>
      </c>
      <c r="F3329" s="4">
        <v>1993</v>
      </c>
      <c r="G3329" s="9"/>
      <c r="H3329" s="4" t="s">
        <v>9</v>
      </c>
      <c r="I3329" s="8">
        <v>-0.4</v>
      </c>
      <c r="J3329" s="3">
        <f>1751</f>
        <v>1751</v>
      </c>
      <c r="K3329" s="3">
        <v>50807</v>
      </c>
      <c r="L3329" s="17" t="str" cm="1">
        <f t="array" ref="L3329">_xlfn.IFS(MID(K3329,2,2)="01", "서울", MID(K3329,2,2)="02","경기",MID(K3329,2,2)="03","충청",MID(K3329,2,2)="04","충청",MID(K3329,2,2)="05","전라",MID(K3329,2,2)="06","전라",MID(K3329,2,2)="07","경북",MID(K3329,2,2)="08","경남",MID(K3329,2,2)="09","강원",MID(K3329,2,2)="10","제주",TRUE,"국외")</f>
        <v>경남</v>
      </c>
    </row>
    <row r="3330" spans="1:12" ht="17.25" thickBot="1">
      <c r="A3330" s="3" t="s">
        <v>3222</v>
      </c>
      <c r="B3330" s="3" t="s">
        <v>335</v>
      </c>
      <c r="C3330" s="3"/>
      <c r="D3330" s="4" t="s">
        <v>2710</v>
      </c>
      <c r="E3330" s="4" t="s">
        <v>9</v>
      </c>
      <c r="F3330" s="4">
        <v>1993</v>
      </c>
      <c r="G3330" s="9"/>
      <c r="H3330" s="4" t="s">
        <v>9</v>
      </c>
      <c r="I3330" s="8">
        <v>0.1</v>
      </c>
      <c r="J3330" s="3">
        <f>1766</f>
        <v>1766</v>
      </c>
      <c r="K3330" s="3">
        <v>50804</v>
      </c>
      <c r="L3330" s="17" t="str" cm="1">
        <f t="array" ref="L3330">_xlfn.IFS(MID(K3330,2,2)="01", "서울", MID(K3330,2,2)="02","경기",MID(K3330,2,2)="03","충청",MID(K3330,2,2)="04","충청",MID(K3330,2,2)="05","전라",MID(K3330,2,2)="06","전라",MID(K3330,2,2)="07","경북",MID(K3330,2,2)="08","경남",MID(K3330,2,2)="09","강원",MID(K3330,2,2)="10","제주",TRUE,"국외")</f>
        <v>경남</v>
      </c>
    </row>
    <row r="3331" spans="1:12" ht="17.25" thickBot="1">
      <c r="A3331" s="3" t="s">
        <v>3223</v>
      </c>
      <c r="B3331" s="3" t="s">
        <v>158</v>
      </c>
      <c r="C3331" s="3"/>
      <c r="D3331" s="4" t="s">
        <v>2710</v>
      </c>
      <c r="E3331" s="4" t="s">
        <v>2661</v>
      </c>
      <c r="F3331" s="4">
        <v>1994</v>
      </c>
      <c r="G3331" s="9"/>
      <c r="H3331" s="4" t="s">
        <v>607</v>
      </c>
      <c r="I3331" s="8">
        <v>-1.6</v>
      </c>
      <c r="J3331" s="3">
        <f>1838</f>
        <v>1838</v>
      </c>
      <c r="K3331" s="3">
        <v>50501</v>
      </c>
      <c r="L3331" s="17" t="str" cm="1">
        <f t="array" ref="L3331">_xlfn.IFS(MID(K3331,2,2)="01", "서울", MID(K3331,2,2)="02","경기",MID(K3331,2,2)="03","충청",MID(K3331,2,2)="04","충청",MID(K3331,2,2)="05","전라",MID(K3331,2,2)="06","전라",MID(K3331,2,2)="07","경북",MID(K3331,2,2)="08","경남",MID(K3331,2,2)="09","강원",MID(K3331,2,2)="10","제주",TRUE,"국외")</f>
        <v>전라</v>
      </c>
    </row>
    <row r="3332" spans="1:12" ht="17.25" thickBot="1">
      <c r="A3332" s="3" t="s">
        <v>3224</v>
      </c>
      <c r="B3332" s="3" t="s">
        <v>158</v>
      </c>
      <c r="C3332" s="3" t="s">
        <v>346</v>
      </c>
      <c r="D3332" s="4" t="s">
        <v>2710</v>
      </c>
      <c r="E3332" s="4" t="s">
        <v>2661</v>
      </c>
      <c r="F3332" s="4">
        <v>1993</v>
      </c>
      <c r="G3332" s="9"/>
      <c r="H3332" s="4" t="s">
        <v>2661</v>
      </c>
      <c r="I3332" s="8">
        <v>-0.1</v>
      </c>
      <c r="J3332" s="3">
        <f>1725</f>
        <v>1725</v>
      </c>
      <c r="K3332" s="3">
        <v>50501</v>
      </c>
      <c r="L3332" s="17" t="str" cm="1">
        <f t="array" ref="L3332">_xlfn.IFS(MID(K3332,2,2)="01", "서울", MID(K3332,2,2)="02","경기",MID(K3332,2,2)="03","충청",MID(K3332,2,2)="04","충청",MID(K3332,2,2)="05","전라",MID(K3332,2,2)="06","전라",MID(K3332,2,2)="07","경북",MID(K3332,2,2)="08","경남",MID(K3332,2,2)="09","강원",MID(K3332,2,2)="10","제주",TRUE,"국외")</f>
        <v>전라</v>
      </c>
    </row>
    <row r="3333" spans="1:12" ht="17.25" thickBot="1">
      <c r="A3333" s="3" t="s">
        <v>3225</v>
      </c>
      <c r="B3333" s="3" t="s">
        <v>38</v>
      </c>
      <c r="C3333" s="3" t="s">
        <v>208</v>
      </c>
      <c r="D3333" s="4" t="s">
        <v>243</v>
      </c>
      <c r="E3333" s="4" t="s">
        <v>20</v>
      </c>
      <c r="F3333" s="4">
        <v>1991</v>
      </c>
      <c r="G3333" s="8">
        <v>0.2</v>
      </c>
      <c r="H3333" s="4" t="s">
        <v>20</v>
      </c>
      <c r="I3333" s="8">
        <v>10.5</v>
      </c>
      <c r="J3333" s="3">
        <f>1589</f>
        <v>1589</v>
      </c>
      <c r="K3333" s="3">
        <v>50109</v>
      </c>
      <c r="L3333" s="17" t="str" cm="1">
        <f t="array" ref="L3333">_xlfn.IFS(MID(K3333,2,2)="01", "서울", MID(K3333,2,2)="02","경기",MID(K3333,2,2)="03","충청",MID(K3333,2,2)="04","충청",MID(K3333,2,2)="05","전라",MID(K3333,2,2)="06","전라",MID(K3333,2,2)="07","경북",MID(K3333,2,2)="08","경남",MID(K3333,2,2)="09","강원",MID(K3333,2,2)="10","제주",TRUE,"국외")</f>
        <v>서울</v>
      </c>
    </row>
    <row r="3334" spans="1:12" ht="17.25" thickBot="1">
      <c r="A3334" s="3" t="s">
        <v>3226</v>
      </c>
      <c r="B3334" s="3" t="s">
        <v>70</v>
      </c>
      <c r="C3334" s="3" t="s">
        <v>739</v>
      </c>
      <c r="D3334" s="4" t="s">
        <v>243</v>
      </c>
      <c r="E3334" s="4" t="s">
        <v>2725</v>
      </c>
      <c r="F3334" s="4">
        <v>1993</v>
      </c>
      <c r="G3334" s="9"/>
      <c r="H3334" s="4" t="s">
        <v>2725</v>
      </c>
      <c r="I3334" s="8">
        <v>-1.7</v>
      </c>
      <c r="J3334" s="3">
        <f>1760</f>
        <v>1760</v>
      </c>
      <c r="K3334" s="3">
        <v>50103</v>
      </c>
      <c r="L3334" s="17" t="str" cm="1">
        <f t="array" ref="L3334">_xlfn.IFS(MID(K3334,2,2)="01", "서울", MID(K3334,2,2)="02","경기",MID(K3334,2,2)="03","충청",MID(K3334,2,2)="04","충청",MID(K3334,2,2)="05","전라",MID(K3334,2,2)="06","전라",MID(K3334,2,2)="07","경북",MID(K3334,2,2)="08","경남",MID(K3334,2,2)="09","강원",MID(K3334,2,2)="10","제주",TRUE,"국외")</f>
        <v>서울</v>
      </c>
    </row>
    <row r="3335" spans="1:12" ht="17.25" thickBot="1">
      <c r="A3335" s="3" t="s">
        <v>2352</v>
      </c>
      <c r="B3335" s="3" t="s">
        <v>2470</v>
      </c>
      <c r="C3335" s="3" t="s">
        <v>329</v>
      </c>
      <c r="D3335" s="4" t="s">
        <v>243</v>
      </c>
      <c r="E3335" s="4" t="s">
        <v>9</v>
      </c>
      <c r="F3335" s="4">
        <v>1991</v>
      </c>
      <c r="G3335" s="8">
        <v>4.2</v>
      </c>
      <c r="H3335" s="4" t="s">
        <v>9</v>
      </c>
      <c r="I3335" s="8">
        <v>32.299999999999997</v>
      </c>
      <c r="J3335" s="3">
        <f>1561</f>
        <v>1561</v>
      </c>
      <c r="K3335" s="3">
        <v>50813</v>
      </c>
      <c r="L3335" s="17" t="str" cm="1">
        <f t="array" ref="L3335">_xlfn.IFS(MID(K3335,2,2)="01", "서울", MID(K3335,2,2)="02","경기",MID(K3335,2,2)="03","충청",MID(K3335,2,2)="04","충청",MID(K3335,2,2)="05","전라",MID(K3335,2,2)="06","전라",MID(K3335,2,2)="07","경북",MID(K3335,2,2)="08","경남",MID(K3335,2,2)="09","강원",MID(K3335,2,2)="10","제주",TRUE,"국외")</f>
        <v>경남</v>
      </c>
    </row>
    <row r="3336" spans="1:12" ht="17.25" thickBot="1">
      <c r="A3336" s="3" t="s">
        <v>3227</v>
      </c>
      <c r="B3336" s="3" t="s">
        <v>25</v>
      </c>
      <c r="C3336" s="3" t="s">
        <v>119</v>
      </c>
      <c r="D3336" s="4" t="s">
        <v>243</v>
      </c>
      <c r="E3336" s="4" t="s">
        <v>3101</v>
      </c>
      <c r="F3336" s="4">
        <v>1991</v>
      </c>
      <c r="G3336" s="8">
        <v>0</v>
      </c>
      <c r="H3336" s="4" t="s">
        <v>607</v>
      </c>
      <c r="I3336" s="8">
        <v>2</v>
      </c>
      <c r="J3336" s="3">
        <f>1563</f>
        <v>1563</v>
      </c>
      <c r="K3336" s="3">
        <v>50403</v>
      </c>
      <c r="L3336" s="17" t="str" cm="1">
        <f t="array" ref="L3336">_xlfn.IFS(MID(K3336,2,2)="01", "서울", MID(K3336,2,2)="02","경기",MID(K3336,2,2)="03","충청",MID(K3336,2,2)="04","충청",MID(K3336,2,2)="05","전라",MID(K3336,2,2)="06","전라",MID(K3336,2,2)="07","경북",MID(K3336,2,2)="08","경남",MID(K3336,2,2)="09","강원",MID(K3336,2,2)="10","제주",TRUE,"국외")</f>
        <v>충청</v>
      </c>
    </row>
    <row r="3337" spans="1:12" ht="17.25" thickBot="1">
      <c r="A3337" s="3" t="s">
        <v>3228</v>
      </c>
      <c r="B3337" s="3" t="s">
        <v>158</v>
      </c>
      <c r="C3337" s="3" t="s">
        <v>83</v>
      </c>
      <c r="D3337" s="4" t="s">
        <v>243</v>
      </c>
      <c r="E3337" s="4" t="s">
        <v>2661</v>
      </c>
      <c r="F3337" s="4">
        <v>1991</v>
      </c>
      <c r="G3337" s="8">
        <v>11</v>
      </c>
      <c r="H3337" s="4" t="s">
        <v>2661</v>
      </c>
      <c r="I3337" s="8">
        <v>45.2</v>
      </c>
      <c r="J3337" s="3">
        <f>1608</f>
        <v>1608</v>
      </c>
      <c r="K3337" s="3">
        <v>50501</v>
      </c>
      <c r="L3337" s="17" t="str" cm="1">
        <f t="array" ref="L3337">_xlfn.IFS(MID(K3337,2,2)="01", "서울", MID(K3337,2,2)="02","경기",MID(K3337,2,2)="03","충청",MID(K3337,2,2)="04","충청",MID(K3337,2,2)="05","전라",MID(K3337,2,2)="06","전라",MID(K3337,2,2)="07","경북",MID(K3337,2,2)="08","경남",MID(K3337,2,2)="09","강원",MID(K3337,2,2)="10","제주",TRUE,"국외")</f>
        <v>전라</v>
      </c>
    </row>
    <row r="3338" spans="1:12" ht="17.25" thickBot="1">
      <c r="A3338" s="3" t="s">
        <v>3229</v>
      </c>
      <c r="B3338" s="3" t="s">
        <v>147</v>
      </c>
      <c r="C3338" s="3" t="s">
        <v>329</v>
      </c>
      <c r="D3338" s="4" t="s">
        <v>243</v>
      </c>
      <c r="E3338" s="4" t="s">
        <v>2968</v>
      </c>
      <c r="F3338" s="4">
        <v>1991</v>
      </c>
      <c r="G3338" s="8">
        <v>-0.4</v>
      </c>
      <c r="H3338" s="4" t="s">
        <v>20</v>
      </c>
      <c r="I3338" s="8">
        <v>1</v>
      </c>
      <c r="J3338" s="3">
        <v>11435</v>
      </c>
      <c r="K3338" s="3">
        <v>50208</v>
      </c>
      <c r="L3338" s="17" t="str" cm="1">
        <f t="array" ref="L3338">_xlfn.IFS(MID(K3338,2,2)="01", "서울", MID(K3338,2,2)="02","경기",MID(K3338,2,2)="03","충청",MID(K3338,2,2)="04","충청",MID(K3338,2,2)="05","전라",MID(K3338,2,2)="06","전라",MID(K3338,2,2)="07","경북",MID(K3338,2,2)="08","경남",MID(K3338,2,2)="09","강원",MID(K3338,2,2)="10","제주",TRUE,"국외")</f>
        <v>경기</v>
      </c>
    </row>
    <row r="3339" spans="1:12" ht="17.25" thickBot="1">
      <c r="A3339" s="3" t="s">
        <v>3230</v>
      </c>
      <c r="B3339" s="3" t="s">
        <v>121</v>
      </c>
      <c r="C3339" s="3" t="s">
        <v>739</v>
      </c>
      <c r="D3339" s="4" t="s">
        <v>243</v>
      </c>
      <c r="E3339" s="4" t="s">
        <v>2523</v>
      </c>
      <c r="F3339" s="4">
        <v>1991</v>
      </c>
      <c r="G3339" s="8">
        <v>-0.3</v>
      </c>
      <c r="H3339" s="4" t="s">
        <v>20</v>
      </c>
      <c r="I3339" s="8">
        <v>0.5</v>
      </c>
      <c r="J3339" s="3">
        <f>1636</f>
        <v>1636</v>
      </c>
      <c r="K3339" s="3">
        <v>50604</v>
      </c>
      <c r="L3339" s="17" t="str" cm="1">
        <f t="array" ref="L3339">_xlfn.IFS(MID(K3339,2,2)="01", "서울", MID(K3339,2,2)="02","경기",MID(K3339,2,2)="03","충청",MID(K3339,2,2)="04","충청",MID(K3339,2,2)="05","전라",MID(K3339,2,2)="06","전라",MID(K3339,2,2)="07","경북",MID(K3339,2,2)="08","경남",MID(K3339,2,2)="09","강원",MID(K3339,2,2)="10","제주",TRUE,"국외")</f>
        <v>전라</v>
      </c>
    </row>
    <row r="3340" spans="1:12" ht="17.25" thickBot="1">
      <c r="A3340" s="3" t="s">
        <v>494</v>
      </c>
      <c r="B3340" s="3" t="s">
        <v>34</v>
      </c>
      <c r="C3340" s="3" t="s">
        <v>133</v>
      </c>
      <c r="D3340" s="4" t="s">
        <v>243</v>
      </c>
      <c r="E3340" s="4" t="s">
        <v>23</v>
      </c>
      <c r="F3340" s="4">
        <v>1991</v>
      </c>
      <c r="G3340" s="8">
        <v>0</v>
      </c>
      <c r="H3340" s="4" t="s">
        <v>23</v>
      </c>
      <c r="I3340" s="8">
        <v>-0.2</v>
      </c>
      <c r="J3340" s="3">
        <v>11434</v>
      </c>
      <c r="K3340" s="3">
        <v>50701</v>
      </c>
      <c r="L3340" s="17" t="str" cm="1">
        <f t="array" ref="L3340">_xlfn.IFS(MID(K3340,2,2)="01", "서울", MID(K3340,2,2)="02","경기",MID(K3340,2,2)="03","충청",MID(K3340,2,2)="04","충청",MID(K3340,2,2)="05","전라",MID(K3340,2,2)="06","전라",MID(K3340,2,2)="07","경북",MID(K3340,2,2)="08","경남",MID(K3340,2,2)="09","강원",MID(K3340,2,2)="10","제주",TRUE,"국외")</f>
        <v>경북</v>
      </c>
    </row>
    <row r="3341" spans="1:12" ht="17.25" thickBot="1">
      <c r="A3341" s="3" t="s">
        <v>3231</v>
      </c>
      <c r="B3341" s="3" t="s">
        <v>1</v>
      </c>
      <c r="C3341" s="3" t="s">
        <v>208</v>
      </c>
      <c r="D3341" s="4" t="s">
        <v>254</v>
      </c>
      <c r="E3341" s="4" t="s">
        <v>20</v>
      </c>
      <c r="F3341" s="4">
        <v>1991</v>
      </c>
      <c r="G3341" s="8">
        <v>-0.1</v>
      </c>
      <c r="H3341" s="4" t="s">
        <v>20</v>
      </c>
      <c r="I3341" s="8">
        <v>-0.1</v>
      </c>
      <c r="J3341" s="3">
        <f>1639</f>
        <v>1639</v>
      </c>
      <c r="K3341" s="3">
        <v>50107</v>
      </c>
      <c r="L3341" s="17" t="str" cm="1">
        <f t="array" ref="L3341">_xlfn.IFS(MID(K3341,2,2)="01", "서울", MID(K3341,2,2)="02","경기",MID(K3341,2,2)="03","충청",MID(K3341,2,2)="04","충청",MID(K3341,2,2)="05","전라",MID(K3341,2,2)="06","전라",MID(K3341,2,2)="07","경북",MID(K3341,2,2)="08","경남",MID(K3341,2,2)="09","강원",MID(K3341,2,2)="10","제주",TRUE,"국외")</f>
        <v>서울</v>
      </c>
    </row>
    <row r="3342" spans="1:12" ht="17.25" thickBot="1">
      <c r="A3342" s="3" t="s">
        <v>3232</v>
      </c>
      <c r="B3342" s="3" t="s">
        <v>78</v>
      </c>
      <c r="C3342" s="3" t="s">
        <v>119</v>
      </c>
      <c r="D3342" s="4" t="s">
        <v>254</v>
      </c>
      <c r="E3342" s="4" t="s">
        <v>2725</v>
      </c>
      <c r="F3342" s="4">
        <v>1991</v>
      </c>
      <c r="G3342" s="8">
        <v>-0.8</v>
      </c>
      <c r="H3342" s="4" t="s">
        <v>2725</v>
      </c>
      <c r="I3342" s="8">
        <v>-0.1</v>
      </c>
      <c r="J3342" s="3">
        <f>1627</f>
        <v>1627</v>
      </c>
      <c r="K3342" s="3">
        <v>50401</v>
      </c>
      <c r="L3342" s="17" t="str" cm="1">
        <f t="array" ref="L3342">_xlfn.IFS(MID(K3342,2,2)="01", "서울", MID(K3342,2,2)="02","경기",MID(K3342,2,2)="03","충청",MID(K3342,2,2)="04","충청",MID(K3342,2,2)="05","전라",MID(K3342,2,2)="06","전라",MID(K3342,2,2)="07","경북",MID(K3342,2,2)="08","경남",MID(K3342,2,2)="09","강원",MID(K3342,2,2)="10","제주",TRUE,"국외")</f>
        <v>충청</v>
      </c>
    </row>
    <row r="3343" spans="1:12" ht="17.25" thickBot="1">
      <c r="A3343" s="3" t="s">
        <v>3233</v>
      </c>
      <c r="B3343" s="3" t="s">
        <v>176</v>
      </c>
      <c r="C3343" s="3" t="s">
        <v>329</v>
      </c>
      <c r="D3343" s="4" t="s">
        <v>254</v>
      </c>
      <c r="E3343" s="4" t="s">
        <v>9</v>
      </c>
      <c r="F3343" s="4">
        <v>1991</v>
      </c>
      <c r="G3343" s="8">
        <v>-0.5</v>
      </c>
      <c r="H3343" s="4" t="s">
        <v>9</v>
      </c>
      <c r="I3343" s="8">
        <v>7</v>
      </c>
      <c r="J3343" s="3">
        <f>1628</f>
        <v>1628</v>
      </c>
      <c r="K3343" s="3">
        <v>50302</v>
      </c>
      <c r="L3343" s="17" t="str" cm="1">
        <f t="array" ref="L3343">_xlfn.IFS(MID(K3343,2,2)="01", "서울", MID(K3343,2,2)="02","경기",MID(K3343,2,2)="03","충청",MID(K3343,2,2)="04","충청",MID(K3343,2,2)="05","전라",MID(K3343,2,2)="06","전라",MID(K3343,2,2)="07","경북",MID(K3343,2,2)="08","경남",MID(K3343,2,2)="09","강원",MID(K3343,2,2)="10","제주",TRUE,"국외")</f>
        <v>충청</v>
      </c>
    </row>
    <row r="3344" spans="1:12" ht="17.25" thickBot="1">
      <c r="A3344" s="3" t="s">
        <v>3234</v>
      </c>
      <c r="B3344" s="3" t="s">
        <v>121</v>
      </c>
      <c r="C3344" s="3" t="s">
        <v>208</v>
      </c>
      <c r="D3344" s="4" t="s">
        <v>254</v>
      </c>
      <c r="E3344" s="4" t="s">
        <v>3101</v>
      </c>
      <c r="F3344" s="4">
        <v>1991</v>
      </c>
      <c r="G3344" s="8">
        <v>4.2</v>
      </c>
      <c r="H3344" s="4" t="s">
        <v>3101</v>
      </c>
      <c r="I3344" s="8">
        <v>1.5</v>
      </c>
      <c r="J3344" s="3">
        <f>1609</f>
        <v>1609</v>
      </c>
      <c r="K3344" s="3">
        <v>50604</v>
      </c>
      <c r="L3344" s="17" t="str" cm="1">
        <f t="array" ref="L3344">_xlfn.IFS(MID(K3344,2,2)="01", "서울", MID(K3344,2,2)="02","경기",MID(K3344,2,2)="03","충청",MID(K3344,2,2)="04","충청",MID(K3344,2,2)="05","전라",MID(K3344,2,2)="06","전라",MID(K3344,2,2)="07","경북",MID(K3344,2,2)="08","경남",MID(K3344,2,2)="09","강원",MID(K3344,2,2)="10","제주",TRUE,"국외")</f>
        <v>전라</v>
      </c>
    </row>
    <row r="3345" spans="1:12" ht="17.25" thickBot="1">
      <c r="A3345" s="3" t="s">
        <v>3235</v>
      </c>
      <c r="B3345" s="3" t="s">
        <v>22</v>
      </c>
      <c r="C3345" s="3" t="s">
        <v>133</v>
      </c>
      <c r="D3345" s="4" t="s">
        <v>254</v>
      </c>
      <c r="E3345" s="4" t="s">
        <v>23</v>
      </c>
      <c r="F3345" s="4">
        <v>1991</v>
      </c>
      <c r="G3345" s="8">
        <v>0.6</v>
      </c>
      <c r="H3345" s="4" t="s">
        <v>23</v>
      </c>
      <c r="I3345" s="8">
        <v>-0.7</v>
      </c>
      <c r="J3345" s="3">
        <f>1567</f>
        <v>1567</v>
      </c>
      <c r="K3345" s="3">
        <v>50209</v>
      </c>
      <c r="L3345" s="17" t="str" cm="1">
        <f t="array" ref="L3345">_xlfn.IFS(MID(K3345,2,2)="01", "서울", MID(K3345,2,2)="02","경기",MID(K3345,2,2)="03","충청",MID(K3345,2,2)="04","충청",MID(K3345,2,2)="05","전라",MID(K3345,2,2)="06","전라",MID(K3345,2,2)="07","경북",MID(K3345,2,2)="08","경남",MID(K3345,2,2)="09","강원",MID(K3345,2,2)="10","제주",TRUE,"국외")</f>
        <v>경기</v>
      </c>
    </row>
    <row r="3346" spans="1:12" ht="17.25" thickBot="1">
      <c r="A3346" s="3" t="s">
        <v>2141</v>
      </c>
      <c r="B3346" s="3"/>
      <c r="C3346" s="3" t="s">
        <v>538</v>
      </c>
      <c r="D3346" s="4" t="s">
        <v>254</v>
      </c>
      <c r="E3346" s="4" t="s">
        <v>2661</v>
      </c>
      <c r="F3346" s="4">
        <v>1991</v>
      </c>
      <c r="G3346" s="9"/>
      <c r="H3346" s="4" t="s">
        <v>9</v>
      </c>
      <c r="I3346" s="8">
        <v>0.4</v>
      </c>
      <c r="J3346" s="3">
        <f>1617</f>
        <v>1617</v>
      </c>
      <c r="K3346" s="3"/>
      <c r="L3346" s="17" t="str" cm="1">
        <f t="array" ref="L3346">_xlfn.IFS(MID(K3346,2,2)="01", "서울", MID(K3346,2,2)="02","경기",MID(K3346,2,2)="03","충청",MID(K3346,2,2)="04","충청",MID(K3346,2,2)="05","전라",MID(K3346,2,2)="06","전라",MID(K3346,2,2)="07","경북",MID(K3346,2,2)="08","경남",MID(K3346,2,2)="09","강원",MID(K3346,2,2)="10","제주",TRUE,"국외")</f>
        <v>국외</v>
      </c>
    </row>
    <row r="3347" spans="1:12" ht="17.25" thickBot="1">
      <c r="A3347" s="3" t="s">
        <v>3236</v>
      </c>
      <c r="B3347" s="3" t="s">
        <v>107</v>
      </c>
      <c r="C3347" s="3" t="s">
        <v>45</v>
      </c>
      <c r="D3347" s="4" t="s">
        <v>254</v>
      </c>
      <c r="E3347" s="4" t="s">
        <v>2968</v>
      </c>
      <c r="F3347" s="4">
        <v>1991</v>
      </c>
      <c r="G3347" s="8">
        <v>0</v>
      </c>
      <c r="H3347" s="4" t="s">
        <v>2968</v>
      </c>
      <c r="I3347" s="8">
        <v>2.1</v>
      </c>
      <c r="J3347" s="3">
        <v>11468</v>
      </c>
      <c r="K3347" s="3">
        <v>50602</v>
      </c>
      <c r="L3347" s="17" t="str" cm="1">
        <f t="array" ref="L3347">_xlfn.IFS(MID(K3347,2,2)="01", "서울", MID(K3347,2,2)="02","경기",MID(K3347,2,2)="03","충청",MID(K3347,2,2)="04","충청",MID(K3347,2,2)="05","전라",MID(K3347,2,2)="06","전라",MID(K3347,2,2)="07","경북",MID(K3347,2,2)="08","경남",MID(K3347,2,2)="09","강원",MID(K3347,2,2)="10","제주",TRUE,"국외")</f>
        <v>전라</v>
      </c>
    </row>
    <row r="3348" spans="1:12" ht="17.25" thickBot="1">
      <c r="A3348" s="3" t="s">
        <v>3237</v>
      </c>
      <c r="B3348" s="3" t="s">
        <v>93</v>
      </c>
      <c r="C3348" s="3" t="s">
        <v>739</v>
      </c>
      <c r="D3348" s="4" t="s">
        <v>254</v>
      </c>
      <c r="E3348" s="4" t="s">
        <v>2523</v>
      </c>
      <c r="F3348" s="4">
        <v>1991</v>
      </c>
      <c r="G3348" s="8">
        <v>-0.2</v>
      </c>
      <c r="H3348" s="4" t="s">
        <v>2523</v>
      </c>
      <c r="I3348" s="8">
        <v>-0.2</v>
      </c>
      <c r="J3348" s="3">
        <f>1596</f>
        <v>1596</v>
      </c>
      <c r="K3348" s="3">
        <v>50805</v>
      </c>
      <c r="L3348" s="17" t="str" cm="1">
        <f t="array" ref="L3348">_xlfn.IFS(MID(K3348,2,2)="01", "서울", MID(K3348,2,2)="02","경기",MID(K3348,2,2)="03","충청",MID(K3348,2,2)="04","충청",MID(K3348,2,2)="05","전라",MID(K3348,2,2)="06","전라",MID(K3348,2,2)="07","경북",MID(K3348,2,2)="08","경남",MID(K3348,2,2)="09","강원",MID(K3348,2,2)="10","제주",TRUE,"국외")</f>
        <v>경남</v>
      </c>
    </row>
    <row r="3349" spans="1:12" ht="17.25" thickBot="1">
      <c r="A3349" s="3" t="s">
        <v>3238</v>
      </c>
      <c r="B3349" s="3" t="s">
        <v>52</v>
      </c>
      <c r="C3349" s="3" t="s">
        <v>83</v>
      </c>
      <c r="D3349" s="4" t="s">
        <v>254</v>
      </c>
      <c r="E3349" s="4" t="s">
        <v>20</v>
      </c>
      <c r="F3349" s="4">
        <v>1991</v>
      </c>
      <c r="G3349" s="8">
        <v>-0.4</v>
      </c>
      <c r="H3349" s="4" t="s">
        <v>20</v>
      </c>
      <c r="I3349" s="8">
        <v>-0.6</v>
      </c>
      <c r="J3349" s="3">
        <f>1570</f>
        <v>1570</v>
      </c>
      <c r="K3349" s="3">
        <v>50803</v>
      </c>
      <c r="L3349" s="17" t="str" cm="1">
        <f t="array" ref="L3349">_xlfn.IFS(MID(K3349,2,2)="01", "서울", MID(K3349,2,2)="02","경기",MID(K3349,2,2)="03","충청",MID(K3349,2,2)="04","충청",MID(K3349,2,2)="05","전라",MID(K3349,2,2)="06","전라",MID(K3349,2,2)="07","경북",MID(K3349,2,2)="08","경남",MID(K3349,2,2)="09","강원",MID(K3349,2,2)="10","제주",TRUE,"국외")</f>
        <v>경남</v>
      </c>
    </row>
    <row r="3350" spans="1:12" ht="17.25" thickBot="1">
      <c r="A3350" s="3" t="s">
        <v>3239</v>
      </c>
      <c r="B3350" s="3" t="s">
        <v>2351</v>
      </c>
      <c r="C3350" s="3" t="s">
        <v>122</v>
      </c>
      <c r="D3350" s="4" t="s">
        <v>254</v>
      </c>
      <c r="E3350" s="4" t="s">
        <v>2725</v>
      </c>
      <c r="F3350" s="4">
        <v>1993</v>
      </c>
      <c r="G3350" s="9"/>
      <c r="H3350" s="4" t="s">
        <v>2661</v>
      </c>
      <c r="I3350" s="8">
        <v>-2.1</v>
      </c>
      <c r="J3350" s="3">
        <f>1772</f>
        <v>1772</v>
      </c>
      <c r="K3350" s="3">
        <v>50609</v>
      </c>
      <c r="L3350" s="17" t="str" cm="1">
        <f t="array" ref="L3350">_xlfn.IFS(MID(K3350,2,2)="01", "서울", MID(K3350,2,2)="02","경기",MID(K3350,2,2)="03","충청",MID(K3350,2,2)="04","충청",MID(K3350,2,2)="05","전라",MID(K3350,2,2)="06","전라",MID(K3350,2,2)="07","경북",MID(K3350,2,2)="08","경남",MID(K3350,2,2)="09","강원",MID(K3350,2,2)="10","제주",TRUE,"국외")</f>
        <v>전라</v>
      </c>
    </row>
    <row r="3351" spans="1:12" ht="17.25" thickBot="1">
      <c r="A3351" s="3" t="s">
        <v>1134</v>
      </c>
      <c r="B3351" s="3" t="s">
        <v>52</v>
      </c>
      <c r="C3351" s="3" t="s">
        <v>538</v>
      </c>
      <c r="D3351" s="4" t="s">
        <v>254</v>
      </c>
      <c r="E3351" s="4" t="s">
        <v>9</v>
      </c>
      <c r="F3351" s="4">
        <v>1991</v>
      </c>
      <c r="G3351" s="8">
        <v>3.3</v>
      </c>
      <c r="H3351" s="4" t="s">
        <v>2164</v>
      </c>
      <c r="I3351" s="8">
        <v>56.1</v>
      </c>
      <c r="J3351" s="3">
        <v>10418</v>
      </c>
      <c r="K3351" s="3">
        <v>50803</v>
      </c>
      <c r="L3351" s="17" t="str" cm="1">
        <f t="array" ref="L3351">_xlfn.IFS(MID(K3351,2,2)="01", "서울", MID(K3351,2,2)="02","경기",MID(K3351,2,2)="03","충청",MID(K3351,2,2)="04","충청",MID(K3351,2,2)="05","전라",MID(K3351,2,2)="06","전라",MID(K3351,2,2)="07","경북",MID(K3351,2,2)="08","경남",MID(K3351,2,2)="09","강원",MID(K3351,2,2)="10","제주",TRUE,"국외")</f>
        <v>경남</v>
      </c>
    </row>
    <row r="3352" spans="1:12" ht="17.25" thickBot="1">
      <c r="A3352" s="3" t="s">
        <v>3240</v>
      </c>
      <c r="B3352" s="3" t="s">
        <v>2470</v>
      </c>
      <c r="C3352" s="3" t="s">
        <v>329</v>
      </c>
      <c r="D3352" s="4" t="s">
        <v>254</v>
      </c>
      <c r="E3352" s="4" t="s">
        <v>3101</v>
      </c>
      <c r="F3352" s="4">
        <v>1991</v>
      </c>
      <c r="G3352" s="8">
        <v>0</v>
      </c>
      <c r="H3352" s="4" t="s">
        <v>3</v>
      </c>
      <c r="I3352" s="8">
        <v>3.8</v>
      </c>
      <c r="J3352" s="3">
        <f>1566</f>
        <v>1566</v>
      </c>
      <c r="K3352" s="3">
        <v>50813</v>
      </c>
      <c r="L3352" s="17" t="str" cm="1">
        <f t="array" ref="L3352">_xlfn.IFS(MID(K3352,2,2)="01", "서울", MID(K3352,2,2)="02","경기",MID(K3352,2,2)="03","충청",MID(K3352,2,2)="04","충청",MID(K3352,2,2)="05","전라",MID(K3352,2,2)="06","전라",MID(K3352,2,2)="07","경북",MID(K3352,2,2)="08","경남",MID(K3352,2,2)="09","강원",MID(K3352,2,2)="10","제주",TRUE,"국외")</f>
        <v>경남</v>
      </c>
    </row>
    <row r="3353" spans="1:12" ht="17.25" thickBot="1">
      <c r="A3353" s="3" t="s">
        <v>3241</v>
      </c>
      <c r="B3353" s="3" t="s">
        <v>241</v>
      </c>
      <c r="C3353" s="3" t="s">
        <v>221</v>
      </c>
      <c r="D3353" s="4" t="s">
        <v>254</v>
      </c>
      <c r="E3353" s="4" t="s">
        <v>2661</v>
      </c>
      <c r="F3353" s="4">
        <v>1991</v>
      </c>
      <c r="G3353" s="8">
        <v>0.3</v>
      </c>
      <c r="H3353" s="4" t="s">
        <v>2661</v>
      </c>
      <c r="I3353" s="8">
        <v>-0.6</v>
      </c>
      <c r="J3353" s="3">
        <v>11436</v>
      </c>
      <c r="K3353" s="3">
        <v>50202</v>
      </c>
      <c r="L3353" s="17" t="str" cm="1">
        <f t="array" ref="L3353">_xlfn.IFS(MID(K3353,2,2)="01", "서울", MID(K3353,2,2)="02","경기",MID(K3353,2,2)="03","충청",MID(K3353,2,2)="04","충청",MID(K3353,2,2)="05","전라",MID(K3353,2,2)="06","전라",MID(K3353,2,2)="07","경북",MID(K3353,2,2)="08","경남",MID(K3353,2,2)="09","강원",MID(K3353,2,2)="10","제주",TRUE,"국외")</f>
        <v>경기</v>
      </c>
    </row>
    <row r="3354" spans="1:12" ht="17.25" thickBot="1">
      <c r="A3354" s="3" t="s">
        <v>3242</v>
      </c>
      <c r="B3354" s="3" t="s">
        <v>22</v>
      </c>
      <c r="C3354" s="3" t="s">
        <v>45</v>
      </c>
      <c r="D3354" s="4" t="s">
        <v>254</v>
      </c>
      <c r="E3354" s="4" t="s">
        <v>2968</v>
      </c>
      <c r="F3354" s="4">
        <v>1991</v>
      </c>
      <c r="G3354" s="8">
        <v>0.2</v>
      </c>
      <c r="H3354" s="4" t="s">
        <v>2968</v>
      </c>
      <c r="I3354" s="8">
        <v>-0.3</v>
      </c>
      <c r="J3354" s="3">
        <f>1602</f>
        <v>1602</v>
      </c>
      <c r="K3354" s="3">
        <v>50209</v>
      </c>
      <c r="L3354" s="17" t="str" cm="1">
        <f t="array" ref="L3354">_xlfn.IFS(MID(K3354,2,2)="01", "서울", MID(K3354,2,2)="02","경기",MID(K3354,2,2)="03","충청",MID(K3354,2,2)="04","충청",MID(K3354,2,2)="05","전라",MID(K3354,2,2)="06","전라",MID(K3354,2,2)="07","경북",MID(K3354,2,2)="08","경남",MID(K3354,2,2)="09","강원",MID(K3354,2,2)="10","제주",TRUE,"국외")</f>
        <v>경기</v>
      </c>
    </row>
    <row r="3355" spans="1:12" ht="17.25" thickBot="1">
      <c r="A3355" s="3" t="s">
        <v>3243</v>
      </c>
      <c r="B3355" s="3" t="s">
        <v>5</v>
      </c>
      <c r="C3355" s="3" t="s">
        <v>538</v>
      </c>
      <c r="D3355" s="4" t="s">
        <v>254</v>
      </c>
      <c r="E3355" s="4" t="s">
        <v>20</v>
      </c>
      <c r="F3355" s="4">
        <v>1991</v>
      </c>
      <c r="G3355" s="8">
        <v>-0.4</v>
      </c>
      <c r="H3355" s="4" t="s">
        <v>20</v>
      </c>
      <c r="I3355" s="8">
        <v>-0.4</v>
      </c>
      <c r="J3355" s="3">
        <f>1583</f>
        <v>1583</v>
      </c>
      <c r="K3355" s="3">
        <v>50114</v>
      </c>
      <c r="L3355" s="17" t="str" cm="1">
        <f t="array" ref="L3355">_xlfn.IFS(MID(K3355,2,2)="01", "서울", MID(K3355,2,2)="02","경기",MID(K3355,2,2)="03","충청",MID(K3355,2,2)="04","충청",MID(K3355,2,2)="05","전라",MID(K3355,2,2)="06","전라",MID(K3355,2,2)="07","경북",MID(K3355,2,2)="08","경남",MID(K3355,2,2)="09","강원",MID(K3355,2,2)="10","제주",TRUE,"국외")</f>
        <v>서울</v>
      </c>
    </row>
    <row r="3356" spans="1:12" ht="17.25" thickBot="1">
      <c r="A3356" s="3" t="s">
        <v>3244</v>
      </c>
      <c r="B3356" s="3" t="s">
        <v>93</v>
      </c>
      <c r="C3356" s="3" t="s">
        <v>211</v>
      </c>
      <c r="D3356" s="4" t="s">
        <v>254</v>
      </c>
      <c r="E3356" s="4" t="s">
        <v>2725</v>
      </c>
      <c r="F3356" s="4">
        <v>1991</v>
      </c>
      <c r="G3356" s="8">
        <v>0</v>
      </c>
      <c r="H3356" s="4" t="s">
        <v>2725</v>
      </c>
      <c r="I3356" s="8">
        <v>-0.1</v>
      </c>
      <c r="J3356" s="3">
        <f>1616</f>
        <v>1616</v>
      </c>
      <c r="K3356" s="3">
        <v>50805</v>
      </c>
      <c r="L3356" s="17" t="str" cm="1">
        <f t="array" ref="L3356">_xlfn.IFS(MID(K3356,2,2)="01", "서울", MID(K3356,2,2)="02","경기",MID(K3356,2,2)="03","충청",MID(K3356,2,2)="04","충청",MID(K3356,2,2)="05","전라",MID(K3356,2,2)="06","전라",MID(K3356,2,2)="07","경북",MID(K3356,2,2)="08","경남",MID(K3356,2,2)="09","강원",MID(K3356,2,2)="10","제주",TRUE,"국외")</f>
        <v>경남</v>
      </c>
    </row>
    <row r="3357" spans="1:12" ht="17.25" thickBot="1">
      <c r="A3357" s="3" t="s">
        <v>3245</v>
      </c>
      <c r="B3357" s="3"/>
      <c r="C3357" s="3" t="s">
        <v>133</v>
      </c>
      <c r="D3357" s="4" t="s">
        <v>254</v>
      </c>
      <c r="E3357" s="4" t="s">
        <v>3101</v>
      </c>
      <c r="F3357" s="4">
        <v>1991</v>
      </c>
      <c r="G3357" s="8">
        <v>-1</v>
      </c>
      <c r="H3357" s="4" t="s">
        <v>3101</v>
      </c>
      <c r="I3357" s="8">
        <v>-1</v>
      </c>
      <c r="J3357" s="3">
        <f>1620</f>
        <v>1620</v>
      </c>
      <c r="K3357" s="3"/>
      <c r="L3357" s="17" t="str" cm="1">
        <f t="array" ref="L3357">_xlfn.IFS(MID(K3357,2,2)="01", "서울", MID(K3357,2,2)="02","경기",MID(K3357,2,2)="03","충청",MID(K3357,2,2)="04","충청",MID(K3357,2,2)="05","전라",MID(K3357,2,2)="06","전라",MID(K3357,2,2)="07","경북",MID(K3357,2,2)="08","경남",MID(K3357,2,2)="09","강원",MID(K3357,2,2)="10","제주",TRUE,"국외")</f>
        <v>국외</v>
      </c>
    </row>
    <row r="3358" spans="1:12" ht="17.25" thickBot="1">
      <c r="A3358" s="3" t="s">
        <v>3246</v>
      </c>
      <c r="B3358" s="3" t="s">
        <v>361</v>
      </c>
      <c r="C3358" s="3" t="s">
        <v>739</v>
      </c>
      <c r="D3358" s="4" t="s">
        <v>254</v>
      </c>
      <c r="E3358" s="4" t="s">
        <v>2661</v>
      </c>
      <c r="F3358" s="4">
        <v>1991</v>
      </c>
      <c r="G3358" s="8">
        <v>0.7</v>
      </c>
      <c r="H3358" s="4" t="s">
        <v>2661</v>
      </c>
      <c r="I3358" s="8">
        <v>17.399999999999999</v>
      </c>
      <c r="J3358" s="3">
        <f>1619</f>
        <v>1619</v>
      </c>
      <c r="K3358" s="3">
        <v>50121</v>
      </c>
      <c r="L3358" s="17" t="str" cm="1">
        <f t="array" ref="L3358">_xlfn.IFS(MID(K3358,2,2)="01", "서울", MID(K3358,2,2)="02","경기",MID(K3358,2,2)="03","충청",MID(K3358,2,2)="04","충청",MID(K3358,2,2)="05","전라",MID(K3358,2,2)="06","전라",MID(K3358,2,2)="07","경북",MID(K3358,2,2)="08","경남",MID(K3358,2,2)="09","강원",MID(K3358,2,2)="10","제주",TRUE,"국외")</f>
        <v>서울</v>
      </c>
    </row>
    <row r="3359" spans="1:12" ht="17.25" thickBot="1">
      <c r="A3359" s="3" t="s">
        <v>3247</v>
      </c>
      <c r="B3359" s="3" t="s">
        <v>5</v>
      </c>
      <c r="C3359" s="3" t="s">
        <v>133</v>
      </c>
      <c r="D3359" s="4" t="s">
        <v>254</v>
      </c>
      <c r="E3359" s="4" t="s">
        <v>2968</v>
      </c>
      <c r="F3359" s="4">
        <v>1991</v>
      </c>
      <c r="G3359" s="8">
        <v>-0.1</v>
      </c>
      <c r="H3359" s="4" t="s">
        <v>2164</v>
      </c>
      <c r="I3359" s="8">
        <v>-0.4</v>
      </c>
      <c r="J3359" s="3">
        <f>1587</f>
        <v>1587</v>
      </c>
      <c r="K3359" s="3">
        <v>50114</v>
      </c>
      <c r="L3359" s="17" t="str" cm="1">
        <f t="array" ref="L3359">_xlfn.IFS(MID(K3359,2,2)="01", "서울", MID(K3359,2,2)="02","경기",MID(K3359,2,2)="03","충청",MID(K3359,2,2)="04","충청",MID(K3359,2,2)="05","전라",MID(K3359,2,2)="06","전라",MID(K3359,2,2)="07","경북",MID(K3359,2,2)="08","경남",MID(K3359,2,2)="09","강원",MID(K3359,2,2)="10","제주",TRUE,"국외")</f>
        <v>서울</v>
      </c>
    </row>
    <row r="3360" spans="1:12" ht="17.25" thickBot="1">
      <c r="A3360" s="3" t="s">
        <v>3246</v>
      </c>
      <c r="B3360" s="3" t="s">
        <v>14</v>
      </c>
      <c r="C3360" s="3" t="s">
        <v>739</v>
      </c>
      <c r="D3360" s="4" t="s">
        <v>254</v>
      </c>
      <c r="E3360" s="4" t="s">
        <v>20</v>
      </c>
      <c r="F3360" s="4">
        <v>1991</v>
      </c>
      <c r="G3360" s="8">
        <v>-0.3</v>
      </c>
      <c r="H3360" s="4" t="s">
        <v>20</v>
      </c>
      <c r="I3360" s="8">
        <v>-2.9</v>
      </c>
      <c r="J3360" s="3">
        <f>1618</f>
        <v>1618</v>
      </c>
      <c r="K3360" s="3">
        <v>50703</v>
      </c>
      <c r="L3360" s="17" t="str" cm="1">
        <f t="array" ref="L3360">_xlfn.IFS(MID(K3360,2,2)="01", "서울", MID(K3360,2,2)="02","경기",MID(K3360,2,2)="03","충청",MID(K3360,2,2)="04","충청",MID(K3360,2,2)="05","전라",MID(K3360,2,2)="06","전라",MID(K3360,2,2)="07","경북",MID(K3360,2,2)="08","경남",MID(K3360,2,2)="09","강원",MID(K3360,2,2)="10","제주",TRUE,"국외")</f>
        <v>경북</v>
      </c>
    </row>
    <row r="3361" spans="1:12" ht="17.25" thickBot="1">
      <c r="A3361" s="3" t="s">
        <v>3248</v>
      </c>
      <c r="B3361" s="3" t="s">
        <v>36</v>
      </c>
      <c r="C3361" s="3" t="s">
        <v>119</v>
      </c>
      <c r="D3361" s="4" t="s">
        <v>254</v>
      </c>
      <c r="E3361" s="4" t="s">
        <v>3101</v>
      </c>
      <c r="F3361" s="4">
        <v>1991</v>
      </c>
      <c r="G3361" s="8">
        <v>-0.3</v>
      </c>
      <c r="H3361" s="4" t="s">
        <v>3101</v>
      </c>
      <c r="I3361" s="8">
        <v>-1</v>
      </c>
      <c r="J3361" s="3">
        <f>1562</f>
        <v>1562</v>
      </c>
      <c r="K3361" s="3">
        <v>50402</v>
      </c>
      <c r="L3361" s="17" t="str" cm="1">
        <f t="array" ref="L3361">_xlfn.IFS(MID(K3361,2,2)="01", "서울", MID(K3361,2,2)="02","경기",MID(K3361,2,2)="03","충청",MID(K3361,2,2)="04","충청",MID(K3361,2,2)="05","전라",MID(K3361,2,2)="06","전라",MID(K3361,2,2)="07","경북",MID(K3361,2,2)="08","경남",MID(K3361,2,2)="09","강원",MID(K3361,2,2)="10","제주",TRUE,"국외")</f>
        <v>충청</v>
      </c>
    </row>
    <row r="3362" spans="1:12" ht="17.25" thickBot="1">
      <c r="A3362" s="3" t="s">
        <v>3249</v>
      </c>
      <c r="B3362" s="3" t="s">
        <v>66</v>
      </c>
      <c r="C3362" s="3" t="s">
        <v>99</v>
      </c>
      <c r="D3362" s="4" t="s">
        <v>254</v>
      </c>
      <c r="E3362" s="4" t="s">
        <v>2661</v>
      </c>
      <c r="F3362" s="4">
        <v>1991</v>
      </c>
      <c r="G3362" s="8">
        <v>-0.2</v>
      </c>
      <c r="H3362" s="4" t="s">
        <v>2661</v>
      </c>
      <c r="I3362" s="8">
        <v>-0.2</v>
      </c>
      <c r="J3362" s="3">
        <f>1571</f>
        <v>1571</v>
      </c>
      <c r="K3362" s="3">
        <v>50110</v>
      </c>
      <c r="L3362" s="17" t="str" cm="1">
        <f t="array" ref="L3362">_xlfn.IFS(MID(K3362,2,2)="01", "서울", MID(K3362,2,2)="02","경기",MID(K3362,2,2)="03","충청",MID(K3362,2,2)="04","충청",MID(K3362,2,2)="05","전라",MID(K3362,2,2)="06","전라",MID(K3362,2,2)="07","경북",MID(K3362,2,2)="08","경남",MID(K3362,2,2)="09","강원",MID(K3362,2,2)="10","제주",TRUE,"국외")</f>
        <v>서울</v>
      </c>
    </row>
    <row r="3363" spans="1:12" ht="17.25" thickBot="1">
      <c r="A3363" s="3" t="s">
        <v>3250</v>
      </c>
      <c r="B3363" s="3" t="s">
        <v>52</v>
      </c>
      <c r="C3363" s="3" t="s">
        <v>119</v>
      </c>
      <c r="D3363" s="4" t="s">
        <v>254</v>
      </c>
      <c r="E3363" s="4" t="s">
        <v>2968</v>
      </c>
      <c r="F3363" s="4"/>
      <c r="G3363" s="9"/>
      <c r="H3363" s="4"/>
      <c r="I3363" s="9"/>
      <c r="J3363" s="3">
        <v>11429</v>
      </c>
      <c r="K3363" s="3">
        <v>50803</v>
      </c>
      <c r="L3363" s="17" t="str" cm="1">
        <f t="array" ref="L3363">_xlfn.IFS(MID(K3363,2,2)="01", "서울", MID(K3363,2,2)="02","경기",MID(K3363,2,2)="03","충청",MID(K3363,2,2)="04","충청",MID(K3363,2,2)="05","전라",MID(K3363,2,2)="06","전라",MID(K3363,2,2)="07","경북",MID(K3363,2,2)="08","경남",MID(K3363,2,2)="09","강원",MID(K3363,2,2)="10","제주",TRUE,"국외")</f>
        <v>경남</v>
      </c>
    </row>
    <row r="3364" spans="1:12" ht="17.25" thickBot="1">
      <c r="A3364" s="3" t="s">
        <v>3251</v>
      </c>
      <c r="B3364" s="3" t="s">
        <v>34</v>
      </c>
      <c r="C3364" s="3" t="s">
        <v>483</v>
      </c>
      <c r="D3364" s="4" t="s">
        <v>254</v>
      </c>
      <c r="E3364" s="4" t="s">
        <v>2661</v>
      </c>
      <c r="F3364" s="4">
        <v>1991</v>
      </c>
      <c r="G3364" s="8">
        <v>0</v>
      </c>
      <c r="H3364" s="4" t="s">
        <v>2661</v>
      </c>
      <c r="I3364" s="8">
        <v>0</v>
      </c>
      <c r="J3364" s="3">
        <f>1576</f>
        <v>1576</v>
      </c>
      <c r="K3364" s="3">
        <v>50701</v>
      </c>
      <c r="L3364" s="17" t="str" cm="1">
        <f t="array" ref="L3364">_xlfn.IFS(MID(K3364,2,2)="01", "서울", MID(K3364,2,2)="02","경기",MID(K3364,2,2)="03","충청",MID(K3364,2,2)="04","충청",MID(K3364,2,2)="05","전라",MID(K3364,2,2)="06","전라",MID(K3364,2,2)="07","경북",MID(K3364,2,2)="08","경남",MID(K3364,2,2)="09","강원",MID(K3364,2,2)="10","제주",TRUE,"국외")</f>
        <v>경북</v>
      </c>
    </row>
    <row r="3365" spans="1:12" ht="17.25" thickBot="1">
      <c r="A3365" s="3" t="s">
        <v>3252</v>
      </c>
      <c r="B3365" s="3" t="s">
        <v>32</v>
      </c>
      <c r="C3365" s="3" t="s">
        <v>133</v>
      </c>
      <c r="D3365" s="4" t="s">
        <v>254</v>
      </c>
      <c r="E3365" s="4" t="s">
        <v>20</v>
      </c>
      <c r="F3365" s="4">
        <v>1991</v>
      </c>
      <c r="G3365" s="8">
        <v>-0.1</v>
      </c>
      <c r="H3365" s="4" t="s">
        <v>20</v>
      </c>
      <c r="I3365" s="8">
        <v>-0.1</v>
      </c>
      <c r="J3365" s="3">
        <f>1588</f>
        <v>1588</v>
      </c>
      <c r="K3365" s="3">
        <v>50111</v>
      </c>
      <c r="L3365" s="17" t="str" cm="1">
        <f t="array" ref="L3365">_xlfn.IFS(MID(K3365,2,2)="01", "서울", MID(K3365,2,2)="02","경기",MID(K3365,2,2)="03","충청",MID(K3365,2,2)="04","충청",MID(K3365,2,2)="05","전라",MID(K3365,2,2)="06","전라",MID(K3365,2,2)="07","경북",MID(K3365,2,2)="08","경남",MID(K3365,2,2)="09","강원",MID(K3365,2,2)="10","제주",TRUE,"국외")</f>
        <v>서울</v>
      </c>
    </row>
    <row r="3366" spans="1:12" ht="17.25" thickBot="1">
      <c r="A3366" s="3" t="s">
        <v>3253</v>
      </c>
      <c r="B3366" s="3" t="s">
        <v>14</v>
      </c>
      <c r="C3366" s="3"/>
      <c r="D3366" s="4" t="s">
        <v>254</v>
      </c>
      <c r="E3366" s="4" t="s">
        <v>23</v>
      </c>
      <c r="F3366" s="4">
        <v>1991</v>
      </c>
      <c r="G3366" s="8">
        <v>-0.4</v>
      </c>
      <c r="H3366" s="4" t="s">
        <v>23</v>
      </c>
      <c r="I3366" s="8">
        <v>-0.3</v>
      </c>
      <c r="J3366" s="3">
        <f>1638</f>
        <v>1638</v>
      </c>
      <c r="K3366" s="3">
        <v>50703</v>
      </c>
      <c r="L3366" s="17" t="str" cm="1">
        <f t="array" ref="L3366">_xlfn.IFS(MID(K3366,2,2)="01", "서울", MID(K3366,2,2)="02","경기",MID(K3366,2,2)="03","충청",MID(K3366,2,2)="04","충청",MID(K3366,2,2)="05","전라",MID(K3366,2,2)="06","전라",MID(K3366,2,2)="07","경북",MID(K3366,2,2)="08","경남",MID(K3366,2,2)="09","강원",MID(K3366,2,2)="10","제주",TRUE,"국외")</f>
        <v>경북</v>
      </c>
    </row>
    <row r="3367" spans="1:12" ht="17.25" thickBot="1">
      <c r="A3367" s="3" t="s">
        <v>24</v>
      </c>
      <c r="B3367" s="3" t="s">
        <v>3254</v>
      </c>
      <c r="C3367" s="3" t="s">
        <v>83</v>
      </c>
      <c r="D3367" s="4" t="s">
        <v>254</v>
      </c>
      <c r="E3367" s="4" t="s">
        <v>2661</v>
      </c>
      <c r="F3367" s="4">
        <v>1991</v>
      </c>
      <c r="G3367" s="8">
        <v>0</v>
      </c>
      <c r="H3367" s="4" t="s">
        <v>2661</v>
      </c>
      <c r="I3367" s="8">
        <v>0</v>
      </c>
      <c r="J3367" s="3">
        <f>1606</f>
        <v>1606</v>
      </c>
      <c r="K3367" s="3">
        <v>50222</v>
      </c>
      <c r="L3367" s="17" t="str" cm="1">
        <f t="array" ref="L3367">_xlfn.IFS(MID(K3367,2,2)="01", "서울", MID(K3367,2,2)="02","경기",MID(K3367,2,2)="03","충청",MID(K3367,2,2)="04","충청",MID(K3367,2,2)="05","전라",MID(K3367,2,2)="06","전라",MID(K3367,2,2)="07","경북",MID(K3367,2,2)="08","경남",MID(K3367,2,2)="09","강원",MID(K3367,2,2)="10","제주",TRUE,"국외")</f>
        <v>경기</v>
      </c>
    </row>
    <row r="3368" spans="1:12" ht="17.25" thickBot="1">
      <c r="A3368" s="3" t="s">
        <v>3255</v>
      </c>
      <c r="B3368" s="3" t="s">
        <v>3256</v>
      </c>
      <c r="C3368" s="3" t="s">
        <v>211</v>
      </c>
      <c r="D3368" s="4" t="s">
        <v>254</v>
      </c>
      <c r="E3368" s="4" t="s">
        <v>2725</v>
      </c>
      <c r="F3368" s="4">
        <v>1991</v>
      </c>
      <c r="G3368" s="8">
        <v>0</v>
      </c>
      <c r="H3368" s="4" t="s">
        <v>2725</v>
      </c>
      <c r="I3368" s="8">
        <v>0</v>
      </c>
      <c r="J3368" s="3">
        <f>1586</f>
        <v>1586</v>
      </c>
      <c r="K3368" s="3">
        <v>50127</v>
      </c>
      <c r="L3368" s="17" t="str" cm="1">
        <f t="array" ref="L3368">_xlfn.IFS(MID(K3368,2,2)="01", "서울", MID(K3368,2,2)="02","경기",MID(K3368,2,2)="03","충청",MID(K3368,2,2)="04","충청",MID(K3368,2,2)="05","전라",MID(K3368,2,2)="06","전라",MID(K3368,2,2)="07","경북",MID(K3368,2,2)="08","경남",MID(K3368,2,2)="09","강원",MID(K3368,2,2)="10","제주",TRUE,"국외")</f>
        <v>서울</v>
      </c>
    </row>
    <row r="3369" spans="1:12" ht="17.25" thickBot="1">
      <c r="A3369" s="3" t="s">
        <v>3257</v>
      </c>
      <c r="B3369" s="3" t="s">
        <v>66</v>
      </c>
      <c r="C3369" s="3" t="s">
        <v>133</v>
      </c>
      <c r="D3369" s="4" t="s">
        <v>254</v>
      </c>
      <c r="E3369" s="4" t="s">
        <v>2968</v>
      </c>
      <c r="F3369" s="4">
        <v>1991</v>
      </c>
      <c r="G3369" s="8">
        <v>-0.2</v>
      </c>
      <c r="H3369" s="4" t="s">
        <v>2968</v>
      </c>
      <c r="I3369" s="8">
        <v>-0.1</v>
      </c>
      <c r="J3369" s="3">
        <f>1582</f>
        <v>1582</v>
      </c>
      <c r="K3369" s="3">
        <v>50110</v>
      </c>
      <c r="L3369" s="17" t="str" cm="1">
        <f t="array" ref="L3369">_xlfn.IFS(MID(K3369,2,2)="01", "서울", MID(K3369,2,2)="02","경기",MID(K3369,2,2)="03","충청",MID(K3369,2,2)="04","충청",MID(K3369,2,2)="05","전라",MID(K3369,2,2)="06","전라",MID(K3369,2,2)="07","경북",MID(K3369,2,2)="08","경남",MID(K3369,2,2)="09","강원",MID(K3369,2,2)="10","제주",TRUE,"국외")</f>
        <v>서울</v>
      </c>
    </row>
    <row r="3370" spans="1:12" ht="17.25" thickBot="1">
      <c r="A3370" s="3" t="s">
        <v>3258</v>
      </c>
      <c r="B3370" s="3" t="s">
        <v>96</v>
      </c>
      <c r="C3370" s="3" t="s">
        <v>99</v>
      </c>
      <c r="D3370" s="4" t="s">
        <v>254</v>
      </c>
      <c r="E3370" s="4" t="s">
        <v>3101</v>
      </c>
      <c r="F3370" s="4">
        <v>1992</v>
      </c>
      <c r="G3370" s="9"/>
      <c r="H3370" s="4" t="s">
        <v>2661</v>
      </c>
      <c r="I3370" s="8">
        <v>-0.9</v>
      </c>
      <c r="J3370" s="3">
        <f>1710</f>
        <v>1710</v>
      </c>
      <c r="K3370" s="3">
        <v>50601</v>
      </c>
      <c r="L3370" s="17" t="str" cm="1">
        <f t="array" ref="L3370">_xlfn.IFS(MID(K3370,2,2)="01", "서울", MID(K3370,2,2)="02","경기",MID(K3370,2,2)="03","충청",MID(K3370,2,2)="04","충청",MID(K3370,2,2)="05","전라",MID(K3370,2,2)="06","전라",MID(K3370,2,2)="07","경북",MID(K3370,2,2)="08","경남",MID(K3370,2,2)="09","강원",MID(K3370,2,2)="10","제주",TRUE,"국외")</f>
        <v>전라</v>
      </c>
    </row>
    <row r="3371" spans="1:12" ht="17.25" thickBot="1">
      <c r="A3371" s="3" t="s">
        <v>3259</v>
      </c>
      <c r="B3371" s="3"/>
      <c r="C3371" s="3" t="s">
        <v>538</v>
      </c>
      <c r="D3371" s="4" t="s">
        <v>254</v>
      </c>
      <c r="E3371" s="4" t="s">
        <v>2661</v>
      </c>
      <c r="F3371" s="4">
        <v>1991</v>
      </c>
      <c r="G3371" s="8">
        <v>0</v>
      </c>
      <c r="H3371" s="4" t="s">
        <v>2661</v>
      </c>
      <c r="I3371" s="8">
        <v>0</v>
      </c>
      <c r="J3371" s="3">
        <f>1569</f>
        <v>1569</v>
      </c>
      <c r="K3371" s="3"/>
      <c r="L3371" s="17" t="str" cm="1">
        <f t="array" ref="L3371">_xlfn.IFS(MID(K3371,2,2)="01", "서울", MID(K3371,2,2)="02","경기",MID(K3371,2,2)="03","충청",MID(K3371,2,2)="04","충청",MID(K3371,2,2)="05","전라",MID(K3371,2,2)="06","전라",MID(K3371,2,2)="07","경북",MID(K3371,2,2)="08","경남",MID(K3371,2,2)="09","강원",MID(K3371,2,2)="10","제주",TRUE,"국외")</f>
        <v>국외</v>
      </c>
    </row>
    <row r="3372" spans="1:12" ht="17.25" thickBot="1">
      <c r="A3372" s="3" t="s">
        <v>3260</v>
      </c>
      <c r="B3372" s="3" t="s">
        <v>2351</v>
      </c>
      <c r="C3372" s="3" t="s">
        <v>538</v>
      </c>
      <c r="D3372" s="4" t="s">
        <v>1407</v>
      </c>
      <c r="E3372" s="4" t="s">
        <v>2661</v>
      </c>
      <c r="F3372" s="4">
        <v>1991</v>
      </c>
      <c r="G3372" s="8">
        <v>0.6</v>
      </c>
      <c r="H3372" s="4" t="s">
        <v>2661</v>
      </c>
      <c r="I3372" s="8">
        <v>0.6</v>
      </c>
      <c r="J3372" s="3">
        <f>1572</f>
        <v>1572</v>
      </c>
      <c r="K3372" s="3">
        <v>50609</v>
      </c>
      <c r="L3372" s="17" t="str" cm="1">
        <f t="array" ref="L3372">_xlfn.IFS(MID(K3372,2,2)="01", "서울", MID(K3372,2,2)="02","경기",MID(K3372,2,2)="03","충청",MID(K3372,2,2)="04","충청",MID(K3372,2,2)="05","전라",MID(K3372,2,2)="06","전라",MID(K3372,2,2)="07","경북",MID(K3372,2,2)="08","경남",MID(K3372,2,2)="09","강원",MID(K3372,2,2)="10","제주",TRUE,"국외")</f>
        <v>전라</v>
      </c>
    </row>
    <row r="3373" spans="1:12" ht="17.25" thickBot="1">
      <c r="A3373" s="3" t="s">
        <v>3261</v>
      </c>
      <c r="B3373" s="3" t="s">
        <v>66</v>
      </c>
      <c r="C3373" s="3" t="s">
        <v>83</v>
      </c>
      <c r="D3373" s="4" t="s">
        <v>1407</v>
      </c>
      <c r="E3373" s="4" t="s">
        <v>2661</v>
      </c>
      <c r="F3373" s="4">
        <v>1991</v>
      </c>
      <c r="G3373" s="8">
        <v>-0.1</v>
      </c>
      <c r="H3373" s="4" t="s">
        <v>2661</v>
      </c>
      <c r="I3373" s="8">
        <v>-0.2</v>
      </c>
      <c r="J3373" s="3">
        <f>1574</f>
        <v>1574</v>
      </c>
      <c r="K3373" s="3">
        <v>50110</v>
      </c>
      <c r="L3373" s="17" t="str" cm="1">
        <f t="array" ref="L3373">_xlfn.IFS(MID(K3373,2,2)="01", "서울", MID(K3373,2,2)="02","경기",MID(K3373,2,2)="03","충청",MID(K3373,2,2)="04","충청",MID(K3373,2,2)="05","전라",MID(K3373,2,2)="06","전라",MID(K3373,2,2)="07","경북",MID(K3373,2,2)="08","경남",MID(K3373,2,2)="09","강원",MID(K3373,2,2)="10","제주",TRUE,"국외")</f>
        <v>서울</v>
      </c>
    </row>
    <row r="3374" spans="1:12" ht="17.25" thickBot="1">
      <c r="A3374" s="3" t="s">
        <v>3262</v>
      </c>
      <c r="B3374" s="3" t="s">
        <v>1784</v>
      </c>
      <c r="C3374" s="3" t="s">
        <v>119</v>
      </c>
      <c r="D3374" s="4" t="s">
        <v>1407</v>
      </c>
      <c r="E3374" s="4" t="s">
        <v>2661</v>
      </c>
      <c r="F3374" s="4">
        <v>1992</v>
      </c>
      <c r="G3374" s="9"/>
      <c r="H3374" s="4" t="s">
        <v>2661</v>
      </c>
      <c r="I3374" s="8">
        <v>-0.4</v>
      </c>
      <c r="J3374" s="3">
        <f>1655</f>
        <v>1655</v>
      </c>
      <c r="K3374" s="3">
        <v>50812</v>
      </c>
      <c r="L3374" s="17" t="str" cm="1">
        <f t="array" ref="L3374">_xlfn.IFS(MID(K3374,2,2)="01", "서울", MID(K3374,2,2)="02","경기",MID(K3374,2,2)="03","충청",MID(K3374,2,2)="04","충청",MID(K3374,2,2)="05","전라",MID(K3374,2,2)="06","전라",MID(K3374,2,2)="07","경북",MID(K3374,2,2)="08","경남",MID(K3374,2,2)="09","강원",MID(K3374,2,2)="10","제주",TRUE,"국외")</f>
        <v>경남</v>
      </c>
    </row>
    <row r="3375" spans="1:12" ht="17.25" thickBot="1">
      <c r="A3375" s="3" t="s">
        <v>3263</v>
      </c>
      <c r="B3375" s="3" t="s">
        <v>3256</v>
      </c>
      <c r="C3375" s="3" t="s">
        <v>172</v>
      </c>
      <c r="D3375" s="4" t="s">
        <v>1407</v>
      </c>
      <c r="E3375" s="4" t="s">
        <v>2661</v>
      </c>
      <c r="F3375" s="4">
        <v>1991</v>
      </c>
      <c r="G3375" s="8">
        <v>1.1000000000000001</v>
      </c>
      <c r="H3375" s="4" t="s">
        <v>2661</v>
      </c>
      <c r="I3375" s="8">
        <v>-0.8</v>
      </c>
      <c r="J3375" s="3">
        <f>1590</f>
        <v>1590</v>
      </c>
      <c r="K3375" s="3">
        <v>50127</v>
      </c>
      <c r="L3375" s="17" t="str" cm="1">
        <f t="array" ref="L3375">_xlfn.IFS(MID(K3375,2,2)="01", "서울", MID(K3375,2,2)="02","경기",MID(K3375,2,2)="03","충청",MID(K3375,2,2)="04","충청",MID(K3375,2,2)="05","전라",MID(K3375,2,2)="06","전라",MID(K3375,2,2)="07","경북",MID(K3375,2,2)="08","경남",MID(K3375,2,2)="09","강원",MID(K3375,2,2)="10","제주",TRUE,"국외")</f>
        <v>서울</v>
      </c>
    </row>
    <row r="3376" spans="1:12" ht="17.25" thickBot="1">
      <c r="A3376" s="3" t="s">
        <v>3264</v>
      </c>
      <c r="B3376" s="3" t="s">
        <v>158</v>
      </c>
      <c r="C3376" s="3" t="s">
        <v>172</v>
      </c>
      <c r="D3376" s="4" t="s">
        <v>1407</v>
      </c>
      <c r="E3376" s="4" t="s">
        <v>2661</v>
      </c>
      <c r="F3376" s="4">
        <v>1991</v>
      </c>
      <c r="G3376" s="8">
        <v>-0.3</v>
      </c>
      <c r="H3376" s="4" t="s">
        <v>2661</v>
      </c>
      <c r="I3376" s="8">
        <v>-0.6</v>
      </c>
      <c r="J3376" s="3">
        <f>1601</f>
        <v>1601</v>
      </c>
      <c r="K3376" s="3">
        <v>50501</v>
      </c>
      <c r="L3376" s="17" t="str" cm="1">
        <f t="array" ref="L3376">_xlfn.IFS(MID(K3376,2,2)="01", "서울", MID(K3376,2,2)="02","경기",MID(K3376,2,2)="03","충청",MID(K3376,2,2)="04","충청",MID(K3376,2,2)="05","전라",MID(K3376,2,2)="06","전라",MID(K3376,2,2)="07","경북",MID(K3376,2,2)="08","경남",MID(K3376,2,2)="09","강원",MID(K3376,2,2)="10","제주",TRUE,"국외")</f>
        <v>전라</v>
      </c>
    </row>
    <row r="3377" spans="1:12" ht="17.25" thickBot="1">
      <c r="A3377" s="3" t="s">
        <v>3265</v>
      </c>
      <c r="B3377" s="3" t="s">
        <v>63</v>
      </c>
      <c r="C3377" s="3" t="s">
        <v>329</v>
      </c>
      <c r="D3377" s="4" t="s">
        <v>1407</v>
      </c>
      <c r="E3377" s="4" t="s">
        <v>2661</v>
      </c>
      <c r="F3377" s="4">
        <v>1991</v>
      </c>
      <c r="G3377" s="8">
        <v>-0.4</v>
      </c>
      <c r="H3377" s="4" t="s">
        <v>2661</v>
      </c>
      <c r="I3377" s="8">
        <v>-0.4</v>
      </c>
      <c r="J3377" s="3">
        <f>1622</f>
        <v>1622</v>
      </c>
      <c r="K3377" s="3">
        <v>50807</v>
      </c>
      <c r="L3377" s="17" t="str" cm="1">
        <f t="array" ref="L3377">_xlfn.IFS(MID(K3377,2,2)="01", "서울", MID(K3377,2,2)="02","경기",MID(K3377,2,2)="03","충청",MID(K3377,2,2)="04","충청",MID(K3377,2,2)="05","전라",MID(K3377,2,2)="06","전라",MID(K3377,2,2)="07","경북",MID(K3377,2,2)="08","경남",MID(K3377,2,2)="09","강원",MID(K3377,2,2)="10","제주",TRUE,"국외")</f>
        <v>경남</v>
      </c>
    </row>
    <row r="3378" spans="1:12" ht="17.25" thickBot="1">
      <c r="A3378" s="3" t="s">
        <v>3266</v>
      </c>
      <c r="B3378" s="3" t="s">
        <v>42</v>
      </c>
      <c r="C3378" s="3" t="s">
        <v>172</v>
      </c>
      <c r="D3378" s="4" t="s">
        <v>1407</v>
      </c>
      <c r="E3378" s="4" t="s">
        <v>2661</v>
      </c>
      <c r="F3378" s="4">
        <v>1991</v>
      </c>
      <c r="G3378" s="8">
        <v>2.2999999999999998</v>
      </c>
      <c r="H3378" s="4" t="s">
        <v>2661</v>
      </c>
      <c r="I3378" s="8">
        <v>6.4</v>
      </c>
      <c r="J3378" s="3">
        <f>1629</f>
        <v>1629</v>
      </c>
      <c r="K3378" s="3">
        <v>50502</v>
      </c>
      <c r="L3378" s="17" t="str" cm="1">
        <f t="array" ref="L3378">_xlfn.IFS(MID(K3378,2,2)="01", "서울", MID(K3378,2,2)="02","경기",MID(K3378,2,2)="03","충청",MID(K3378,2,2)="04","충청",MID(K3378,2,2)="05","전라",MID(K3378,2,2)="06","전라",MID(K3378,2,2)="07","경북",MID(K3378,2,2)="08","경남",MID(K3378,2,2)="09","강원",MID(K3378,2,2)="10","제주",TRUE,"국외")</f>
        <v>전라</v>
      </c>
    </row>
    <row r="3379" spans="1:12" ht="17.25" thickBot="1">
      <c r="A3379" s="3" t="s">
        <v>3267</v>
      </c>
      <c r="B3379" s="3" t="s">
        <v>158</v>
      </c>
      <c r="C3379" s="3" t="s">
        <v>172</v>
      </c>
      <c r="D3379" s="4" t="s">
        <v>1407</v>
      </c>
      <c r="E3379" s="4" t="s">
        <v>2661</v>
      </c>
      <c r="F3379" s="4">
        <v>1991</v>
      </c>
      <c r="G3379" s="8">
        <v>0.8</v>
      </c>
      <c r="H3379" s="4" t="s">
        <v>2661</v>
      </c>
      <c r="I3379" s="8">
        <v>2.8</v>
      </c>
      <c r="J3379" s="3">
        <f>1630</f>
        <v>1630</v>
      </c>
      <c r="K3379" s="3">
        <v>50501</v>
      </c>
      <c r="L3379" s="17" t="str" cm="1">
        <f t="array" ref="L3379">_xlfn.IFS(MID(K3379,2,2)="01", "서울", MID(K3379,2,2)="02","경기",MID(K3379,2,2)="03","충청",MID(K3379,2,2)="04","충청",MID(K3379,2,2)="05","전라",MID(K3379,2,2)="06","전라",MID(K3379,2,2)="07","경북",MID(K3379,2,2)="08","경남",MID(K3379,2,2)="09","강원",MID(K3379,2,2)="10","제주",TRUE,"국외")</f>
        <v>전라</v>
      </c>
    </row>
    <row r="3380" spans="1:12" ht="17.25" thickBot="1">
      <c r="A3380" s="3" t="s">
        <v>3268</v>
      </c>
      <c r="B3380" s="3" t="s">
        <v>107</v>
      </c>
      <c r="C3380" s="3" t="s">
        <v>133</v>
      </c>
      <c r="D3380" s="4" t="s">
        <v>1407</v>
      </c>
      <c r="E3380" s="4" t="s">
        <v>2661</v>
      </c>
      <c r="F3380" s="4">
        <v>1991</v>
      </c>
      <c r="G3380" s="8">
        <v>2.4</v>
      </c>
      <c r="H3380" s="4" t="s">
        <v>2725</v>
      </c>
      <c r="I3380" s="8">
        <v>1.7</v>
      </c>
      <c r="J3380" s="3">
        <f>1612</f>
        <v>1612</v>
      </c>
      <c r="K3380" s="3">
        <v>50602</v>
      </c>
      <c r="L3380" s="17" t="str" cm="1">
        <f t="array" ref="L3380">_xlfn.IFS(MID(K3380,2,2)="01", "서울", MID(K3380,2,2)="02","경기",MID(K3380,2,2)="03","충청",MID(K3380,2,2)="04","충청",MID(K3380,2,2)="05","전라",MID(K3380,2,2)="06","전라",MID(K3380,2,2)="07","경북",MID(K3380,2,2)="08","경남",MID(K3380,2,2)="09","강원",MID(K3380,2,2)="10","제주",TRUE,"국외")</f>
        <v>전라</v>
      </c>
    </row>
    <row r="3381" spans="1:12" ht="17.25" thickBot="1">
      <c r="A3381" s="3" t="s">
        <v>3269</v>
      </c>
      <c r="B3381" s="3"/>
      <c r="C3381" s="3" t="s">
        <v>3270</v>
      </c>
      <c r="D3381" s="4" t="s">
        <v>181</v>
      </c>
      <c r="E3381" s="4" t="s">
        <v>20</v>
      </c>
      <c r="F3381" s="4">
        <v>1992</v>
      </c>
      <c r="G3381" s="9"/>
      <c r="H3381" s="4" t="s">
        <v>20</v>
      </c>
      <c r="I3381" s="8">
        <v>-0.9</v>
      </c>
      <c r="J3381" s="3">
        <f>1678</f>
        <v>1678</v>
      </c>
      <c r="K3381" s="3"/>
      <c r="L3381" s="17" t="str" cm="1">
        <f t="array" ref="L3381">_xlfn.IFS(MID(K3381,2,2)="01", "서울", MID(K3381,2,2)="02","경기",MID(K3381,2,2)="03","충청",MID(K3381,2,2)="04","충청",MID(K3381,2,2)="05","전라",MID(K3381,2,2)="06","전라",MID(K3381,2,2)="07","경북",MID(K3381,2,2)="08","경남",MID(K3381,2,2)="09","강원",MID(K3381,2,2)="10","제주",TRUE,"국외")</f>
        <v>국외</v>
      </c>
    </row>
    <row r="3382" spans="1:12" ht="17.25" thickBot="1">
      <c r="A3382" s="3" t="s">
        <v>3271</v>
      </c>
      <c r="B3382" s="3" t="s">
        <v>722</v>
      </c>
      <c r="C3382" s="3"/>
      <c r="D3382" s="4" t="s">
        <v>181</v>
      </c>
      <c r="E3382" s="4" t="s">
        <v>2968</v>
      </c>
      <c r="F3382" s="4">
        <v>1991</v>
      </c>
      <c r="G3382" s="8">
        <v>1.9</v>
      </c>
      <c r="H3382" s="4" t="s">
        <v>2968</v>
      </c>
      <c r="I3382" s="8">
        <v>3.3</v>
      </c>
      <c r="J3382" s="3">
        <f>1598</f>
        <v>1598</v>
      </c>
      <c r="K3382" s="3">
        <v>51100</v>
      </c>
      <c r="L3382" s="17" t="str" cm="1">
        <f t="array" ref="L3382">_xlfn.IFS(MID(K3382,2,2)="01", "서울", MID(K3382,2,2)="02","경기",MID(K3382,2,2)="03","충청",MID(K3382,2,2)="04","충청",MID(K3382,2,2)="05","전라",MID(K3382,2,2)="06","전라",MID(K3382,2,2)="07","경북",MID(K3382,2,2)="08","경남",MID(K3382,2,2)="09","강원",MID(K3382,2,2)="10","제주",TRUE,"국외")</f>
        <v>국외</v>
      </c>
    </row>
    <row r="3383" spans="1:12" ht="17.25" thickBot="1">
      <c r="A3383" s="3" t="s">
        <v>3272</v>
      </c>
      <c r="B3383" s="3"/>
      <c r="C3383" s="3"/>
      <c r="D3383" s="4" t="s">
        <v>181</v>
      </c>
      <c r="E3383" s="4" t="s">
        <v>2968</v>
      </c>
      <c r="F3383" s="4">
        <v>1992</v>
      </c>
      <c r="G3383" s="9"/>
      <c r="H3383" s="4" t="s">
        <v>2968</v>
      </c>
      <c r="I3383" s="8">
        <v>-0.4</v>
      </c>
      <c r="J3383" s="3">
        <f>1703</f>
        <v>1703</v>
      </c>
      <c r="K3383" s="3"/>
      <c r="L3383" s="17" t="str" cm="1">
        <f t="array" ref="L3383">_xlfn.IFS(MID(K3383,2,2)="01", "서울", MID(K3383,2,2)="02","경기",MID(K3383,2,2)="03","충청",MID(K3383,2,2)="04","충청",MID(K3383,2,2)="05","전라",MID(K3383,2,2)="06","전라",MID(K3383,2,2)="07","경북",MID(K3383,2,2)="08","경남",MID(K3383,2,2)="09","강원",MID(K3383,2,2)="10","제주",TRUE,"국외")</f>
        <v>국외</v>
      </c>
    </row>
    <row r="3384" spans="1:12" ht="17.25" thickBot="1">
      <c r="A3384" s="3" t="s">
        <v>3273</v>
      </c>
      <c r="B3384" s="3" t="s">
        <v>1</v>
      </c>
      <c r="C3384" s="3" t="s">
        <v>208</v>
      </c>
      <c r="D3384" s="4" t="s">
        <v>1777</v>
      </c>
      <c r="E3384" s="4" t="s">
        <v>20</v>
      </c>
      <c r="F3384" s="4">
        <v>1991</v>
      </c>
      <c r="G3384" s="8">
        <v>-0.1</v>
      </c>
      <c r="H3384" s="4" t="s">
        <v>20</v>
      </c>
      <c r="I3384" s="8">
        <v>-0.1</v>
      </c>
      <c r="J3384" s="3">
        <f>1585</f>
        <v>1585</v>
      </c>
      <c r="K3384" s="3">
        <v>50107</v>
      </c>
      <c r="L3384" s="17" t="str" cm="1">
        <f t="array" ref="L3384">_xlfn.IFS(MID(K3384,2,2)="01", "서울", MID(K3384,2,2)="02","경기",MID(K3384,2,2)="03","충청",MID(K3384,2,2)="04","충청",MID(K3384,2,2)="05","전라",MID(K3384,2,2)="06","전라",MID(K3384,2,2)="07","경북",MID(K3384,2,2)="08","경남",MID(K3384,2,2)="09","강원",MID(K3384,2,2)="10","제주",TRUE,"국외")</f>
        <v>서울</v>
      </c>
    </row>
    <row r="3385" spans="1:12" ht="17.25" thickBot="1">
      <c r="A3385" s="3" t="s">
        <v>3274</v>
      </c>
      <c r="B3385" s="3"/>
      <c r="C3385" s="3" t="s">
        <v>218</v>
      </c>
      <c r="D3385" s="4" t="s">
        <v>1777</v>
      </c>
      <c r="E3385" s="4" t="s">
        <v>20</v>
      </c>
      <c r="F3385" s="4">
        <v>1991</v>
      </c>
      <c r="G3385" s="8">
        <v>-0.2</v>
      </c>
      <c r="H3385" s="4" t="s">
        <v>20</v>
      </c>
      <c r="I3385" s="8">
        <v>-0.4</v>
      </c>
      <c r="J3385" s="3">
        <f>1635</f>
        <v>1635</v>
      </c>
      <c r="K3385" s="3"/>
      <c r="L3385" s="17" t="str" cm="1">
        <f t="array" ref="L3385">_xlfn.IFS(MID(K3385,2,2)="01", "서울", MID(K3385,2,2)="02","경기",MID(K3385,2,2)="03","충청",MID(K3385,2,2)="04","충청",MID(K3385,2,2)="05","전라",MID(K3385,2,2)="06","전라",MID(K3385,2,2)="07","경북",MID(K3385,2,2)="08","경남",MID(K3385,2,2)="09","강원",MID(K3385,2,2)="10","제주",TRUE,"국외")</f>
        <v>국외</v>
      </c>
    </row>
    <row r="3386" spans="1:12" ht="17.25" thickBot="1">
      <c r="A3386" s="3" t="s">
        <v>3275</v>
      </c>
      <c r="B3386" s="3" t="s">
        <v>63</v>
      </c>
      <c r="C3386" s="3"/>
      <c r="D3386" s="4" t="s">
        <v>1777</v>
      </c>
      <c r="E3386" s="4" t="s">
        <v>9</v>
      </c>
      <c r="F3386" s="4">
        <v>1991</v>
      </c>
      <c r="G3386" s="8">
        <v>0</v>
      </c>
      <c r="H3386" s="4" t="s">
        <v>9</v>
      </c>
      <c r="I3386" s="8">
        <v>0</v>
      </c>
      <c r="J3386" s="3">
        <f>1575</f>
        <v>1575</v>
      </c>
      <c r="K3386" s="3">
        <v>50807</v>
      </c>
      <c r="L3386" s="17" t="str" cm="1">
        <f t="array" ref="L3386">_xlfn.IFS(MID(K3386,2,2)="01", "서울", MID(K3386,2,2)="02","경기",MID(K3386,2,2)="03","충청",MID(K3386,2,2)="04","충청",MID(K3386,2,2)="05","전라",MID(K3386,2,2)="06","전라",MID(K3386,2,2)="07","경북",MID(K3386,2,2)="08","경남",MID(K3386,2,2)="09","강원",MID(K3386,2,2)="10","제주",TRUE,"국외")</f>
        <v>경남</v>
      </c>
    </row>
    <row r="3387" spans="1:12" ht="17.25" thickBot="1">
      <c r="A3387" s="3" t="s">
        <v>3276</v>
      </c>
      <c r="B3387" s="3" t="s">
        <v>14</v>
      </c>
      <c r="C3387" s="3" t="s">
        <v>483</v>
      </c>
      <c r="D3387" s="4" t="s">
        <v>1777</v>
      </c>
      <c r="E3387" s="4" t="s">
        <v>9</v>
      </c>
      <c r="F3387" s="4">
        <v>1991</v>
      </c>
      <c r="G3387" s="8">
        <v>-0.1</v>
      </c>
      <c r="H3387" s="4" t="s">
        <v>9</v>
      </c>
      <c r="I3387" s="8">
        <v>-0.1</v>
      </c>
      <c r="J3387" s="3">
        <f>1614</f>
        <v>1614</v>
      </c>
      <c r="K3387" s="3">
        <v>50703</v>
      </c>
      <c r="L3387" s="17" t="str" cm="1">
        <f t="array" ref="L3387">_xlfn.IFS(MID(K3387,2,2)="01", "서울", MID(K3387,2,2)="02","경기",MID(K3387,2,2)="03","충청",MID(K3387,2,2)="04","충청",MID(K3387,2,2)="05","전라",MID(K3387,2,2)="06","전라",MID(K3387,2,2)="07","경북",MID(K3387,2,2)="08","경남",MID(K3387,2,2)="09","강원",MID(K3387,2,2)="10","제주",TRUE,"국외")</f>
        <v>경북</v>
      </c>
    </row>
    <row r="3388" spans="1:12" ht="17.25" thickBot="1">
      <c r="A3388" s="3" t="s">
        <v>3277</v>
      </c>
      <c r="B3388" s="3" t="s">
        <v>93</v>
      </c>
      <c r="C3388" s="3" t="s">
        <v>211</v>
      </c>
      <c r="D3388" s="4" t="s">
        <v>1777</v>
      </c>
      <c r="E3388" s="4" t="s">
        <v>9</v>
      </c>
      <c r="F3388" s="4">
        <v>1993</v>
      </c>
      <c r="G3388" s="9"/>
      <c r="H3388" s="4" t="s">
        <v>9</v>
      </c>
      <c r="I3388" s="8">
        <v>0</v>
      </c>
      <c r="J3388" s="3">
        <f>1750</f>
        <v>1750</v>
      </c>
      <c r="K3388" s="3">
        <v>50805</v>
      </c>
      <c r="L3388" s="17" t="str" cm="1">
        <f t="array" ref="L3388">_xlfn.IFS(MID(K3388,2,2)="01", "서울", MID(K3388,2,2)="02","경기",MID(K3388,2,2)="03","충청",MID(K3388,2,2)="04","충청",MID(K3388,2,2)="05","전라",MID(K3388,2,2)="06","전라",MID(K3388,2,2)="07","경북",MID(K3388,2,2)="08","경남",MID(K3388,2,2)="09","강원",MID(K3388,2,2)="10","제주",TRUE,"국외")</f>
        <v>경남</v>
      </c>
    </row>
    <row r="3389" spans="1:12" ht="17.25" thickBot="1">
      <c r="A3389" s="3" t="s">
        <v>3278</v>
      </c>
      <c r="B3389" s="3" t="s">
        <v>89</v>
      </c>
      <c r="C3389" s="3"/>
      <c r="D3389" s="4" t="s">
        <v>1777</v>
      </c>
      <c r="E3389" s="4" t="s">
        <v>9</v>
      </c>
      <c r="F3389" s="4">
        <v>1992</v>
      </c>
      <c r="G3389" s="9"/>
      <c r="H3389" s="4" t="s">
        <v>9</v>
      </c>
      <c r="I3389" s="8">
        <v>0</v>
      </c>
      <c r="J3389" s="3">
        <f>1665</f>
        <v>1665</v>
      </c>
      <c r="K3389" s="3">
        <v>50806</v>
      </c>
      <c r="L3389" s="17" t="str" cm="1">
        <f t="array" ref="L3389">_xlfn.IFS(MID(K3389,2,2)="01", "서울", MID(K3389,2,2)="02","경기",MID(K3389,2,2)="03","충청",MID(K3389,2,2)="04","충청",MID(K3389,2,2)="05","전라",MID(K3389,2,2)="06","전라",MID(K3389,2,2)="07","경북",MID(K3389,2,2)="08","경남",MID(K3389,2,2)="09","강원",MID(K3389,2,2)="10","제주",TRUE,"국외")</f>
        <v>경남</v>
      </c>
    </row>
    <row r="3390" spans="1:12" ht="17.25" thickBot="1">
      <c r="A3390" s="3" t="s">
        <v>1650</v>
      </c>
      <c r="B3390" s="3" t="s">
        <v>11</v>
      </c>
      <c r="C3390" s="3" t="s">
        <v>329</v>
      </c>
      <c r="D3390" s="4" t="s">
        <v>1777</v>
      </c>
      <c r="E3390" s="4" t="s">
        <v>9</v>
      </c>
      <c r="F3390" s="4">
        <v>1992</v>
      </c>
      <c r="G3390" s="9"/>
      <c r="H3390" s="4" t="s">
        <v>9</v>
      </c>
      <c r="I3390" s="8">
        <v>6.7</v>
      </c>
      <c r="J3390" s="3">
        <f>1690</f>
        <v>1690</v>
      </c>
      <c r="K3390" s="3">
        <v>50802</v>
      </c>
      <c r="L3390" s="17" t="str" cm="1">
        <f t="array" ref="L3390">_xlfn.IFS(MID(K3390,2,2)="01", "서울", MID(K3390,2,2)="02","경기",MID(K3390,2,2)="03","충청",MID(K3390,2,2)="04","충청",MID(K3390,2,2)="05","전라",MID(K3390,2,2)="06","전라",MID(K3390,2,2)="07","경북",MID(K3390,2,2)="08","경남",MID(K3390,2,2)="09","강원",MID(K3390,2,2)="10","제주",TRUE,"국외")</f>
        <v>경남</v>
      </c>
    </row>
    <row r="3391" spans="1:12" ht="17.25" thickBot="1">
      <c r="A3391" s="3" t="s">
        <v>3279</v>
      </c>
      <c r="B3391" s="3" t="s">
        <v>128</v>
      </c>
      <c r="C3391" s="3"/>
      <c r="D3391" s="4" t="s">
        <v>1777</v>
      </c>
      <c r="E3391" s="4" t="s">
        <v>3101</v>
      </c>
      <c r="F3391" s="4">
        <v>1991</v>
      </c>
      <c r="G3391" s="8">
        <v>-0.1</v>
      </c>
      <c r="H3391" s="4" t="s">
        <v>3101</v>
      </c>
      <c r="I3391" s="8">
        <v>-0.1</v>
      </c>
      <c r="J3391" s="3">
        <f>1578</f>
        <v>1578</v>
      </c>
      <c r="K3391" s="3">
        <v>50901</v>
      </c>
      <c r="L3391" s="17" t="str" cm="1">
        <f t="array" ref="L3391">_xlfn.IFS(MID(K3391,2,2)="01", "서울", MID(K3391,2,2)="02","경기",MID(K3391,2,2)="03","충청",MID(K3391,2,2)="04","충청",MID(K3391,2,2)="05","전라",MID(K3391,2,2)="06","전라",MID(K3391,2,2)="07","경북",MID(K3391,2,2)="08","경남",MID(K3391,2,2)="09","강원",MID(K3391,2,2)="10","제주",TRUE,"국외")</f>
        <v>강원</v>
      </c>
    </row>
    <row r="3392" spans="1:12" ht="17.25" thickBot="1">
      <c r="A3392" s="3" t="s">
        <v>3280</v>
      </c>
      <c r="B3392" s="3" t="s">
        <v>128</v>
      </c>
      <c r="C3392" s="3"/>
      <c r="D3392" s="4" t="s">
        <v>1777</v>
      </c>
      <c r="E3392" s="4" t="s">
        <v>3101</v>
      </c>
      <c r="F3392" s="4">
        <v>1995</v>
      </c>
      <c r="G3392" s="9"/>
      <c r="H3392" s="4" t="s">
        <v>3</v>
      </c>
      <c r="I3392" s="8">
        <v>0.4</v>
      </c>
      <c r="J3392" s="3">
        <f>1895</f>
        <v>1895</v>
      </c>
      <c r="K3392" s="3">
        <v>50901</v>
      </c>
      <c r="L3392" s="17" t="str" cm="1">
        <f t="array" ref="L3392">_xlfn.IFS(MID(K3392,2,2)="01", "서울", MID(K3392,2,2)="02","경기",MID(K3392,2,2)="03","충청",MID(K3392,2,2)="04","충청",MID(K3392,2,2)="05","전라",MID(K3392,2,2)="06","전라",MID(K3392,2,2)="07","경북",MID(K3392,2,2)="08","경남",MID(K3392,2,2)="09","강원",MID(K3392,2,2)="10","제주",TRUE,"국외")</f>
        <v>강원</v>
      </c>
    </row>
    <row r="3393" spans="1:12" ht="17.25" thickBot="1">
      <c r="A3393" s="3" t="s">
        <v>3281</v>
      </c>
      <c r="B3393" s="3" t="s">
        <v>50</v>
      </c>
      <c r="C3393" s="3" t="s">
        <v>133</v>
      </c>
      <c r="D3393" s="4" t="s">
        <v>1777</v>
      </c>
      <c r="E3393" s="4" t="s">
        <v>3101</v>
      </c>
      <c r="F3393" s="4">
        <v>1991</v>
      </c>
      <c r="G3393" s="8">
        <v>0.2</v>
      </c>
      <c r="H3393" s="4" t="s">
        <v>3101</v>
      </c>
      <c r="I3393" s="8">
        <v>0.1</v>
      </c>
      <c r="J3393" s="3">
        <f>1565</f>
        <v>1565</v>
      </c>
      <c r="K3393" s="3">
        <v>50301</v>
      </c>
      <c r="L3393" s="17" t="str" cm="1">
        <f t="array" ref="L3393">_xlfn.IFS(MID(K3393,2,2)="01", "서울", MID(K3393,2,2)="02","경기",MID(K3393,2,2)="03","충청",MID(K3393,2,2)="04","충청",MID(K3393,2,2)="05","전라",MID(K3393,2,2)="06","전라",MID(K3393,2,2)="07","경북",MID(K3393,2,2)="08","경남",MID(K3393,2,2)="09","강원",MID(K3393,2,2)="10","제주",TRUE,"국외")</f>
        <v>충청</v>
      </c>
    </row>
    <row r="3394" spans="1:12" ht="17.25" thickBot="1">
      <c r="A3394" s="3" t="s">
        <v>3282</v>
      </c>
      <c r="B3394" s="3" t="s">
        <v>42</v>
      </c>
      <c r="C3394" s="3"/>
      <c r="D3394" s="4" t="s">
        <v>1777</v>
      </c>
      <c r="E3394" s="4" t="s">
        <v>2661</v>
      </c>
      <c r="F3394" s="4">
        <v>1991</v>
      </c>
      <c r="G3394" s="8">
        <v>0</v>
      </c>
      <c r="H3394" s="4" t="s">
        <v>607</v>
      </c>
      <c r="I3394" s="8">
        <v>66</v>
      </c>
      <c r="J3394" s="3">
        <v>10080</v>
      </c>
      <c r="K3394" s="3">
        <v>50502</v>
      </c>
      <c r="L3394" s="17" t="str" cm="1">
        <f t="array" ref="L3394">_xlfn.IFS(MID(K3394,2,2)="01", "서울", MID(K3394,2,2)="02","경기",MID(K3394,2,2)="03","충청",MID(K3394,2,2)="04","충청",MID(K3394,2,2)="05","전라",MID(K3394,2,2)="06","전라",MID(K3394,2,2)="07","경북",MID(K3394,2,2)="08","경남",MID(K3394,2,2)="09","강원",MID(K3394,2,2)="10","제주",TRUE,"국외")</f>
        <v>전라</v>
      </c>
    </row>
    <row r="3395" spans="1:12" ht="17.25" thickBot="1">
      <c r="A3395" s="3" t="s">
        <v>1229</v>
      </c>
      <c r="B3395" s="3" t="s">
        <v>89</v>
      </c>
      <c r="C3395" s="3"/>
      <c r="D3395" s="4" t="s">
        <v>205</v>
      </c>
      <c r="E3395" s="4" t="s">
        <v>9</v>
      </c>
      <c r="F3395" s="4">
        <v>1991</v>
      </c>
      <c r="G3395" s="8">
        <v>-0.1</v>
      </c>
      <c r="H3395" s="4" t="s">
        <v>9</v>
      </c>
      <c r="I3395" s="8">
        <v>22.1</v>
      </c>
      <c r="J3395" s="3">
        <v>10550</v>
      </c>
      <c r="K3395" s="3">
        <v>50806</v>
      </c>
      <c r="L3395" s="17" t="str" cm="1">
        <f t="array" ref="L3395">_xlfn.IFS(MID(K3395,2,2)="01", "서울", MID(K3395,2,2)="02","경기",MID(K3395,2,2)="03","충청",MID(K3395,2,2)="04","충청",MID(K3395,2,2)="05","전라",MID(K3395,2,2)="06","전라",MID(K3395,2,2)="07","경북",MID(K3395,2,2)="08","경남",MID(K3395,2,2)="09","강원",MID(K3395,2,2)="10","제주",TRUE,"국외")</f>
        <v>경남</v>
      </c>
    </row>
    <row r="3396" spans="1:12" ht="17.25" thickBot="1">
      <c r="A3396" s="3" t="s">
        <v>2616</v>
      </c>
      <c r="B3396" s="3" t="s">
        <v>1497</v>
      </c>
      <c r="C3396" s="3"/>
      <c r="D3396" s="4" t="s">
        <v>2710</v>
      </c>
      <c r="E3396" s="4" t="s">
        <v>20</v>
      </c>
      <c r="F3396" s="4">
        <v>1991</v>
      </c>
      <c r="G3396" s="8">
        <v>0.2</v>
      </c>
      <c r="H3396" s="4" t="s">
        <v>20</v>
      </c>
      <c r="I3396" s="8">
        <v>0.2</v>
      </c>
      <c r="J3396" s="3">
        <f>1600</f>
        <v>1600</v>
      </c>
      <c r="K3396" s="3">
        <v>50112</v>
      </c>
      <c r="L3396" s="17" t="str" cm="1">
        <f t="array" ref="L3396">_xlfn.IFS(MID(K3396,2,2)="01", "서울", MID(K3396,2,2)="02","경기",MID(K3396,2,2)="03","충청",MID(K3396,2,2)="04","충청",MID(K3396,2,2)="05","전라",MID(K3396,2,2)="06","전라",MID(K3396,2,2)="07","경북",MID(K3396,2,2)="08","경남",MID(K3396,2,2)="09","강원",MID(K3396,2,2)="10","제주",TRUE,"국외")</f>
        <v>서울</v>
      </c>
    </row>
    <row r="3397" spans="1:12" ht="17.25" thickBot="1">
      <c r="A3397" s="3" t="s">
        <v>3283</v>
      </c>
      <c r="B3397" s="3" t="s">
        <v>1</v>
      </c>
      <c r="C3397" s="3"/>
      <c r="D3397" s="4" t="s">
        <v>2710</v>
      </c>
      <c r="E3397" s="4" t="s">
        <v>20</v>
      </c>
      <c r="F3397" s="4">
        <v>1991</v>
      </c>
      <c r="G3397" s="8">
        <v>0</v>
      </c>
      <c r="H3397" s="4" t="s">
        <v>2523</v>
      </c>
      <c r="I3397" s="8">
        <v>8.9</v>
      </c>
      <c r="J3397" s="3">
        <f>1637</f>
        <v>1637</v>
      </c>
      <c r="K3397" s="3">
        <v>50107</v>
      </c>
      <c r="L3397" s="17" t="str" cm="1">
        <f t="array" ref="L3397">_xlfn.IFS(MID(K3397,2,2)="01", "서울", MID(K3397,2,2)="02","경기",MID(K3397,2,2)="03","충청",MID(K3397,2,2)="04","충청",MID(K3397,2,2)="05","전라",MID(K3397,2,2)="06","전라",MID(K3397,2,2)="07","경북",MID(K3397,2,2)="08","경남",MID(K3397,2,2)="09","강원",MID(K3397,2,2)="10","제주",TRUE,"국외")</f>
        <v>서울</v>
      </c>
    </row>
    <row r="3398" spans="1:12" ht="17.25" thickBot="1">
      <c r="A3398" s="3" t="s">
        <v>3284</v>
      </c>
      <c r="B3398" s="3" t="s">
        <v>112</v>
      </c>
      <c r="C3398" s="3"/>
      <c r="D3398" s="4" t="s">
        <v>2710</v>
      </c>
      <c r="E3398" s="4" t="s">
        <v>20</v>
      </c>
      <c r="F3398" s="4">
        <v>1991</v>
      </c>
      <c r="G3398" s="8">
        <v>-0.1</v>
      </c>
      <c r="H3398" s="4" t="s">
        <v>20</v>
      </c>
      <c r="I3398" s="8">
        <v>0.8</v>
      </c>
      <c r="J3398" s="3">
        <f>1594</f>
        <v>1594</v>
      </c>
      <c r="K3398" s="3">
        <v>50113</v>
      </c>
      <c r="L3398" s="17" t="str" cm="1">
        <f t="array" ref="L3398">_xlfn.IFS(MID(K3398,2,2)="01", "서울", MID(K3398,2,2)="02","경기",MID(K3398,2,2)="03","충청",MID(K3398,2,2)="04","충청",MID(K3398,2,2)="05","전라",MID(K3398,2,2)="06","전라",MID(K3398,2,2)="07","경북",MID(K3398,2,2)="08","경남",MID(K3398,2,2)="09","강원",MID(K3398,2,2)="10","제주",TRUE,"국외")</f>
        <v>서울</v>
      </c>
    </row>
    <row r="3399" spans="1:12" ht="17.25" thickBot="1">
      <c r="A3399" s="3" t="s">
        <v>3285</v>
      </c>
      <c r="B3399" s="3" t="s">
        <v>68</v>
      </c>
      <c r="C3399" s="3"/>
      <c r="D3399" s="4" t="s">
        <v>2710</v>
      </c>
      <c r="E3399" s="4" t="s">
        <v>20</v>
      </c>
      <c r="F3399" s="4">
        <v>1991</v>
      </c>
      <c r="G3399" s="8">
        <v>-2</v>
      </c>
      <c r="H3399" s="4" t="s">
        <v>20</v>
      </c>
      <c r="I3399" s="8">
        <v>-3.5</v>
      </c>
      <c r="J3399" s="3">
        <f>1625</f>
        <v>1625</v>
      </c>
      <c r="K3399" s="3">
        <v>50101</v>
      </c>
      <c r="L3399" s="17" t="str" cm="1">
        <f t="array" ref="L3399">_xlfn.IFS(MID(K3399,2,2)="01", "서울", MID(K3399,2,2)="02","경기",MID(K3399,2,2)="03","충청",MID(K3399,2,2)="04","충청",MID(K3399,2,2)="05","전라",MID(K3399,2,2)="06","전라",MID(K3399,2,2)="07","경북",MID(K3399,2,2)="08","경남",MID(K3399,2,2)="09","강원",MID(K3399,2,2)="10","제주",TRUE,"국외")</f>
        <v>서울</v>
      </c>
    </row>
    <row r="3400" spans="1:12" ht="17.25" thickBot="1">
      <c r="A3400" s="3" t="s">
        <v>3286</v>
      </c>
      <c r="B3400" s="3" t="s">
        <v>32</v>
      </c>
      <c r="C3400" s="3"/>
      <c r="D3400" s="4" t="s">
        <v>2710</v>
      </c>
      <c r="E3400" s="4" t="s">
        <v>20</v>
      </c>
      <c r="F3400" s="4">
        <v>1992</v>
      </c>
      <c r="G3400" s="9"/>
      <c r="H3400" s="4" t="s">
        <v>20</v>
      </c>
      <c r="I3400" s="8">
        <v>0.1</v>
      </c>
      <c r="J3400" s="3">
        <f>1732</f>
        <v>1732</v>
      </c>
      <c r="K3400" s="3">
        <v>50111</v>
      </c>
      <c r="L3400" s="17" t="str" cm="1">
        <f t="array" ref="L3400">_xlfn.IFS(MID(K3400,2,2)="01", "서울", MID(K3400,2,2)="02","경기",MID(K3400,2,2)="03","충청",MID(K3400,2,2)="04","충청",MID(K3400,2,2)="05","전라",MID(K3400,2,2)="06","전라",MID(K3400,2,2)="07","경북",MID(K3400,2,2)="08","경남",MID(K3400,2,2)="09","강원",MID(K3400,2,2)="10","제주",TRUE,"국외")</f>
        <v>서울</v>
      </c>
    </row>
    <row r="3401" spans="1:12" ht="17.25" thickBot="1">
      <c r="A3401" s="3" t="s">
        <v>3287</v>
      </c>
      <c r="B3401" s="3" t="s">
        <v>32</v>
      </c>
      <c r="C3401" s="3"/>
      <c r="D3401" s="4" t="s">
        <v>2710</v>
      </c>
      <c r="E3401" s="4" t="s">
        <v>20</v>
      </c>
      <c r="F3401" s="4">
        <v>1991</v>
      </c>
      <c r="G3401" s="8">
        <v>-0.2</v>
      </c>
      <c r="H3401" s="4" t="s">
        <v>20</v>
      </c>
      <c r="I3401" s="8">
        <v>15.2</v>
      </c>
      <c r="J3401" s="3">
        <v>10478</v>
      </c>
      <c r="K3401" s="3">
        <v>50111</v>
      </c>
      <c r="L3401" s="17" t="str" cm="1">
        <f t="array" ref="L3401">_xlfn.IFS(MID(K3401,2,2)="01", "서울", MID(K3401,2,2)="02","경기",MID(K3401,2,2)="03","충청",MID(K3401,2,2)="04","충청",MID(K3401,2,2)="05","전라",MID(K3401,2,2)="06","전라",MID(K3401,2,2)="07","경북",MID(K3401,2,2)="08","경남",MID(K3401,2,2)="09","강원",MID(K3401,2,2)="10","제주",TRUE,"국외")</f>
        <v>서울</v>
      </c>
    </row>
    <row r="3402" spans="1:12" ht="17.25" thickBot="1">
      <c r="A3402" s="3" t="s">
        <v>3288</v>
      </c>
      <c r="B3402" s="3" t="s">
        <v>40</v>
      </c>
      <c r="C3402" s="3"/>
      <c r="D3402" s="4" t="s">
        <v>2710</v>
      </c>
      <c r="E3402" s="4" t="s">
        <v>2725</v>
      </c>
      <c r="F3402" s="4">
        <v>1991</v>
      </c>
      <c r="G3402" s="8">
        <v>1.5</v>
      </c>
      <c r="H3402" s="4" t="s">
        <v>2725</v>
      </c>
      <c r="I3402" s="8">
        <v>10.1</v>
      </c>
      <c r="J3402" s="3">
        <f>1613</f>
        <v>1613</v>
      </c>
      <c r="K3402" s="3">
        <v>50108</v>
      </c>
      <c r="L3402" s="17" t="str" cm="1">
        <f t="array" ref="L3402">_xlfn.IFS(MID(K3402,2,2)="01", "서울", MID(K3402,2,2)="02","경기",MID(K3402,2,2)="03","충청",MID(K3402,2,2)="04","충청",MID(K3402,2,2)="05","전라",MID(K3402,2,2)="06","전라",MID(K3402,2,2)="07","경북",MID(K3402,2,2)="08","경남",MID(K3402,2,2)="09","강원",MID(K3402,2,2)="10","제주",TRUE,"국외")</f>
        <v>서울</v>
      </c>
    </row>
    <row r="3403" spans="1:12" ht="17.25" thickBot="1">
      <c r="A3403" s="3" t="s">
        <v>621</v>
      </c>
      <c r="B3403" s="3" t="s">
        <v>3038</v>
      </c>
      <c r="C3403" s="3"/>
      <c r="D3403" s="4" t="s">
        <v>2710</v>
      </c>
      <c r="E3403" s="4" t="s">
        <v>2725</v>
      </c>
      <c r="F3403" s="4">
        <v>1991</v>
      </c>
      <c r="G3403" s="8">
        <v>0.1</v>
      </c>
      <c r="H3403" s="4" t="s">
        <v>2725</v>
      </c>
      <c r="I3403" s="8">
        <v>-0.6</v>
      </c>
      <c r="J3403" s="3">
        <f>1595</f>
        <v>1595</v>
      </c>
      <c r="K3403" s="3">
        <v>50126</v>
      </c>
      <c r="L3403" s="17" t="str" cm="1">
        <f t="array" ref="L3403">_xlfn.IFS(MID(K3403,2,2)="01", "서울", MID(K3403,2,2)="02","경기",MID(K3403,2,2)="03","충청",MID(K3403,2,2)="04","충청",MID(K3403,2,2)="05","전라",MID(K3403,2,2)="06","전라",MID(K3403,2,2)="07","경북",MID(K3403,2,2)="08","경남",MID(K3403,2,2)="09","강원",MID(K3403,2,2)="10","제주",TRUE,"국외")</f>
        <v>서울</v>
      </c>
    </row>
    <row r="3404" spans="1:12" ht="17.25" thickBot="1">
      <c r="A3404" s="3" t="s">
        <v>3289</v>
      </c>
      <c r="B3404" s="3" t="s">
        <v>40</v>
      </c>
      <c r="C3404" s="3"/>
      <c r="D3404" s="4" t="s">
        <v>2710</v>
      </c>
      <c r="E3404" s="4" t="s">
        <v>2725</v>
      </c>
      <c r="F3404" s="4">
        <v>1991</v>
      </c>
      <c r="G3404" s="8">
        <v>0</v>
      </c>
      <c r="H3404" s="4" t="s">
        <v>2725</v>
      </c>
      <c r="I3404" s="8">
        <v>-0.4</v>
      </c>
      <c r="J3404" s="3">
        <f>1604</f>
        <v>1604</v>
      </c>
      <c r="K3404" s="3">
        <v>50108</v>
      </c>
      <c r="L3404" s="17" t="str" cm="1">
        <f t="array" ref="L3404">_xlfn.IFS(MID(K3404,2,2)="01", "서울", MID(K3404,2,2)="02","경기",MID(K3404,2,2)="03","충청",MID(K3404,2,2)="04","충청",MID(K3404,2,2)="05","전라",MID(K3404,2,2)="06","전라",MID(K3404,2,2)="07","경북",MID(K3404,2,2)="08","경남",MID(K3404,2,2)="09","강원",MID(K3404,2,2)="10","제주",TRUE,"국외")</f>
        <v>서울</v>
      </c>
    </row>
    <row r="3405" spans="1:12" ht="17.25" thickBot="1">
      <c r="A3405" s="3" t="s">
        <v>3290</v>
      </c>
      <c r="B3405" s="3" t="s">
        <v>1950</v>
      </c>
      <c r="C3405" s="3"/>
      <c r="D3405" s="4" t="s">
        <v>2710</v>
      </c>
      <c r="E3405" s="4" t="s">
        <v>2725</v>
      </c>
      <c r="F3405" s="4">
        <v>1992</v>
      </c>
      <c r="G3405" s="9"/>
      <c r="H3405" s="4" t="s">
        <v>2725</v>
      </c>
      <c r="I3405" s="8">
        <v>-0.1</v>
      </c>
      <c r="J3405" s="3">
        <f>1679</f>
        <v>1679</v>
      </c>
      <c r="K3405" s="3">
        <v>50115</v>
      </c>
      <c r="L3405" s="17" t="str" cm="1">
        <f t="array" ref="L3405">_xlfn.IFS(MID(K3405,2,2)="01", "서울", MID(K3405,2,2)="02","경기",MID(K3405,2,2)="03","충청",MID(K3405,2,2)="04","충청",MID(K3405,2,2)="05","전라",MID(K3405,2,2)="06","전라",MID(K3405,2,2)="07","경북",MID(K3405,2,2)="08","경남",MID(K3405,2,2)="09","강원",MID(K3405,2,2)="10","제주",TRUE,"국외")</f>
        <v>서울</v>
      </c>
    </row>
    <row r="3406" spans="1:12" ht="17.25" thickBot="1">
      <c r="A3406" s="3" t="s">
        <v>3291</v>
      </c>
      <c r="B3406" s="3" t="s">
        <v>1950</v>
      </c>
      <c r="C3406" s="3"/>
      <c r="D3406" s="4" t="s">
        <v>2710</v>
      </c>
      <c r="E3406" s="4" t="s">
        <v>2725</v>
      </c>
      <c r="F3406" s="4">
        <v>1992</v>
      </c>
      <c r="G3406" s="9"/>
      <c r="H3406" s="4" t="s">
        <v>2725</v>
      </c>
      <c r="I3406" s="8">
        <v>0</v>
      </c>
      <c r="J3406" s="3">
        <f>1717</f>
        <v>1717</v>
      </c>
      <c r="K3406" s="3">
        <v>50115</v>
      </c>
      <c r="L3406" s="17" t="str" cm="1">
        <f t="array" ref="L3406">_xlfn.IFS(MID(K3406,2,2)="01", "서울", MID(K3406,2,2)="02","경기",MID(K3406,2,2)="03","충청",MID(K3406,2,2)="04","충청",MID(K3406,2,2)="05","전라",MID(K3406,2,2)="06","전라",MID(K3406,2,2)="07","경북",MID(K3406,2,2)="08","경남",MID(K3406,2,2)="09","강원",MID(K3406,2,2)="10","제주",TRUE,"국외")</f>
        <v>서울</v>
      </c>
    </row>
    <row r="3407" spans="1:12" ht="17.25" thickBot="1">
      <c r="A3407" s="3" t="s">
        <v>3292</v>
      </c>
      <c r="B3407" s="3" t="s">
        <v>3038</v>
      </c>
      <c r="C3407" s="3"/>
      <c r="D3407" s="4" t="s">
        <v>2710</v>
      </c>
      <c r="E3407" s="4" t="s">
        <v>2725</v>
      </c>
      <c r="F3407" s="4">
        <v>1992</v>
      </c>
      <c r="G3407" s="9"/>
      <c r="H3407" s="4" t="s">
        <v>2725</v>
      </c>
      <c r="I3407" s="8">
        <v>-0.1</v>
      </c>
      <c r="J3407" s="3">
        <f>1656</f>
        <v>1656</v>
      </c>
      <c r="K3407" s="3">
        <v>50126</v>
      </c>
      <c r="L3407" s="17" t="str" cm="1">
        <f t="array" ref="L3407">_xlfn.IFS(MID(K3407,2,2)="01", "서울", MID(K3407,2,2)="02","경기",MID(K3407,2,2)="03","충청",MID(K3407,2,2)="04","충청",MID(K3407,2,2)="05","전라",MID(K3407,2,2)="06","전라",MID(K3407,2,2)="07","경북",MID(K3407,2,2)="08","경남",MID(K3407,2,2)="09","강원",MID(K3407,2,2)="10","제주",TRUE,"국외")</f>
        <v>서울</v>
      </c>
    </row>
    <row r="3408" spans="1:12" ht="17.25" thickBot="1">
      <c r="A3408" s="3" t="s">
        <v>1127</v>
      </c>
      <c r="B3408" s="3" t="s">
        <v>93</v>
      </c>
      <c r="C3408" s="3"/>
      <c r="D3408" s="4" t="s">
        <v>2710</v>
      </c>
      <c r="E3408" s="4" t="s">
        <v>9</v>
      </c>
      <c r="F3408" s="4">
        <v>1991</v>
      </c>
      <c r="G3408" s="8">
        <v>3.8</v>
      </c>
      <c r="H3408" s="4" t="s">
        <v>9</v>
      </c>
      <c r="I3408" s="8">
        <v>4</v>
      </c>
      <c r="J3408" s="3">
        <f>1610</f>
        <v>1610</v>
      </c>
      <c r="K3408" s="3">
        <v>50805</v>
      </c>
      <c r="L3408" s="17" t="str" cm="1">
        <f t="array" ref="L3408">_xlfn.IFS(MID(K3408,2,2)="01", "서울", MID(K3408,2,2)="02","경기",MID(K3408,2,2)="03","충청",MID(K3408,2,2)="04","충청",MID(K3408,2,2)="05","전라",MID(K3408,2,2)="06","전라",MID(K3408,2,2)="07","경북",MID(K3408,2,2)="08","경남",MID(K3408,2,2)="09","강원",MID(K3408,2,2)="10","제주",TRUE,"국외")</f>
        <v>경남</v>
      </c>
    </row>
    <row r="3409" spans="1:12" ht="17.25" thickBot="1">
      <c r="A3409" s="3" t="s">
        <v>3293</v>
      </c>
      <c r="B3409" s="3" t="s">
        <v>36</v>
      </c>
      <c r="C3409" s="3"/>
      <c r="D3409" s="4" t="s">
        <v>2710</v>
      </c>
      <c r="E3409" s="4" t="s">
        <v>3101</v>
      </c>
      <c r="F3409" s="4">
        <v>1994</v>
      </c>
      <c r="G3409" s="9"/>
      <c r="H3409" s="4" t="s">
        <v>3</v>
      </c>
      <c r="I3409" s="8">
        <v>-0.2</v>
      </c>
      <c r="J3409" s="3">
        <f>1822</f>
        <v>1822</v>
      </c>
      <c r="K3409" s="3">
        <v>50402</v>
      </c>
      <c r="L3409" s="17" t="str" cm="1">
        <f t="array" ref="L3409">_xlfn.IFS(MID(K3409,2,2)="01", "서울", MID(K3409,2,2)="02","경기",MID(K3409,2,2)="03","충청",MID(K3409,2,2)="04","충청",MID(K3409,2,2)="05","전라",MID(K3409,2,2)="06","전라",MID(K3409,2,2)="07","경북",MID(K3409,2,2)="08","경남",MID(K3409,2,2)="09","강원",MID(K3409,2,2)="10","제주",TRUE,"국외")</f>
        <v>충청</v>
      </c>
    </row>
    <row r="3410" spans="1:12" ht="17.25" thickBot="1">
      <c r="A3410" s="3" t="s">
        <v>3294</v>
      </c>
      <c r="B3410" s="3" t="s">
        <v>464</v>
      </c>
      <c r="C3410" s="3"/>
      <c r="D3410" s="4" t="s">
        <v>2710</v>
      </c>
      <c r="E3410" s="4" t="s">
        <v>23</v>
      </c>
      <c r="F3410" s="4">
        <v>1992</v>
      </c>
      <c r="G3410" s="9"/>
      <c r="H3410" s="4" t="s">
        <v>23</v>
      </c>
      <c r="I3410" s="8">
        <v>14.4</v>
      </c>
      <c r="J3410" s="3">
        <f>1672</f>
        <v>1672</v>
      </c>
      <c r="K3410" s="3">
        <v>50706</v>
      </c>
      <c r="L3410" s="17" t="str" cm="1">
        <f t="array" ref="L3410">_xlfn.IFS(MID(K3410,2,2)="01", "서울", MID(K3410,2,2)="02","경기",MID(K3410,2,2)="03","충청",MID(K3410,2,2)="04","충청",MID(K3410,2,2)="05","전라",MID(K3410,2,2)="06","전라",MID(K3410,2,2)="07","경북",MID(K3410,2,2)="08","경남",MID(K3410,2,2)="09","강원",MID(K3410,2,2)="10","제주",TRUE,"국외")</f>
        <v>경북</v>
      </c>
    </row>
    <row r="3411" spans="1:12" ht="17.25" thickBot="1">
      <c r="A3411" s="3" t="s">
        <v>3295</v>
      </c>
      <c r="B3411" s="3" t="s">
        <v>228</v>
      </c>
      <c r="C3411" s="3"/>
      <c r="D3411" s="4" t="s">
        <v>2710</v>
      </c>
      <c r="E3411" s="4" t="s">
        <v>23</v>
      </c>
      <c r="F3411" s="4">
        <v>1991</v>
      </c>
      <c r="G3411" s="8">
        <v>0.9</v>
      </c>
      <c r="H3411" s="4" t="s">
        <v>23</v>
      </c>
      <c r="I3411" s="8">
        <v>-2.2999999999999998</v>
      </c>
      <c r="J3411" s="3">
        <f>1633</f>
        <v>1633</v>
      </c>
      <c r="K3411" s="3">
        <v>50702</v>
      </c>
      <c r="L3411" s="17" t="str" cm="1">
        <f t="array" ref="L3411">_xlfn.IFS(MID(K3411,2,2)="01", "서울", MID(K3411,2,2)="02","경기",MID(K3411,2,2)="03","충청",MID(K3411,2,2)="04","충청",MID(K3411,2,2)="05","전라",MID(K3411,2,2)="06","전라",MID(K3411,2,2)="07","경북",MID(K3411,2,2)="08","경남",MID(K3411,2,2)="09","강원",MID(K3411,2,2)="10","제주",TRUE,"국외")</f>
        <v>경북</v>
      </c>
    </row>
    <row r="3412" spans="1:12" ht="17.25" thickBot="1">
      <c r="A3412" s="3" t="s">
        <v>3296</v>
      </c>
      <c r="B3412" s="3" t="s">
        <v>2524</v>
      </c>
      <c r="C3412" s="3"/>
      <c r="D3412" s="4" t="s">
        <v>2710</v>
      </c>
      <c r="E3412" s="4" t="s">
        <v>23</v>
      </c>
      <c r="F3412" s="4">
        <v>1992</v>
      </c>
      <c r="G3412" s="9"/>
      <c r="H3412" s="4" t="s">
        <v>26</v>
      </c>
      <c r="I3412" s="8">
        <v>2.6</v>
      </c>
      <c r="J3412" s="3">
        <v>10194</v>
      </c>
      <c r="K3412" s="3">
        <v>50711</v>
      </c>
      <c r="L3412" s="17" t="str" cm="1">
        <f t="array" ref="L3412">_xlfn.IFS(MID(K3412,2,2)="01", "서울", MID(K3412,2,2)="02","경기",MID(K3412,2,2)="03","충청",MID(K3412,2,2)="04","충청",MID(K3412,2,2)="05","전라",MID(K3412,2,2)="06","전라",MID(K3412,2,2)="07","경북",MID(K3412,2,2)="08","경남",MID(K3412,2,2)="09","강원",MID(K3412,2,2)="10","제주",TRUE,"국외")</f>
        <v>경북</v>
      </c>
    </row>
    <row r="3413" spans="1:12" ht="17.25" thickBot="1">
      <c r="A3413" s="3" t="s">
        <v>3297</v>
      </c>
      <c r="B3413" s="3" t="s">
        <v>464</v>
      </c>
      <c r="C3413" s="3"/>
      <c r="D3413" s="4" t="s">
        <v>2710</v>
      </c>
      <c r="E3413" s="4" t="s">
        <v>23</v>
      </c>
      <c r="F3413" s="4">
        <v>1994</v>
      </c>
      <c r="G3413" s="9"/>
      <c r="H3413" s="4" t="s">
        <v>23</v>
      </c>
      <c r="I3413" s="8">
        <v>-0.3</v>
      </c>
      <c r="J3413" s="3">
        <f>1830</f>
        <v>1830</v>
      </c>
      <c r="K3413" s="3">
        <v>50706</v>
      </c>
      <c r="L3413" s="17" t="str" cm="1">
        <f t="array" ref="L3413">_xlfn.IFS(MID(K3413,2,2)="01", "서울", MID(K3413,2,2)="02","경기",MID(K3413,2,2)="03","충청",MID(K3413,2,2)="04","충청",MID(K3413,2,2)="05","전라",MID(K3413,2,2)="06","전라",MID(K3413,2,2)="07","경북",MID(K3413,2,2)="08","경남",MID(K3413,2,2)="09","강원",MID(K3413,2,2)="10","제주",TRUE,"국외")</f>
        <v>경북</v>
      </c>
    </row>
    <row r="3414" spans="1:12" ht="17.25" thickBot="1">
      <c r="A3414" s="3" t="s">
        <v>3298</v>
      </c>
      <c r="B3414" s="3" t="s">
        <v>42</v>
      </c>
      <c r="C3414" s="3"/>
      <c r="D3414" s="4" t="s">
        <v>2710</v>
      </c>
      <c r="E3414" s="4" t="s">
        <v>2661</v>
      </c>
      <c r="F3414" s="4">
        <v>1991</v>
      </c>
      <c r="G3414" s="8">
        <v>0</v>
      </c>
      <c r="H3414" s="4" t="s">
        <v>2661</v>
      </c>
      <c r="I3414" s="8">
        <v>0</v>
      </c>
      <c r="J3414" s="3">
        <f>1591</f>
        <v>1591</v>
      </c>
      <c r="K3414" s="3">
        <v>50502</v>
      </c>
      <c r="L3414" s="17" t="str" cm="1">
        <f t="array" ref="L3414">_xlfn.IFS(MID(K3414,2,2)="01", "서울", MID(K3414,2,2)="02","경기",MID(K3414,2,2)="03","충청",MID(K3414,2,2)="04","충청",MID(K3414,2,2)="05","전라",MID(K3414,2,2)="06","전라",MID(K3414,2,2)="07","경북",MID(K3414,2,2)="08","경남",MID(K3414,2,2)="09","강원",MID(K3414,2,2)="10","제주",TRUE,"국외")</f>
        <v>전라</v>
      </c>
    </row>
    <row r="3415" spans="1:12" ht="17.25" thickBot="1">
      <c r="A3415" s="3" t="s">
        <v>3299</v>
      </c>
      <c r="B3415" s="3" t="s">
        <v>42</v>
      </c>
      <c r="C3415" s="3"/>
      <c r="D3415" s="4" t="s">
        <v>2710</v>
      </c>
      <c r="E3415" s="4" t="s">
        <v>2661</v>
      </c>
      <c r="F3415" s="4">
        <v>1991</v>
      </c>
      <c r="G3415" s="8">
        <v>2</v>
      </c>
      <c r="H3415" s="4" t="s">
        <v>607</v>
      </c>
      <c r="I3415" s="8">
        <v>31.3</v>
      </c>
      <c r="J3415" s="3">
        <v>14890</v>
      </c>
      <c r="K3415" s="3">
        <v>50502</v>
      </c>
      <c r="L3415" s="17" t="str" cm="1">
        <f t="array" ref="L3415">_xlfn.IFS(MID(K3415,2,2)="01", "서울", MID(K3415,2,2)="02","경기",MID(K3415,2,2)="03","충청",MID(K3415,2,2)="04","충청",MID(K3415,2,2)="05","전라",MID(K3415,2,2)="06","전라",MID(K3415,2,2)="07","경북",MID(K3415,2,2)="08","경남",MID(K3415,2,2)="09","강원",MID(K3415,2,2)="10","제주",TRUE,"국외")</f>
        <v>전라</v>
      </c>
    </row>
    <row r="3416" spans="1:12" ht="17.25" thickBot="1">
      <c r="A3416" s="3" t="s">
        <v>3300</v>
      </c>
      <c r="B3416" s="3" t="s">
        <v>22</v>
      </c>
      <c r="C3416" s="3"/>
      <c r="D3416" s="4" t="s">
        <v>2710</v>
      </c>
      <c r="E3416" s="4" t="s">
        <v>2968</v>
      </c>
      <c r="F3416" s="4">
        <v>1991</v>
      </c>
      <c r="G3416" s="8">
        <v>-0.1</v>
      </c>
      <c r="H3416" s="4" t="s">
        <v>2968</v>
      </c>
      <c r="I3416" s="8">
        <v>-0.5</v>
      </c>
      <c r="J3416" s="3">
        <f>1593</f>
        <v>1593</v>
      </c>
      <c r="K3416" s="3">
        <v>50209</v>
      </c>
      <c r="L3416" s="17" t="str" cm="1">
        <f t="array" ref="L3416">_xlfn.IFS(MID(K3416,2,2)="01", "서울", MID(K3416,2,2)="02","경기",MID(K3416,2,2)="03","충청",MID(K3416,2,2)="04","충청",MID(K3416,2,2)="05","전라",MID(K3416,2,2)="06","전라",MID(K3416,2,2)="07","경북",MID(K3416,2,2)="08","경남",MID(K3416,2,2)="09","강원",MID(K3416,2,2)="10","제주",TRUE,"국외")</f>
        <v>경기</v>
      </c>
    </row>
    <row r="3417" spans="1:12" ht="17.25" thickBot="1">
      <c r="A3417" s="3" t="s">
        <v>3301</v>
      </c>
      <c r="B3417" s="3" t="s">
        <v>351</v>
      </c>
      <c r="C3417" s="3"/>
      <c r="D3417" s="4" t="s">
        <v>2710</v>
      </c>
      <c r="E3417" s="4" t="s">
        <v>2968</v>
      </c>
      <c r="F3417" s="4">
        <v>1992</v>
      </c>
      <c r="G3417" s="9"/>
      <c r="H3417" s="4" t="s">
        <v>2968</v>
      </c>
      <c r="I3417" s="8">
        <v>1.3</v>
      </c>
      <c r="J3417" s="3">
        <f>1704</f>
        <v>1704</v>
      </c>
      <c r="K3417" s="3">
        <v>50203</v>
      </c>
      <c r="L3417" s="17" t="str" cm="1">
        <f t="array" ref="L3417">_xlfn.IFS(MID(K3417,2,2)="01", "서울", MID(K3417,2,2)="02","경기",MID(K3417,2,2)="03","충청",MID(K3417,2,2)="04","충청",MID(K3417,2,2)="05","전라",MID(K3417,2,2)="06","전라",MID(K3417,2,2)="07","경북",MID(K3417,2,2)="08","경남",MID(K3417,2,2)="09","강원",MID(K3417,2,2)="10","제주",TRUE,"국외")</f>
        <v>경기</v>
      </c>
    </row>
    <row r="3418" spans="1:12" ht="17.25" thickBot="1">
      <c r="A3418" s="3" t="s">
        <v>3302</v>
      </c>
      <c r="B3418" s="3" t="s">
        <v>351</v>
      </c>
      <c r="C3418" s="3"/>
      <c r="D3418" s="4" t="s">
        <v>2710</v>
      </c>
      <c r="E3418" s="4" t="s">
        <v>2968</v>
      </c>
      <c r="F3418" s="4">
        <v>1991</v>
      </c>
      <c r="G3418" s="8">
        <v>0.5</v>
      </c>
      <c r="H3418" s="4" t="s">
        <v>2968</v>
      </c>
      <c r="I3418" s="8">
        <v>-0.4</v>
      </c>
      <c r="J3418" s="3">
        <f>1634</f>
        <v>1634</v>
      </c>
      <c r="K3418" s="3">
        <v>50203</v>
      </c>
      <c r="L3418" s="17" t="str" cm="1">
        <f t="array" ref="L3418">_xlfn.IFS(MID(K3418,2,2)="01", "서울", MID(K3418,2,2)="02","경기",MID(K3418,2,2)="03","충청",MID(K3418,2,2)="04","충청",MID(K3418,2,2)="05","전라",MID(K3418,2,2)="06","전라",MID(K3418,2,2)="07","경북",MID(K3418,2,2)="08","경남",MID(K3418,2,2)="09","강원",MID(K3418,2,2)="10","제주",TRUE,"국외")</f>
        <v>경기</v>
      </c>
    </row>
    <row r="3419" spans="1:12" ht="17.25" thickBot="1">
      <c r="A3419" s="3" t="s">
        <v>3303</v>
      </c>
      <c r="B3419" s="3" t="s">
        <v>351</v>
      </c>
      <c r="C3419" s="3"/>
      <c r="D3419" s="4" t="s">
        <v>2710</v>
      </c>
      <c r="E3419" s="4" t="s">
        <v>2968</v>
      </c>
      <c r="F3419" s="4">
        <v>1992</v>
      </c>
      <c r="G3419" s="9"/>
      <c r="H3419" s="4" t="s">
        <v>3</v>
      </c>
      <c r="I3419" s="8">
        <v>-1.4</v>
      </c>
      <c r="J3419" s="3">
        <f>1714</f>
        <v>1714</v>
      </c>
      <c r="K3419" s="3">
        <v>50203</v>
      </c>
      <c r="L3419" s="17" t="str" cm="1">
        <f t="array" ref="L3419">_xlfn.IFS(MID(K3419,2,2)="01", "서울", MID(K3419,2,2)="02","경기",MID(K3419,2,2)="03","충청",MID(K3419,2,2)="04","충청",MID(K3419,2,2)="05","전라",MID(K3419,2,2)="06","전라",MID(K3419,2,2)="07","경북",MID(K3419,2,2)="08","경남",MID(K3419,2,2)="09","강원",MID(K3419,2,2)="10","제주",TRUE,"국외")</f>
        <v>경기</v>
      </c>
    </row>
    <row r="3420" spans="1:12" ht="17.25" thickBot="1">
      <c r="A3420" s="3" t="s">
        <v>3304</v>
      </c>
      <c r="B3420" s="3" t="s">
        <v>2351</v>
      </c>
      <c r="C3420" s="3"/>
      <c r="D3420" s="4" t="s">
        <v>2710</v>
      </c>
      <c r="E3420" s="4" t="s">
        <v>2523</v>
      </c>
      <c r="F3420" s="4">
        <v>1992</v>
      </c>
      <c r="G3420" s="9"/>
      <c r="H3420" s="4" t="s">
        <v>2523</v>
      </c>
      <c r="I3420" s="8">
        <v>0.1</v>
      </c>
      <c r="J3420" s="3">
        <f>1706</f>
        <v>1706</v>
      </c>
      <c r="K3420" s="3">
        <v>50609</v>
      </c>
      <c r="L3420" s="17" t="str" cm="1">
        <f t="array" ref="L3420">_xlfn.IFS(MID(K3420,2,2)="01", "서울", MID(K3420,2,2)="02","경기",MID(K3420,2,2)="03","충청",MID(K3420,2,2)="04","충청",MID(K3420,2,2)="05","전라",MID(K3420,2,2)="06","전라",MID(K3420,2,2)="07","경북",MID(K3420,2,2)="08","경남",MID(K3420,2,2)="09","강원",MID(K3420,2,2)="10","제주",TRUE,"국외")</f>
        <v>전라</v>
      </c>
    </row>
    <row r="3421" spans="1:12" ht="17.25" thickBot="1">
      <c r="A3421" s="3" t="s">
        <v>3305</v>
      </c>
      <c r="B3421" s="3" t="s">
        <v>121</v>
      </c>
      <c r="C3421" s="3"/>
      <c r="D3421" s="4" t="s">
        <v>2710</v>
      </c>
      <c r="E3421" s="4" t="s">
        <v>2523</v>
      </c>
      <c r="F3421" s="4">
        <v>1991</v>
      </c>
      <c r="G3421" s="8">
        <v>0.1</v>
      </c>
      <c r="H3421" s="4" t="s">
        <v>23</v>
      </c>
      <c r="I3421" s="8">
        <v>-1</v>
      </c>
      <c r="J3421" s="3">
        <f>1626</f>
        <v>1626</v>
      </c>
      <c r="K3421" s="3">
        <v>50604</v>
      </c>
      <c r="L3421" s="17" t="str" cm="1">
        <f t="array" ref="L3421">_xlfn.IFS(MID(K3421,2,2)="01", "서울", MID(K3421,2,2)="02","경기",MID(K3421,2,2)="03","충청",MID(K3421,2,2)="04","충청",MID(K3421,2,2)="05","전라",MID(K3421,2,2)="06","전라",MID(K3421,2,2)="07","경북",MID(K3421,2,2)="08","경남",MID(K3421,2,2)="09","강원",MID(K3421,2,2)="10","제주",TRUE,"국외")</f>
        <v>전라</v>
      </c>
    </row>
    <row r="3422" spans="1:12" ht="17.25" thickBot="1">
      <c r="A3422" s="3" t="s">
        <v>3306</v>
      </c>
      <c r="B3422" s="3" t="s">
        <v>2491</v>
      </c>
      <c r="C3422" s="3"/>
      <c r="D3422" s="4" t="s">
        <v>2710</v>
      </c>
      <c r="E3422" s="4" t="s">
        <v>2523</v>
      </c>
      <c r="F3422" s="4">
        <v>1991</v>
      </c>
      <c r="G3422" s="8">
        <v>0</v>
      </c>
      <c r="H3422" s="4" t="s">
        <v>2523</v>
      </c>
      <c r="I3422" s="8">
        <v>-0.5</v>
      </c>
      <c r="J3422" s="3">
        <f>1579</f>
        <v>1579</v>
      </c>
      <c r="K3422" s="3">
        <v>50608</v>
      </c>
      <c r="L3422" s="17" t="str" cm="1">
        <f t="array" ref="L3422">_xlfn.IFS(MID(K3422,2,2)="01", "서울", MID(K3422,2,2)="02","경기",MID(K3422,2,2)="03","충청",MID(K3422,2,2)="04","충청",MID(K3422,2,2)="05","전라",MID(K3422,2,2)="06","전라",MID(K3422,2,2)="07","경북",MID(K3422,2,2)="08","경남",MID(K3422,2,2)="09","강원",MID(K3422,2,2)="10","제주",TRUE,"국외")</f>
        <v>전라</v>
      </c>
    </row>
    <row r="3423" spans="1:12" ht="17.25" thickBot="1">
      <c r="A3423" s="3" t="s">
        <v>3307</v>
      </c>
      <c r="B3423" s="3"/>
      <c r="C3423" s="3"/>
      <c r="D3423" s="4" t="s">
        <v>2710</v>
      </c>
      <c r="E3423" s="4" t="s">
        <v>23</v>
      </c>
      <c r="F3423" s="4">
        <v>1991</v>
      </c>
      <c r="G3423" s="8">
        <v>0</v>
      </c>
      <c r="H3423" s="4" t="s">
        <v>23</v>
      </c>
      <c r="I3423" s="8">
        <v>0</v>
      </c>
      <c r="J3423" s="3">
        <v>15650</v>
      </c>
      <c r="K3423" s="3"/>
      <c r="L3423" s="17" t="str" cm="1">
        <f t="array" ref="L3423">_xlfn.IFS(MID(K3423,2,2)="01", "서울", MID(K3423,2,2)="02","경기",MID(K3423,2,2)="03","충청",MID(K3423,2,2)="04","충청",MID(K3423,2,2)="05","전라",MID(K3423,2,2)="06","전라",MID(K3423,2,2)="07","경북",MID(K3423,2,2)="08","경남",MID(K3423,2,2)="09","강원",MID(K3423,2,2)="10","제주",TRUE,"국외")</f>
        <v>국외</v>
      </c>
    </row>
    <row r="3424" spans="1:12" ht="17.25" thickBot="1">
      <c r="A3424" s="3" t="s">
        <v>3308</v>
      </c>
      <c r="B3424" s="3" t="s">
        <v>2524</v>
      </c>
      <c r="C3424" s="3"/>
      <c r="D3424" s="4" t="s">
        <v>2710</v>
      </c>
      <c r="E3424" s="4" t="s">
        <v>23</v>
      </c>
      <c r="F3424" s="4">
        <v>1993</v>
      </c>
      <c r="G3424" s="9"/>
      <c r="H3424" s="4" t="s">
        <v>23</v>
      </c>
      <c r="I3424" s="8">
        <v>-0.4</v>
      </c>
      <c r="J3424" s="3">
        <v>14565</v>
      </c>
      <c r="K3424" s="3">
        <v>50711</v>
      </c>
      <c r="L3424" s="17" t="str" cm="1">
        <f t="array" ref="L3424">_xlfn.IFS(MID(K3424,2,2)="01", "서울", MID(K3424,2,2)="02","경기",MID(K3424,2,2)="03","충청",MID(K3424,2,2)="04","충청",MID(K3424,2,2)="05","전라",MID(K3424,2,2)="06","전라",MID(K3424,2,2)="07","경북",MID(K3424,2,2)="08","경남",MID(K3424,2,2)="09","강원",MID(K3424,2,2)="10","제주",TRUE,"국외")</f>
        <v>경북</v>
      </c>
    </row>
    <row r="3425" spans="1:12" ht="17.25" thickBot="1">
      <c r="A3425" s="3" t="s">
        <v>2297</v>
      </c>
      <c r="B3425" s="3" t="s">
        <v>42</v>
      </c>
      <c r="C3425" s="3"/>
      <c r="D3425" s="4" t="s">
        <v>2710</v>
      </c>
      <c r="E3425" s="4" t="s">
        <v>2661</v>
      </c>
      <c r="F3425" s="4">
        <v>1993</v>
      </c>
      <c r="G3425" s="9"/>
      <c r="H3425" s="4" t="s">
        <v>2661</v>
      </c>
      <c r="I3425" s="8">
        <v>-0.2</v>
      </c>
      <c r="J3425" s="3">
        <f>1735</f>
        <v>1735</v>
      </c>
      <c r="K3425" s="3">
        <v>50502</v>
      </c>
      <c r="L3425" s="17" t="str" cm="1">
        <f t="array" ref="L3425">_xlfn.IFS(MID(K3425,2,2)="01", "서울", MID(K3425,2,2)="02","경기",MID(K3425,2,2)="03","충청",MID(K3425,2,2)="04","충청",MID(K3425,2,2)="05","전라",MID(K3425,2,2)="06","전라",MID(K3425,2,2)="07","경북",MID(K3425,2,2)="08","경남",MID(K3425,2,2)="09","강원",MID(K3425,2,2)="10","제주",TRUE,"국외")</f>
        <v>전라</v>
      </c>
    </row>
    <row r="3426" spans="1:12" ht="17.25" thickBot="1">
      <c r="A3426" s="3" t="s">
        <v>1263</v>
      </c>
      <c r="B3426" s="3"/>
      <c r="C3426" s="3" t="s">
        <v>45</v>
      </c>
      <c r="D3426" s="4" t="s">
        <v>243</v>
      </c>
      <c r="E3426" s="4" t="s">
        <v>20</v>
      </c>
      <c r="F3426" s="4">
        <v>1990</v>
      </c>
      <c r="G3426" s="8">
        <v>-0.2</v>
      </c>
      <c r="H3426" s="4" t="s">
        <v>20</v>
      </c>
      <c r="I3426" s="8">
        <v>3.2</v>
      </c>
      <c r="J3426" s="3">
        <f>1498</f>
        <v>1498</v>
      </c>
      <c r="K3426" s="3"/>
      <c r="L3426" s="17" t="str" cm="1">
        <f t="array" ref="L3426">_xlfn.IFS(MID(K3426,2,2)="01", "서울", MID(K3426,2,2)="02","경기",MID(K3426,2,2)="03","충청",MID(K3426,2,2)="04","충청",MID(K3426,2,2)="05","전라",MID(K3426,2,2)="06","전라",MID(K3426,2,2)="07","경북",MID(K3426,2,2)="08","경남",MID(K3426,2,2)="09","강원",MID(K3426,2,2)="10","제주",TRUE,"국외")</f>
        <v>국외</v>
      </c>
    </row>
    <row r="3427" spans="1:12" ht="17.25" thickBot="1">
      <c r="A3427" s="3" t="s">
        <v>3265</v>
      </c>
      <c r="B3427" s="3" t="s">
        <v>1</v>
      </c>
      <c r="C3427" s="3" t="s">
        <v>739</v>
      </c>
      <c r="D3427" s="4" t="s">
        <v>243</v>
      </c>
      <c r="E3427" s="4" t="s">
        <v>20</v>
      </c>
      <c r="F3427" s="4">
        <v>1990</v>
      </c>
      <c r="G3427" s="8">
        <v>5.0999999999999996</v>
      </c>
      <c r="H3427" s="4" t="s">
        <v>20</v>
      </c>
      <c r="I3427" s="8">
        <v>58.9</v>
      </c>
      <c r="J3427" s="3">
        <v>10386</v>
      </c>
      <c r="K3427" s="3">
        <v>50107</v>
      </c>
      <c r="L3427" s="17" t="str" cm="1">
        <f t="array" ref="L3427">_xlfn.IFS(MID(K3427,2,2)="01", "서울", MID(K3427,2,2)="02","경기",MID(K3427,2,2)="03","충청",MID(K3427,2,2)="04","충청",MID(K3427,2,2)="05","전라",MID(K3427,2,2)="06","전라",MID(K3427,2,2)="07","경북",MID(K3427,2,2)="08","경남",MID(K3427,2,2)="09","강원",MID(K3427,2,2)="10","제주",TRUE,"국외")</f>
        <v>서울</v>
      </c>
    </row>
    <row r="3428" spans="1:12" ht="17.25" thickBot="1">
      <c r="A3428" s="3" t="s">
        <v>3309</v>
      </c>
      <c r="B3428" s="3" t="s">
        <v>1</v>
      </c>
      <c r="C3428" s="3" t="s">
        <v>739</v>
      </c>
      <c r="D3428" s="4" t="s">
        <v>243</v>
      </c>
      <c r="E3428" s="4" t="s">
        <v>2725</v>
      </c>
      <c r="F3428" s="4">
        <v>1990</v>
      </c>
      <c r="G3428" s="8">
        <v>1.4</v>
      </c>
      <c r="H3428" s="4" t="s">
        <v>2725</v>
      </c>
      <c r="I3428" s="8">
        <v>7.5</v>
      </c>
      <c r="J3428" s="3">
        <f>1524</f>
        <v>1524</v>
      </c>
      <c r="K3428" s="3">
        <v>50107</v>
      </c>
      <c r="L3428" s="17" t="str" cm="1">
        <f t="array" ref="L3428">_xlfn.IFS(MID(K3428,2,2)="01", "서울", MID(K3428,2,2)="02","경기",MID(K3428,2,2)="03","충청",MID(K3428,2,2)="04","충청",MID(K3428,2,2)="05","전라",MID(K3428,2,2)="06","전라",MID(K3428,2,2)="07","경북",MID(K3428,2,2)="08","경남",MID(K3428,2,2)="09","강원",MID(K3428,2,2)="10","제주",TRUE,"국외")</f>
        <v>서울</v>
      </c>
    </row>
    <row r="3429" spans="1:12" ht="17.25" thickBot="1">
      <c r="A3429" s="3" t="s">
        <v>3310</v>
      </c>
      <c r="B3429" s="3" t="s">
        <v>361</v>
      </c>
      <c r="C3429" s="3" t="s">
        <v>211</v>
      </c>
      <c r="D3429" s="4" t="s">
        <v>243</v>
      </c>
      <c r="E3429" s="4" t="s">
        <v>2725</v>
      </c>
      <c r="F3429" s="4">
        <v>1993</v>
      </c>
      <c r="G3429" s="9"/>
      <c r="H3429" s="4" t="s">
        <v>2725</v>
      </c>
      <c r="I3429" s="8">
        <v>24.6</v>
      </c>
      <c r="J3429" s="3">
        <f>1761</f>
        <v>1761</v>
      </c>
      <c r="K3429" s="3">
        <v>50121</v>
      </c>
      <c r="L3429" s="17" t="str" cm="1">
        <f t="array" ref="L3429">_xlfn.IFS(MID(K3429,2,2)="01", "서울", MID(K3429,2,2)="02","경기",MID(K3429,2,2)="03","충청",MID(K3429,2,2)="04","충청",MID(K3429,2,2)="05","전라",MID(K3429,2,2)="06","전라",MID(K3429,2,2)="07","경북",MID(K3429,2,2)="08","경남",MID(K3429,2,2)="09","강원",MID(K3429,2,2)="10","제주",TRUE,"국외")</f>
        <v>서울</v>
      </c>
    </row>
    <row r="3430" spans="1:12" ht="17.25" thickBot="1">
      <c r="A3430" s="3" t="s">
        <v>3311</v>
      </c>
      <c r="B3430" s="3" t="s">
        <v>63</v>
      </c>
      <c r="C3430" s="3" t="s">
        <v>329</v>
      </c>
      <c r="D3430" s="4" t="s">
        <v>243</v>
      </c>
      <c r="E3430" s="4" t="s">
        <v>9</v>
      </c>
      <c r="F3430" s="4">
        <v>1990</v>
      </c>
      <c r="G3430" s="8">
        <v>0.7</v>
      </c>
      <c r="H3430" s="4" t="s">
        <v>9</v>
      </c>
      <c r="I3430" s="8">
        <v>11.6</v>
      </c>
      <c r="J3430" s="3">
        <f>1503</f>
        <v>1503</v>
      </c>
      <c r="K3430" s="3">
        <v>50807</v>
      </c>
      <c r="L3430" s="17" t="str" cm="1">
        <f t="array" ref="L3430">_xlfn.IFS(MID(K3430,2,2)="01", "서울", MID(K3430,2,2)="02","경기",MID(K3430,2,2)="03","충청",MID(K3430,2,2)="04","충청",MID(K3430,2,2)="05","전라",MID(K3430,2,2)="06","전라",MID(K3430,2,2)="07","경북",MID(K3430,2,2)="08","경남",MID(K3430,2,2)="09","강원",MID(K3430,2,2)="10","제주",TRUE,"국외")</f>
        <v>경남</v>
      </c>
    </row>
    <row r="3431" spans="1:12" ht="17.25" thickBot="1">
      <c r="A3431" s="3" t="s">
        <v>2822</v>
      </c>
      <c r="B3431" s="3" t="s">
        <v>63</v>
      </c>
      <c r="C3431" s="3" t="s">
        <v>329</v>
      </c>
      <c r="D3431" s="4" t="s">
        <v>243</v>
      </c>
      <c r="E3431" s="4" t="s">
        <v>9</v>
      </c>
      <c r="F3431" s="4">
        <v>1990</v>
      </c>
      <c r="G3431" s="8">
        <v>-0.3</v>
      </c>
      <c r="H3431" s="4" t="s">
        <v>9</v>
      </c>
      <c r="I3431" s="8">
        <v>-0.7</v>
      </c>
      <c r="J3431" s="3">
        <f>1544</f>
        <v>1544</v>
      </c>
      <c r="K3431" s="3">
        <v>50807</v>
      </c>
      <c r="L3431" s="17" t="str" cm="1">
        <f t="array" ref="L3431">_xlfn.IFS(MID(K3431,2,2)="01", "서울", MID(K3431,2,2)="02","경기",MID(K3431,2,2)="03","충청",MID(K3431,2,2)="04","충청",MID(K3431,2,2)="05","전라",MID(K3431,2,2)="06","전라",MID(K3431,2,2)="07","경북",MID(K3431,2,2)="08","경남",MID(K3431,2,2)="09","강원",MID(K3431,2,2)="10","제주",TRUE,"국외")</f>
        <v>경남</v>
      </c>
    </row>
    <row r="3432" spans="1:12" ht="17.25" thickBot="1">
      <c r="A3432" s="3" t="s">
        <v>3312</v>
      </c>
      <c r="B3432" s="3" t="s">
        <v>25</v>
      </c>
      <c r="C3432" s="3" t="s">
        <v>133</v>
      </c>
      <c r="D3432" s="4" t="s">
        <v>243</v>
      </c>
      <c r="E3432" s="4" t="s">
        <v>3101</v>
      </c>
      <c r="F3432" s="4">
        <v>1990</v>
      </c>
      <c r="G3432" s="8">
        <v>-0.2</v>
      </c>
      <c r="H3432" s="4" t="s">
        <v>3101</v>
      </c>
      <c r="I3432" s="8">
        <v>-0.9</v>
      </c>
      <c r="J3432" s="3">
        <f>1533</f>
        <v>1533</v>
      </c>
      <c r="K3432" s="3">
        <v>50403</v>
      </c>
      <c r="L3432" s="17" t="str" cm="1">
        <f t="array" ref="L3432">_xlfn.IFS(MID(K3432,2,2)="01", "서울", MID(K3432,2,2)="02","경기",MID(K3432,2,2)="03","충청",MID(K3432,2,2)="04","충청",MID(K3432,2,2)="05","전라",MID(K3432,2,2)="06","전라",MID(K3432,2,2)="07","경북",MID(K3432,2,2)="08","경남",MID(K3432,2,2)="09","강원",MID(K3432,2,2)="10","제주",TRUE,"국외")</f>
        <v>충청</v>
      </c>
    </row>
    <row r="3433" spans="1:12" ht="17.25" thickBot="1">
      <c r="A3433" s="3" t="s">
        <v>441</v>
      </c>
      <c r="B3433" s="3"/>
      <c r="C3433" s="3" t="s">
        <v>739</v>
      </c>
      <c r="D3433" s="4" t="s">
        <v>243</v>
      </c>
      <c r="E3433" s="4" t="s">
        <v>23</v>
      </c>
      <c r="F3433" s="4">
        <v>1990</v>
      </c>
      <c r="G3433" s="8">
        <v>-0.3</v>
      </c>
      <c r="H3433" s="4" t="s">
        <v>23</v>
      </c>
      <c r="I3433" s="8">
        <v>1</v>
      </c>
      <c r="J3433" s="3">
        <f>1560</f>
        <v>1560</v>
      </c>
      <c r="K3433" s="3"/>
      <c r="L3433" s="17" t="str" cm="1">
        <f t="array" ref="L3433">_xlfn.IFS(MID(K3433,2,2)="01", "서울", MID(K3433,2,2)="02","경기",MID(K3433,2,2)="03","충청",MID(K3433,2,2)="04","충청",MID(K3433,2,2)="05","전라",MID(K3433,2,2)="06","전라",MID(K3433,2,2)="07","경북",MID(K3433,2,2)="08","경남",MID(K3433,2,2)="09","강원",MID(K3433,2,2)="10","제주",TRUE,"국외")</f>
        <v>국외</v>
      </c>
    </row>
    <row r="3434" spans="1:12" ht="17.25" thickBot="1">
      <c r="A3434" s="3" t="s">
        <v>3313</v>
      </c>
      <c r="B3434" s="3"/>
      <c r="C3434" s="3" t="s">
        <v>538</v>
      </c>
      <c r="D3434" s="4" t="s">
        <v>243</v>
      </c>
      <c r="E3434" s="4" t="s">
        <v>23</v>
      </c>
      <c r="F3434" s="4">
        <v>1990</v>
      </c>
      <c r="G3434" s="8">
        <v>2.2999999999999998</v>
      </c>
      <c r="H3434" s="4" t="s">
        <v>23</v>
      </c>
      <c r="I3434" s="8">
        <v>12</v>
      </c>
      <c r="J3434" s="3">
        <f>1540</f>
        <v>1540</v>
      </c>
      <c r="K3434" s="3"/>
      <c r="L3434" s="17" t="str" cm="1">
        <f t="array" ref="L3434">_xlfn.IFS(MID(K3434,2,2)="01", "서울", MID(K3434,2,2)="02","경기",MID(K3434,2,2)="03","충청",MID(K3434,2,2)="04","충청",MID(K3434,2,2)="05","전라",MID(K3434,2,2)="06","전라",MID(K3434,2,2)="07","경북",MID(K3434,2,2)="08","경남",MID(K3434,2,2)="09","강원",MID(K3434,2,2)="10","제주",TRUE,"국외")</f>
        <v>국외</v>
      </c>
    </row>
    <row r="3435" spans="1:12" ht="17.25" thickBot="1">
      <c r="A3435" s="3" t="s">
        <v>3314</v>
      </c>
      <c r="B3435" s="3" t="s">
        <v>158</v>
      </c>
      <c r="C3435" s="3" t="s">
        <v>208</v>
      </c>
      <c r="D3435" s="4" t="s">
        <v>243</v>
      </c>
      <c r="E3435" s="4"/>
      <c r="F3435" s="4">
        <v>1991</v>
      </c>
      <c r="G3435" s="9"/>
      <c r="H3435" s="4" t="s">
        <v>2523</v>
      </c>
      <c r="I3435" s="8">
        <v>1.5</v>
      </c>
      <c r="J3435" s="3">
        <f>1607</f>
        <v>1607</v>
      </c>
      <c r="K3435" s="3">
        <v>50501</v>
      </c>
      <c r="L3435" s="17" t="str" cm="1">
        <f t="array" ref="L3435">_xlfn.IFS(MID(K3435,2,2)="01", "서울", MID(K3435,2,2)="02","경기",MID(K3435,2,2)="03","충청",MID(K3435,2,2)="04","충청",MID(K3435,2,2)="05","전라",MID(K3435,2,2)="06","전라",MID(K3435,2,2)="07","경북",MID(K3435,2,2)="08","경남",MID(K3435,2,2)="09","강원",MID(K3435,2,2)="10","제주",TRUE,"국외")</f>
        <v>전라</v>
      </c>
    </row>
    <row r="3436" spans="1:12" ht="17.25" thickBot="1">
      <c r="A3436" s="3" t="s">
        <v>3315</v>
      </c>
      <c r="B3436" s="3" t="s">
        <v>22</v>
      </c>
      <c r="C3436" s="3" t="s">
        <v>172</v>
      </c>
      <c r="D3436" s="4" t="s">
        <v>243</v>
      </c>
      <c r="E3436" s="4" t="s">
        <v>2968</v>
      </c>
      <c r="F3436" s="4">
        <v>1990</v>
      </c>
      <c r="G3436" s="8">
        <v>0</v>
      </c>
      <c r="H3436" s="4" t="s">
        <v>2968</v>
      </c>
      <c r="I3436" s="8">
        <v>0</v>
      </c>
      <c r="J3436" s="3">
        <f>1535</f>
        <v>1535</v>
      </c>
      <c r="K3436" s="3">
        <v>50209</v>
      </c>
      <c r="L3436" s="17" t="str" cm="1">
        <f t="array" ref="L3436">_xlfn.IFS(MID(K3436,2,2)="01", "서울", MID(K3436,2,2)="02","경기",MID(K3436,2,2)="03","충청",MID(K3436,2,2)="04","충청",MID(K3436,2,2)="05","전라",MID(K3436,2,2)="06","전라",MID(K3436,2,2)="07","경북",MID(K3436,2,2)="08","경남",MID(K3436,2,2)="09","강원",MID(K3436,2,2)="10","제주",TRUE,"국외")</f>
        <v>경기</v>
      </c>
    </row>
    <row r="3437" spans="1:12" ht="17.25" thickBot="1">
      <c r="A3437" s="3" t="s">
        <v>3316</v>
      </c>
      <c r="B3437" s="3" t="s">
        <v>22</v>
      </c>
      <c r="C3437" s="3" t="s">
        <v>45</v>
      </c>
      <c r="D3437" s="4" t="s">
        <v>243</v>
      </c>
      <c r="E3437" s="4" t="s">
        <v>2968</v>
      </c>
      <c r="F3437" s="4">
        <v>1990</v>
      </c>
      <c r="G3437" s="8">
        <v>2.2000000000000002</v>
      </c>
      <c r="H3437" s="4" t="s">
        <v>2968</v>
      </c>
      <c r="I3437" s="8">
        <v>24.1</v>
      </c>
      <c r="J3437" s="3">
        <f>1505</f>
        <v>1505</v>
      </c>
      <c r="K3437" s="3">
        <v>50209</v>
      </c>
      <c r="L3437" s="17" t="str" cm="1">
        <f t="array" ref="L3437">_xlfn.IFS(MID(K3437,2,2)="01", "서울", MID(K3437,2,2)="02","경기",MID(K3437,2,2)="03","충청",MID(K3437,2,2)="04","충청",MID(K3437,2,2)="05","전라",MID(K3437,2,2)="06","전라",MID(K3437,2,2)="07","경북",MID(K3437,2,2)="08","경남",MID(K3437,2,2)="09","강원",MID(K3437,2,2)="10","제주",TRUE,"국외")</f>
        <v>경기</v>
      </c>
    </row>
    <row r="3438" spans="1:12" ht="17.25" thickBot="1">
      <c r="A3438" s="3" t="s">
        <v>21</v>
      </c>
      <c r="B3438" s="3" t="s">
        <v>107</v>
      </c>
      <c r="C3438" s="3" t="s">
        <v>83</v>
      </c>
      <c r="D3438" s="4" t="s">
        <v>243</v>
      </c>
      <c r="E3438" s="4" t="s">
        <v>2523</v>
      </c>
      <c r="F3438" s="4">
        <v>1990</v>
      </c>
      <c r="G3438" s="8">
        <v>3.2</v>
      </c>
      <c r="H3438" s="4" t="s">
        <v>2523</v>
      </c>
      <c r="I3438" s="8">
        <v>26</v>
      </c>
      <c r="J3438" s="3">
        <f>1500</f>
        <v>1500</v>
      </c>
      <c r="K3438" s="3">
        <v>50602</v>
      </c>
      <c r="L3438" s="17" t="str" cm="1">
        <f t="array" ref="L3438">_xlfn.IFS(MID(K3438,2,2)="01", "서울", MID(K3438,2,2)="02","경기",MID(K3438,2,2)="03","충청",MID(K3438,2,2)="04","충청",MID(K3438,2,2)="05","전라",MID(K3438,2,2)="06","전라",MID(K3438,2,2)="07","경북",MID(K3438,2,2)="08","경남",MID(K3438,2,2)="09","강원",MID(K3438,2,2)="10","제주",TRUE,"국외")</f>
        <v>전라</v>
      </c>
    </row>
    <row r="3439" spans="1:12" ht="17.25" thickBot="1">
      <c r="A3439" s="3" t="s">
        <v>3317</v>
      </c>
      <c r="B3439" s="3" t="s">
        <v>107</v>
      </c>
      <c r="C3439" s="3" t="s">
        <v>83</v>
      </c>
      <c r="D3439" s="4" t="s">
        <v>243</v>
      </c>
      <c r="E3439" s="4" t="s">
        <v>2523</v>
      </c>
      <c r="F3439" s="4">
        <v>1990</v>
      </c>
      <c r="G3439" s="8">
        <v>1.1000000000000001</v>
      </c>
      <c r="H3439" s="4" t="s">
        <v>2523</v>
      </c>
      <c r="I3439" s="8">
        <v>7.1</v>
      </c>
      <c r="J3439" s="3">
        <f>1496</f>
        <v>1496</v>
      </c>
      <c r="K3439" s="3">
        <v>50602</v>
      </c>
      <c r="L3439" s="17" t="str" cm="1">
        <f t="array" ref="L3439">_xlfn.IFS(MID(K3439,2,2)="01", "서울", MID(K3439,2,2)="02","경기",MID(K3439,2,2)="03","충청",MID(K3439,2,2)="04","충청",MID(K3439,2,2)="05","전라",MID(K3439,2,2)="06","전라",MID(K3439,2,2)="07","경북",MID(K3439,2,2)="08","경남",MID(K3439,2,2)="09","강원",MID(K3439,2,2)="10","제주",TRUE,"국외")</f>
        <v>전라</v>
      </c>
    </row>
    <row r="3440" spans="1:12" ht="17.25" thickBot="1">
      <c r="A3440" s="3" t="s">
        <v>1575</v>
      </c>
      <c r="B3440" s="3" t="s">
        <v>25</v>
      </c>
      <c r="C3440" s="3" t="s">
        <v>119</v>
      </c>
      <c r="D3440" s="4" t="s">
        <v>243</v>
      </c>
      <c r="E3440" s="4" t="s">
        <v>3101</v>
      </c>
      <c r="F3440" s="4">
        <v>1994</v>
      </c>
      <c r="G3440" s="9"/>
      <c r="H3440" s="4" t="s">
        <v>3</v>
      </c>
      <c r="I3440" s="8">
        <v>-2.2000000000000002</v>
      </c>
      <c r="J3440" s="3">
        <f>1835</f>
        <v>1835</v>
      </c>
      <c r="K3440" s="3">
        <v>50403</v>
      </c>
      <c r="L3440" s="17" t="str" cm="1">
        <f t="array" ref="L3440">_xlfn.IFS(MID(K3440,2,2)="01", "서울", MID(K3440,2,2)="02","경기",MID(K3440,2,2)="03","충청",MID(K3440,2,2)="04","충청",MID(K3440,2,2)="05","전라",MID(K3440,2,2)="06","전라",MID(K3440,2,2)="07","경북",MID(K3440,2,2)="08","경남",MID(K3440,2,2)="09","강원",MID(K3440,2,2)="10","제주",TRUE,"국외")</f>
        <v>충청</v>
      </c>
    </row>
    <row r="3441" spans="1:12" ht="17.25" thickBot="1">
      <c r="A3441" s="3" t="s">
        <v>1700</v>
      </c>
      <c r="B3441" s="3" t="s">
        <v>66</v>
      </c>
      <c r="C3441" s="3" t="s">
        <v>211</v>
      </c>
      <c r="D3441" s="4" t="s">
        <v>254</v>
      </c>
      <c r="E3441" s="4" t="s">
        <v>20</v>
      </c>
      <c r="F3441" s="4">
        <v>1991</v>
      </c>
      <c r="G3441" s="9"/>
      <c r="H3441" s="4" t="s">
        <v>20</v>
      </c>
      <c r="I3441" s="8">
        <v>-0.1</v>
      </c>
      <c r="J3441" s="3">
        <f>1644</f>
        <v>1644</v>
      </c>
      <c r="K3441" s="3">
        <v>50110</v>
      </c>
      <c r="L3441" s="17" t="str" cm="1">
        <f t="array" ref="L3441">_xlfn.IFS(MID(K3441,2,2)="01", "서울", MID(K3441,2,2)="02","경기",MID(K3441,2,2)="03","충청",MID(K3441,2,2)="04","충청",MID(K3441,2,2)="05","전라",MID(K3441,2,2)="06","전라",MID(K3441,2,2)="07","경북",MID(K3441,2,2)="08","경남",MID(K3441,2,2)="09","강원",MID(K3441,2,2)="10","제주",TRUE,"국외")</f>
        <v>서울</v>
      </c>
    </row>
    <row r="3442" spans="1:12" ht="17.25" thickBot="1">
      <c r="A3442" s="3" t="s">
        <v>3318</v>
      </c>
      <c r="B3442" s="3" t="s">
        <v>96</v>
      </c>
      <c r="C3442" s="3" t="s">
        <v>99</v>
      </c>
      <c r="D3442" s="4" t="s">
        <v>254</v>
      </c>
      <c r="E3442" s="4" t="s">
        <v>2725</v>
      </c>
      <c r="F3442" s="4">
        <v>1990</v>
      </c>
      <c r="G3442" s="9"/>
      <c r="H3442" s="4"/>
      <c r="I3442" s="9"/>
      <c r="J3442" s="3">
        <f>1515</f>
        <v>1515</v>
      </c>
      <c r="K3442" s="3">
        <v>50601</v>
      </c>
      <c r="L3442" s="17" t="str" cm="1">
        <f t="array" ref="L3442">_xlfn.IFS(MID(K3442,2,2)="01", "서울", MID(K3442,2,2)="02","경기",MID(K3442,2,2)="03","충청",MID(K3442,2,2)="04","충청",MID(K3442,2,2)="05","전라",MID(K3442,2,2)="06","전라",MID(K3442,2,2)="07","경북",MID(K3442,2,2)="08","경남",MID(K3442,2,2)="09","강원",MID(K3442,2,2)="10","제주",TRUE,"국외")</f>
        <v>전라</v>
      </c>
    </row>
    <row r="3443" spans="1:12" ht="17.25" thickBot="1">
      <c r="A3443" s="3" t="s">
        <v>3319</v>
      </c>
      <c r="B3443" s="3" t="s">
        <v>464</v>
      </c>
      <c r="C3443" s="3" t="s">
        <v>99</v>
      </c>
      <c r="D3443" s="4" t="s">
        <v>254</v>
      </c>
      <c r="E3443" s="4" t="s">
        <v>9</v>
      </c>
      <c r="F3443" s="4">
        <v>1990</v>
      </c>
      <c r="G3443" s="8">
        <v>-1.2</v>
      </c>
      <c r="H3443" s="4" t="s">
        <v>9</v>
      </c>
      <c r="I3443" s="8">
        <v>-1.2</v>
      </c>
      <c r="J3443" s="3">
        <f>1516</f>
        <v>1516</v>
      </c>
      <c r="K3443" s="3">
        <v>50706</v>
      </c>
      <c r="L3443" s="17" t="str" cm="1">
        <f t="array" ref="L3443">_xlfn.IFS(MID(K3443,2,2)="01", "서울", MID(K3443,2,2)="02","경기",MID(K3443,2,2)="03","충청",MID(K3443,2,2)="04","충청",MID(K3443,2,2)="05","전라",MID(K3443,2,2)="06","전라",MID(K3443,2,2)="07","경북",MID(K3443,2,2)="08","경남",MID(K3443,2,2)="09","강원",MID(K3443,2,2)="10","제주",TRUE,"국외")</f>
        <v>경북</v>
      </c>
    </row>
    <row r="3444" spans="1:12" ht="17.25" thickBot="1">
      <c r="A3444" s="3" t="s">
        <v>3320</v>
      </c>
      <c r="B3444" s="3" t="s">
        <v>121</v>
      </c>
      <c r="C3444" s="3" t="s">
        <v>99</v>
      </c>
      <c r="D3444" s="4" t="s">
        <v>254</v>
      </c>
      <c r="E3444" s="4" t="s">
        <v>9</v>
      </c>
      <c r="F3444" s="4">
        <v>1990</v>
      </c>
      <c r="G3444" s="8">
        <v>0</v>
      </c>
      <c r="H3444" s="4" t="s">
        <v>9</v>
      </c>
      <c r="I3444" s="8">
        <v>-0.3</v>
      </c>
      <c r="J3444" s="3">
        <f>1518</f>
        <v>1518</v>
      </c>
      <c r="K3444" s="3">
        <v>50604</v>
      </c>
      <c r="L3444" s="17" t="str" cm="1">
        <f t="array" ref="L3444">_xlfn.IFS(MID(K3444,2,2)="01", "서울", MID(K3444,2,2)="02","경기",MID(K3444,2,2)="03","충청",MID(K3444,2,2)="04","충청",MID(K3444,2,2)="05","전라",MID(K3444,2,2)="06","전라",MID(K3444,2,2)="07","경북",MID(K3444,2,2)="08","경남",MID(K3444,2,2)="09","강원",MID(K3444,2,2)="10","제주",TRUE,"국외")</f>
        <v>전라</v>
      </c>
    </row>
    <row r="3445" spans="1:12" ht="17.25" thickBot="1">
      <c r="A3445" s="3" t="s">
        <v>3321</v>
      </c>
      <c r="B3445" s="3" t="s">
        <v>52</v>
      </c>
      <c r="C3445" s="3" t="s">
        <v>549</v>
      </c>
      <c r="D3445" s="4" t="s">
        <v>254</v>
      </c>
      <c r="E3445" s="4" t="s">
        <v>3101</v>
      </c>
      <c r="F3445" s="4">
        <v>1990</v>
      </c>
      <c r="G3445" s="8">
        <v>0.1</v>
      </c>
      <c r="H3445" s="4" t="s">
        <v>3101</v>
      </c>
      <c r="I3445" s="8">
        <v>5.2</v>
      </c>
      <c r="J3445" s="3">
        <f>1534</f>
        <v>1534</v>
      </c>
      <c r="K3445" s="3">
        <v>50803</v>
      </c>
      <c r="L3445" s="17" t="str" cm="1">
        <f t="array" ref="L3445">_xlfn.IFS(MID(K3445,2,2)="01", "서울", MID(K3445,2,2)="02","경기",MID(K3445,2,2)="03","충청",MID(K3445,2,2)="04","충청",MID(K3445,2,2)="05","전라",MID(K3445,2,2)="06","전라",MID(K3445,2,2)="07","경북",MID(K3445,2,2)="08","경남",MID(K3445,2,2)="09","강원",MID(K3445,2,2)="10","제주",TRUE,"국외")</f>
        <v>경남</v>
      </c>
    </row>
    <row r="3446" spans="1:12" ht="17.25" thickBot="1">
      <c r="A3446" s="3" t="s">
        <v>3322</v>
      </c>
      <c r="B3446" s="3" t="s">
        <v>2491</v>
      </c>
      <c r="C3446" s="3" t="s">
        <v>208</v>
      </c>
      <c r="D3446" s="4" t="s">
        <v>254</v>
      </c>
      <c r="E3446" s="4"/>
      <c r="F3446" s="4">
        <v>1991</v>
      </c>
      <c r="G3446" s="9"/>
      <c r="H3446" s="4" t="s">
        <v>2661</v>
      </c>
      <c r="I3446" s="8">
        <v>-0.6</v>
      </c>
      <c r="J3446" s="3">
        <f>1643</f>
        <v>1643</v>
      </c>
      <c r="K3446" s="3">
        <v>50608</v>
      </c>
      <c r="L3446" s="17" t="str" cm="1">
        <f t="array" ref="L3446">_xlfn.IFS(MID(K3446,2,2)="01", "서울", MID(K3446,2,2)="02","경기",MID(K3446,2,2)="03","충청",MID(K3446,2,2)="04","충청",MID(K3446,2,2)="05","전라",MID(K3446,2,2)="06","전라",MID(K3446,2,2)="07","경북",MID(K3446,2,2)="08","경남",MID(K3446,2,2)="09","강원",MID(K3446,2,2)="10","제주",TRUE,"국외")</f>
        <v>전라</v>
      </c>
    </row>
    <row r="3447" spans="1:12" ht="17.25" thickBot="1">
      <c r="A3447" s="3" t="s">
        <v>2187</v>
      </c>
      <c r="B3447" s="3"/>
      <c r="C3447" s="3" t="s">
        <v>208</v>
      </c>
      <c r="D3447" s="4" t="s">
        <v>254</v>
      </c>
      <c r="E3447" s="4" t="s">
        <v>2968</v>
      </c>
      <c r="F3447" s="4">
        <v>1991</v>
      </c>
      <c r="G3447" s="9"/>
      <c r="H3447" s="4" t="s">
        <v>2968</v>
      </c>
      <c r="I3447" s="8">
        <v>-0.1</v>
      </c>
      <c r="J3447" s="3">
        <f>1641</f>
        <v>1641</v>
      </c>
      <c r="K3447" s="3"/>
      <c r="L3447" s="17" t="str" cm="1">
        <f t="array" ref="L3447">_xlfn.IFS(MID(K3447,2,2)="01", "서울", MID(K3447,2,2)="02","경기",MID(K3447,2,2)="03","충청",MID(K3447,2,2)="04","충청",MID(K3447,2,2)="05","전라",MID(K3447,2,2)="06","전라",MID(K3447,2,2)="07","경북",MID(K3447,2,2)="08","경남",MID(K3447,2,2)="09","강원",MID(K3447,2,2)="10","제주",TRUE,"국외")</f>
        <v>국외</v>
      </c>
    </row>
    <row r="3448" spans="1:12" ht="17.25" thickBot="1">
      <c r="A3448" s="3" t="s">
        <v>3323</v>
      </c>
      <c r="B3448" s="3" t="s">
        <v>5</v>
      </c>
      <c r="C3448" s="3"/>
      <c r="D3448" s="4" t="s">
        <v>254</v>
      </c>
      <c r="E3448" s="4" t="s">
        <v>20</v>
      </c>
      <c r="F3448" s="4">
        <v>1991</v>
      </c>
      <c r="G3448" s="9"/>
      <c r="H3448" s="4" t="s">
        <v>20</v>
      </c>
      <c r="I3448" s="8">
        <v>0</v>
      </c>
      <c r="J3448" s="3">
        <f>1573</f>
        <v>1573</v>
      </c>
      <c r="K3448" s="3">
        <v>50114</v>
      </c>
      <c r="L3448" s="17" t="str" cm="1">
        <f t="array" ref="L3448">_xlfn.IFS(MID(K3448,2,2)="01", "서울", MID(K3448,2,2)="02","경기",MID(K3448,2,2)="03","충청",MID(K3448,2,2)="04","충청",MID(K3448,2,2)="05","전라",MID(K3448,2,2)="06","전라",MID(K3448,2,2)="07","경북",MID(K3448,2,2)="08","경남",MID(K3448,2,2)="09","강원",MID(K3448,2,2)="10","제주",TRUE,"국외")</f>
        <v>서울</v>
      </c>
    </row>
    <row r="3449" spans="1:12" ht="17.25" thickBot="1">
      <c r="A3449" s="3" t="s">
        <v>3324</v>
      </c>
      <c r="B3449" s="3" t="s">
        <v>107</v>
      </c>
      <c r="C3449" s="3" t="s">
        <v>133</v>
      </c>
      <c r="D3449" s="4" t="s">
        <v>254</v>
      </c>
      <c r="E3449" s="4" t="s">
        <v>2725</v>
      </c>
      <c r="F3449" s="4">
        <v>1990</v>
      </c>
      <c r="G3449" s="8">
        <v>-0.7</v>
      </c>
      <c r="H3449" s="4" t="s">
        <v>2725</v>
      </c>
      <c r="I3449" s="8">
        <v>-0.5</v>
      </c>
      <c r="J3449" s="3">
        <f>1558</f>
        <v>1558</v>
      </c>
      <c r="K3449" s="3">
        <v>50602</v>
      </c>
      <c r="L3449" s="17" t="str" cm="1">
        <f t="array" ref="L3449">_xlfn.IFS(MID(K3449,2,2)="01", "서울", MID(K3449,2,2)="02","경기",MID(K3449,2,2)="03","충청",MID(K3449,2,2)="04","충청",MID(K3449,2,2)="05","전라",MID(K3449,2,2)="06","전라",MID(K3449,2,2)="07","경북",MID(K3449,2,2)="08","경남",MID(K3449,2,2)="09","강원",MID(K3449,2,2)="10","제주",TRUE,"국외")</f>
        <v>전라</v>
      </c>
    </row>
    <row r="3450" spans="1:12" ht="17.25" thickBot="1">
      <c r="A3450" s="3" t="s">
        <v>3325</v>
      </c>
      <c r="B3450" s="3" t="s">
        <v>228</v>
      </c>
      <c r="C3450" s="3" t="s">
        <v>329</v>
      </c>
      <c r="D3450" s="4" t="s">
        <v>254</v>
      </c>
      <c r="E3450" s="4" t="s">
        <v>9</v>
      </c>
      <c r="F3450" s="4">
        <v>1990</v>
      </c>
      <c r="G3450" s="8">
        <v>0</v>
      </c>
      <c r="H3450" s="4" t="s">
        <v>9</v>
      </c>
      <c r="I3450" s="8">
        <v>3.9</v>
      </c>
      <c r="J3450" s="3">
        <f>1511</f>
        <v>1511</v>
      </c>
      <c r="K3450" s="3">
        <v>50702</v>
      </c>
      <c r="L3450" s="17" t="str" cm="1">
        <f t="array" ref="L3450">_xlfn.IFS(MID(K3450,2,2)="01", "서울", MID(K3450,2,2)="02","경기",MID(K3450,2,2)="03","충청",MID(K3450,2,2)="04","충청",MID(K3450,2,2)="05","전라",MID(K3450,2,2)="06","전라",MID(K3450,2,2)="07","경북",MID(K3450,2,2)="08","경남",MID(K3450,2,2)="09","강원",MID(K3450,2,2)="10","제주",TRUE,"국외")</f>
        <v>경북</v>
      </c>
    </row>
    <row r="3451" spans="1:12" ht="17.25" thickBot="1">
      <c r="A3451" s="3" t="s">
        <v>3326</v>
      </c>
      <c r="B3451" s="3" t="s">
        <v>153</v>
      </c>
      <c r="C3451" s="3" t="s">
        <v>208</v>
      </c>
      <c r="D3451" s="4" t="s">
        <v>254</v>
      </c>
      <c r="E3451" s="4" t="s">
        <v>2968</v>
      </c>
      <c r="F3451" s="4">
        <v>1990</v>
      </c>
      <c r="G3451" s="8">
        <v>-0.1</v>
      </c>
      <c r="H3451" s="4" t="s">
        <v>2661</v>
      </c>
      <c r="I3451" s="8">
        <v>0</v>
      </c>
      <c r="J3451" s="3">
        <v>11433</v>
      </c>
      <c r="K3451" s="3">
        <v>50210</v>
      </c>
      <c r="L3451" s="17" t="str" cm="1">
        <f t="array" ref="L3451">_xlfn.IFS(MID(K3451,2,2)="01", "서울", MID(K3451,2,2)="02","경기",MID(K3451,2,2)="03","충청",MID(K3451,2,2)="04","충청",MID(K3451,2,2)="05","전라",MID(K3451,2,2)="06","전라",MID(K3451,2,2)="07","경북",MID(K3451,2,2)="08","경남",MID(K3451,2,2)="09","강원",MID(K3451,2,2)="10","제주",TRUE,"국외")</f>
        <v>경기</v>
      </c>
    </row>
    <row r="3452" spans="1:12" ht="17.25" thickBot="1">
      <c r="A3452" s="3" t="s">
        <v>3327</v>
      </c>
      <c r="B3452" s="3" t="s">
        <v>107</v>
      </c>
      <c r="C3452" s="3" t="s">
        <v>83</v>
      </c>
      <c r="D3452" s="4" t="s">
        <v>254</v>
      </c>
      <c r="E3452" s="4" t="s">
        <v>20</v>
      </c>
      <c r="F3452" s="4">
        <v>1990</v>
      </c>
      <c r="G3452" s="8">
        <v>0.5</v>
      </c>
      <c r="H3452" s="4" t="s">
        <v>20</v>
      </c>
      <c r="I3452" s="8">
        <v>3.2</v>
      </c>
      <c r="J3452" s="3">
        <f>1497</f>
        <v>1497</v>
      </c>
      <c r="K3452" s="3">
        <v>50602</v>
      </c>
      <c r="L3452" s="17" t="str" cm="1">
        <f t="array" ref="L3452">_xlfn.IFS(MID(K3452,2,2)="01", "서울", MID(K3452,2,2)="02","경기",MID(K3452,2,2)="03","충청",MID(K3452,2,2)="04","충청",MID(K3452,2,2)="05","전라",MID(K3452,2,2)="06","전라",MID(K3452,2,2)="07","경북",MID(K3452,2,2)="08","경남",MID(K3452,2,2)="09","강원",MID(K3452,2,2)="10","제주",TRUE,"국외")</f>
        <v>전라</v>
      </c>
    </row>
    <row r="3453" spans="1:12" ht="17.25" thickBot="1">
      <c r="A3453" s="3" t="s">
        <v>2958</v>
      </c>
      <c r="B3453" s="3" t="s">
        <v>3328</v>
      </c>
      <c r="C3453" s="3"/>
      <c r="D3453" s="4" t="s">
        <v>254</v>
      </c>
      <c r="E3453" s="4" t="s">
        <v>2725</v>
      </c>
      <c r="F3453" s="4">
        <v>1991</v>
      </c>
      <c r="G3453" s="9"/>
      <c r="H3453" s="4" t="s">
        <v>2725</v>
      </c>
      <c r="I3453" s="8">
        <v>31.2</v>
      </c>
      <c r="J3453" s="3">
        <f>1624</f>
        <v>1624</v>
      </c>
      <c r="K3453" s="3">
        <v>50815</v>
      </c>
      <c r="L3453" s="17" t="str" cm="1">
        <f t="array" ref="L3453">_xlfn.IFS(MID(K3453,2,2)="01", "서울", MID(K3453,2,2)="02","경기",MID(K3453,2,2)="03","충청",MID(K3453,2,2)="04","충청",MID(K3453,2,2)="05","전라",MID(K3453,2,2)="06","전라",MID(K3453,2,2)="07","경북",MID(K3453,2,2)="08","경남",MID(K3453,2,2)="09","강원",MID(K3453,2,2)="10","제주",TRUE,"국외")</f>
        <v>경남</v>
      </c>
    </row>
    <row r="3454" spans="1:12" ht="17.25" thickBot="1">
      <c r="A3454" s="3" t="s">
        <v>3329</v>
      </c>
      <c r="B3454" s="3" t="s">
        <v>63</v>
      </c>
      <c r="C3454" s="3" t="s">
        <v>329</v>
      </c>
      <c r="D3454" s="4" t="s">
        <v>254</v>
      </c>
      <c r="E3454" s="4" t="s">
        <v>9</v>
      </c>
      <c r="F3454" s="4">
        <v>1990</v>
      </c>
      <c r="G3454" s="8">
        <v>-0.1</v>
      </c>
      <c r="H3454" s="4" t="s">
        <v>9</v>
      </c>
      <c r="I3454" s="8">
        <v>-0.6</v>
      </c>
      <c r="J3454" s="3">
        <f>1526</f>
        <v>1526</v>
      </c>
      <c r="K3454" s="3">
        <v>50807</v>
      </c>
      <c r="L3454" s="17" t="str" cm="1">
        <f t="array" ref="L3454">_xlfn.IFS(MID(K3454,2,2)="01", "서울", MID(K3454,2,2)="02","경기",MID(K3454,2,2)="03","충청",MID(K3454,2,2)="04","충청",MID(K3454,2,2)="05","전라",MID(K3454,2,2)="06","전라",MID(K3454,2,2)="07","경북",MID(K3454,2,2)="08","경남",MID(K3454,2,2)="09","강원",MID(K3454,2,2)="10","제주",TRUE,"국외")</f>
        <v>경남</v>
      </c>
    </row>
    <row r="3455" spans="1:12" ht="17.25" thickBot="1">
      <c r="A3455" s="3" t="s">
        <v>3330</v>
      </c>
      <c r="B3455" s="3" t="s">
        <v>22</v>
      </c>
      <c r="C3455" s="3" t="s">
        <v>83</v>
      </c>
      <c r="D3455" s="4" t="s">
        <v>254</v>
      </c>
      <c r="E3455" s="4" t="s">
        <v>2968</v>
      </c>
      <c r="F3455" s="4">
        <v>1990</v>
      </c>
      <c r="G3455" s="8">
        <v>0</v>
      </c>
      <c r="H3455" s="4" t="s">
        <v>2968</v>
      </c>
      <c r="I3455" s="8">
        <v>0</v>
      </c>
      <c r="J3455" s="3">
        <f>1537</f>
        <v>1537</v>
      </c>
      <c r="K3455" s="3">
        <v>50209</v>
      </c>
      <c r="L3455" s="17" t="str" cm="1">
        <f t="array" ref="L3455">_xlfn.IFS(MID(K3455,2,2)="01", "서울", MID(K3455,2,2)="02","경기",MID(K3455,2,2)="03","충청",MID(K3455,2,2)="04","충청",MID(K3455,2,2)="05","전라",MID(K3455,2,2)="06","전라",MID(K3455,2,2)="07","경북",MID(K3455,2,2)="08","경남",MID(K3455,2,2)="09","강원",MID(K3455,2,2)="10","제주",TRUE,"국외")</f>
        <v>경기</v>
      </c>
    </row>
    <row r="3456" spans="1:12" ht="17.25" thickBot="1">
      <c r="A3456" s="3" t="s">
        <v>1221</v>
      </c>
      <c r="B3456" s="3" t="s">
        <v>2524</v>
      </c>
      <c r="C3456" s="3" t="s">
        <v>538</v>
      </c>
      <c r="D3456" s="4" t="s">
        <v>254</v>
      </c>
      <c r="E3456" s="4" t="s">
        <v>20</v>
      </c>
      <c r="F3456" s="4">
        <v>1990</v>
      </c>
      <c r="G3456" s="8">
        <v>-0.1</v>
      </c>
      <c r="H3456" s="4" t="s">
        <v>20</v>
      </c>
      <c r="I3456" s="8">
        <v>-0.1</v>
      </c>
      <c r="J3456" s="3">
        <f>1509</f>
        <v>1509</v>
      </c>
      <c r="K3456" s="3">
        <v>50711</v>
      </c>
      <c r="L3456" s="17" t="str" cm="1">
        <f t="array" ref="L3456">_xlfn.IFS(MID(K3456,2,2)="01", "서울", MID(K3456,2,2)="02","경기",MID(K3456,2,2)="03","충청",MID(K3456,2,2)="04","충청",MID(K3456,2,2)="05","전라",MID(K3456,2,2)="06","전라",MID(K3456,2,2)="07","경북",MID(K3456,2,2)="08","경남",MID(K3456,2,2)="09","강원",MID(K3456,2,2)="10","제주",TRUE,"국외")</f>
        <v>경북</v>
      </c>
    </row>
    <row r="3457" spans="1:12" ht="17.25" thickBot="1">
      <c r="A3457" s="3" t="s">
        <v>3331</v>
      </c>
      <c r="B3457" s="3"/>
      <c r="C3457" s="3" t="s">
        <v>211</v>
      </c>
      <c r="D3457" s="4" t="s">
        <v>254</v>
      </c>
      <c r="E3457" s="4" t="s">
        <v>23</v>
      </c>
      <c r="F3457" s="4">
        <v>1990</v>
      </c>
      <c r="G3457" s="8">
        <v>0</v>
      </c>
      <c r="H3457" s="4" t="s">
        <v>23</v>
      </c>
      <c r="I3457" s="8">
        <v>0</v>
      </c>
      <c r="J3457" s="3">
        <f>1514</f>
        <v>1514</v>
      </c>
      <c r="K3457" s="3"/>
      <c r="L3457" s="17" t="str" cm="1">
        <f t="array" ref="L3457">_xlfn.IFS(MID(K3457,2,2)="01", "서울", MID(K3457,2,2)="02","경기",MID(K3457,2,2)="03","충청",MID(K3457,2,2)="04","충청",MID(K3457,2,2)="05","전라",MID(K3457,2,2)="06","전라",MID(K3457,2,2)="07","경북",MID(K3457,2,2)="08","경남",MID(K3457,2,2)="09","강원",MID(K3457,2,2)="10","제주",TRUE,"국외")</f>
        <v>국외</v>
      </c>
    </row>
    <row r="3458" spans="1:12" ht="17.25" thickBot="1">
      <c r="A3458" s="3" t="s">
        <v>3332</v>
      </c>
      <c r="B3458" s="3" t="s">
        <v>63</v>
      </c>
      <c r="C3458" s="3"/>
      <c r="D3458" s="4" t="s">
        <v>254</v>
      </c>
      <c r="E3458" s="4" t="s">
        <v>2725</v>
      </c>
      <c r="F3458" s="4">
        <v>1992</v>
      </c>
      <c r="G3458" s="9"/>
      <c r="H3458" s="4" t="s">
        <v>2725</v>
      </c>
      <c r="I3458" s="8">
        <v>0</v>
      </c>
      <c r="J3458" s="3">
        <f>1696</f>
        <v>1696</v>
      </c>
      <c r="K3458" s="3">
        <v>50807</v>
      </c>
      <c r="L3458" s="17" t="str" cm="1">
        <f t="array" ref="L3458">_xlfn.IFS(MID(K3458,2,2)="01", "서울", MID(K3458,2,2)="02","경기",MID(K3458,2,2)="03","충청",MID(K3458,2,2)="04","충청",MID(K3458,2,2)="05","전라",MID(K3458,2,2)="06","전라",MID(K3458,2,2)="07","경북",MID(K3458,2,2)="08","경남",MID(K3458,2,2)="09","강원",MID(K3458,2,2)="10","제주",TRUE,"국외")</f>
        <v>경남</v>
      </c>
    </row>
    <row r="3459" spans="1:12" ht="17.25" thickBot="1">
      <c r="A3459" s="3" t="s">
        <v>3333</v>
      </c>
      <c r="B3459" s="3"/>
      <c r="C3459" s="3" t="s">
        <v>99</v>
      </c>
      <c r="D3459" s="4" t="s">
        <v>254</v>
      </c>
      <c r="E3459" s="4" t="s">
        <v>23</v>
      </c>
      <c r="F3459" s="4">
        <v>1990</v>
      </c>
      <c r="G3459" s="8">
        <v>0</v>
      </c>
      <c r="H3459" s="4" t="s">
        <v>23</v>
      </c>
      <c r="I3459" s="8">
        <v>0</v>
      </c>
      <c r="J3459" s="3">
        <f>1510</f>
        <v>1510</v>
      </c>
      <c r="K3459" s="3"/>
      <c r="L3459" s="17" t="str" cm="1">
        <f t="array" ref="L3459">_xlfn.IFS(MID(K3459,2,2)="01", "서울", MID(K3459,2,2)="02","경기",MID(K3459,2,2)="03","충청",MID(K3459,2,2)="04","충청",MID(K3459,2,2)="05","전라",MID(K3459,2,2)="06","전라",MID(K3459,2,2)="07","경북",MID(K3459,2,2)="08","경남",MID(K3459,2,2)="09","강원",MID(K3459,2,2)="10","제주",TRUE,"국외")</f>
        <v>국외</v>
      </c>
    </row>
    <row r="3460" spans="1:12" ht="17.25" thickBot="1">
      <c r="A3460" s="3" t="s">
        <v>3334</v>
      </c>
      <c r="B3460" s="3" t="s">
        <v>335</v>
      </c>
      <c r="C3460" s="3" t="s">
        <v>119</v>
      </c>
      <c r="D3460" s="4" t="s">
        <v>254</v>
      </c>
      <c r="E3460" s="4" t="s">
        <v>2968</v>
      </c>
      <c r="F3460" s="4">
        <v>1990</v>
      </c>
      <c r="G3460" s="8">
        <v>0.9</v>
      </c>
      <c r="H3460" s="4" t="s">
        <v>2968</v>
      </c>
      <c r="I3460" s="8">
        <v>0.8</v>
      </c>
      <c r="J3460" s="3">
        <f>1545</f>
        <v>1545</v>
      </c>
      <c r="K3460" s="3">
        <v>50804</v>
      </c>
      <c r="L3460" s="17" t="str" cm="1">
        <f t="array" ref="L3460">_xlfn.IFS(MID(K3460,2,2)="01", "서울", MID(K3460,2,2)="02","경기",MID(K3460,2,2)="03","충청",MID(K3460,2,2)="04","충청",MID(K3460,2,2)="05","전라",MID(K3460,2,2)="06","전라",MID(K3460,2,2)="07","경북",MID(K3460,2,2)="08","경남",MID(K3460,2,2)="09","강원",MID(K3460,2,2)="10","제주",TRUE,"국외")</f>
        <v>경남</v>
      </c>
    </row>
    <row r="3461" spans="1:12" ht="17.25" thickBot="1">
      <c r="A3461" s="3" t="s">
        <v>3335</v>
      </c>
      <c r="B3461" s="3" t="s">
        <v>3336</v>
      </c>
      <c r="C3461" s="3"/>
      <c r="D3461" s="4" t="s">
        <v>254</v>
      </c>
      <c r="E3461" s="4" t="s">
        <v>2968</v>
      </c>
      <c r="F3461" s="4">
        <v>1990</v>
      </c>
      <c r="G3461" s="8">
        <v>-0.1</v>
      </c>
      <c r="H3461" s="4" t="s">
        <v>607</v>
      </c>
      <c r="I3461" s="8">
        <v>48.6</v>
      </c>
      <c r="J3461" s="3">
        <v>10158</v>
      </c>
      <c r="K3461" s="3">
        <v>50607</v>
      </c>
      <c r="L3461" s="17" t="str" cm="1">
        <f t="array" ref="L3461">_xlfn.IFS(MID(K3461,2,2)="01", "서울", MID(K3461,2,2)="02","경기",MID(K3461,2,2)="03","충청",MID(K3461,2,2)="04","충청",MID(K3461,2,2)="05","전라",MID(K3461,2,2)="06","전라",MID(K3461,2,2)="07","경북",MID(K3461,2,2)="08","경남",MID(K3461,2,2)="09","강원",MID(K3461,2,2)="10","제주",TRUE,"국외")</f>
        <v>전라</v>
      </c>
    </row>
    <row r="3462" spans="1:12" ht="17.25" thickBot="1">
      <c r="A3462" s="3" t="s">
        <v>3337</v>
      </c>
      <c r="B3462" s="3" t="s">
        <v>8</v>
      </c>
      <c r="C3462" s="3" t="s">
        <v>208</v>
      </c>
      <c r="D3462" s="4" t="s">
        <v>254</v>
      </c>
      <c r="E3462" s="4" t="s">
        <v>2725</v>
      </c>
      <c r="F3462" s="4">
        <v>1990</v>
      </c>
      <c r="G3462" s="8">
        <v>-0.3</v>
      </c>
      <c r="H3462" s="4" t="s">
        <v>2725</v>
      </c>
      <c r="I3462" s="8">
        <v>0.7</v>
      </c>
      <c r="J3462" s="3">
        <f>1501</f>
        <v>1501</v>
      </c>
      <c r="K3462" s="3">
        <v>50116</v>
      </c>
      <c r="L3462" s="17" t="str" cm="1">
        <f t="array" ref="L3462">_xlfn.IFS(MID(K3462,2,2)="01", "서울", MID(K3462,2,2)="02","경기",MID(K3462,2,2)="03","충청",MID(K3462,2,2)="04","충청",MID(K3462,2,2)="05","전라",MID(K3462,2,2)="06","전라",MID(K3462,2,2)="07","경북",MID(K3462,2,2)="08","경남",MID(K3462,2,2)="09","강원",MID(K3462,2,2)="10","제주",TRUE,"국외")</f>
        <v>서울</v>
      </c>
    </row>
    <row r="3463" spans="1:12" ht="17.25" thickBot="1">
      <c r="A3463" s="3" t="s">
        <v>3338</v>
      </c>
      <c r="B3463" s="3" t="s">
        <v>22</v>
      </c>
      <c r="C3463" s="3"/>
      <c r="D3463" s="4" t="s">
        <v>254</v>
      </c>
      <c r="E3463" s="4" t="s">
        <v>2968</v>
      </c>
      <c r="F3463" s="4">
        <v>1990</v>
      </c>
      <c r="G3463" s="8">
        <v>0</v>
      </c>
      <c r="H3463" s="4" t="s">
        <v>2968</v>
      </c>
      <c r="I3463" s="8">
        <v>-4.2</v>
      </c>
      <c r="J3463" s="3">
        <f>1557</f>
        <v>1557</v>
      </c>
      <c r="K3463" s="3">
        <v>50209</v>
      </c>
      <c r="L3463" s="17" t="str" cm="1">
        <f t="array" ref="L3463">_xlfn.IFS(MID(K3463,2,2)="01", "서울", MID(K3463,2,2)="02","경기",MID(K3463,2,2)="03","충청",MID(K3463,2,2)="04","충청",MID(K3463,2,2)="05","전라",MID(K3463,2,2)="06","전라",MID(K3463,2,2)="07","경북",MID(K3463,2,2)="08","경남",MID(K3463,2,2)="09","강원",MID(K3463,2,2)="10","제주",TRUE,"국외")</f>
        <v>경기</v>
      </c>
    </row>
    <row r="3464" spans="1:12" ht="17.25" thickBot="1">
      <c r="A3464" s="3" t="s">
        <v>3339</v>
      </c>
      <c r="B3464" s="3" t="s">
        <v>158</v>
      </c>
      <c r="C3464" s="3"/>
      <c r="D3464" s="4" t="s">
        <v>254</v>
      </c>
      <c r="E3464" s="4" t="s">
        <v>20</v>
      </c>
      <c r="F3464" s="4">
        <v>1990</v>
      </c>
      <c r="G3464" s="8">
        <v>-0.4</v>
      </c>
      <c r="H3464" s="4" t="s">
        <v>20</v>
      </c>
      <c r="I3464" s="8">
        <v>-0.1</v>
      </c>
      <c r="J3464" s="3">
        <f>1548</f>
        <v>1548</v>
      </c>
      <c r="K3464" s="3">
        <v>50501</v>
      </c>
      <c r="L3464" s="17" t="str" cm="1">
        <f t="array" ref="L3464">_xlfn.IFS(MID(K3464,2,2)="01", "서울", MID(K3464,2,2)="02","경기",MID(K3464,2,2)="03","충청",MID(K3464,2,2)="04","충청",MID(K3464,2,2)="05","전라",MID(K3464,2,2)="06","전라",MID(K3464,2,2)="07","경북",MID(K3464,2,2)="08","경남",MID(K3464,2,2)="09","강원",MID(K3464,2,2)="10","제주",TRUE,"국외")</f>
        <v>전라</v>
      </c>
    </row>
    <row r="3465" spans="1:12" ht="17.25" thickBot="1">
      <c r="A3465" s="3" t="s">
        <v>3340</v>
      </c>
      <c r="B3465" s="3" t="s">
        <v>1</v>
      </c>
      <c r="C3465" s="3" t="s">
        <v>739</v>
      </c>
      <c r="D3465" s="4" t="s">
        <v>254</v>
      </c>
      <c r="E3465" s="4" t="s">
        <v>20</v>
      </c>
      <c r="F3465" s="4">
        <v>1990</v>
      </c>
      <c r="G3465" s="8">
        <v>-0.2</v>
      </c>
      <c r="H3465" s="4" t="s">
        <v>20</v>
      </c>
      <c r="I3465" s="8">
        <v>-1.8</v>
      </c>
      <c r="J3465" s="3">
        <f>1508</f>
        <v>1508</v>
      </c>
      <c r="K3465" s="3">
        <v>50107</v>
      </c>
      <c r="L3465" s="17" t="str" cm="1">
        <f t="array" ref="L3465">_xlfn.IFS(MID(K3465,2,2)="01", "서울", MID(K3465,2,2)="02","경기",MID(K3465,2,2)="03","충청",MID(K3465,2,2)="04","충청",MID(K3465,2,2)="05","전라",MID(K3465,2,2)="06","전라",MID(K3465,2,2)="07","경북",MID(K3465,2,2)="08","경남",MID(K3465,2,2)="09","강원",MID(K3465,2,2)="10","제주",TRUE,"국외")</f>
        <v>서울</v>
      </c>
    </row>
    <row r="3466" spans="1:12" ht="17.25" thickBot="1">
      <c r="A3466" s="3" t="s">
        <v>3341</v>
      </c>
      <c r="B3466" s="3" t="s">
        <v>145</v>
      </c>
      <c r="C3466" s="3" t="s">
        <v>45</v>
      </c>
      <c r="D3466" s="4" t="s">
        <v>1407</v>
      </c>
      <c r="E3466" s="4"/>
      <c r="F3466" s="4">
        <v>1991</v>
      </c>
      <c r="G3466" s="9"/>
      <c r="H3466" s="4" t="s">
        <v>2661</v>
      </c>
      <c r="I3466" s="8">
        <v>1.6</v>
      </c>
      <c r="J3466" s="3">
        <f>1592</f>
        <v>1592</v>
      </c>
      <c r="K3466" s="3">
        <v>50106</v>
      </c>
      <c r="L3466" s="17" t="str" cm="1">
        <f t="array" ref="L3466">_xlfn.IFS(MID(K3466,2,2)="01", "서울", MID(K3466,2,2)="02","경기",MID(K3466,2,2)="03","충청",MID(K3466,2,2)="04","충청",MID(K3466,2,2)="05","전라",MID(K3466,2,2)="06","전라",MID(K3466,2,2)="07","경북",MID(K3466,2,2)="08","경남",MID(K3466,2,2)="09","강원",MID(K3466,2,2)="10","제주",TRUE,"국외")</f>
        <v>서울</v>
      </c>
    </row>
    <row r="3467" spans="1:12" ht="17.25" thickBot="1">
      <c r="A3467" s="3" t="s">
        <v>3342</v>
      </c>
      <c r="B3467" s="3" t="s">
        <v>52</v>
      </c>
      <c r="C3467" s="3" t="s">
        <v>329</v>
      </c>
      <c r="D3467" s="4" t="s">
        <v>1407</v>
      </c>
      <c r="E3467" s="4"/>
      <c r="F3467" s="4">
        <v>1991</v>
      </c>
      <c r="G3467" s="9"/>
      <c r="H3467" s="4" t="s">
        <v>2661</v>
      </c>
      <c r="I3467" s="8">
        <v>15</v>
      </c>
      <c r="J3467" s="3">
        <f>1581</f>
        <v>1581</v>
      </c>
      <c r="K3467" s="3">
        <v>50803</v>
      </c>
      <c r="L3467" s="17" t="str" cm="1">
        <f t="array" ref="L3467">_xlfn.IFS(MID(K3467,2,2)="01", "서울", MID(K3467,2,2)="02","경기",MID(K3467,2,2)="03","충청",MID(K3467,2,2)="04","충청",MID(K3467,2,2)="05","전라",MID(K3467,2,2)="06","전라",MID(K3467,2,2)="07","경북",MID(K3467,2,2)="08","경남",MID(K3467,2,2)="09","강원",MID(K3467,2,2)="10","제주",TRUE,"국외")</f>
        <v>경남</v>
      </c>
    </row>
    <row r="3468" spans="1:12" ht="17.25" thickBot="1">
      <c r="A3468" s="3" t="s">
        <v>3343</v>
      </c>
      <c r="B3468" s="3" t="s">
        <v>112</v>
      </c>
      <c r="C3468" s="3" t="s">
        <v>739</v>
      </c>
      <c r="D3468" s="4" t="s">
        <v>1407</v>
      </c>
      <c r="E3468" s="4"/>
      <c r="F3468" s="4">
        <v>1991</v>
      </c>
      <c r="G3468" s="9"/>
      <c r="H3468" s="4" t="s">
        <v>2661</v>
      </c>
      <c r="I3468" s="8">
        <v>0.5</v>
      </c>
      <c r="J3468" s="3">
        <f>1621</f>
        <v>1621</v>
      </c>
      <c r="K3468" s="3">
        <v>50113</v>
      </c>
      <c r="L3468" s="17" t="str" cm="1">
        <f t="array" ref="L3468">_xlfn.IFS(MID(K3468,2,2)="01", "서울", MID(K3468,2,2)="02","경기",MID(K3468,2,2)="03","충청",MID(K3468,2,2)="04","충청",MID(K3468,2,2)="05","전라",MID(K3468,2,2)="06","전라",MID(K3468,2,2)="07","경북",MID(K3468,2,2)="08","경남",MID(K3468,2,2)="09","강원",MID(K3468,2,2)="10","제주",TRUE,"국외")</f>
        <v>서울</v>
      </c>
    </row>
    <row r="3469" spans="1:12" ht="17.25" thickBot="1">
      <c r="A3469" s="3" t="s">
        <v>3344</v>
      </c>
      <c r="B3469" s="3" t="s">
        <v>107</v>
      </c>
      <c r="C3469" s="3" t="s">
        <v>83</v>
      </c>
      <c r="D3469" s="4" t="s">
        <v>1407</v>
      </c>
      <c r="E3469" s="4"/>
      <c r="F3469" s="4">
        <v>1992</v>
      </c>
      <c r="G3469" s="9"/>
      <c r="H3469" s="4" t="s">
        <v>2661</v>
      </c>
      <c r="I3469" s="8">
        <v>0.5</v>
      </c>
      <c r="J3469" s="3">
        <f>1698</f>
        <v>1698</v>
      </c>
      <c r="K3469" s="3">
        <v>50602</v>
      </c>
      <c r="L3469" s="17" t="str" cm="1">
        <f t="array" ref="L3469">_xlfn.IFS(MID(K3469,2,2)="01", "서울", MID(K3469,2,2)="02","경기",MID(K3469,2,2)="03","충청",MID(K3469,2,2)="04","충청",MID(K3469,2,2)="05","전라",MID(K3469,2,2)="06","전라",MID(K3469,2,2)="07","경북",MID(K3469,2,2)="08","경남",MID(K3469,2,2)="09","강원",MID(K3469,2,2)="10","제주",TRUE,"국외")</f>
        <v>전라</v>
      </c>
    </row>
    <row r="3470" spans="1:12" ht="17.25" thickBot="1">
      <c r="A3470" s="3" t="s">
        <v>3345</v>
      </c>
      <c r="B3470" s="3" t="s">
        <v>36</v>
      </c>
      <c r="C3470" s="3" t="s">
        <v>549</v>
      </c>
      <c r="D3470" s="4" t="s">
        <v>1407</v>
      </c>
      <c r="E3470" s="4"/>
      <c r="F3470" s="4">
        <v>1991</v>
      </c>
      <c r="G3470" s="9"/>
      <c r="H3470" s="4" t="s">
        <v>2661</v>
      </c>
      <c r="I3470" s="8">
        <v>1.1000000000000001</v>
      </c>
      <c r="J3470" s="3">
        <f>1615</f>
        <v>1615</v>
      </c>
      <c r="K3470" s="3">
        <v>50402</v>
      </c>
      <c r="L3470" s="17" t="str" cm="1">
        <f t="array" ref="L3470">_xlfn.IFS(MID(K3470,2,2)="01", "서울", MID(K3470,2,2)="02","경기",MID(K3470,2,2)="03","충청",MID(K3470,2,2)="04","충청",MID(K3470,2,2)="05","전라",MID(K3470,2,2)="06","전라",MID(K3470,2,2)="07","경북",MID(K3470,2,2)="08","경남",MID(K3470,2,2)="09","강원",MID(K3470,2,2)="10","제주",TRUE,"국외")</f>
        <v>충청</v>
      </c>
    </row>
    <row r="3471" spans="1:12" ht="17.25" thickBot="1">
      <c r="A3471" s="3" t="s">
        <v>3346</v>
      </c>
      <c r="B3471" s="3"/>
      <c r="C3471" s="3"/>
      <c r="D3471" s="4" t="s">
        <v>181</v>
      </c>
      <c r="E3471" s="4" t="s">
        <v>2725</v>
      </c>
      <c r="F3471" s="4">
        <v>1990</v>
      </c>
      <c r="G3471" s="8">
        <v>0.4</v>
      </c>
      <c r="H3471" s="4" t="s">
        <v>2725</v>
      </c>
      <c r="I3471" s="8">
        <v>0.4</v>
      </c>
      <c r="J3471" s="3">
        <f>1530</f>
        <v>1530</v>
      </c>
      <c r="K3471" s="3"/>
      <c r="L3471" s="17" t="str" cm="1">
        <f t="array" ref="L3471">_xlfn.IFS(MID(K3471,2,2)="01", "서울", MID(K3471,2,2)="02","경기",MID(K3471,2,2)="03","충청",MID(K3471,2,2)="04","충청",MID(K3471,2,2)="05","전라",MID(K3471,2,2)="06","전라",MID(K3471,2,2)="07","경북",MID(K3471,2,2)="08","경남",MID(K3471,2,2)="09","강원",MID(K3471,2,2)="10","제주",TRUE,"국외")</f>
        <v>국외</v>
      </c>
    </row>
    <row r="3472" spans="1:12" ht="17.25" thickBot="1">
      <c r="A3472" s="3" t="s">
        <v>3347</v>
      </c>
      <c r="B3472" s="3" t="s">
        <v>722</v>
      </c>
      <c r="C3472" s="3"/>
      <c r="D3472" s="4" t="s">
        <v>181</v>
      </c>
      <c r="E3472" s="4" t="s">
        <v>9</v>
      </c>
      <c r="F3472" s="4">
        <v>1990</v>
      </c>
      <c r="G3472" s="8">
        <v>1</v>
      </c>
      <c r="H3472" s="4" t="s">
        <v>9</v>
      </c>
      <c r="I3472" s="8">
        <v>0.8</v>
      </c>
      <c r="J3472" s="3">
        <f>1507</f>
        <v>1507</v>
      </c>
      <c r="K3472" s="3">
        <v>51100</v>
      </c>
      <c r="L3472" s="17" t="str" cm="1">
        <f t="array" ref="L3472">_xlfn.IFS(MID(K3472,2,2)="01", "서울", MID(K3472,2,2)="02","경기",MID(K3472,2,2)="03","충청",MID(K3472,2,2)="04","충청",MID(K3472,2,2)="05","전라",MID(K3472,2,2)="06","전라",MID(K3472,2,2)="07","경북",MID(K3472,2,2)="08","경남",MID(K3472,2,2)="09","강원",MID(K3472,2,2)="10","제주",TRUE,"국외")</f>
        <v>국외</v>
      </c>
    </row>
    <row r="3473" spans="1:12" ht="17.25" thickBot="1">
      <c r="A3473" s="3" t="s">
        <v>3348</v>
      </c>
      <c r="B3473" s="3" t="s">
        <v>1834</v>
      </c>
      <c r="C3473" s="3"/>
      <c r="D3473" s="4" t="s">
        <v>1777</v>
      </c>
      <c r="E3473" s="4" t="s">
        <v>20</v>
      </c>
      <c r="F3473" s="4">
        <v>1990</v>
      </c>
      <c r="G3473" s="8">
        <v>0</v>
      </c>
      <c r="H3473" s="4" t="s">
        <v>20</v>
      </c>
      <c r="I3473" s="8">
        <v>0.1</v>
      </c>
      <c r="J3473" s="3">
        <f>1525</f>
        <v>1525</v>
      </c>
      <c r="K3473" s="3">
        <v>50904</v>
      </c>
      <c r="L3473" s="17" t="str" cm="1">
        <f t="array" ref="L3473">_xlfn.IFS(MID(K3473,2,2)="01", "서울", MID(K3473,2,2)="02","경기",MID(K3473,2,2)="03","충청",MID(K3473,2,2)="04","충청",MID(K3473,2,2)="05","전라",MID(K3473,2,2)="06","전라",MID(K3473,2,2)="07","경북",MID(K3473,2,2)="08","경남",MID(K3473,2,2)="09","강원",MID(K3473,2,2)="10","제주",TRUE,"국외")</f>
        <v>강원</v>
      </c>
    </row>
    <row r="3474" spans="1:12" ht="17.25" thickBot="1">
      <c r="A3474" s="3" t="s">
        <v>3349</v>
      </c>
      <c r="B3474" s="3" t="s">
        <v>11</v>
      </c>
      <c r="C3474" s="3" t="s">
        <v>329</v>
      </c>
      <c r="D3474" s="4" t="s">
        <v>1777</v>
      </c>
      <c r="E3474" s="4" t="s">
        <v>2725</v>
      </c>
      <c r="F3474" s="4">
        <v>1991</v>
      </c>
      <c r="G3474" s="9"/>
      <c r="H3474" s="4" t="s">
        <v>2725</v>
      </c>
      <c r="I3474" s="8">
        <v>0.1</v>
      </c>
      <c r="J3474" s="3">
        <f>1605</f>
        <v>1605</v>
      </c>
      <c r="K3474" s="3">
        <v>50802</v>
      </c>
      <c r="L3474" s="17" t="str" cm="1">
        <f t="array" ref="L3474">_xlfn.IFS(MID(K3474,2,2)="01", "서울", MID(K3474,2,2)="02","경기",MID(K3474,2,2)="03","충청",MID(K3474,2,2)="04","충청",MID(K3474,2,2)="05","전라",MID(K3474,2,2)="06","전라",MID(K3474,2,2)="07","경북",MID(K3474,2,2)="08","경남",MID(K3474,2,2)="09","강원",MID(K3474,2,2)="10","제주",TRUE,"국외")</f>
        <v>경남</v>
      </c>
    </row>
    <row r="3475" spans="1:12" ht="17.25" thickBot="1">
      <c r="A3475" s="3" t="s">
        <v>3350</v>
      </c>
      <c r="B3475" s="3" t="s">
        <v>3042</v>
      </c>
      <c r="C3475" s="3"/>
      <c r="D3475" s="4" t="s">
        <v>1777</v>
      </c>
      <c r="E3475" s="4" t="s">
        <v>9</v>
      </c>
      <c r="F3475" s="4">
        <v>1990</v>
      </c>
      <c r="G3475" s="8">
        <v>0</v>
      </c>
      <c r="H3475" s="4" t="s">
        <v>9</v>
      </c>
      <c r="I3475" s="8">
        <v>-0.5</v>
      </c>
      <c r="J3475" s="3">
        <f>1522</f>
        <v>1522</v>
      </c>
      <c r="K3475" s="3">
        <v>50814</v>
      </c>
      <c r="L3475" s="17" t="str" cm="1">
        <f t="array" ref="L3475">_xlfn.IFS(MID(K3475,2,2)="01", "서울", MID(K3475,2,2)="02","경기",MID(K3475,2,2)="03","충청",MID(K3475,2,2)="04","충청",MID(K3475,2,2)="05","전라",MID(K3475,2,2)="06","전라",MID(K3475,2,2)="07","경북",MID(K3475,2,2)="08","경남",MID(K3475,2,2)="09","강원",MID(K3475,2,2)="10","제주",TRUE,"국외")</f>
        <v>경남</v>
      </c>
    </row>
    <row r="3476" spans="1:12" ht="17.25" thickBot="1">
      <c r="A3476" s="3" t="s">
        <v>3351</v>
      </c>
      <c r="B3476" s="3" t="s">
        <v>3042</v>
      </c>
      <c r="C3476" s="3"/>
      <c r="D3476" s="4" t="s">
        <v>1777</v>
      </c>
      <c r="E3476" s="4" t="s">
        <v>9</v>
      </c>
      <c r="F3476" s="4">
        <v>1990</v>
      </c>
      <c r="G3476" s="8">
        <v>-0.5</v>
      </c>
      <c r="H3476" s="4" t="s">
        <v>9</v>
      </c>
      <c r="I3476" s="8">
        <v>-0.5</v>
      </c>
      <c r="J3476" s="3">
        <f>1542</f>
        <v>1542</v>
      </c>
      <c r="K3476" s="3">
        <v>50814</v>
      </c>
      <c r="L3476" s="17" t="str" cm="1">
        <f t="array" ref="L3476">_xlfn.IFS(MID(K3476,2,2)="01", "서울", MID(K3476,2,2)="02","경기",MID(K3476,2,2)="03","충청",MID(K3476,2,2)="04","충청",MID(K3476,2,2)="05","전라",MID(K3476,2,2)="06","전라",MID(K3476,2,2)="07","경북",MID(K3476,2,2)="08","경남",MID(K3476,2,2)="09","강원",MID(K3476,2,2)="10","제주",TRUE,"국외")</f>
        <v>경남</v>
      </c>
    </row>
    <row r="3477" spans="1:12" ht="17.25" thickBot="1">
      <c r="A3477" s="3" t="s">
        <v>3352</v>
      </c>
      <c r="B3477" s="3" t="s">
        <v>89</v>
      </c>
      <c r="C3477" s="3"/>
      <c r="D3477" s="4" t="s">
        <v>1777</v>
      </c>
      <c r="E3477" s="4" t="s">
        <v>9</v>
      </c>
      <c r="F3477" s="4">
        <v>1991</v>
      </c>
      <c r="G3477" s="9"/>
      <c r="H3477" s="4" t="s">
        <v>9</v>
      </c>
      <c r="I3477" s="8">
        <v>-0.3</v>
      </c>
      <c r="J3477" s="3">
        <f>1568</f>
        <v>1568</v>
      </c>
      <c r="K3477" s="3">
        <v>50806</v>
      </c>
      <c r="L3477" s="17" t="str" cm="1">
        <f t="array" ref="L3477">_xlfn.IFS(MID(K3477,2,2)="01", "서울", MID(K3477,2,2)="02","경기",MID(K3477,2,2)="03","충청",MID(K3477,2,2)="04","충청",MID(K3477,2,2)="05","전라",MID(K3477,2,2)="06","전라",MID(K3477,2,2)="07","경북",MID(K3477,2,2)="08","경남",MID(K3477,2,2)="09","강원",MID(K3477,2,2)="10","제주",TRUE,"국외")</f>
        <v>경남</v>
      </c>
    </row>
    <row r="3478" spans="1:12" ht="17.25" thickBot="1">
      <c r="A3478" s="3" t="s">
        <v>3353</v>
      </c>
      <c r="B3478" s="3" t="s">
        <v>25</v>
      </c>
      <c r="C3478" s="3"/>
      <c r="D3478" s="4" t="s">
        <v>1777</v>
      </c>
      <c r="E3478" s="4" t="s">
        <v>3101</v>
      </c>
      <c r="F3478" s="4">
        <v>1990</v>
      </c>
      <c r="G3478" s="8">
        <v>-0.2</v>
      </c>
      <c r="H3478" s="4" t="s">
        <v>3101</v>
      </c>
      <c r="I3478" s="8">
        <v>-0.2</v>
      </c>
      <c r="J3478" s="3">
        <f>1519</f>
        <v>1519</v>
      </c>
      <c r="K3478" s="3">
        <v>50403</v>
      </c>
      <c r="L3478" s="17" t="str" cm="1">
        <f t="array" ref="L3478">_xlfn.IFS(MID(K3478,2,2)="01", "서울", MID(K3478,2,2)="02","경기",MID(K3478,2,2)="03","충청",MID(K3478,2,2)="04","충청",MID(K3478,2,2)="05","전라",MID(K3478,2,2)="06","전라",MID(K3478,2,2)="07","경북",MID(K3478,2,2)="08","경남",MID(K3478,2,2)="09","강원",MID(K3478,2,2)="10","제주",TRUE,"국외")</f>
        <v>충청</v>
      </c>
    </row>
    <row r="3479" spans="1:12" ht="17.25" thickBot="1">
      <c r="A3479" s="3" t="s">
        <v>3354</v>
      </c>
      <c r="B3479" s="3" t="s">
        <v>22</v>
      </c>
      <c r="C3479" s="3" t="s">
        <v>221</v>
      </c>
      <c r="D3479" s="4" t="s">
        <v>1777</v>
      </c>
      <c r="E3479" s="4" t="s">
        <v>3101</v>
      </c>
      <c r="F3479" s="4">
        <v>1991</v>
      </c>
      <c r="G3479" s="9"/>
      <c r="H3479" s="4" t="s">
        <v>3</v>
      </c>
      <c r="I3479" s="8">
        <v>-0.3</v>
      </c>
      <c r="J3479" s="3">
        <f>1577</f>
        <v>1577</v>
      </c>
      <c r="K3479" s="3">
        <v>50209</v>
      </c>
      <c r="L3479" s="17" t="str" cm="1">
        <f t="array" ref="L3479">_xlfn.IFS(MID(K3479,2,2)="01", "서울", MID(K3479,2,2)="02","경기",MID(K3479,2,2)="03","충청",MID(K3479,2,2)="04","충청",MID(K3479,2,2)="05","전라",MID(K3479,2,2)="06","전라",MID(K3479,2,2)="07","경북",MID(K3479,2,2)="08","경남",MID(K3479,2,2)="09","강원",MID(K3479,2,2)="10","제주",TRUE,"국외")</f>
        <v>경기</v>
      </c>
    </row>
    <row r="3480" spans="1:12" ht="17.25" thickBot="1">
      <c r="A3480" s="3" t="s">
        <v>3355</v>
      </c>
      <c r="B3480" s="3" t="s">
        <v>1950</v>
      </c>
      <c r="C3480" s="3"/>
      <c r="D3480" s="4" t="s">
        <v>1777</v>
      </c>
      <c r="E3480" s="4" t="s">
        <v>3101</v>
      </c>
      <c r="F3480" s="4">
        <v>1991</v>
      </c>
      <c r="G3480" s="9"/>
      <c r="H3480" s="4" t="s">
        <v>3101</v>
      </c>
      <c r="I3480" s="8">
        <v>-0.4</v>
      </c>
      <c r="J3480" s="3">
        <f>1597</f>
        <v>1597</v>
      </c>
      <c r="K3480" s="3">
        <v>50115</v>
      </c>
      <c r="L3480" s="17" t="str" cm="1">
        <f t="array" ref="L3480">_xlfn.IFS(MID(K3480,2,2)="01", "서울", MID(K3480,2,2)="02","경기",MID(K3480,2,2)="03","충청",MID(K3480,2,2)="04","충청",MID(K3480,2,2)="05","전라",MID(K3480,2,2)="06","전라",MID(K3480,2,2)="07","경북",MID(K3480,2,2)="08","경남",MID(K3480,2,2)="09","강원",MID(K3480,2,2)="10","제주",TRUE,"국외")</f>
        <v>서울</v>
      </c>
    </row>
    <row r="3481" spans="1:12" ht="17.25" thickBot="1">
      <c r="A3481" s="3" t="s">
        <v>3356</v>
      </c>
      <c r="B3481" s="3" t="s">
        <v>3038</v>
      </c>
      <c r="C3481" s="3"/>
      <c r="D3481" s="4" t="s">
        <v>1777</v>
      </c>
      <c r="E3481" s="4" t="s">
        <v>2968</v>
      </c>
      <c r="F3481" s="4">
        <v>1990</v>
      </c>
      <c r="G3481" s="8">
        <v>-0.1</v>
      </c>
      <c r="H3481" s="4" t="s">
        <v>2968</v>
      </c>
      <c r="I3481" s="8">
        <v>3.3</v>
      </c>
      <c r="J3481" s="3">
        <f>1504</f>
        <v>1504</v>
      </c>
      <c r="K3481" s="3">
        <v>50126</v>
      </c>
      <c r="L3481" s="17" t="str" cm="1">
        <f t="array" ref="L3481">_xlfn.IFS(MID(K3481,2,2)="01", "서울", MID(K3481,2,2)="02","경기",MID(K3481,2,2)="03","충청",MID(K3481,2,2)="04","충청",MID(K3481,2,2)="05","전라",MID(K3481,2,2)="06","전라",MID(K3481,2,2)="07","경북",MID(K3481,2,2)="08","경남",MID(K3481,2,2)="09","강원",MID(K3481,2,2)="10","제주",TRUE,"국외")</f>
        <v>서울</v>
      </c>
    </row>
    <row r="3482" spans="1:12" ht="17.25" thickBot="1">
      <c r="A3482" s="3" t="s">
        <v>3357</v>
      </c>
      <c r="B3482" s="3" t="s">
        <v>1950</v>
      </c>
      <c r="C3482" s="3"/>
      <c r="D3482" s="4" t="s">
        <v>1777</v>
      </c>
      <c r="E3482" s="4" t="s">
        <v>2968</v>
      </c>
      <c r="F3482" s="4">
        <v>1991</v>
      </c>
      <c r="G3482" s="9"/>
      <c r="H3482" s="4" t="s">
        <v>2523</v>
      </c>
      <c r="I3482" s="8">
        <v>0.9</v>
      </c>
      <c r="J3482" s="3">
        <f>1564</f>
        <v>1564</v>
      </c>
      <c r="K3482" s="3">
        <v>50115</v>
      </c>
      <c r="L3482" s="17" t="str" cm="1">
        <f t="array" ref="L3482">_xlfn.IFS(MID(K3482,2,2)="01", "서울", MID(K3482,2,2)="02","경기",MID(K3482,2,2)="03","충청",MID(K3482,2,2)="04","충청",MID(K3482,2,2)="05","전라",MID(K3482,2,2)="06","전라",MID(K3482,2,2)="07","경북",MID(K3482,2,2)="08","경남",MID(K3482,2,2)="09","강원",MID(K3482,2,2)="10","제주",TRUE,"국외")</f>
        <v>서울</v>
      </c>
    </row>
    <row r="3483" spans="1:12" ht="17.25" thickBot="1">
      <c r="A3483" s="3" t="s">
        <v>2755</v>
      </c>
      <c r="B3483" s="3" t="s">
        <v>74</v>
      </c>
      <c r="C3483" s="3"/>
      <c r="D3483" s="4" t="s">
        <v>2710</v>
      </c>
      <c r="E3483" s="4" t="s">
        <v>20</v>
      </c>
      <c r="F3483" s="4">
        <v>1992</v>
      </c>
      <c r="G3483" s="9"/>
      <c r="H3483" s="4" t="s">
        <v>20</v>
      </c>
      <c r="I3483" s="8">
        <v>-0.1</v>
      </c>
      <c r="J3483" s="3">
        <f>1699</f>
        <v>1699</v>
      </c>
      <c r="K3483" s="3">
        <v>50102</v>
      </c>
      <c r="L3483" s="17" t="str" cm="1">
        <f t="array" ref="L3483">_xlfn.IFS(MID(K3483,2,2)="01", "서울", MID(K3483,2,2)="02","경기",MID(K3483,2,2)="03","충청",MID(K3483,2,2)="04","충청",MID(K3483,2,2)="05","전라",MID(K3483,2,2)="06","전라",MID(K3483,2,2)="07","경북",MID(K3483,2,2)="08","경남",MID(K3483,2,2)="09","강원",MID(K3483,2,2)="10","제주",TRUE,"국외")</f>
        <v>서울</v>
      </c>
    </row>
    <row r="3484" spans="1:12" ht="17.25" thickBot="1">
      <c r="A3484" s="3" t="s">
        <v>3358</v>
      </c>
      <c r="B3484" s="3" t="s">
        <v>81</v>
      </c>
      <c r="C3484" s="3" t="s">
        <v>483</v>
      </c>
      <c r="D3484" s="4" t="s">
        <v>2710</v>
      </c>
      <c r="E3484" s="4" t="s">
        <v>2725</v>
      </c>
      <c r="F3484" s="4">
        <v>1990</v>
      </c>
      <c r="G3484" s="8">
        <v>0.1</v>
      </c>
      <c r="H3484" s="4" t="s">
        <v>2725</v>
      </c>
      <c r="I3484" s="8">
        <v>0.1</v>
      </c>
      <c r="J3484" s="3">
        <f>1538</f>
        <v>1538</v>
      </c>
      <c r="K3484" s="3">
        <v>50105</v>
      </c>
      <c r="L3484" s="17" t="str" cm="1">
        <f t="array" ref="L3484">_xlfn.IFS(MID(K3484,2,2)="01", "서울", MID(K3484,2,2)="02","경기",MID(K3484,2,2)="03","충청",MID(K3484,2,2)="04","충청",MID(K3484,2,2)="05","전라",MID(K3484,2,2)="06","전라",MID(K3484,2,2)="07","경북",MID(K3484,2,2)="08","경남",MID(K3484,2,2)="09","강원",MID(K3484,2,2)="10","제주",TRUE,"국외")</f>
        <v>서울</v>
      </c>
    </row>
    <row r="3485" spans="1:12" ht="17.25" thickBot="1">
      <c r="A3485" s="3" t="s">
        <v>3359</v>
      </c>
      <c r="B3485" s="3" t="s">
        <v>361</v>
      </c>
      <c r="C3485" s="3"/>
      <c r="D3485" s="4" t="s">
        <v>2710</v>
      </c>
      <c r="E3485" s="4" t="s">
        <v>2725</v>
      </c>
      <c r="F3485" s="4">
        <v>1990</v>
      </c>
      <c r="G3485" s="8">
        <v>0.8</v>
      </c>
      <c r="H3485" s="4" t="s">
        <v>2725</v>
      </c>
      <c r="I3485" s="8">
        <v>2</v>
      </c>
      <c r="J3485" s="3">
        <f>1551</f>
        <v>1551</v>
      </c>
      <c r="K3485" s="3">
        <v>50121</v>
      </c>
      <c r="L3485" s="17" t="str" cm="1">
        <f t="array" ref="L3485">_xlfn.IFS(MID(K3485,2,2)="01", "서울", MID(K3485,2,2)="02","경기",MID(K3485,2,2)="03","충청",MID(K3485,2,2)="04","충청",MID(K3485,2,2)="05","전라",MID(K3485,2,2)="06","전라",MID(K3485,2,2)="07","경북",MID(K3485,2,2)="08","경남",MID(K3485,2,2)="09","강원",MID(K3485,2,2)="10","제주",TRUE,"국외")</f>
        <v>서울</v>
      </c>
    </row>
    <row r="3486" spans="1:12" ht="17.25" thickBot="1">
      <c r="A3486" s="3" t="s">
        <v>3360</v>
      </c>
      <c r="B3486" s="3" t="s">
        <v>361</v>
      </c>
      <c r="C3486" s="3"/>
      <c r="D3486" s="4" t="s">
        <v>2710</v>
      </c>
      <c r="E3486" s="4" t="s">
        <v>2725</v>
      </c>
      <c r="F3486" s="4">
        <v>1990</v>
      </c>
      <c r="G3486" s="8">
        <v>-0.3</v>
      </c>
      <c r="H3486" s="4" t="s">
        <v>2725</v>
      </c>
      <c r="I3486" s="8">
        <v>-0.3</v>
      </c>
      <c r="J3486" s="3">
        <f>1543</f>
        <v>1543</v>
      </c>
      <c r="K3486" s="3">
        <v>50121</v>
      </c>
      <c r="L3486" s="17" t="str" cm="1">
        <f t="array" ref="L3486">_xlfn.IFS(MID(K3486,2,2)="01", "서울", MID(K3486,2,2)="02","경기",MID(K3486,2,2)="03","충청",MID(K3486,2,2)="04","충청",MID(K3486,2,2)="05","전라",MID(K3486,2,2)="06","전라",MID(K3486,2,2)="07","경북",MID(K3486,2,2)="08","경남",MID(K3486,2,2)="09","강원",MID(K3486,2,2)="10","제주",TRUE,"국외")</f>
        <v>서울</v>
      </c>
    </row>
    <row r="3487" spans="1:12" ht="17.25" thickBot="1">
      <c r="A3487" s="3" t="s">
        <v>3361</v>
      </c>
      <c r="B3487" s="3" t="s">
        <v>58</v>
      </c>
      <c r="C3487" s="3"/>
      <c r="D3487" s="4" t="s">
        <v>2710</v>
      </c>
      <c r="E3487" s="4" t="s">
        <v>2725</v>
      </c>
      <c r="F3487" s="4">
        <v>1992</v>
      </c>
      <c r="G3487" s="9"/>
      <c r="H3487" s="4" t="s">
        <v>2725</v>
      </c>
      <c r="I3487" s="8">
        <v>-0.4</v>
      </c>
      <c r="J3487" s="3">
        <f>1705</f>
        <v>1705</v>
      </c>
      <c r="K3487" s="3">
        <v>50119</v>
      </c>
      <c r="L3487" s="17" t="str" cm="1">
        <f t="array" ref="L3487">_xlfn.IFS(MID(K3487,2,2)="01", "서울", MID(K3487,2,2)="02","경기",MID(K3487,2,2)="03","충청",MID(K3487,2,2)="04","충청",MID(K3487,2,2)="05","전라",MID(K3487,2,2)="06","전라",MID(K3487,2,2)="07","경북",MID(K3487,2,2)="08","경남",MID(K3487,2,2)="09","강원",MID(K3487,2,2)="10","제주",TRUE,"국외")</f>
        <v>서울</v>
      </c>
    </row>
    <row r="3488" spans="1:12" ht="17.25" thickBot="1">
      <c r="A3488" s="3" t="s">
        <v>3362</v>
      </c>
      <c r="B3488" s="3" t="s">
        <v>58</v>
      </c>
      <c r="C3488" s="3"/>
      <c r="D3488" s="4" t="s">
        <v>2710</v>
      </c>
      <c r="E3488" s="4" t="s">
        <v>2725</v>
      </c>
      <c r="F3488" s="4">
        <v>1991</v>
      </c>
      <c r="G3488" s="9"/>
      <c r="H3488" s="4" t="s">
        <v>2725</v>
      </c>
      <c r="I3488" s="8">
        <v>0</v>
      </c>
      <c r="J3488" s="3">
        <f>1603</f>
        <v>1603</v>
      </c>
      <c r="K3488" s="3">
        <v>50119</v>
      </c>
      <c r="L3488" s="17" t="str" cm="1">
        <f t="array" ref="L3488">_xlfn.IFS(MID(K3488,2,2)="01", "서울", MID(K3488,2,2)="02","경기",MID(K3488,2,2)="03","충청",MID(K3488,2,2)="04","충청",MID(K3488,2,2)="05","전라",MID(K3488,2,2)="06","전라",MID(K3488,2,2)="07","경북",MID(K3488,2,2)="08","경남",MID(K3488,2,2)="09","강원",MID(K3488,2,2)="10","제주",TRUE,"국외")</f>
        <v>서울</v>
      </c>
    </row>
    <row r="3489" spans="1:12" ht="17.25" thickBot="1">
      <c r="A3489" s="3" t="s">
        <v>3363</v>
      </c>
      <c r="B3489" s="3" t="s">
        <v>93</v>
      </c>
      <c r="C3489" s="3" t="s">
        <v>329</v>
      </c>
      <c r="D3489" s="4" t="s">
        <v>2710</v>
      </c>
      <c r="E3489" s="4" t="s">
        <v>9</v>
      </c>
      <c r="F3489" s="4">
        <v>1990</v>
      </c>
      <c r="G3489" s="9"/>
      <c r="H3489" s="4" t="s">
        <v>9</v>
      </c>
      <c r="I3489" s="8">
        <v>0</v>
      </c>
      <c r="J3489" s="3">
        <f>1549</f>
        <v>1549</v>
      </c>
      <c r="K3489" s="3">
        <v>50805</v>
      </c>
      <c r="L3489" s="17" t="str" cm="1">
        <f t="array" ref="L3489">_xlfn.IFS(MID(K3489,2,2)="01", "서울", MID(K3489,2,2)="02","경기",MID(K3489,2,2)="03","충청",MID(K3489,2,2)="04","충청",MID(K3489,2,2)="05","전라",MID(K3489,2,2)="06","전라",MID(K3489,2,2)="07","경북",MID(K3489,2,2)="08","경남",MID(K3489,2,2)="09","강원",MID(K3489,2,2)="10","제주",TRUE,"국외")</f>
        <v>경남</v>
      </c>
    </row>
    <row r="3490" spans="1:12" ht="17.25" thickBot="1">
      <c r="A3490" s="3" t="s">
        <v>3364</v>
      </c>
      <c r="B3490" s="3" t="s">
        <v>335</v>
      </c>
      <c r="C3490" s="3"/>
      <c r="D3490" s="4" t="s">
        <v>2710</v>
      </c>
      <c r="E3490" s="4" t="s">
        <v>9</v>
      </c>
      <c r="F3490" s="4">
        <v>1990</v>
      </c>
      <c r="G3490" s="8">
        <v>-0.5</v>
      </c>
      <c r="H3490" s="4" t="s">
        <v>9</v>
      </c>
      <c r="I3490" s="8">
        <v>0</v>
      </c>
      <c r="J3490" s="3">
        <f>1555</f>
        <v>1555</v>
      </c>
      <c r="K3490" s="3">
        <v>50804</v>
      </c>
      <c r="L3490" s="17" t="str" cm="1">
        <f t="array" ref="L3490">_xlfn.IFS(MID(K3490,2,2)="01", "서울", MID(K3490,2,2)="02","경기",MID(K3490,2,2)="03","충청",MID(K3490,2,2)="04","충청",MID(K3490,2,2)="05","전라",MID(K3490,2,2)="06","전라",MID(K3490,2,2)="07","경북",MID(K3490,2,2)="08","경남",MID(K3490,2,2)="09","강원",MID(K3490,2,2)="10","제주",TRUE,"국외")</f>
        <v>경남</v>
      </c>
    </row>
    <row r="3491" spans="1:12" ht="17.25" thickBot="1">
      <c r="A3491" s="3" t="s">
        <v>3365</v>
      </c>
      <c r="B3491" s="3" t="s">
        <v>228</v>
      </c>
      <c r="C3491" s="3"/>
      <c r="D3491" s="4" t="s">
        <v>2710</v>
      </c>
      <c r="E3491" s="4" t="s">
        <v>23</v>
      </c>
      <c r="F3491" s="4">
        <v>1990</v>
      </c>
      <c r="G3491" s="8">
        <v>-0.4</v>
      </c>
      <c r="H3491" s="4" t="s">
        <v>23</v>
      </c>
      <c r="I3491" s="8">
        <v>-1</v>
      </c>
      <c r="J3491" s="3">
        <f>1512</f>
        <v>1512</v>
      </c>
      <c r="K3491" s="3">
        <v>50702</v>
      </c>
      <c r="L3491" s="17" t="str" cm="1">
        <f t="array" ref="L3491">_xlfn.IFS(MID(K3491,2,2)="01", "서울", MID(K3491,2,2)="02","경기",MID(K3491,2,2)="03","충청",MID(K3491,2,2)="04","충청",MID(K3491,2,2)="05","전라",MID(K3491,2,2)="06","전라",MID(K3491,2,2)="07","경북",MID(K3491,2,2)="08","경남",MID(K3491,2,2)="09","강원",MID(K3491,2,2)="10","제주",TRUE,"국외")</f>
        <v>경북</v>
      </c>
    </row>
    <row r="3492" spans="1:12" ht="17.25" thickBot="1">
      <c r="A3492" s="3" t="s">
        <v>3366</v>
      </c>
      <c r="B3492" s="3" t="s">
        <v>3367</v>
      </c>
      <c r="C3492" s="3"/>
      <c r="D3492" s="4" t="s">
        <v>2710</v>
      </c>
      <c r="E3492" s="4" t="s">
        <v>23</v>
      </c>
      <c r="F3492" s="4">
        <v>1991</v>
      </c>
      <c r="G3492" s="9"/>
      <c r="H3492" s="4" t="s">
        <v>23</v>
      </c>
      <c r="I3492" s="8">
        <v>-0.6</v>
      </c>
      <c r="J3492" s="3">
        <f>1584</f>
        <v>1584</v>
      </c>
      <c r="K3492" s="3">
        <v>50800</v>
      </c>
      <c r="L3492" s="17" t="str" cm="1">
        <f t="array" ref="L3492">_xlfn.IFS(MID(K3492,2,2)="01", "서울", MID(K3492,2,2)="02","경기",MID(K3492,2,2)="03","충청",MID(K3492,2,2)="04","충청",MID(K3492,2,2)="05","전라",MID(K3492,2,2)="06","전라",MID(K3492,2,2)="07","경북",MID(K3492,2,2)="08","경남",MID(K3492,2,2)="09","강원",MID(K3492,2,2)="10","제주",TRUE,"국외")</f>
        <v>경남</v>
      </c>
    </row>
    <row r="3493" spans="1:12" ht="17.25" thickBot="1">
      <c r="A3493" s="3" t="s">
        <v>3368</v>
      </c>
      <c r="B3493" s="3" t="s">
        <v>14</v>
      </c>
      <c r="C3493" s="3"/>
      <c r="D3493" s="4" t="s">
        <v>2710</v>
      </c>
      <c r="E3493" s="4" t="s">
        <v>23</v>
      </c>
      <c r="F3493" s="4">
        <v>1990</v>
      </c>
      <c r="G3493" s="8">
        <v>0.1</v>
      </c>
      <c r="H3493" s="4" t="s">
        <v>23</v>
      </c>
      <c r="I3493" s="8">
        <v>0</v>
      </c>
      <c r="J3493" s="3">
        <f>1521</f>
        <v>1521</v>
      </c>
      <c r="K3493" s="3">
        <v>50703</v>
      </c>
      <c r="L3493" s="17" t="str" cm="1">
        <f t="array" ref="L3493">_xlfn.IFS(MID(K3493,2,2)="01", "서울", MID(K3493,2,2)="02","경기",MID(K3493,2,2)="03","충청",MID(K3493,2,2)="04","충청",MID(K3493,2,2)="05","전라",MID(K3493,2,2)="06","전라",MID(K3493,2,2)="07","경북",MID(K3493,2,2)="08","경남",MID(K3493,2,2)="09","강원",MID(K3493,2,2)="10","제주",TRUE,"국외")</f>
        <v>경북</v>
      </c>
    </row>
    <row r="3494" spans="1:12" ht="17.25" thickBot="1">
      <c r="A3494" s="3" t="s">
        <v>1927</v>
      </c>
      <c r="B3494" s="3" t="s">
        <v>34</v>
      </c>
      <c r="C3494" s="3"/>
      <c r="D3494" s="4" t="s">
        <v>2710</v>
      </c>
      <c r="E3494" s="4" t="s">
        <v>23</v>
      </c>
      <c r="F3494" s="4">
        <v>1990</v>
      </c>
      <c r="G3494" s="8">
        <v>-0.5</v>
      </c>
      <c r="H3494" s="4" t="s">
        <v>23</v>
      </c>
      <c r="I3494" s="8">
        <v>0.8</v>
      </c>
      <c r="J3494" s="3">
        <f>1554</f>
        <v>1554</v>
      </c>
      <c r="K3494" s="3">
        <v>50701</v>
      </c>
      <c r="L3494" s="17" t="str" cm="1">
        <f t="array" ref="L3494">_xlfn.IFS(MID(K3494,2,2)="01", "서울", MID(K3494,2,2)="02","경기",MID(K3494,2,2)="03","충청",MID(K3494,2,2)="04","충청",MID(K3494,2,2)="05","전라",MID(K3494,2,2)="06","전라",MID(K3494,2,2)="07","경북",MID(K3494,2,2)="08","경남",MID(K3494,2,2)="09","강원",MID(K3494,2,2)="10","제주",TRUE,"국외")</f>
        <v>경북</v>
      </c>
    </row>
    <row r="3495" spans="1:12" ht="17.25" thickBot="1">
      <c r="A3495" s="3" t="s">
        <v>3369</v>
      </c>
      <c r="B3495" s="3" t="s">
        <v>228</v>
      </c>
      <c r="C3495" s="3"/>
      <c r="D3495" s="4" t="s">
        <v>2710</v>
      </c>
      <c r="E3495" s="4" t="s">
        <v>23</v>
      </c>
      <c r="F3495" s="4">
        <v>1990</v>
      </c>
      <c r="G3495" s="8">
        <v>0</v>
      </c>
      <c r="H3495" s="4" t="s">
        <v>23</v>
      </c>
      <c r="I3495" s="8">
        <v>10.3</v>
      </c>
      <c r="J3495" s="3">
        <f>1527</f>
        <v>1527</v>
      </c>
      <c r="K3495" s="3">
        <v>50702</v>
      </c>
      <c r="L3495" s="17" t="str" cm="1">
        <f t="array" ref="L3495">_xlfn.IFS(MID(K3495,2,2)="01", "서울", MID(K3495,2,2)="02","경기",MID(K3495,2,2)="03","충청",MID(K3495,2,2)="04","충청",MID(K3495,2,2)="05","전라",MID(K3495,2,2)="06","전라",MID(K3495,2,2)="07","경북",MID(K3495,2,2)="08","경남",MID(K3495,2,2)="09","강원",MID(K3495,2,2)="10","제주",TRUE,"국외")</f>
        <v>경북</v>
      </c>
    </row>
    <row r="3496" spans="1:12" ht="17.25" thickBot="1">
      <c r="A3496" s="3" t="s">
        <v>3370</v>
      </c>
      <c r="B3496" s="3"/>
      <c r="C3496" s="3"/>
      <c r="D3496" s="4" t="s">
        <v>2710</v>
      </c>
      <c r="E3496" s="4" t="s">
        <v>23</v>
      </c>
      <c r="F3496" s="4">
        <v>1990</v>
      </c>
      <c r="G3496" s="8">
        <v>-0.2</v>
      </c>
      <c r="H3496" s="4" t="s">
        <v>3</v>
      </c>
      <c r="I3496" s="8">
        <v>18.2</v>
      </c>
      <c r="J3496" s="3">
        <f>1553</f>
        <v>1553</v>
      </c>
      <c r="K3496" s="3"/>
      <c r="L3496" s="17" t="str" cm="1">
        <f t="array" ref="L3496">_xlfn.IFS(MID(K3496,2,2)="01", "서울", MID(K3496,2,2)="02","경기",MID(K3496,2,2)="03","충청",MID(K3496,2,2)="04","충청",MID(K3496,2,2)="05","전라",MID(K3496,2,2)="06","전라",MID(K3496,2,2)="07","경북",MID(K3496,2,2)="08","경남",MID(K3496,2,2)="09","강원",MID(K3496,2,2)="10","제주",TRUE,"국외")</f>
        <v>국외</v>
      </c>
    </row>
    <row r="3497" spans="1:12" ht="17.25" thickBot="1">
      <c r="A3497" s="3" t="s">
        <v>3292</v>
      </c>
      <c r="B3497" s="3" t="s">
        <v>464</v>
      </c>
      <c r="C3497" s="3"/>
      <c r="D3497" s="4" t="s">
        <v>2710</v>
      </c>
      <c r="E3497" s="4" t="s">
        <v>23</v>
      </c>
      <c r="F3497" s="4">
        <v>1990</v>
      </c>
      <c r="G3497" s="8">
        <v>0.7</v>
      </c>
      <c r="H3497" s="4" t="s">
        <v>23</v>
      </c>
      <c r="I3497" s="8">
        <v>3.6</v>
      </c>
      <c r="J3497" s="3">
        <f>1547</f>
        <v>1547</v>
      </c>
      <c r="K3497" s="3">
        <v>50706</v>
      </c>
      <c r="L3497" s="17" t="str" cm="1">
        <f t="array" ref="L3497">_xlfn.IFS(MID(K3497,2,2)="01", "서울", MID(K3497,2,2)="02","경기",MID(K3497,2,2)="03","충청",MID(K3497,2,2)="04","충청",MID(K3497,2,2)="05","전라",MID(K3497,2,2)="06","전라",MID(K3497,2,2)="07","경북",MID(K3497,2,2)="08","경남",MID(K3497,2,2)="09","강원",MID(K3497,2,2)="10","제주",TRUE,"국외")</f>
        <v>경북</v>
      </c>
    </row>
    <row r="3498" spans="1:12" ht="17.25" thickBot="1">
      <c r="A3498" s="3" t="s">
        <v>3371</v>
      </c>
      <c r="B3498" s="3" t="s">
        <v>158</v>
      </c>
      <c r="C3498" s="3"/>
      <c r="D3498" s="4" t="s">
        <v>2710</v>
      </c>
      <c r="E3498" s="4"/>
      <c r="F3498" s="4">
        <v>1991</v>
      </c>
      <c r="G3498" s="9"/>
      <c r="H3498" s="4" t="s">
        <v>2661</v>
      </c>
      <c r="I3498" s="8">
        <v>0.3</v>
      </c>
      <c r="J3498" s="3">
        <v>11440</v>
      </c>
      <c r="K3498" s="3">
        <v>50501</v>
      </c>
      <c r="L3498" s="17" t="str" cm="1">
        <f t="array" ref="L3498">_xlfn.IFS(MID(K3498,2,2)="01", "서울", MID(K3498,2,2)="02","경기",MID(K3498,2,2)="03","충청",MID(K3498,2,2)="04","충청",MID(K3498,2,2)="05","전라",MID(K3498,2,2)="06","전라",MID(K3498,2,2)="07","경북",MID(K3498,2,2)="08","경남",MID(K3498,2,2)="09","강원",MID(K3498,2,2)="10","제주",TRUE,"국외")</f>
        <v>전라</v>
      </c>
    </row>
    <row r="3499" spans="1:12" ht="17.25" thickBot="1">
      <c r="A3499" s="3" t="s">
        <v>3372</v>
      </c>
      <c r="B3499" s="3" t="s">
        <v>147</v>
      </c>
      <c r="C3499" s="3"/>
      <c r="D3499" s="4" t="s">
        <v>2710</v>
      </c>
      <c r="E3499" s="4" t="s">
        <v>2968</v>
      </c>
      <c r="F3499" s="4">
        <v>1991</v>
      </c>
      <c r="G3499" s="9"/>
      <c r="H3499" s="4" t="s">
        <v>3</v>
      </c>
      <c r="I3499" s="8">
        <v>-6.4</v>
      </c>
      <c r="J3499" s="3">
        <f>1623</f>
        <v>1623</v>
      </c>
      <c r="K3499" s="3">
        <v>50208</v>
      </c>
      <c r="L3499" s="17" t="str" cm="1">
        <f t="array" ref="L3499">_xlfn.IFS(MID(K3499,2,2)="01", "서울", MID(K3499,2,2)="02","경기",MID(K3499,2,2)="03","충청",MID(K3499,2,2)="04","충청",MID(K3499,2,2)="05","전라",MID(K3499,2,2)="06","전라",MID(K3499,2,2)="07","경북",MID(K3499,2,2)="08","경남",MID(K3499,2,2)="09","강원",MID(K3499,2,2)="10","제주",TRUE,"국외")</f>
        <v>경기</v>
      </c>
    </row>
    <row r="3500" spans="1:12" ht="17.25" thickBot="1">
      <c r="A3500" s="3" t="s">
        <v>3373</v>
      </c>
      <c r="B3500" s="3" t="s">
        <v>22</v>
      </c>
      <c r="C3500" s="3"/>
      <c r="D3500" s="4" t="s">
        <v>2710</v>
      </c>
      <c r="E3500" s="4" t="s">
        <v>2968</v>
      </c>
      <c r="F3500" s="4">
        <v>1990</v>
      </c>
      <c r="G3500" s="8">
        <v>0</v>
      </c>
      <c r="H3500" s="4" t="s">
        <v>2968</v>
      </c>
      <c r="I3500" s="8">
        <v>0.1</v>
      </c>
      <c r="J3500" s="3">
        <f>1523</f>
        <v>1523</v>
      </c>
      <c r="K3500" s="3">
        <v>50209</v>
      </c>
      <c r="L3500" s="17" t="str" cm="1">
        <f t="array" ref="L3500">_xlfn.IFS(MID(K3500,2,2)="01", "서울", MID(K3500,2,2)="02","경기",MID(K3500,2,2)="03","충청",MID(K3500,2,2)="04","충청",MID(K3500,2,2)="05","전라",MID(K3500,2,2)="06","전라",MID(K3500,2,2)="07","경북",MID(K3500,2,2)="08","경남",MID(K3500,2,2)="09","강원",MID(K3500,2,2)="10","제주",TRUE,"국외")</f>
        <v>경기</v>
      </c>
    </row>
    <row r="3501" spans="1:12" ht="17.25" thickBot="1">
      <c r="A3501" s="3" t="s">
        <v>3374</v>
      </c>
      <c r="B3501" s="3" t="s">
        <v>153</v>
      </c>
      <c r="C3501" s="3"/>
      <c r="D3501" s="4" t="s">
        <v>2710</v>
      </c>
      <c r="E3501" s="4" t="s">
        <v>2968</v>
      </c>
      <c r="F3501" s="4">
        <v>1991</v>
      </c>
      <c r="G3501" s="9"/>
      <c r="H3501" s="4" t="s">
        <v>2164</v>
      </c>
      <c r="I3501" s="8">
        <v>1.1000000000000001</v>
      </c>
      <c r="J3501" s="3">
        <f>1611</f>
        <v>1611</v>
      </c>
      <c r="K3501" s="3">
        <v>50210</v>
      </c>
      <c r="L3501" s="17" t="str" cm="1">
        <f t="array" ref="L3501">_xlfn.IFS(MID(K3501,2,2)="01", "서울", MID(K3501,2,2)="02","경기",MID(K3501,2,2)="03","충청",MID(K3501,2,2)="04","충청",MID(K3501,2,2)="05","전라",MID(K3501,2,2)="06","전라",MID(K3501,2,2)="07","경북",MID(K3501,2,2)="08","경남",MID(K3501,2,2)="09","강원",MID(K3501,2,2)="10","제주",TRUE,"국외")</f>
        <v>경기</v>
      </c>
    </row>
    <row r="3502" spans="1:12" ht="17.25" thickBot="1">
      <c r="A3502" s="3" t="s">
        <v>3375</v>
      </c>
      <c r="B3502" s="3" t="s">
        <v>2491</v>
      </c>
      <c r="C3502" s="3"/>
      <c r="D3502" s="4" t="s">
        <v>2710</v>
      </c>
      <c r="E3502" s="4" t="s">
        <v>2523</v>
      </c>
      <c r="F3502" s="4">
        <v>1990</v>
      </c>
      <c r="G3502" s="8">
        <v>-0.3</v>
      </c>
      <c r="H3502" s="4" t="s">
        <v>2523</v>
      </c>
      <c r="I3502" s="8">
        <v>50.6</v>
      </c>
      <c r="J3502" s="3">
        <f>1499</f>
        <v>1499</v>
      </c>
      <c r="K3502" s="3">
        <v>50608</v>
      </c>
      <c r="L3502" s="17" t="str" cm="1">
        <f t="array" ref="L3502">_xlfn.IFS(MID(K3502,2,2)="01", "서울", MID(K3502,2,2)="02","경기",MID(K3502,2,2)="03","충청",MID(K3502,2,2)="04","충청",MID(K3502,2,2)="05","전라",MID(K3502,2,2)="06","전라",MID(K3502,2,2)="07","경북",MID(K3502,2,2)="08","경남",MID(K3502,2,2)="09","강원",MID(K3502,2,2)="10","제주",TRUE,"국외")</f>
        <v>전라</v>
      </c>
    </row>
    <row r="3503" spans="1:12" ht="17.25" thickBot="1">
      <c r="A3503" s="3" t="s">
        <v>3376</v>
      </c>
      <c r="B3503" s="3" t="s">
        <v>2351</v>
      </c>
      <c r="C3503" s="3"/>
      <c r="D3503" s="4" t="s">
        <v>2710</v>
      </c>
      <c r="E3503" s="4" t="s">
        <v>2523</v>
      </c>
      <c r="F3503" s="4">
        <v>1990</v>
      </c>
      <c r="G3503" s="8">
        <v>-0.3</v>
      </c>
      <c r="H3503" s="4" t="s">
        <v>20</v>
      </c>
      <c r="I3503" s="8">
        <v>16.899999999999999</v>
      </c>
      <c r="J3503" s="3">
        <v>10743</v>
      </c>
      <c r="K3503" s="3">
        <v>50609</v>
      </c>
      <c r="L3503" s="17" t="str" cm="1">
        <f t="array" ref="L3503">_xlfn.IFS(MID(K3503,2,2)="01", "서울", MID(K3503,2,2)="02","경기",MID(K3503,2,2)="03","충청",MID(K3503,2,2)="04","충청",MID(K3503,2,2)="05","전라",MID(K3503,2,2)="06","전라",MID(K3503,2,2)="07","경북",MID(K3503,2,2)="08","경남",MID(K3503,2,2)="09","강원",MID(K3503,2,2)="10","제주",TRUE,"국외")</f>
        <v>전라</v>
      </c>
    </row>
    <row r="3504" spans="1:12" ht="17.25" thickBot="1">
      <c r="A3504" s="3" t="s">
        <v>3377</v>
      </c>
      <c r="B3504" s="3" t="s">
        <v>107</v>
      </c>
      <c r="C3504" s="3"/>
      <c r="D3504" s="4" t="s">
        <v>2710</v>
      </c>
      <c r="E3504" s="4" t="s">
        <v>2523</v>
      </c>
      <c r="F3504" s="4">
        <v>1990</v>
      </c>
      <c r="G3504" s="8">
        <v>-0.2</v>
      </c>
      <c r="H3504" s="4" t="s">
        <v>2523</v>
      </c>
      <c r="I3504" s="8">
        <v>-0.3</v>
      </c>
      <c r="J3504" s="3">
        <f>1517</f>
        <v>1517</v>
      </c>
      <c r="K3504" s="3">
        <v>50602</v>
      </c>
      <c r="L3504" s="17" t="str" cm="1">
        <f t="array" ref="L3504">_xlfn.IFS(MID(K3504,2,2)="01", "서울", MID(K3504,2,2)="02","경기",MID(K3504,2,2)="03","충청",MID(K3504,2,2)="04","충청",MID(K3504,2,2)="05","전라",MID(K3504,2,2)="06","전라",MID(K3504,2,2)="07","경북",MID(K3504,2,2)="08","경남",MID(K3504,2,2)="09","강원",MID(K3504,2,2)="10","제주",TRUE,"국외")</f>
        <v>전라</v>
      </c>
    </row>
    <row r="3505" spans="1:12" ht="17.25" thickBot="1">
      <c r="A3505" s="3" t="s">
        <v>3378</v>
      </c>
      <c r="B3505" s="3" t="s">
        <v>107</v>
      </c>
      <c r="C3505" s="3"/>
      <c r="D3505" s="4" t="s">
        <v>2710</v>
      </c>
      <c r="E3505" s="4" t="s">
        <v>2523</v>
      </c>
      <c r="F3505" s="4">
        <v>1990</v>
      </c>
      <c r="G3505" s="8">
        <v>-0.2</v>
      </c>
      <c r="H3505" s="4" t="s">
        <v>2523</v>
      </c>
      <c r="I3505" s="8">
        <v>-0.2</v>
      </c>
      <c r="J3505" s="3">
        <f>1550</f>
        <v>1550</v>
      </c>
      <c r="K3505" s="3">
        <v>50602</v>
      </c>
      <c r="L3505" s="17" t="str" cm="1">
        <f t="array" ref="L3505">_xlfn.IFS(MID(K3505,2,2)="01", "서울", MID(K3505,2,2)="02","경기",MID(K3505,2,2)="03","충청",MID(K3505,2,2)="04","충청",MID(K3505,2,2)="05","전라",MID(K3505,2,2)="06","전라",MID(K3505,2,2)="07","경북",MID(K3505,2,2)="08","경남",MID(K3505,2,2)="09","강원",MID(K3505,2,2)="10","제주",TRUE,"국외")</f>
        <v>전라</v>
      </c>
    </row>
    <row r="3506" spans="1:12" ht="17.25" thickBot="1">
      <c r="A3506" s="3" t="s">
        <v>3379</v>
      </c>
      <c r="B3506" s="3" t="s">
        <v>121</v>
      </c>
      <c r="C3506" s="3"/>
      <c r="D3506" s="4" t="s">
        <v>2710</v>
      </c>
      <c r="E3506" s="4" t="s">
        <v>2523</v>
      </c>
      <c r="F3506" s="4">
        <v>1990</v>
      </c>
      <c r="G3506" s="8">
        <v>0</v>
      </c>
      <c r="H3506" s="4" t="s">
        <v>2523</v>
      </c>
      <c r="I3506" s="8">
        <v>-0.5</v>
      </c>
      <c r="J3506" s="3">
        <f>1506</f>
        <v>1506</v>
      </c>
      <c r="K3506" s="3">
        <v>50604</v>
      </c>
      <c r="L3506" s="17" t="str" cm="1">
        <f t="array" ref="L3506">_xlfn.IFS(MID(K3506,2,2)="01", "서울", MID(K3506,2,2)="02","경기",MID(K3506,2,2)="03","충청",MID(K3506,2,2)="04","충청",MID(K3506,2,2)="05","전라",MID(K3506,2,2)="06","전라",MID(K3506,2,2)="07","경북",MID(K3506,2,2)="08","경남",MID(K3506,2,2)="09","강원",MID(K3506,2,2)="10","제주",TRUE,"국외")</f>
        <v>전라</v>
      </c>
    </row>
    <row r="3507" spans="1:12" ht="17.25" thickBot="1">
      <c r="A3507" s="3" t="s">
        <v>3380</v>
      </c>
      <c r="B3507" s="3" t="s">
        <v>121</v>
      </c>
      <c r="C3507" s="3"/>
      <c r="D3507" s="4" t="s">
        <v>2710</v>
      </c>
      <c r="E3507" s="4" t="s">
        <v>2523</v>
      </c>
      <c r="F3507" s="4">
        <v>1990</v>
      </c>
      <c r="G3507" s="8">
        <v>0</v>
      </c>
      <c r="H3507" s="4" t="s">
        <v>2523</v>
      </c>
      <c r="I3507" s="8">
        <v>-0.2</v>
      </c>
      <c r="J3507" s="3">
        <f>1513</f>
        <v>1513</v>
      </c>
      <c r="K3507" s="3">
        <v>50604</v>
      </c>
      <c r="L3507" s="17" t="str" cm="1">
        <f t="array" ref="L3507">_xlfn.IFS(MID(K3507,2,2)="01", "서울", MID(K3507,2,2)="02","경기",MID(K3507,2,2)="03","충청",MID(K3507,2,2)="04","충청",MID(K3507,2,2)="05","전라",MID(K3507,2,2)="06","전라",MID(K3507,2,2)="07","경북",MID(K3507,2,2)="08","경남",MID(K3507,2,2)="09","강원",MID(K3507,2,2)="10","제주",TRUE,"국외")</f>
        <v>전라</v>
      </c>
    </row>
    <row r="3508" spans="1:12" ht="17.25" thickBot="1">
      <c r="A3508" s="3" t="s">
        <v>1137</v>
      </c>
      <c r="B3508" s="3" t="s">
        <v>2351</v>
      </c>
      <c r="C3508" s="3"/>
      <c r="D3508" s="4" t="s">
        <v>2710</v>
      </c>
      <c r="E3508" s="4" t="s">
        <v>2523</v>
      </c>
      <c r="F3508" s="4">
        <v>1990</v>
      </c>
      <c r="G3508" s="8">
        <v>-0.1</v>
      </c>
      <c r="H3508" s="4" t="s">
        <v>2523</v>
      </c>
      <c r="I3508" s="8">
        <v>-0.1</v>
      </c>
      <c r="J3508" s="3">
        <f>1529</f>
        <v>1529</v>
      </c>
      <c r="K3508" s="3">
        <v>50609</v>
      </c>
      <c r="L3508" s="17" t="str" cm="1">
        <f t="array" ref="L3508">_xlfn.IFS(MID(K3508,2,2)="01", "서울", MID(K3508,2,2)="02","경기",MID(K3508,2,2)="03","충청",MID(K3508,2,2)="04","충청",MID(K3508,2,2)="05","전라",MID(K3508,2,2)="06","전라",MID(K3508,2,2)="07","경북",MID(K3508,2,2)="08","경남",MID(K3508,2,2)="09","강원",MID(K3508,2,2)="10","제주",TRUE,"국외")</f>
        <v>전라</v>
      </c>
    </row>
    <row r="3509" spans="1:12" ht="17.25" thickBot="1">
      <c r="A3509" s="3" t="s">
        <v>3381</v>
      </c>
      <c r="B3509" s="3" t="s">
        <v>107</v>
      </c>
      <c r="C3509" s="3"/>
      <c r="D3509" s="4" t="s">
        <v>2710</v>
      </c>
      <c r="E3509" s="4" t="s">
        <v>2523</v>
      </c>
      <c r="F3509" s="4">
        <v>1992</v>
      </c>
      <c r="G3509" s="9"/>
      <c r="H3509" s="4" t="s">
        <v>2523</v>
      </c>
      <c r="I3509" s="8">
        <v>0.4</v>
      </c>
      <c r="J3509" s="3">
        <f>1702</f>
        <v>1702</v>
      </c>
      <c r="K3509" s="3">
        <v>50602</v>
      </c>
      <c r="L3509" s="17" t="str" cm="1">
        <f t="array" ref="L3509">_xlfn.IFS(MID(K3509,2,2)="01", "서울", MID(K3509,2,2)="02","경기",MID(K3509,2,2)="03","충청",MID(K3509,2,2)="04","충청",MID(K3509,2,2)="05","전라",MID(K3509,2,2)="06","전라",MID(K3509,2,2)="07","경북",MID(K3509,2,2)="08","경남",MID(K3509,2,2)="09","강원",MID(K3509,2,2)="10","제주",TRUE,"국외")</f>
        <v>전라</v>
      </c>
    </row>
    <row r="3510" spans="1:12" ht="17.25" thickBot="1">
      <c r="A3510" s="3" t="s">
        <v>3382</v>
      </c>
      <c r="B3510" s="3" t="s">
        <v>2491</v>
      </c>
      <c r="C3510" s="3"/>
      <c r="D3510" s="4" t="s">
        <v>2710</v>
      </c>
      <c r="E3510" s="4" t="s">
        <v>2523</v>
      </c>
      <c r="F3510" s="4">
        <v>1990</v>
      </c>
      <c r="G3510" s="8">
        <v>-0.4</v>
      </c>
      <c r="H3510" s="4" t="s">
        <v>2523</v>
      </c>
      <c r="I3510" s="8">
        <v>-0.4</v>
      </c>
      <c r="J3510" s="3">
        <f>1559</f>
        <v>1559</v>
      </c>
      <c r="K3510" s="3">
        <v>50608</v>
      </c>
      <c r="L3510" s="17" t="str" cm="1">
        <f t="array" ref="L3510">_xlfn.IFS(MID(K3510,2,2)="01", "서울", MID(K3510,2,2)="02","경기",MID(K3510,2,2)="03","충청",MID(K3510,2,2)="04","충청",MID(K3510,2,2)="05","전라",MID(K3510,2,2)="06","전라",MID(K3510,2,2)="07","경북",MID(K3510,2,2)="08","경남",MID(K3510,2,2)="09","강원",MID(K3510,2,2)="10","제주",TRUE,"국외")</f>
        <v>전라</v>
      </c>
    </row>
    <row r="3511" spans="1:12" ht="17.25" thickBot="1">
      <c r="A3511" s="3" t="s">
        <v>3383</v>
      </c>
      <c r="B3511" s="3" t="s">
        <v>2491</v>
      </c>
      <c r="C3511" s="3"/>
      <c r="D3511" s="4" t="s">
        <v>2710</v>
      </c>
      <c r="E3511" s="4" t="s">
        <v>2523</v>
      </c>
      <c r="F3511" s="4">
        <v>1990</v>
      </c>
      <c r="G3511" s="8">
        <v>0.1</v>
      </c>
      <c r="H3511" s="4" t="s">
        <v>2523</v>
      </c>
      <c r="I3511" s="8">
        <v>-0.2</v>
      </c>
      <c r="J3511" s="3">
        <f>1541</f>
        <v>1541</v>
      </c>
      <c r="K3511" s="3">
        <v>50608</v>
      </c>
      <c r="L3511" s="17" t="str" cm="1">
        <f t="array" ref="L3511">_xlfn.IFS(MID(K3511,2,2)="01", "서울", MID(K3511,2,2)="02","경기",MID(K3511,2,2)="03","충청",MID(K3511,2,2)="04","충청",MID(K3511,2,2)="05","전라",MID(K3511,2,2)="06","전라",MID(K3511,2,2)="07","경북",MID(K3511,2,2)="08","경남",MID(K3511,2,2)="09","강원",MID(K3511,2,2)="10","제주",TRUE,"국외")</f>
        <v>전라</v>
      </c>
    </row>
    <row r="3512" spans="1:12" ht="17.25" thickBot="1">
      <c r="A3512" s="3" t="s">
        <v>3384</v>
      </c>
      <c r="B3512" s="3" t="s">
        <v>1</v>
      </c>
      <c r="C3512" s="3"/>
      <c r="D3512" s="4" t="s">
        <v>2710</v>
      </c>
      <c r="E3512" s="4" t="s">
        <v>20</v>
      </c>
      <c r="F3512" s="4">
        <v>1990</v>
      </c>
      <c r="G3512" s="8">
        <v>-0.7</v>
      </c>
      <c r="H3512" s="4" t="s">
        <v>20</v>
      </c>
      <c r="I3512" s="8">
        <v>-0.9</v>
      </c>
      <c r="J3512" s="3">
        <f>1532</f>
        <v>1532</v>
      </c>
      <c r="K3512" s="3">
        <v>50107</v>
      </c>
      <c r="L3512" s="17" t="str" cm="1">
        <f t="array" ref="L3512">_xlfn.IFS(MID(K3512,2,2)="01", "서울", MID(K3512,2,2)="02","경기",MID(K3512,2,2)="03","충청",MID(K3512,2,2)="04","충청",MID(K3512,2,2)="05","전라",MID(K3512,2,2)="06","전라",MID(K3512,2,2)="07","경북",MID(K3512,2,2)="08","경남",MID(K3512,2,2)="09","강원",MID(K3512,2,2)="10","제주",TRUE,"국외")</f>
        <v>서울</v>
      </c>
    </row>
    <row r="3513" spans="1:12" ht="17.25" thickBot="1">
      <c r="A3513" s="3" t="s">
        <v>3385</v>
      </c>
      <c r="B3513" s="3" t="s">
        <v>42</v>
      </c>
      <c r="C3513" s="3"/>
      <c r="D3513" s="4" t="s">
        <v>2710</v>
      </c>
      <c r="E3513" s="4"/>
      <c r="F3513" s="4">
        <v>1991</v>
      </c>
      <c r="G3513" s="9"/>
      <c r="H3513" s="4" t="s">
        <v>2661</v>
      </c>
      <c r="I3513" s="8">
        <v>-0.4</v>
      </c>
      <c r="J3513" s="3">
        <f>1645</f>
        <v>1645</v>
      </c>
      <c r="K3513" s="3">
        <v>50502</v>
      </c>
      <c r="L3513" s="17" t="str" cm="1">
        <f t="array" ref="L3513">_xlfn.IFS(MID(K3513,2,2)="01", "서울", MID(K3513,2,2)="02","경기",MID(K3513,2,2)="03","충청",MID(K3513,2,2)="04","충청",MID(K3513,2,2)="05","전라",MID(K3513,2,2)="06","전라",MID(K3513,2,2)="07","경북",MID(K3513,2,2)="08","경남",MID(K3513,2,2)="09","강원",MID(K3513,2,2)="10","제주",TRUE,"국외")</f>
        <v>전라</v>
      </c>
    </row>
    <row r="3514" spans="1:12" ht="17.25" thickBot="1">
      <c r="A3514" s="3" t="s">
        <v>3386</v>
      </c>
      <c r="B3514" s="3" t="s">
        <v>5</v>
      </c>
      <c r="C3514" s="3" t="s">
        <v>208</v>
      </c>
      <c r="D3514" s="4" t="s">
        <v>243</v>
      </c>
      <c r="E3514" s="4" t="s">
        <v>3387</v>
      </c>
      <c r="F3514" s="4">
        <v>1989</v>
      </c>
      <c r="G3514" s="8">
        <v>-0.1</v>
      </c>
      <c r="H3514" s="4" t="s">
        <v>20</v>
      </c>
      <c r="I3514" s="8">
        <v>13</v>
      </c>
      <c r="J3514" s="3">
        <f>1469</f>
        <v>1469</v>
      </c>
      <c r="K3514" s="3">
        <v>50114</v>
      </c>
      <c r="L3514" s="17" t="str" cm="1">
        <f t="array" ref="L3514">_xlfn.IFS(MID(K3514,2,2)="01", "서울", MID(K3514,2,2)="02","경기",MID(K3514,2,2)="03","충청",MID(K3514,2,2)="04","충청",MID(K3514,2,2)="05","전라",MID(K3514,2,2)="06","전라",MID(K3514,2,2)="07","경북",MID(K3514,2,2)="08","경남",MID(K3514,2,2)="09","강원",MID(K3514,2,2)="10","제주",TRUE,"국외")</f>
        <v>서울</v>
      </c>
    </row>
    <row r="3515" spans="1:12" ht="17.25" thickBot="1">
      <c r="A3515" s="3" t="s">
        <v>3388</v>
      </c>
      <c r="B3515" s="3" t="s">
        <v>1497</v>
      </c>
      <c r="C3515" s="3" t="s">
        <v>122</v>
      </c>
      <c r="D3515" s="4" t="s">
        <v>243</v>
      </c>
      <c r="E3515" s="4" t="s">
        <v>3387</v>
      </c>
      <c r="F3515" s="4">
        <v>1989</v>
      </c>
      <c r="G3515" s="8">
        <v>1.2</v>
      </c>
      <c r="H3515" s="4" t="s">
        <v>20</v>
      </c>
      <c r="I3515" s="8">
        <v>9.9</v>
      </c>
      <c r="J3515" s="3">
        <f>1457</f>
        <v>1457</v>
      </c>
      <c r="K3515" s="3">
        <v>50112</v>
      </c>
      <c r="L3515" s="17" t="str" cm="1">
        <f t="array" ref="L3515">_xlfn.IFS(MID(K3515,2,2)="01", "서울", MID(K3515,2,2)="02","경기",MID(K3515,2,2)="03","충청",MID(K3515,2,2)="04","충청",MID(K3515,2,2)="05","전라",MID(K3515,2,2)="06","전라",MID(K3515,2,2)="07","경북",MID(K3515,2,2)="08","경남",MID(K3515,2,2)="09","강원",MID(K3515,2,2)="10","제주",TRUE,"국외")</f>
        <v>서울</v>
      </c>
    </row>
    <row r="3516" spans="1:12" ht="17.25" thickBot="1">
      <c r="A3516" s="3" t="s">
        <v>3389</v>
      </c>
      <c r="B3516" s="3" t="s">
        <v>38</v>
      </c>
      <c r="C3516" s="3" t="s">
        <v>739</v>
      </c>
      <c r="D3516" s="4" t="s">
        <v>243</v>
      </c>
      <c r="E3516" s="4" t="s">
        <v>3387</v>
      </c>
      <c r="F3516" s="4">
        <v>1989</v>
      </c>
      <c r="G3516" s="8">
        <v>0.2</v>
      </c>
      <c r="H3516" s="4" t="s">
        <v>20</v>
      </c>
      <c r="I3516" s="8">
        <v>0.8</v>
      </c>
      <c r="J3516" s="3">
        <f>1438</f>
        <v>1438</v>
      </c>
      <c r="K3516" s="3">
        <v>50109</v>
      </c>
      <c r="L3516" s="17" t="str" cm="1">
        <f t="array" ref="L3516">_xlfn.IFS(MID(K3516,2,2)="01", "서울", MID(K3516,2,2)="02","경기",MID(K3516,2,2)="03","충청",MID(K3516,2,2)="04","충청",MID(K3516,2,2)="05","전라",MID(K3516,2,2)="06","전라",MID(K3516,2,2)="07","경북",MID(K3516,2,2)="08","경남",MID(K3516,2,2)="09","강원",MID(K3516,2,2)="10","제주",TRUE,"국외")</f>
        <v>서울</v>
      </c>
    </row>
    <row r="3517" spans="1:12" ht="17.25" thickBot="1">
      <c r="A3517" s="3" t="s">
        <v>3390</v>
      </c>
      <c r="B3517" s="3" t="s">
        <v>81</v>
      </c>
      <c r="C3517" s="3" t="s">
        <v>99</v>
      </c>
      <c r="D3517" s="4" t="s">
        <v>243</v>
      </c>
      <c r="E3517" s="4" t="s">
        <v>2725</v>
      </c>
      <c r="F3517" s="4">
        <v>1989</v>
      </c>
      <c r="G3517" s="8">
        <v>0.2</v>
      </c>
      <c r="H3517" s="4" t="s">
        <v>2725</v>
      </c>
      <c r="I3517" s="8">
        <v>-1.7</v>
      </c>
      <c r="J3517" s="3">
        <f>1461</f>
        <v>1461</v>
      </c>
      <c r="K3517" s="3">
        <v>50105</v>
      </c>
      <c r="L3517" s="17" t="str" cm="1">
        <f t="array" ref="L3517">_xlfn.IFS(MID(K3517,2,2)="01", "서울", MID(K3517,2,2)="02","경기",MID(K3517,2,2)="03","충청",MID(K3517,2,2)="04","충청",MID(K3517,2,2)="05","전라",MID(K3517,2,2)="06","전라",MID(K3517,2,2)="07","경북",MID(K3517,2,2)="08","경남",MID(K3517,2,2)="09","강원",MID(K3517,2,2)="10","제주",TRUE,"국외")</f>
        <v>서울</v>
      </c>
    </row>
    <row r="3518" spans="1:12" ht="17.25" thickBot="1">
      <c r="A3518" s="3" t="s">
        <v>2108</v>
      </c>
      <c r="B3518" s="3" t="s">
        <v>81</v>
      </c>
      <c r="C3518" s="3" t="s">
        <v>133</v>
      </c>
      <c r="D3518" s="4" t="s">
        <v>243</v>
      </c>
      <c r="E3518" s="4" t="s">
        <v>2725</v>
      </c>
      <c r="F3518" s="4">
        <v>1989</v>
      </c>
      <c r="G3518" s="8">
        <v>0.4</v>
      </c>
      <c r="H3518" s="4" t="s">
        <v>2725</v>
      </c>
      <c r="I3518" s="8">
        <v>3.3</v>
      </c>
      <c r="J3518" s="3">
        <f>1471</f>
        <v>1471</v>
      </c>
      <c r="K3518" s="3">
        <v>50105</v>
      </c>
      <c r="L3518" s="17" t="str" cm="1">
        <f t="array" ref="L3518">_xlfn.IFS(MID(K3518,2,2)="01", "서울", MID(K3518,2,2)="02","경기",MID(K3518,2,2)="03","충청",MID(K3518,2,2)="04","충청",MID(K3518,2,2)="05","전라",MID(K3518,2,2)="06","전라",MID(K3518,2,2)="07","경북",MID(K3518,2,2)="08","경남",MID(K3518,2,2)="09","강원",MID(K3518,2,2)="10","제주",TRUE,"국외")</f>
        <v>서울</v>
      </c>
    </row>
    <row r="3519" spans="1:12" ht="17.25" thickBot="1">
      <c r="A3519" s="3" t="s">
        <v>3391</v>
      </c>
      <c r="B3519" s="3" t="s">
        <v>5</v>
      </c>
      <c r="C3519" s="3" t="s">
        <v>739</v>
      </c>
      <c r="D3519" s="4" t="s">
        <v>243</v>
      </c>
      <c r="E3519" s="4" t="s">
        <v>2725</v>
      </c>
      <c r="F3519" s="4">
        <v>1990</v>
      </c>
      <c r="G3519" s="9"/>
      <c r="H3519" s="4" t="s">
        <v>2725</v>
      </c>
      <c r="I3519" s="8">
        <v>-1.4</v>
      </c>
      <c r="J3519" s="3">
        <f>1546</f>
        <v>1546</v>
      </c>
      <c r="K3519" s="3">
        <v>50114</v>
      </c>
      <c r="L3519" s="17" t="str" cm="1">
        <f t="array" ref="L3519">_xlfn.IFS(MID(K3519,2,2)="01", "서울", MID(K3519,2,2)="02","경기",MID(K3519,2,2)="03","충청",MID(K3519,2,2)="04","충청",MID(K3519,2,2)="05","전라",MID(K3519,2,2)="06","전라",MID(K3519,2,2)="07","경북",MID(K3519,2,2)="08","경남",MID(K3519,2,2)="09","강원",MID(K3519,2,2)="10","제주",TRUE,"국외")</f>
        <v>서울</v>
      </c>
    </row>
    <row r="3520" spans="1:12" ht="17.25" thickBot="1">
      <c r="A3520" s="3" t="s">
        <v>3392</v>
      </c>
      <c r="B3520" s="3" t="s">
        <v>36</v>
      </c>
      <c r="C3520" s="3" t="s">
        <v>45</v>
      </c>
      <c r="D3520" s="4" t="s">
        <v>243</v>
      </c>
      <c r="E3520" s="4" t="s">
        <v>3101</v>
      </c>
      <c r="F3520" s="4">
        <v>1989</v>
      </c>
      <c r="G3520" s="8">
        <v>0</v>
      </c>
      <c r="H3520" s="4" t="s">
        <v>3101</v>
      </c>
      <c r="I3520" s="8">
        <v>3.9</v>
      </c>
      <c r="J3520" s="3">
        <f>1425</f>
        <v>1425</v>
      </c>
      <c r="K3520" s="3">
        <v>50402</v>
      </c>
      <c r="L3520" s="17" t="str" cm="1">
        <f t="array" ref="L3520">_xlfn.IFS(MID(K3520,2,2)="01", "서울", MID(K3520,2,2)="02","경기",MID(K3520,2,2)="03","충청",MID(K3520,2,2)="04","충청",MID(K3520,2,2)="05","전라",MID(K3520,2,2)="06","전라",MID(K3520,2,2)="07","경북",MID(K3520,2,2)="08","경남",MID(K3520,2,2)="09","강원",MID(K3520,2,2)="10","제주",TRUE,"국외")</f>
        <v>충청</v>
      </c>
    </row>
    <row r="3521" spans="1:12" ht="17.25" thickBot="1">
      <c r="A3521" s="3" t="s">
        <v>3393</v>
      </c>
      <c r="B3521" s="3" t="s">
        <v>25</v>
      </c>
      <c r="C3521" s="3" t="s">
        <v>45</v>
      </c>
      <c r="D3521" s="4" t="s">
        <v>243</v>
      </c>
      <c r="E3521" s="4" t="s">
        <v>3101</v>
      </c>
      <c r="F3521" s="4">
        <v>1989</v>
      </c>
      <c r="G3521" s="8">
        <v>0.3</v>
      </c>
      <c r="H3521" s="4" t="s">
        <v>3101</v>
      </c>
      <c r="I3521" s="8">
        <v>5.0999999999999996</v>
      </c>
      <c r="J3521" s="3">
        <f>1491</f>
        <v>1491</v>
      </c>
      <c r="K3521" s="3">
        <v>50403</v>
      </c>
      <c r="L3521" s="17" t="str" cm="1">
        <f t="array" ref="L3521">_xlfn.IFS(MID(K3521,2,2)="01", "서울", MID(K3521,2,2)="02","경기",MID(K3521,2,2)="03","충청",MID(K3521,2,2)="04","충청",MID(K3521,2,2)="05","전라",MID(K3521,2,2)="06","전라",MID(K3521,2,2)="07","경북",MID(K3521,2,2)="08","경남",MID(K3521,2,2)="09","강원",MID(K3521,2,2)="10","제주",TRUE,"국외")</f>
        <v>충청</v>
      </c>
    </row>
    <row r="3522" spans="1:12" ht="17.25" thickBot="1">
      <c r="A3522" s="3" t="s">
        <v>3394</v>
      </c>
      <c r="B3522" s="3" t="s">
        <v>36</v>
      </c>
      <c r="C3522" s="3" t="s">
        <v>221</v>
      </c>
      <c r="D3522" s="4" t="s">
        <v>243</v>
      </c>
      <c r="E3522" s="4" t="s">
        <v>3101</v>
      </c>
      <c r="F3522" s="4">
        <v>1989</v>
      </c>
      <c r="G3522" s="8">
        <v>1</v>
      </c>
      <c r="H3522" s="4" t="s">
        <v>3</v>
      </c>
      <c r="I3522" s="8">
        <v>19.399999999999999</v>
      </c>
      <c r="J3522" s="3">
        <f>1421</f>
        <v>1421</v>
      </c>
      <c r="K3522" s="3">
        <v>50402</v>
      </c>
      <c r="L3522" s="17" t="str" cm="1">
        <f t="array" ref="L3522">_xlfn.IFS(MID(K3522,2,2)="01", "서울", MID(K3522,2,2)="02","경기",MID(K3522,2,2)="03","충청",MID(K3522,2,2)="04","충청",MID(K3522,2,2)="05","전라",MID(K3522,2,2)="06","전라",MID(K3522,2,2)="07","경북",MID(K3522,2,2)="08","경남",MID(K3522,2,2)="09","강원",MID(K3522,2,2)="10","제주",TRUE,"국외")</f>
        <v>충청</v>
      </c>
    </row>
    <row r="3523" spans="1:12" ht="17.25" thickBot="1">
      <c r="A3523" s="3" t="s">
        <v>3395</v>
      </c>
      <c r="B3523" s="3" t="s">
        <v>34</v>
      </c>
      <c r="C3523" s="3" t="s">
        <v>739</v>
      </c>
      <c r="D3523" s="4" t="s">
        <v>243</v>
      </c>
      <c r="E3523" s="4" t="s">
        <v>23</v>
      </c>
      <c r="F3523" s="4">
        <v>1989</v>
      </c>
      <c r="G3523" s="8">
        <v>0.1</v>
      </c>
      <c r="H3523" s="4" t="s">
        <v>23</v>
      </c>
      <c r="I3523" s="8">
        <v>0.1</v>
      </c>
      <c r="J3523" s="3">
        <f>1459</f>
        <v>1459</v>
      </c>
      <c r="K3523" s="3">
        <v>50701</v>
      </c>
      <c r="L3523" s="17" t="str" cm="1">
        <f t="array" ref="L3523">_xlfn.IFS(MID(K3523,2,2)="01", "서울", MID(K3523,2,2)="02","경기",MID(K3523,2,2)="03","충청",MID(K3523,2,2)="04","충청",MID(K3523,2,2)="05","전라",MID(K3523,2,2)="06","전라",MID(K3523,2,2)="07","경북",MID(K3523,2,2)="08","경남",MID(K3523,2,2)="09","강원",MID(K3523,2,2)="10","제주",TRUE,"국외")</f>
        <v>경북</v>
      </c>
    </row>
    <row r="3524" spans="1:12" ht="17.25" thickBot="1">
      <c r="A3524" s="3" t="s">
        <v>2885</v>
      </c>
      <c r="B3524" s="3" t="s">
        <v>2524</v>
      </c>
      <c r="C3524" s="3" t="s">
        <v>739</v>
      </c>
      <c r="D3524" s="4" t="s">
        <v>243</v>
      </c>
      <c r="E3524" s="4" t="s">
        <v>23</v>
      </c>
      <c r="F3524" s="4">
        <v>1989</v>
      </c>
      <c r="G3524" s="8">
        <v>-0.5</v>
      </c>
      <c r="H3524" s="4" t="s">
        <v>2725</v>
      </c>
      <c r="I3524" s="8">
        <v>11</v>
      </c>
      <c r="J3524" s="3">
        <f>1428</f>
        <v>1428</v>
      </c>
      <c r="K3524" s="3">
        <v>50711</v>
      </c>
      <c r="L3524" s="17" t="str" cm="1">
        <f t="array" ref="L3524">_xlfn.IFS(MID(K3524,2,2)="01", "서울", MID(K3524,2,2)="02","경기",MID(K3524,2,2)="03","충청",MID(K3524,2,2)="04","충청",MID(K3524,2,2)="05","전라",MID(K3524,2,2)="06","전라",MID(K3524,2,2)="07","경북",MID(K3524,2,2)="08","경남",MID(K3524,2,2)="09","강원",MID(K3524,2,2)="10","제주",TRUE,"국외")</f>
        <v>경북</v>
      </c>
    </row>
    <row r="3525" spans="1:12" ht="17.25" thickBot="1">
      <c r="A3525" s="3" t="s">
        <v>3396</v>
      </c>
      <c r="B3525" s="3" t="s">
        <v>464</v>
      </c>
      <c r="C3525" s="3" t="s">
        <v>83</v>
      </c>
      <c r="D3525" s="4" t="s">
        <v>243</v>
      </c>
      <c r="E3525" s="4" t="s">
        <v>23</v>
      </c>
      <c r="F3525" s="4">
        <v>1989</v>
      </c>
      <c r="G3525" s="8">
        <v>0.1</v>
      </c>
      <c r="H3525" s="4" t="s">
        <v>23</v>
      </c>
      <c r="I3525" s="8">
        <v>0.2</v>
      </c>
      <c r="J3525" s="3">
        <f>1427</f>
        <v>1427</v>
      </c>
      <c r="K3525" s="3">
        <v>50706</v>
      </c>
      <c r="L3525" s="17" t="str" cm="1">
        <f t="array" ref="L3525">_xlfn.IFS(MID(K3525,2,2)="01", "서울", MID(K3525,2,2)="02","경기",MID(K3525,2,2)="03","충청",MID(K3525,2,2)="04","충청",MID(K3525,2,2)="05","전라",MID(K3525,2,2)="06","전라",MID(K3525,2,2)="07","경북",MID(K3525,2,2)="08","경남",MID(K3525,2,2)="09","강원",MID(K3525,2,2)="10","제주",TRUE,"국외")</f>
        <v>경북</v>
      </c>
    </row>
    <row r="3526" spans="1:12" ht="17.25" thickBot="1">
      <c r="A3526" s="3" t="s">
        <v>3397</v>
      </c>
      <c r="B3526" s="3" t="s">
        <v>153</v>
      </c>
      <c r="C3526" s="3" t="s">
        <v>45</v>
      </c>
      <c r="D3526" s="4" t="s">
        <v>243</v>
      </c>
      <c r="E3526" s="4" t="s">
        <v>2968</v>
      </c>
      <c r="F3526" s="4">
        <v>1989</v>
      </c>
      <c r="G3526" s="8">
        <v>1.1000000000000001</v>
      </c>
      <c r="H3526" s="4" t="s">
        <v>2968</v>
      </c>
      <c r="I3526" s="8">
        <v>1.2</v>
      </c>
      <c r="J3526" s="3">
        <f>1494</f>
        <v>1494</v>
      </c>
      <c r="K3526" s="3">
        <v>50210</v>
      </c>
      <c r="L3526" s="17" t="str" cm="1">
        <f t="array" ref="L3526">_xlfn.IFS(MID(K3526,2,2)="01", "서울", MID(K3526,2,2)="02","경기",MID(K3526,2,2)="03","충청",MID(K3526,2,2)="04","충청",MID(K3526,2,2)="05","전라",MID(K3526,2,2)="06","전라",MID(K3526,2,2)="07","경북",MID(K3526,2,2)="08","경남",MID(K3526,2,2)="09","강원",MID(K3526,2,2)="10","제주",TRUE,"국외")</f>
        <v>경기</v>
      </c>
    </row>
    <row r="3527" spans="1:12" ht="17.25" thickBot="1">
      <c r="A3527" s="3" t="s">
        <v>3398</v>
      </c>
      <c r="B3527" s="3" t="s">
        <v>158</v>
      </c>
      <c r="C3527" s="3" t="s">
        <v>83</v>
      </c>
      <c r="D3527" s="4" t="s">
        <v>243</v>
      </c>
      <c r="E3527" s="4" t="s">
        <v>2523</v>
      </c>
      <c r="F3527" s="4">
        <v>1989</v>
      </c>
      <c r="G3527" s="8">
        <v>-0.6</v>
      </c>
      <c r="H3527" s="4" t="s">
        <v>2523</v>
      </c>
      <c r="I3527" s="8">
        <v>-0.6</v>
      </c>
      <c r="J3527" s="3">
        <f>1424</f>
        <v>1424</v>
      </c>
      <c r="K3527" s="3">
        <v>50501</v>
      </c>
      <c r="L3527" s="17" t="str" cm="1">
        <f t="array" ref="L3527">_xlfn.IFS(MID(K3527,2,2)="01", "서울", MID(K3527,2,2)="02","경기",MID(K3527,2,2)="03","충청",MID(K3527,2,2)="04","충청",MID(K3527,2,2)="05","전라",MID(K3527,2,2)="06","전라",MID(K3527,2,2)="07","경북",MID(K3527,2,2)="08","경남",MID(K3527,2,2)="09","강원",MID(K3527,2,2)="10","제주",TRUE,"국외")</f>
        <v>전라</v>
      </c>
    </row>
    <row r="3528" spans="1:12" ht="17.25" thickBot="1">
      <c r="A3528" s="3" t="s">
        <v>3399</v>
      </c>
      <c r="B3528" s="3" t="s">
        <v>158</v>
      </c>
      <c r="C3528" s="3" t="s">
        <v>172</v>
      </c>
      <c r="D3528" s="4" t="s">
        <v>243</v>
      </c>
      <c r="E3528" s="4" t="s">
        <v>2523</v>
      </c>
      <c r="F3528" s="4">
        <v>1989</v>
      </c>
      <c r="G3528" s="8">
        <v>0.3</v>
      </c>
      <c r="H3528" s="4" t="s">
        <v>2725</v>
      </c>
      <c r="I3528" s="8">
        <v>10.1</v>
      </c>
      <c r="J3528" s="3">
        <f>1426</f>
        <v>1426</v>
      </c>
      <c r="K3528" s="3">
        <v>50501</v>
      </c>
      <c r="L3528" s="17" t="str" cm="1">
        <f t="array" ref="L3528">_xlfn.IFS(MID(K3528,2,2)="01", "서울", MID(K3528,2,2)="02","경기",MID(K3528,2,2)="03","충청",MID(K3528,2,2)="04","충청",MID(K3528,2,2)="05","전라",MID(K3528,2,2)="06","전라",MID(K3528,2,2)="07","경북",MID(K3528,2,2)="08","경남",MID(K3528,2,2)="09","강원",MID(K3528,2,2)="10","제주",TRUE,"국외")</f>
        <v>전라</v>
      </c>
    </row>
    <row r="3529" spans="1:12" ht="17.25" thickBot="1">
      <c r="A3529" s="3" t="s">
        <v>3400</v>
      </c>
      <c r="B3529" s="3" t="s">
        <v>107</v>
      </c>
      <c r="C3529" s="3" t="s">
        <v>133</v>
      </c>
      <c r="D3529" s="4" t="s">
        <v>243</v>
      </c>
      <c r="E3529" s="4" t="s">
        <v>2523</v>
      </c>
      <c r="F3529" s="4">
        <v>1989</v>
      </c>
      <c r="G3529" s="8">
        <v>4.0999999999999996</v>
      </c>
      <c r="H3529" s="4" t="s">
        <v>2523</v>
      </c>
      <c r="I3529" s="8">
        <v>62.6</v>
      </c>
      <c r="J3529" s="3">
        <v>13923</v>
      </c>
      <c r="K3529" s="3">
        <v>50602</v>
      </c>
      <c r="L3529" s="17" t="str" cm="1">
        <f t="array" ref="L3529">_xlfn.IFS(MID(K3529,2,2)="01", "서울", MID(K3529,2,2)="02","경기",MID(K3529,2,2)="03","충청",MID(K3529,2,2)="04","충청",MID(K3529,2,2)="05","전라",MID(K3529,2,2)="06","전라",MID(K3529,2,2)="07","경북",MID(K3529,2,2)="08","경남",MID(K3529,2,2)="09","강원",MID(K3529,2,2)="10","제주",TRUE,"국외")</f>
        <v>전라</v>
      </c>
    </row>
    <row r="3530" spans="1:12" ht="17.25" thickBot="1">
      <c r="A3530" s="3" t="s">
        <v>3401</v>
      </c>
      <c r="B3530" s="3" t="s">
        <v>63</v>
      </c>
      <c r="C3530" s="3" t="s">
        <v>119</v>
      </c>
      <c r="D3530" s="4" t="s">
        <v>243</v>
      </c>
      <c r="E3530" s="4" t="s">
        <v>9</v>
      </c>
      <c r="F3530" s="4">
        <v>1989</v>
      </c>
      <c r="G3530" s="8">
        <v>4.3</v>
      </c>
      <c r="H3530" s="4" t="s">
        <v>9</v>
      </c>
      <c r="I3530" s="8">
        <v>9.5</v>
      </c>
      <c r="J3530" s="3">
        <f>1473</f>
        <v>1473</v>
      </c>
      <c r="K3530" s="3">
        <v>50807</v>
      </c>
      <c r="L3530" s="17" t="str" cm="1">
        <f t="array" ref="L3530">_xlfn.IFS(MID(K3530,2,2)="01", "서울", MID(K3530,2,2)="02","경기",MID(K3530,2,2)="03","충청",MID(K3530,2,2)="04","충청",MID(K3530,2,2)="05","전라",MID(K3530,2,2)="06","전라",MID(K3530,2,2)="07","경북",MID(K3530,2,2)="08","경남",MID(K3530,2,2)="09","강원",MID(K3530,2,2)="10","제주",TRUE,"국외")</f>
        <v>경남</v>
      </c>
    </row>
    <row r="3531" spans="1:12" ht="17.25" thickBot="1">
      <c r="A3531" s="3" t="s">
        <v>3402</v>
      </c>
      <c r="B3531" s="3" t="s">
        <v>2470</v>
      </c>
      <c r="C3531" s="3" t="s">
        <v>329</v>
      </c>
      <c r="D3531" s="4" t="s">
        <v>243</v>
      </c>
      <c r="E3531" s="4" t="s">
        <v>9</v>
      </c>
      <c r="F3531" s="4">
        <v>1989</v>
      </c>
      <c r="G3531" s="8">
        <v>1.5</v>
      </c>
      <c r="H3531" s="4" t="s">
        <v>9</v>
      </c>
      <c r="I3531" s="8">
        <v>1.4</v>
      </c>
      <c r="J3531" s="3">
        <f>1478</f>
        <v>1478</v>
      </c>
      <c r="K3531" s="3">
        <v>50813</v>
      </c>
      <c r="L3531" s="17" t="str" cm="1">
        <f t="array" ref="L3531">_xlfn.IFS(MID(K3531,2,2)="01", "서울", MID(K3531,2,2)="02","경기",MID(K3531,2,2)="03","충청",MID(K3531,2,2)="04","충청",MID(K3531,2,2)="05","전라",MID(K3531,2,2)="06","전라",MID(K3531,2,2)="07","경북",MID(K3531,2,2)="08","경남",MID(K3531,2,2)="09","강원",MID(K3531,2,2)="10","제주",TRUE,"국외")</f>
        <v>경남</v>
      </c>
    </row>
    <row r="3532" spans="1:12" ht="17.25" thickBot="1">
      <c r="A3532" s="3" t="s">
        <v>3403</v>
      </c>
      <c r="B3532" s="3" t="s">
        <v>11</v>
      </c>
      <c r="C3532" s="3" t="s">
        <v>119</v>
      </c>
      <c r="D3532" s="4" t="s">
        <v>243</v>
      </c>
      <c r="E3532" s="4" t="s">
        <v>9</v>
      </c>
      <c r="F3532" s="4">
        <v>1989</v>
      </c>
      <c r="G3532" s="8">
        <v>-0.5</v>
      </c>
      <c r="H3532" s="4" t="s">
        <v>9</v>
      </c>
      <c r="I3532" s="8">
        <v>-1.9</v>
      </c>
      <c r="J3532" s="3">
        <f>1433</f>
        <v>1433</v>
      </c>
      <c r="K3532" s="3">
        <v>50802</v>
      </c>
      <c r="L3532" s="17" t="str" cm="1">
        <f t="array" ref="L3532">_xlfn.IFS(MID(K3532,2,2)="01", "서울", MID(K3532,2,2)="02","경기",MID(K3532,2,2)="03","충청",MID(K3532,2,2)="04","충청",MID(K3532,2,2)="05","전라",MID(K3532,2,2)="06","전라",MID(K3532,2,2)="07","경북",MID(K3532,2,2)="08","경남",MID(K3532,2,2)="09","강원",MID(K3532,2,2)="10","제주",TRUE,"국외")</f>
        <v>경남</v>
      </c>
    </row>
    <row r="3533" spans="1:12" ht="17.25" thickBot="1">
      <c r="A3533" s="3" t="s">
        <v>3404</v>
      </c>
      <c r="B3533" s="3"/>
      <c r="C3533" s="3" t="s">
        <v>218</v>
      </c>
      <c r="D3533" s="4" t="s">
        <v>243</v>
      </c>
      <c r="E3533" s="4" t="s">
        <v>3101</v>
      </c>
      <c r="F3533" s="4">
        <v>1989</v>
      </c>
      <c r="G3533" s="8">
        <v>-0.1</v>
      </c>
      <c r="H3533" s="4" t="s">
        <v>23</v>
      </c>
      <c r="I3533" s="8">
        <v>2.2999999999999998</v>
      </c>
      <c r="J3533" s="3">
        <f>1441</f>
        <v>1441</v>
      </c>
      <c r="K3533" s="3"/>
      <c r="L3533" s="17" t="str" cm="1">
        <f t="array" ref="L3533">_xlfn.IFS(MID(K3533,2,2)="01", "서울", MID(K3533,2,2)="02","경기",MID(K3533,2,2)="03","충청",MID(K3533,2,2)="04","충청",MID(K3533,2,2)="05","전라",MID(K3533,2,2)="06","전라",MID(K3533,2,2)="07","경북",MID(K3533,2,2)="08","경남",MID(K3533,2,2)="09","강원",MID(K3533,2,2)="10","제주",TRUE,"국외")</f>
        <v>국외</v>
      </c>
    </row>
    <row r="3534" spans="1:12" ht="17.25" thickBot="1">
      <c r="A3534" s="3" t="s">
        <v>3405</v>
      </c>
      <c r="B3534" s="3" t="s">
        <v>34</v>
      </c>
      <c r="C3534" s="3" t="s">
        <v>83</v>
      </c>
      <c r="D3534" s="4" t="s">
        <v>254</v>
      </c>
      <c r="E3534" s="4" t="s">
        <v>3387</v>
      </c>
      <c r="F3534" s="4">
        <v>1989</v>
      </c>
      <c r="G3534" s="8">
        <v>-0.8</v>
      </c>
      <c r="H3534" s="4" t="s">
        <v>20</v>
      </c>
      <c r="I3534" s="8">
        <v>-1.3</v>
      </c>
      <c r="J3534" s="3">
        <f>1470</f>
        <v>1470</v>
      </c>
      <c r="K3534" s="3">
        <v>50701</v>
      </c>
      <c r="L3534" s="17" t="str" cm="1">
        <f t="array" ref="L3534">_xlfn.IFS(MID(K3534,2,2)="01", "서울", MID(K3534,2,2)="02","경기",MID(K3534,2,2)="03","충청",MID(K3534,2,2)="04","충청",MID(K3534,2,2)="05","전라",MID(K3534,2,2)="06","전라",MID(K3534,2,2)="07","경북",MID(K3534,2,2)="08","경남",MID(K3534,2,2)="09","강원",MID(K3534,2,2)="10","제주",TRUE,"국외")</f>
        <v>경북</v>
      </c>
    </row>
    <row r="3535" spans="1:12" ht="17.25" thickBot="1">
      <c r="A3535" s="3" t="s">
        <v>3406</v>
      </c>
      <c r="B3535" s="3" t="s">
        <v>3256</v>
      </c>
      <c r="C3535" s="3" t="s">
        <v>133</v>
      </c>
      <c r="D3535" s="4" t="s">
        <v>254</v>
      </c>
      <c r="E3535" s="4" t="s">
        <v>3387</v>
      </c>
      <c r="F3535" s="4">
        <v>1989</v>
      </c>
      <c r="G3535" s="8">
        <v>1</v>
      </c>
      <c r="H3535" s="4" t="s">
        <v>3387</v>
      </c>
      <c r="I3535" s="8">
        <v>1.1000000000000001</v>
      </c>
      <c r="J3535" s="3">
        <f>1493</f>
        <v>1493</v>
      </c>
      <c r="K3535" s="3">
        <v>50127</v>
      </c>
      <c r="L3535" s="17" t="str" cm="1">
        <f t="array" ref="L3535">_xlfn.IFS(MID(K3535,2,2)="01", "서울", MID(K3535,2,2)="02","경기",MID(K3535,2,2)="03","충청",MID(K3535,2,2)="04","충청",MID(K3535,2,2)="05","전라",MID(K3535,2,2)="06","전라",MID(K3535,2,2)="07","경북",MID(K3535,2,2)="08","경남",MID(K3535,2,2)="09","강원",MID(K3535,2,2)="10","제주",TRUE,"국외")</f>
        <v>서울</v>
      </c>
    </row>
    <row r="3536" spans="1:12" ht="17.25" thickBot="1">
      <c r="A3536" s="3" t="s">
        <v>3407</v>
      </c>
      <c r="B3536" s="3" t="s">
        <v>25</v>
      </c>
      <c r="C3536" s="3" t="s">
        <v>119</v>
      </c>
      <c r="D3536" s="4" t="s">
        <v>254</v>
      </c>
      <c r="E3536" s="4" t="s">
        <v>2725</v>
      </c>
      <c r="F3536" s="4">
        <v>1989</v>
      </c>
      <c r="G3536" s="8">
        <v>3.4</v>
      </c>
      <c r="H3536" s="4" t="s">
        <v>2725</v>
      </c>
      <c r="I3536" s="8">
        <v>3.5</v>
      </c>
      <c r="J3536" s="3">
        <f>1468</f>
        <v>1468</v>
      </c>
      <c r="K3536" s="3">
        <v>50403</v>
      </c>
      <c r="L3536" s="17" t="str" cm="1">
        <f t="array" ref="L3536">_xlfn.IFS(MID(K3536,2,2)="01", "서울", MID(K3536,2,2)="02","경기",MID(K3536,2,2)="03","충청",MID(K3536,2,2)="04","충청",MID(K3536,2,2)="05","전라",MID(K3536,2,2)="06","전라",MID(K3536,2,2)="07","경북",MID(K3536,2,2)="08","경남",MID(K3536,2,2)="09","강원",MID(K3536,2,2)="10","제주",TRUE,"국외")</f>
        <v>충청</v>
      </c>
    </row>
    <row r="3537" spans="1:12" ht="17.25" thickBot="1">
      <c r="A3537" s="3" t="s">
        <v>3408</v>
      </c>
      <c r="B3537" s="3" t="s">
        <v>121</v>
      </c>
      <c r="C3537" s="3" t="s">
        <v>99</v>
      </c>
      <c r="D3537" s="4" t="s">
        <v>254</v>
      </c>
      <c r="E3537" s="4" t="s">
        <v>9</v>
      </c>
      <c r="F3537" s="4">
        <v>1989</v>
      </c>
      <c r="G3537" s="8">
        <v>-0.4</v>
      </c>
      <c r="H3537" s="4" t="s">
        <v>2164</v>
      </c>
      <c r="I3537" s="8">
        <v>10.1</v>
      </c>
      <c r="J3537" s="3">
        <f>1435</f>
        <v>1435</v>
      </c>
      <c r="K3537" s="3">
        <v>50604</v>
      </c>
      <c r="L3537" s="17" t="str" cm="1">
        <f t="array" ref="L3537">_xlfn.IFS(MID(K3537,2,2)="01", "서울", MID(K3537,2,2)="02","경기",MID(K3537,2,2)="03","충청",MID(K3537,2,2)="04","충청",MID(K3537,2,2)="05","전라",MID(K3537,2,2)="06","전라",MID(K3537,2,2)="07","경북",MID(K3537,2,2)="08","경남",MID(K3537,2,2)="09","강원",MID(K3537,2,2)="10","제주",TRUE,"국외")</f>
        <v>전라</v>
      </c>
    </row>
    <row r="3538" spans="1:12" ht="17.25" thickBot="1">
      <c r="A3538" s="3" t="s">
        <v>3409</v>
      </c>
      <c r="B3538" s="3" t="s">
        <v>2470</v>
      </c>
      <c r="C3538" s="3" t="s">
        <v>119</v>
      </c>
      <c r="D3538" s="4" t="s">
        <v>254</v>
      </c>
      <c r="E3538" s="4" t="s">
        <v>3101</v>
      </c>
      <c r="F3538" s="4">
        <v>1989</v>
      </c>
      <c r="G3538" s="8">
        <v>3.9</v>
      </c>
      <c r="H3538" s="4" t="s">
        <v>3101</v>
      </c>
      <c r="I3538" s="8">
        <v>4.5</v>
      </c>
      <c r="J3538" s="3">
        <f>1462</f>
        <v>1462</v>
      </c>
      <c r="K3538" s="3">
        <v>50813</v>
      </c>
      <c r="L3538" s="17" t="str" cm="1">
        <f t="array" ref="L3538">_xlfn.IFS(MID(K3538,2,2)="01", "서울", MID(K3538,2,2)="02","경기",MID(K3538,2,2)="03","충청",MID(K3538,2,2)="04","충청",MID(K3538,2,2)="05","전라",MID(K3538,2,2)="06","전라",MID(K3538,2,2)="07","경북",MID(K3538,2,2)="08","경남",MID(K3538,2,2)="09","강원",MID(K3538,2,2)="10","제주",TRUE,"국외")</f>
        <v>경남</v>
      </c>
    </row>
    <row r="3539" spans="1:12" ht="17.25" thickBot="1">
      <c r="A3539" s="3" t="s">
        <v>3410</v>
      </c>
      <c r="B3539" s="3" t="s">
        <v>107</v>
      </c>
      <c r="C3539" s="3"/>
      <c r="D3539" s="4" t="s">
        <v>254</v>
      </c>
      <c r="E3539" s="4" t="s">
        <v>23</v>
      </c>
      <c r="F3539" s="4">
        <v>1989</v>
      </c>
      <c r="G3539" s="8">
        <v>-0.1</v>
      </c>
      <c r="H3539" s="4" t="s">
        <v>23</v>
      </c>
      <c r="I3539" s="8">
        <v>1.7</v>
      </c>
      <c r="J3539" s="3">
        <f>1476</f>
        <v>1476</v>
      </c>
      <c r="K3539" s="3">
        <v>50602</v>
      </c>
      <c r="L3539" s="17" t="str" cm="1">
        <f t="array" ref="L3539">_xlfn.IFS(MID(K3539,2,2)="01", "서울", MID(K3539,2,2)="02","경기",MID(K3539,2,2)="03","충청",MID(K3539,2,2)="04","충청",MID(K3539,2,2)="05","전라",MID(K3539,2,2)="06","전라",MID(K3539,2,2)="07","경북",MID(K3539,2,2)="08","경남",MID(K3539,2,2)="09","강원",MID(K3539,2,2)="10","제주",TRUE,"국외")</f>
        <v>전라</v>
      </c>
    </row>
    <row r="3540" spans="1:12" ht="17.25" thickBot="1">
      <c r="A3540" s="3" t="s">
        <v>1503</v>
      </c>
      <c r="B3540" s="3" t="s">
        <v>107</v>
      </c>
      <c r="C3540" s="3" t="s">
        <v>133</v>
      </c>
      <c r="D3540" s="4" t="s">
        <v>254</v>
      </c>
      <c r="E3540" s="4" t="s">
        <v>2968</v>
      </c>
      <c r="F3540" s="4">
        <v>1989</v>
      </c>
      <c r="G3540" s="8">
        <v>0.4</v>
      </c>
      <c r="H3540" s="4" t="s">
        <v>20</v>
      </c>
      <c r="I3540" s="8">
        <v>7.8</v>
      </c>
      <c r="J3540" s="3">
        <f>1443</f>
        <v>1443</v>
      </c>
      <c r="K3540" s="3">
        <v>50602</v>
      </c>
      <c r="L3540" s="17" t="str" cm="1">
        <f t="array" ref="L3540">_xlfn.IFS(MID(K3540,2,2)="01", "서울", MID(K3540,2,2)="02","경기",MID(K3540,2,2)="03","충청",MID(K3540,2,2)="04","충청",MID(K3540,2,2)="05","전라",MID(K3540,2,2)="06","전라",MID(K3540,2,2)="07","경북",MID(K3540,2,2)="08","경남",MID(K3540,2,2)="09","강원",MID(K3540,2,2)="10","제주",TRUE,"국외")</f>
        <v>전라</v>
      </c>
    </row>
    <row r="3541" spans="1:12" ht="17.25" thickBot="1">
      <c r="A3541" s="3" t="s">
        <v>3411</v>
      </c>
      <c r="B3541" s="3" t="s">
        <v>63</v>
      </c>
      <c r="C3541" s="3" t="s">
        <v>329</v>
      </c>
      <c r="D3541" s="4" t="s">
        <v>254</v>
      </c>
      <c r="E3541" s="4" t="s">
        <v>2968</v>
      </c>
      <c r="F3541" s="4">
        <v>1989</v>
      </c>
      <c r="G3541" s="8">
        <v>-0.2</v>
      </c>
      <c r="H3541" s="4" t="s">
        <v>2968</v>
      </c>
      <c r="I3541" s="8">
        <v>-1.3</v>
      </c>
      <c r="J3541" s="3">
        <f>1488</f>
        <v>1488</v>
      </c>
      <c r="K3541" s="3">
        <v>50807</v>
      </c>
      <c r="L3541" s="17" t="str" cm="1">
        <f t="array" ref="L3541">_xlfn.IFS(MID(K3541,2,2)="01", "서울", MID(K3541,2,2)="02","경기",MID(K3541,2,2)="03","충청",MID(K3541,2,2)="04","충청",MID(K3541,2,2)="05","전라",MID(K3541,2,2)="06","전라",MID(K3541,2,2)="07","경북",MID(K3541,2,2)="08","경남",MID(K3541,2,2)="09","강원",MID(K3541,2,2)="10","제주",TRUE,"국외")</f>
        <v>경남</v>
      </c>
    </row>
    <row r="3542" spans="1:12" ht="17.25" thickBot="1">
      <c r="A3542" s="3" t="s">
        <v>3412</v>
      </c>
      <c r="B3542" s="3" t="s">
        <v>361</v>
      </c>
      <c r="C3542" s="3" t="s">
        <v>133</v>
      </c>
      <c r="D3542" s="4" t="s">
        <v>254</v>
      </c>
      <c r="E3542" s="4" t="s">
        <v>2523</v>
      </c>
      <c r="F3542" s="4">
        <v>1989</v>
      </c>
      <c r="G3542" s="8">
        <v>0.1</v>
      </c>
      <c r="H3542" s="4" t="s">
        <v>2523</v>
      </c>
      <c r="I3542" s="8">
        <v>4.3</v>
      </c>
      <c r="J3542" s="3">
        <f>1448</f>
        <v>1448</v>
      </c>
      <c r="K3542" s="3">
        <v>50121</v>
      </c>
      <c r="L3542" s="17" t="str" cm="1">
        <f t="array" ref="L3542">_xlfn.IFS(MID(K3542,2,2)="01", "서울", MID(K3542,2,2)="02","경기",MID(K3542,2,2)="03","충청",MID(K3542,2,2)="04","충청",MID(K3542,2,2)="05","전라",MID(K3542,2,2)="06","전라",MID(K3542,2,2)="07","경북",MID(K3542,2,2)="08","경남",MID(K3542,2,2)="09","강원",MID(K3542,2,2)="10","제주",TRUE,"국외")</f>
        <v>서울</v>
      </c>
    </row>
    <row r="3543" spans="1:12" ht="17.25" thickBot="1">
      <c r="A3543" s="3" t="s">
        <v>2550</v>
      </c>
      <c r="B3543" s="3" t="s">
        <v>93</v>
      </c>
      <c r="C3543" s="3" t="s">
        <v>329</v>
      </c>
      <c r="D3543" s="4" t="s">
        <v>254</v>
      </c>
      <c r="E3543" s="4" t="s">
        <v>3387</v>
      </c>
      <c r="F3543" s="4">
        <v>1989</v>
      </c>
      <c r="G3543" s="8">
        <v>0</v>
      </c>
      <c r="H3543" s="4" t="s">
        <v>3387</v>
      </c>
      <c r="I3543" s="8">
        <v>-0.3</v>
      </c>
      <c r="J3543" s="3">
        <f>1442</f>
        <v>1442</v>
      </c>
      <c r="K3543" s="3">
        <v>50805</v>
      </c>
      <c r="L3543" s="17" t="str" cm="1">
        <f t="array" ref="L3543">_xlfn.IFS(MID(K3543,2,2)="01", "서울", MID(K3543,2,2)="02","경기",MID(K3543,2,2)="03","충청",MID(K3543,2,2)="04","충청",MID(K3543,2,2)="05","전라",MID(K3543,2,2)="06","전라",MID(K3543,2,2)="07","경북",MID(K3543,2,2)="08","경남",MID(K3543,2,2)="09","강원",MID(K3543,2,2)="10","제주",TRUE,"국외")</f>
        <v>경남</v>
      </c>
    </row>
    <row r="3544" spans="1:12" ht="17.25" thickBot="1">
      <c r="A3544" s="3" t="s">
        <v>3413</v>
      </c>
      <c r="B3544" s="3" t="s">
        <v>8</v>
      </c>
      <c r="C3544" s="3" t="s">
        <v>45</v>
      </c>
      <c r="D3544" s="4" t="s">
        <v>254</v>
      </c>
      <c r="E3544" s="4" t="s">
        <v>2725</v>
      </c>
      <c r="F3544" s="4">
        <v>1989</v>
      </c>
      <c r="G3544" s="8">
        <v>3</v>
      </c>
      <c r="H3544" s="4" t="s">
        <v>2725</v>
      </c>
      <c r="I3544" s="8">
        <v>26.6</v>
      </c>
      <c r="J3544" s="3">
        <f>1450</f>
        <v>1450</v>
      </c>
      <c r="K3544" s="3">
        <v>50116</v>
      </c>
      <c r="L3544" s="17" t="str" cm="1">
        <f t="array" ref="L3544">_xlfn.IFS(MID(K3544,2,2)="01", "서울", MID(K3544,2,2)="02","경기",MID(K3544,2,2)="03","충청",MID(K3544,2,2)="04","충청",MID(K3544,2,2)="05","전라",MID(K3544,2,2)="06","전라",MID(K3544,2,2)="07","경북",MID(K3544,2,2)="08","경남",MID(K3544,2,2)="09","강원",MID(K3544,2,2)="10","제주",TRUE,"국외")</f>
        <v>서울</v>
      </c>
    </row>
    <row r="3545" spans="1:12" ht="17.25" thickBot="1">
      <c r="A3545" s="3" t="s">
        <v>3414</v>
      </c>
      <c r="B3545" s="3" t="s">
        <v>11</v>
      </c>
      <c r="C3545" s="3" t="s">
        <v>119</v>
      </c>
      <c r="D3545" s="4" t="s">
        <v>254</v>
      </c>
      <c r="E3545" s="4" t="s">
        <v>9</v>
      </c>
      <c r="F3545" s="4">
        <v>1989</v>
      </c>
      <c r="G3545" s="8">
        <v>0.3</v>
      </c>
      <c r="H3545" s="4" t="s">
        <v>9</v>
      </c>
      <c r="I3545" s="8">
        <v>7.2</v>
      </c>
      <c r="J3545" s="3">
        <v>11473</v>
      </c>
      <c r="K3545" s="3">
        <v>50802</v>
      </c>
      <c r="L3545" s="17" t="str" cm="1">
        <f t="array" ref="L3545">_xlfn.IFS(MID(K3545,2,2)="01", "서울", MID(K3545,2,2)="02","경기",MID(K3545,2,2)="03","충청",MID(K3545,2,2)="04","충청",MID(K3545,2,2)="05","전라",MID(K3545,2,2)="06","전라",MID(K3545,2,2)="07","경북",MID(K3545,2,2)="08","경남",MID(K3545,2,2)="09","강원",MID(K3545,2,2)="10","제주",TRUE,"국외")</f>
        <v>경남</v>
      </c>
    </row>
    <row r="3546" spans="1:12" ht="17.25" thickBot="1">
      <c r="A3546" s="3" t="s">
        <v>3415</v>
      </c>
      <c r="B3546" s="3" t="s">
        <v>25</v>
      </c>
      <c r="C3546" s="3" t="s">
        <v>119</v>
      </c>
      <c r="D3546" s="4" t="s">
        <v>254</v>
      </c>
      <c r="E3546" s="4" t="s">
        <v>3101</v>
      </c>
      <c r="F3546" s="4">
        <v>1989</v>
      </c>
      <c r="G3546" s="8">
        <v>-0.5</v>
      </c>
      <c r="H3546" s="4" t="s">
        <v>3101</v>
      </c>
      <c r="I3546" s="8">
        <v>-0.1</v>
      </c>
      <c r="J3546" s="3">
        <f>1423</f>
        <v>1423</v>
      </c>
      <c r="K3546" s="3">
        <v>50403</v>
      </c>
      <c r="L3546" s="17" t="str" cm="1">
        <f t="array" ref="L3546">_xlfn.IFS(MID(K3546,2,2)="01", "서울", MID(K3546,2,2)="02","경기",MID(K3546,2,2)="03","충청",MID(K3546,2,2)="04","충청",MID(K3546,2,2)="05","전라",MID(K3546,2,2)="06","전라",MID(K3546,2,2)="07","경북",MID(K3546,2,2)="08","경남",MID(K3546,2,2)="09","강원",MID(K3546,2,2)="10","제주",TRUE,"국외")</f>
        <v>충청</v>
      </c>
    </row>
    <row r="3547" spans="1:12" ht="17.25" thickBot="1">
      <c r="A3547" s="3" t="s">
        <v>3416</v>
      </c>
      <c r="B3547" s="3" t="s">
        <v>228</v>
      </c>
      <c r="C3547" s="3" t="s">
        <v>208</v>
      </c>
      <c r="D3547" s="4" t="s">
        <v>254</v>
      </c>
      <c r="E3547" s="4" t="s">
        <v>23</v>
      </c>
      <c r="F3547" s="4">
        <v>1989</v>
      </c>
      <c r="G3547" s="8">
        <v>0.3</v>
      </c>
      <c r="H3547" s="4" t="s">
        <v>23</v>
      </c>
      <c r="I3547" s="8">
        <v>-0.1</v>
      </c>
      <c r="J3547" s="3">
        <f>1454</f>
        <v>1454</v>
      </c>
      <c r="K3547" s="3">
        <v>50702</v>
      </c>
      <c r="L3547" s="17" t="str" cm="1">
        <f t="array" ref="L3547">_xlfn.IFS(MID(K3547,2,2)="01", "서울", MID(K3547,2,2)="02","경기",MID(K3547,2,2)="03","충청",MID(K3547,2,2)="04","충청",MID(K3547,2,2)="05","전라",MID(K3547,2,2)="06","전라",MID(K3547,2,2)="07","경북",MID(K3547,2,2)="08","경남",MID(K3547,2,2)="09","강원",MID(K3547,2,2)="10","제주",TRUE,"국외")</f>
        <v>경북</v>
      </c>
    </row>
    <row r="3548" spans="1:12" ht="17.25" thickBot="1">
      <c r="A3548" s="3" t="s">
        <v>3417</v>
      </c>
      <c r="B3548" s="3" t="s">
        <v>158</v>
      </c>
      <c r="C3548" s="3" t="s">
        <v>172</v>
      </c>
      <c r="D3548" s="4" t="s">
        <v>254</v>
      </c>
      <c r="E3548" s="4" t="s">
        <v>2968</v>
      </c>
      <c r="F3548" s="4">
        <v>1989</v>
      </c>
      <c r="G3548" s="8">
        <v>1.9</v>
      </c>
      <c r="H3548" s="4" t="s">
        <v>2968</v>
      </c>
      <c r="I3548" s="8">
        <v>44.4</v>
      </c>
      <c r="J3548" s="3">
        <f>1464</f>
        <v>1464</v>
      </c>
      <c r="K3548" s="3">
        <v>50501</v>
      </c>
      <c r="L3548" s="17" t="str" cm="1">
        <f t="array" ref="L3548">_xlfn.IFS(MID(K3548,2,2)="01", "서울", MID(K3548,2,2)="02","경기",MID(K3548,2,2)="03","충청",MID(K3548,2,2)="04","충청",MID(K3548,2,2)="05","전라",MID(K3548,2,2)="06","전라",MID(K3548,2,2)="07","경북",MID(K3548,2,2)="08","경남",MID(K3548,2,2)="09","강원",MID(K3548,2,2)="10","제주",TRUE,"국외")</f>
        <v>전라</v>
      </c>
    </row>
    <row r="3549" spans="1:12" ht="17.25" thickBot="1">
      <c r="A3549" s="3" t="s">
        <v>1302</v>
      </c>
      <c r="B3549" s="3" t="s">
        <v>25</v>
      </c>
      <c r="C3549" s="3" t="s">
        <v>119</v>
      </c>
      <c r="D3549" s="4" t="s">
        <v>254</v>
      </c>
      <c r="E3549" s="4" t="s">
        <v>2523</v>
      </c>
      <c r="F3549" s="4">
        <v>1989</v>
      </c>
      <c r="G3549" s="8">
        <v>-0.3</v>
      </c>
      <c r="H3549" s="4" t="s">
        <v>2523</v>
      </c>
      <c r="I3549" s="8">
        <v>-0.9</v>
      </c>
      <c r="J3549" s="3">
        <f>1422</f>
        <v>1422</v>
      </c>
      <c r="K3549" s="3">
        <v>50403</v>
      </c>
      <c r="L3549" s="17" t="str" cm="1">
        <f t="array" ref="L3549">_xlfn.IFS(MID(K3549,2,2)="01", "서울", MID(K3549,2,2)="02","경기",MID(K3549,2,2)="03","충청",MID(K3549,2,2)="04","충청",MID(K3549,2,2)="05","전라",MID(K3549,2,2)="06","전라",MID(K3549,2,2)="07","경북",MID(K3549,2,2)="08","경남",MID(K3549,2,2)="09","강원",MID(K3549,2,2)="10","제주",TRUE,"국외")</f>
        <v>충청</v>
      </c>
    </row>
    <row r="3550" spans="1:12" ht="17.25" thickBot="1">
      <c r="A3550" s="3" t="s">
        <v>3418</v>
      </c>
      <c r="B3550" s="3" t="s">
        <v>361</v>
      </c>
      <c r="C3550" s="3"/>
      <c r="D3550" s="4" t="s">
        <v>254</v>
      </c>
      <c r="E3550" s="4" t="s">
        <v>3387</v>
      </c>
      <c r="F3550" s="4">
        <v>1989</v>
      </c>
      <c r="G3550" s="8">
        <v>-0.1</v>
      </c>
      <c r="H3550" s="4" t="s">
        <v>3387</v>
      </c>
      <c r="I3550" s="8">
        <v>-0.1</v>
      </c>
      <c r="J3550" s="3">
        <f>1452</f>
        <v>1452</v>
      </c>
      <c r="K3550" s="3">
        <v>50121</v>
      </c>
      <c r="L3550" s="17" t="str" cm="1">
        <f t="array" ref="L3550">_xlfn.IFS(MID(K3550,2,2)="01", "서울", MID(K3550,2,2)="02","경기",MID(K3550,2,2)="03","충청",MID(K3550,2,2)="04","충청",MID(K3550,2,2)="05","전라",MID(K3550,2,2)="06","전라",MID(K3550,2,2)="07","경북",MID(K3550,2,2)="08","경남",MID(K3550,2,2)="09","강원",MID(K3550,2,2)="10","제주",TRUE,"국외")</f>
        <v>서울</v>
      </c>
    </row>
    <row r="3551" spans="1:12" ht="17.25" thickBot="1">
      <c r="A3551" s="3" t="s">
        <v>3419</v>
      </c>
      <c r="B3551" s="3" t="s">
        <v>11</v>
      </c>
      <c r="C3551" s="3" t="s">
        <v>119</v>
      </c>
      <c r="D3551" s="4" t="s">
        <v>254</v>
      </c>
      <c r="E3551" s="4" t="s">
        <v>9</v>
      </c>
      <c r="F3551" s="4">
        <v>1989</v>
      </c>
      <c r="G3551" s="8">
        <v>0</v>
      </c>
      <c r="H3551" s="4" t="s">
        <v>9</v>
      </c>
      <c r="I3551" s="8">
        <v>-2.6</v>
      </c>
      <c r="J3551" s="3">
        <f>1482</f>
        <v>1482</v>
      </c>
      <c r="K3551" s="3">
        <v>50802</v>
      </c>
      <c r="L3551" s="17" t="str" cm="1">
        <f t="array" ref="L3551">_xlfn.IFS(MID(K3551,2,2)="01", "서울", MID(K3551,2,2)="02","경기",MID(K3551,2,2)="03","충청",MID(K3551,2,2)="04","충청",MID(K3551,2,2)="05","전라",MID(K3551,2,2)="06","전라",MID(K3551,2,2)="07","경북",MID(K3551,2,2)="08","경남",MID(K3551,2,2)="09","강원",MID(K3551,2,2)="10","제주",TRUE,"국외")</f>
        <v>경남</v>
      </c>
    </row>
    <row r="3552" spans="1:12" ht="17.25" thickBot="1">
      <c r="A3552" s="3" t="s">
        <v>3420</v>
      </c>
      <c r="B3552" s="3" t="s">
        <v>464</v>
      </c>
      <c r="C3552" s="3" t="s">
        <v>99</v>
      </c>
      <c r="D3552" s="4" t="s">
        <v>254</v>
      </c>
      <c r="E3552" s="4" t="s">
        <v>2968</v>
      </c>
      <c r="F3552" s="4">
        <v>1989</v>
      </c>
      <c r="G3552" s="8">
        <v>-0.1</v>
      </c>
      <c r="H3552" s="4" t="s">
        <v>2661</v>
      </c>
      <c r="I3552" s="8">
        <v>0.2</v>
      </c>
      <c r="J3552" s="3">
        <f>1451</f>
        <v>1451</v>
      </c>
      <c r="K3552" s="3">
        <v>50706</v>
      </c>
      <c r="L3552" s="17" t="str" cm="1">
        <f t="array" ref="L3552">_xlfn.IFS(MID(K3552,2,2)="01", "서울", MID(K3552,2,2)="02","경기",MID(K3552,2,2)="03","충청",MID(K3552,2,2)="04","충청",MID(K3552,2,2)="05","전라",MID(K3552,2,2)="06","전라",MID(K3552,2,2)="07","경북",MID(K3552,2,2)="08","경남",MID(K3552,2,2)="09","강원",MID(K3552,2,2)="10","제주",TRUE,"국외")</f>
        <v>경북</v>
      </c>
    </row>
    <row r="3553" spans="1:12" ht="17.25" thickBot="1">
      <c r="A3553" s="3" t="s">
        <v>3421</v>
      </c>
      <c r="B3553" s="3" t="s">
        <v>2351</v>
      </c>
      <c r="C3553" s="3" t="s">
        <v>483</v>
      </c>
      <c r="D3553" s="4" t="s">
        <v>254</v>
      </c>
      <c r="E3553" s="4" t="s">
        <v>2523</v>
      </c>
      <c r="F3553" s="4">
        <v>1989</v>
      </c>
      <c r="G3553" s="8">
        <v>0.9</v>
      </c>
      <c r="H3553" s="4" t="s">
        <v>2523</v>
      </c>
      <c r="I3553" s="8">
        <v>0.9</v>
      </c>
      <c r="J3553" s="3">
        <v>11428</v>
      </c>
      <c r="K3553" s="3">
        <v>50609</v>
      </c>
      <c r="L3553" s="17" t="str" cm="1">
        <f t="array" ref="L3553">_xlfn.IFS(MID(K3553,2,2)="01", "서울", MID(K3553,2,2)="02","경기",MID(K3553,2,2)="03","충청",MID(K3553,2,2)="04","충청",MID(K3553,2,2)="05","전라",MID(K3553,2,2)="06","전라",MID(K3553,2,2)="07","경북",MID(K3553,2,2)="08","경남",MID(K3553,2,2)="09","강원",MID(K3553,2,2)="10","제주",TRUE,"국외")</f>
        <v>전라</v>
      </c>
    </row>
    <row r="3554" spans="1:12" ht="17.25" thickBot="1">
      <c r="A3554" s="3" t="s">
        <v>24</v>
      </c>
      <c r="B3554" s="3" t="s">
        <v>3254</v>
      </c>
      <c r="C3554" s="3" t="s">
        <v>83</v>
      </c>
      <c r="D3554" s="4" t="s">
        <v>254</v>
      </c>
      <c r="E3554" s="4" t="s">
        <v>3387</v>
      </c>
      <c r="F3554" s="4">
        <v>1989</v>
      </c>
      <c r="G3554" s="8">
        <v>0.1</v>
      </c>
      <c r="H3554" s="4" t="s">
        <v>3387</v>
      </c>
      <c r="I3554" s="8">
        <v>0.1</v>
      </c>
      <c r="J3554" s="3">
        <f>1492</f>
        <v>1492</v>
      </c>
      <c r="K3554" s="3">
        <v>50222</v>
      </c>
      <c r="L3554" s="17" t="str" cm="1">
        <f t="array" ref="L3554">_xlfn.IFS(MID(K3554,2,2)="01", "서울", MID(K3554,2,2)="02","경기",MID(K3554,2,2)="03","충청",MID(K3554,2,2)="04","충청",MID(K3554,2,2)="05","전라",MID(K3554,2,2)="06","전라",MID(K3554,2,2)="07","경북",MID(K3554,2,2)="08","경남",MID(K3554,2,2)="09","강원",MID(K3554,2,2)="10","제주",TRUE,"국외")</f>
        <v>경기</v>
      </c>
    </row>
    <row r="3555" spans="1:12" ht="17.25" thickBot="1">
      <c r="A3555" s="3" t="s">
        <v>3076</v>
      </c>
      <c r="B3555" s="3" t="s">
        <v>2470</v>
      </c>
      <c r="C3555" s="3" t="s">
        <v>329</v>
      </c>
      <c r="D3555" s="4" t="s">
        <v>254</v>
      </c>
      <c r="E3555" s="4" t="s">
        <v>9</v>
      </c>
      <c r="F3555" s="4">
        <v>1989</v>
      </c>
      <c r="G3555" s="8">
        <v>0.3</v>
      </c>
      <c r="H3555" s="4" t="s">
        <v>9</v>
      </c>
      <c r="I3555" s="8">
        <v>0.5</v>
      </c>
      <c r="J3555" s="3">
        <f>1432</f>
        <v>1432</v>
      </c>
      <c r="K3555" s="3">
        <v>50813</v>
      </c>
      <c r="L3555" s="17" t="str" cm="1">
        <f t="array" ref="L3555">_xlfn.IFS(MID(K3555,2,2)="01", "서울", MID(K3555,2,2)="02","경기",MID(K3555,2,2)="03","충청",MID(K3555,2,2)="04","충청",MID(K3555,2,2)="05","전라",MID(K3555,2,2)="06","전라",MID(K3555,2,2)="07","경북",MID(K3555,2,2)="08","경남",MID(K3555,2,2)="09","강원",MID(K3555,2,2)="10","제주",TRUE,"국외")</f>
        <v>경남</v>
      </c>
    </row>
    <row r="3556" spans="1:12" ht="17.25" thickBot="1">
      <c r="A3556" s="3" t="s">
        <v>3422</v>
      </c>
      <c r="B3556" s="3" t="s">
        <v>107</v>
      </c>
      <c r="C3556" s="3" t="s">
        <v>3183</v>
      </c>
      <c r="D3556" s="4" t="s">
        <v>254</v>
      </c>
      <c r="E3556" s="4" t="s">
        <v>3101</v>
      </c>
      <c r="F3556" s="4">
        <v>1989</v>
      </c>
      <c r="G3556" s="8">
        <v>-0.2</v>
      </c>
      <c r="H3556" s="4" t="s">
        <v>3101</v>
      </c>
      <c r="I3556" s="8">
        <v>-0.8</v>
      </c>
      <c r="J3556" s="3">
        <f>1444</f>
        <v>1444</v>
      </c>
      <c r="K3556" s="3">
        <v>50602</v>
      </c>
      <c r="L3556" s="17" t="str" cm="1">
        <f t="array" ref="L3556">_xlfn.IFS(MID(K3556,2,2)="01", "서울", MID(K3556,2,2)="02","경기",MID(K3556,2,2)="03","충청",MID(K3556,2,2)="04","충청",MID(K3556,2,2)="05","전라",MID(K3556,2,2)="06","전라",MID(K3556,2,2)="07","경북",MID(K3556,2,2)="08","경남",MID(K3556,2,2)="09","강원",MID(K3556,2,2)="10","제주",TRUE,"국외")</f>
        <v>전라</v>
      </c>
    </row>
    <row r="3557" spans="1:12" ht="17.25" thickBot="1">
      <c r="A3557" s="3" t="s">
        <v>3423</v>
      </c>
      <c r="B3557" s="3" t="s">
        <v>121</v>
      </c>
      <c r="C3557" s="3" t="s">
        <v>122</v>
      </c>
      <c r="D3557" s="4" t="s">
        <v>254</v>
      </c>
      <c r="E3557" s="4" t="s">
        <v>23</v>
      </c>
      <c r="F3557" s="4">
        <v>1989</v>
      </c>
      <c r="G3557" s="8">
        <v>-0.3</v>
      </c>
      <c r="H3557" s="4" t="s">
        <v>23</v>
      </c>
      <c r="I3557" s="8">
        <v>-0.5</v>
      </c>
      <c r="J3557" s="3">
        <v>11427</v>
      </c>
      <c r="K3557" s="3">
        <v>50604</v>
      </c>
      <c r="L3557" s="17" t="str" cm="1">
        <f t="array" ref="L3557">_xlfn.IFS(MID(K3557,2,2)="01", "서울", MID(K3557,2,2)="02","경기",MID(K3557,2,2)="03","충청",MID(K3557,2,2)="04","충청",MID(K3557,2,2)="05","전라",MID(K3557,2,2)="06","전라",MID(K3557,2,2)="07","경북",MID(K3557,2,2)="08","경남",MID(K3557,2,2)="09","강원",MID(K3557,2,2)="10","제주",TRUE,"국외")</f>
        <v>전라</v>
      </c>
    </row>
    <row r="3558" spans="1:12" ht="17.25" thickBot="1">
      <c r="A3558" s="3" t="s">
        <v>3424</v>
      </c>
      <c r="B3558" s="3" t="s">
        <v>14</v>
      </c>
      <c r="C3558" s="3" t="s">
        <v>483</v>
      </c>
      <c r="D3558" s="4" t="s">
        <v>254</v>
      </c>
      <c r="E3558" s="4" t="s">
        <v>3101</v>
      </c>
      <c r="F3558" s="4">
        <v>1989</v>
      </c>
      <c r="G3558" s="8">
        <v>0</v>
      </c>
      <c r="H3558" s="4" t="s">
        <v>3101</v>
      </c>
      <c r="I3558" s="8">
        <v>0</v>
      </c>
      <c r="J3558" s="3">
        <f>1445</f>
        <v>1445</v>
      </c>
      <c r="K3558" s="3">
        <v>50703</v>
      </c>
      <c r="L3558" s="17" t="str" cm="1">
        <f t="array" ref="L3558">_xlfn.IFS(MID(K3558,2,2)="01", "서울", MID(K3558,2,2)="02","경기",MID(K3558,2,2)="03","충청",MID(K3558,2,2)="04","충청",MID(K3558,2,2)="05","전라",MID(K3558,2,2)="06","전라",MID(K3558,2,2)="07","경북",MID(K3558,2,2)="08","경남",MID(K3558,2,2)="09","강원",MID(K3558,2,2)="10","제주",TRUE,"국외")</f>
        <v>경북</v>
      </c>
    </row>
    <row r="3559" spans="1:12" ht="17.25" thickBot="1">
      <c r="A3559" s="3" t="s">
        <v>3425</v>
      </c>
      <c r="B3559" s="3"/>
      <c r="C3559" s="3" t="s">
        <v>221</v>
      </c>
      <c r="D3559" s="4" t="s">
        <v>254</v>
      </c>
      <c r="E3559" s="4" t="s">
        <v>2968</v>
      </c>
      <c r="F3559" s="4">
        <v>1989</v>
      </c>
      <c r="G3559" s="8">
        <v>0.1</v>
      </c>
      <c r="H3559" s="4" t="s">
        <v>2968</v>
      </c>
      <c r="I3559" s="8">
        <v>2.4</v>
      </c>
      <c r="J3559" s="3">
        <f>1437</f>
        <v>1437</v>
      </c>
      <c r="K3559" s="3"/>
      <c r="L3559" s="17" t="str" cm="1">
        <f t="array" ref="L3559">_xlfn.IFS(MID(K3559,2,2)="01", "서울", MID(K3559,2,2)="02","경기",MID(K3559,2,2)="03","충청",MID(K3559,2,2)="04","충청",MID(K3559,2,2)="05","전라",MID(K3559,2,2)="06","전라",MID(K3559,2,2)="07","경북",MID(K3559,2,2)="08","경남",MID(K3559,2,2)="09","강원",MID(K3559,2,2)="10","제주",TRUE,"국외")</f>
        <v>국외</v>
      </c>
    </row>
    <row r="3560" spans="1:12" ht="17.25" thickBot="1">
      <c r="A3560" s="3" t="s">
        <v>3426</v>
      </c>
      <c r="B3560" s="3"/>
      <c r="C3560" s="3" t="s">
        <v>722</v>
      </c>
      <c r="D3560" s="4" t="s">
        <v>181</v>
      </c>
      <c r="E3560" s="4" t="s">
        <v>23</v>
      </c>
      <c r="F3560" s="4">
        <v>1989</v>
      </c>
      <c r="G3560" s="8">
        <v>-0.8</v>
      </c>
      <c r="H3560" s="4" t="s">
        <v>23</v>
      </c>
      <c r="I3560" s="8">
        <v>-1.2</v>
      </c>
      <c r="J3560" s="3">
        <f>1480</f>
        <v>1480</v>
      </c>
      <c r="K3560" s="3"/>
      <c r="L3560" s="17" t="str" cm="1">
        <f t="array" ref="L3560">_xlfn.IFS(MID(K3560,2,2)="01", "서울", MID(K3560,2,2)="02","경기",MID(K3560,2,2)="03","충청",MID(K3560,2,2)="04","충청",MID(K3560,2,2)="05","전라",MID(K3560,2,2)="06","전라",MID(K3560,2,2)="07","경북",MID(K3560,2,2)="08","경남",MID(K3560,2,2)="09","강원",MID(K3560,2,2)="10","제주",TRUE,"국외")</f>
        <v>국외</v>
      </c>
    </row>
    <row r="3561" spans="1:12" ht="17.25" thickBot="1">
      <c r="A3561" s="3" t="s">
        <v>3427</v>
      </c>
      <c r="B3561" s="3" t="s">
        <v>70</v>
      </c>
      <c r="C3561" s="3" t="s">
        <v>133</v>
      </c>
      <c r="D3561" s="4" t="s">
        <v>181</v>
      </c>
      <c r="E3561" s="4" t="s">
        <v>2968</v>
      </c>
      <c r="F3561" s="4">
        <v>1990</v>
      </c>
      <c r="G3561" s="9"/>
      <c r="H3561" s="4" t="s">
        <v>2968</v>
      </c>
      <c r="I3561" s="8">
        <v>-0.8</v>
      </c>
      <c r="J3561" s="3">
        <f>1520</f>
        <v>1520</v>
      </c>
      <c r="K3561" s="3">
        <v>50103</v>
      </c>
      <c r="L3561" s="17" t="str" cm="1">
        <f t="array" ref="L3561">_xlfn.IFS(MID(K3561,2,2)="01", "서울", MID(K3561,2,2)="02","경기",MID(K3561,2,2)="03","충청",MID(K3561,2,2)="04","충청",MID(K3561,2,2)="05","전라",MID(K3561,2,2)="06","전라",MID(K3561,2,2)="07","경북",MID(K3561,2,2)="08","경남",MID(K3561,2,2)="09","강원",MID(K3561,2,2)="10","제주",TRUE,"국외")</f>
        <v>서울</v>
      </c>
    </row>
    <row r="3562" spans="1:12" ht="17.25" thickBot="1">
      <c r="A3562" s="3" t="s">
        <v>3428</v>
      </c>
      <c r="B3562" s="3" t="s">
        <v>93</v>
      </c>
      <c r="C3562" s="3" t="s">
        <v>211</v>
      </c>
      <c r="D3562" s="4" t="s">
        <v>1777</v>
      </c>
      <c r="E3562" s="4" t="s">
        <v>9</v>
      </c>
      <c r="F3562" s="4">
        <v>1989</v>
      </c>
      <c r="G3562" s="8">
        <v>0.9</v>
      </c>
      <c r="H3562" s="4" t="s">
        <v>9</v>
      </c>
      <c r="I3562" s="8">
        <v>0.9</v>
      </c>
      <c r="J3562" s="3">
        <f>1460</f>
        <v>1460</v>
      </c>
      <c r="K3562" s="3">
        <v>50805</v>
      </c>
      <c r="L3562" s="17" t="str" cm="1">
        <f t="array" ref="L3562">_xlfn.IFS(MID(K3562,2,2)="01", "서울", MID(K3562,2,2)="02","경기",MID(K3562,2,2)="03","충청",MID(K3562,2,2)="04","충청",MID(K3562,2,2)="05","전라",MID(K3562,2,2)="06","전라",MID(K3562,2,2)="07","경북",MID(K3562,2,2)="08","경남",MID(K3562,2,2)="09","강원",MID(K3562,2,2)="10","제주",TRUE,"국외")</f>
        <v>경남</v>
      </c>
    </row>
    <row r="3563" spans="1:12" ht="17.25" thickBot="1">
      <c r="A3563" s="3" t="s">
        <v>3429</v>
      </c>
      <c r="B3563" s="3" t="s">
        <v>335</v>
      </c>
      <c r="C3563" s="3"/>
      <c r="D3563" s="4" t="s">
        <v>1777</v>
      </c>
      <c r="E3563" s="4" t="s">
        <v>9</v>
      </c>
      <c r="F3563" s="4">
        <v>1989</v>
      </c>
      <c r="G3563" s="8">
        <v>-0.4</v>
      </c>
      <c r="H3563" s="4" t="s">
        <v>9</v>
      </c>
      <c r="I3563" s="8">
        <v>-0.4</v>
      </c>
      <c r="J3563" s="3">
        <f>1489</f>
        <v>1489</v>
      </c>
      <c r="K3563" s="3">
        <v>50804</v>
      </c>
      <c r="L3563" s="17" t="str" cm="1">
        <f t="array" ref="L3563">_xlfn.IFS(MID(K3563,2,2)="01", "서울", MID(K3563,2,2)="02","경기",MID(K3563,2,2)="03","충청",MID(K3563,2,2)="04","충청",MID(K3563,2,2)="05","전라",MID(K3563,2,2)="06","전라",MID(K3563,2,2)="07","경북",MID(K3563,2,2)="08","경남",MID(K3563,2,2)="09","강원",MID(K3563,2,2)="10","제주",TRUE,"국외")</f>
        <v>경남</v>
      </c>
    </row>
    <row r="3564" spans="1:12" ht="17.25" thickBot="1">
      <c r="A3564" s="3" t="s">
        <v>3430</v>
      </c>
      <c r="B3564" s="3" t="s">
        <v>81</v>
      </c>
      <c r="C3564" s="3"/>
      <c r="D3564" s="4" t="s">
        <v>1777</v>
      </c>
      <c r="E3564" s="4" t="s">
        <v>2725</v>
      </c>
      <c r="F3564" s="4">
        <v>1989</v>
      </c>
      <c r="G3564" s="8">
        <v>0.1</v>
      </c>
      <c r="H3564" s="4" t="s">
        <v>2725</v>
      </c>
      <c r="I3564" s="8">
        <v>0.1</v>
      </c>
      <c r="J3564" s="3">
        <f>1490</f>
        <v>1490</v>
      </c>
      <c r="K3564" s="3">
        <v>50105</v>
      </c>
      <c r="L3564" s="17" t="str" cm="1">
        <f t="array" ref="L3564">_xlfn.IFS(MID(K3564,2,2)="01", "서울", MID(K3564,2,2)="02","경기",MID(K3564,2,2)="03","충청",MID(K3564,2,2)="04","충청",MID(K3564,2,2)="05","전라",MID(K3564,2,2)="06","전라",MID(K3564,2,2)="07","경북",MID(K3564,2,2)="08","경남",MID(K3564,2,2)="09","강원",MID(K3564,2,2)="10","제주",TRUE,"국외")</f>
        <v>서울</v>
      </c>
    </row>
    <row r="3565" spans="1:12" ht="17.25" thickBot="1">
      <c r="A3565" s="3" t="s">
        <v>3431</v>
      </c>
      <c r="B3565" s="3" t="s">
        <v>50</v>
      </c>
      <c r="C3565" s="3"/>
      <c r="D3565" s="4" t="s">
        <v>1777</v>
      </c>
      <c r="E3565" s="4" t="s">
        <v>3101</v>
      </c>
      <c r="F3565" s="4">
        <v>1990</v>
      </c>
      <c r="G3565" s="9"/>
      <c r="H3565" s="4" t="s">
        <v>3101</v>
      </c>
      <c r="I3565" s="8">
        <v>0.4</v>
      </c>
      <c r="J3565" s="3">
        <f>1552</f>
        <v>1552</v>
      </c>
      <c r="K3565" s="3">
        <v>50301</v>
      </c>
      <c r="L3565" s="17" t="str" cm="1">
        <f t="array" ref="L3565">_xlfn.IFS(MID(K3565,2,2)="01", "서울", MID(K3565,2,2)="02","경기",MID(K3565,2,2)="03","충청",MID(K3565,2,2)="04","충청",MID(K3565,2,2)="05","전라",MID(K3565,2,2)="06","전라",MID(K3565,2,2)="07","경북",MID(K3565,2,2)="08","경남",MID(K3565,2,2)="09","강원",MID(K3565,2,2)="10","제주",TRUE,"국외")</f>
        <v>충청</v>
      </c>
    </row>
    <row r="3566" spans="1:12" ht="17.25" thickBot="1">
      <c r="A3566" s="3" t="s">
        <v>3432</v>
      </c>
      <c r="B3566" s="3" t="s">
        <v>68</v>
      </c>
      <c r="C3566" s="3"/>
      <c r="D3566" s="4" t="s">
        <v>1777</v>
      </c>
      <c r="E3566" s="4" t="s">
        <v>23</v>
      </c>
      <c r="F3566" s="4">
        <v>1989</v>
      </c>
      <c r="G3566" s="8">
        <v>0.1</v>
      </c>
      <c r="H3566" s="4" t="s">
        <v>23</v>
      </c>
      <c r="I3566" s="8">
        <v>0.1</v>
      </c>
      <c r="J3566" s="3">
        <f>1456</f>
        <v>1456</v>
      </c>
      <c r="K3566" s="3">
        <v>50101</v>
      </c>
      <c r="L3566" s="17" t="str" cm="1">
        <f t="array" ref="L3566">_xlfn.IFS(MID(K3566,2,2)="01", "서울", MID(K3566,2,2)="02","경기",MID(K3566,2,2)="03","충청",MID(K3566,2,2)="04","충청",MID(K3566,2,2)="05","전라",MID(K3566,2,2)="06","전라",MID(K3566,2,2)="07","경북",MID(K3566,2,2)="08","경남",MID(K3566,2,2)="09","강원",MID(K3566,2,2)="10","제주",TRUE,"국외")</f>
        <v>서울</v>
      </c>
    </row>
    <row r="3567" spans="1:12" ht="17.25" thickBot="1">
      <c r="A3567" s="3" t="s">
        <v>3433</v>
      </c>
      <c r="B3567" s="3"/>
      <c r="C3567" s="3" t="s">
        <v>538</v>
      </c>
      <c r="D3567" s="4" t="s">
        <v>1777</v>
      </c>
      <c r="E3567" s="4" t="s">
        <v>23</v>
      </c>
      <c r="F3567" s="4">
        <v>1989</v>
      </c>
      <c r="G3567" s="8">
        <v>-0.4</v>
      </c>
      <c r="H3567" s="4" t="s">
        <v>23</v>
      </c>
      <c r="I3567" s="8">
        <v>-0.4</v>
      </c>
      <c r="J3567" s="3">
        <f>1447</f>
        <v>1447</v>
      </c>
      <c r="K3567" s="3"/>
      <c r="L3567" s="17" t="str" cm="1">
        <f t="array" ref="L3567">_xlfn.IFS(MID(K3567,2,2)="01", "서울", MID(K3567,2,2)="02","경기",MID(K3567,2,2)="03","충청",MID(K3567,2,2)="04","충청",MID(K3567,2,2)="05","전라",MID(K3567,2,2)="06","전라",MID(K3567,2,2)="07","경북",MID(K3567,2,2)="08","경남",MID(K3567,2,2)="09","강원",MID(K3567,2,2)="10","제주",TRUE,"국외")</f>
        <v>국외</v>
      </c>
    </row>
    <row r="3568" spans="1:12" ht="17.25" thickBot="1">
      <c r="A3568" s="3" t="s">
        <v>1830</v>
      </c>
      <c r="B3568" s="3"/>
      <c r="C3568" s="3" t="s">
        <v>172</v>
      </c>
      <c r="D3568" s="4" t="s">
        <v>1777</v>
      </c>
      <c r="E3568" s="4" t="s">
        <v>2968</v>
      </c>
      <c r="F3568" s="4">
        <v>1989</v>
      </c>
      <c r="G3568" s="8">
        <v>0</v>
      </c>
      <c r="H3568" s="4" t="s">
        <v>2968</v>
      </c>
      <c r="I3568" s="8">
        <v>7.4</v>
      </c>
      <c r="J3568" s="3">
        <f>1455</f>
        <v>1455</v>
      </c>
      <c r="K3568" s="3"/>
      <c r="L3568" s="17" t="str" cm="1">
        <f t="array" ref="L3568">_xlfn.IFS(MID(K3568,2,2)="01", "서울", MID(K3568,2,2)="02","경기",MID(K3568,2,2)="03","충청",MID(K3568,2,2)="04","충청",MID(K3568,2,2)="05","전라",MID(K3568,2,2)="06","전라",MID(K3568,2,2)="07","경북",MID(K3568,2,2)="08","경남",MID(K3568,2,2)="09","강원",MID(K3568,2,2)="10","제주",TRUE,"국외")</f>
        <v>국외</v>
      </c>
    </row>
    <row r="3569" spans="1:12" ht="17.25" thickBot="1">
      <c r="A3569" s="3" t="s">
        <v>3434</v>
      </c>
      <c r="B3569" s="3" t="s">
        <v>38</v>
      </c>
      <c r="C3569" s="3" t="s">
        <v>739</v>
      </c>
      <c r="D3569" s="4" t="s">
        <v>1777</v>
      </c>
      <c r="E3569" s="4" t="s">
        <v>2968</v>
      </c>
      <c r="F3569" s="4">
        <v>1989</v>
      </c>
      <c r="G3569" s="8">
        <v>-0.2</v>
      </c>
      <c r="H3569" s="4" t="s">
        <v>2968</v>
      </c>
      <c r="I3569" s="8">
        <v>0.3</v>
      </c>
      <c r="J3569" s="3">
        <f>1475</f>
        <v>1475</v>
      </c>
      <c r="K3569" s="3">
        <v>50109</v>
      </c>
      <c r="L3569" s="17" t="str" cm="1">
        <f t="array" ref="L3569">_xlfn.IFS(MID(K3569,2,2)="01", "서울", MID(K3569,2,2)="02","경기",MID(K3569,2,2)="03","충청",MID(K3569,2,2)="04","충청",MID(K3569,2,2)="05","전라",MID(K3569,2,2)="06","전라",MID(K3569,2,2)="07","경북",MID(K3569,2,2)="08","경남",MID(K3569,2,2)="09","강원",MID(K3569,2,2)="10","제주",TRUE,"국외")</f>
        <v>서울</v>
      </c>
    </row>
    <row r="3570" spans="1:12" ht="17.25" thickBot="1">
      <c r="A3570" s="3" t="s">
        <v>3435</v>
      </c>
      <c r="B3570" s="3" t="s">
        <v>93</v>
      </c>
      <c r="C3570" s="3" t="s">
        <v>329</v>
      </c>
      <c r="D3570" s="4" t="s">
        <v>1777</v>
      </c>
      <c r="E3570" s="4" t="s">
        <v>2968</v>
      </c>
      <c r="F3570" s="4">
        <v>1989</v>
      </c>
      <c r="G3570" s="8">
        <v>0.1</v>
      </c>
      <c r="H3570" s="4" t="s">
        <v>2968</v>
      </c>
      <c r="I3570" s="8">
        <v>0.1</v>
      </c>
      <c r="J3570" s="3">
        <f>1453</f>
        <v>1453</v>
      </c>
      <c r="K3570" s="3">
        <v>50805</v>
      </c>
      <c r="L3570" s="17" t="str" cm="1">
        <f t="array" ref="L3570">_xlfn.IFS(MID(K3570,2,2)="01", "서울", MID(K3570,2,2)="02","경기",MID(K3570,2,2)="03","충청",MID(K3570,2,2)="04","충청",MID(K3570,2,2)="05","전라",MID(K3570,2,2)="06","전라",MID(K3570,2,2)="07","경북",MID(K3570,2,2)="08","경남",MID(K3570,2,2)="09","강원",MID(K3570,2,2)="10","제주",TRUE,"국외")</f>
        <v>경남</v>
      </c>
    </row>
    <row r="3571" spans="1:12" ht="17.25" thickBot="1">
      <c r="A3571" s="3" t="s">
        <v>3436</v>
      </c>
      <c r="B3571" s="3" t="s">
        <v>2524</v>
      </c>
      <c r="C3571" s="3" t="s">
        <v>483</v>
      </c>
      <c r="D3571" s="4" t="s">
        <v>205</v>
      </c>
      <c r="E3571" s="4" t="s">
        <v>23</v>
      </c>
      <c r="F3571" s="4">
        <v>1989</v>
      </c>
      <c r="G3571" s="8">
        <v>-0.7</v>
      </c>
      <c r="H3571" s="4" t="s">
        <v>23</v>
      </c>
      <c r="I3571" s="8">
        <v>1.7</v>
      </c>
      <c r="J3571" s="3">
        <f>1429</f>
        <v>1429</v>
      </c>
      <c r="K3571" s="3">
        <v>50711</v>
      </c>
      <c r="L3571" s="17" t="str" cm="1">
        <f t="array" ref="L3571">_xlfn.IFS(MID(K3571,2,2)="01", "서울", MID(K3571,2,2)="02","경기",MID(K3571,2,2)="03","충청",MID(K3571,2,2)="04","충청",MID(K3571,2,2)="05","전라",MID(K3571,2,2)="06","전라",MID(K3571,2,2)="07","경북",MID(K3571,2,2)="08","경남",MID(K3571,2,2)="09","강원",MID(K3571,2,2)="10","제주",TRUE,"국외")</f>
        <v>경북</v>
      </c>
    </row>
    <row r="3572" spans="1:12" ht="17.25" thickBot="1">
      <c r="A3572" s="3" t="s">
        <v>3437</v>
      </c>
      <c r="B3572" s="3" t="s">
        <v>17</v>
      </c>
      <c r="C3572" s="3"/>
      <c r="D3572" s="4" t="s">
        <v>205</v>
      </c>
      <c r="E3572" s="4" t="s">
        <v>2968</v>
      </c>
      <c r="F3572" s="4">
        <v>1992</v>
      </c>
      <c r="G3572" s="9"/>
      <c r="H3572" s="4" t="s">
        <v>3</v>
      </c>
      <c r="I3572" s="8">
        <v>3.9</v>
      </c>
      <c r="J3572" s="3">
        <v>12707</v>
      </c>
      <c r="K3572" s="3">
        <v>50903</v>
      </c>
      <c r="L3572" s="17" t="str" cm="1">
        <f t="array" ref="L3572">_xlfn.IFS(MID(K3572,2,2)="01", "서울", MID(K3572,2,2)="02","경기",MID(K3572,2,2)="03","충청",MID(K3572,2,2)="04","충청",MID(K3572,2,2)="05","전라",MID(K3572,2,2)="06","전라",MID(K3572,2,2)="07","경북",MID(K3572,2,2)="08","경남",MID(K3572,2,2)="09","강원",MID(K3572,2,2)="10","제주",TRUE,"국외")</f>
        <v>강원</v>
      </c>
    </row>
    <row r="3573" spans="1:12" ht="17.25" thickBot="1">
      <c r="A3573" s="3" t="s">
        <v>3438</v>
      </c>
      <c r="B3573" s="3" t="s">
        <v>1</v>
      </c>
      <c r="C3573" s="3" t="s">
        <v>83</v>
      </c>
      <c r="D3573" s="4" t="s">
        <v>205</v>
      </c>
      <c r="E3573" s="4" t="s">
        <v>2968</v>
      </c>
      <c r="F3573" s="4">
        <v>1989</v>
      </c>
      <c r="G3573" s="8">
        <v>0</v>
      </c>
      <c r="H3573" s="4" t="s">
        <v>2968</v>
      </c>
      <c r="I3573" s="8">
        <v>-0.1</v>
      </c>
      <c r="J3573" s="3">
        <v>11430</v>
      </c>
      <c r="K3573" s="3">
        <v>50107</v>
      </c>
      <c r="L3573" s="17" t="str" cm="1">
        <f t="array" ref="L3573">_xlfn.IFS(MID(K3573,2,2)="01", "서울", MID(K3573,2,2)="02","경기",MID(K3573,2,2)="03","충청",MID(K3573,2,2)="04","충청",MID(K3573,2,2)="05","전라",MID(K3573,2,2)="06","전라",MID(K3573,2,2)="07","경북",MID(K3573,2,2)="08","경남",MID(K3573,2,2)="09","강원",MID(K3573,2,2)="10","제주",TRUE,"국외")</f>
        <v>서울</v>
      </c>
    </row>
    <row r="3574" spans="1:12" ht="17.25" thickBot="1">
      <c r="A3574" s="3" t="s">
        <v>3439</v>
      </c>
      <c r="B3574" s="3" t="s">
        <v>3336</v>
      </c>
      <c r="C3574" s="3"/>
      <c r="D3574" s="4" t="s">
        <v>205</v>
      </c>
      <c r="E3574" s="4" t="s">
        <v>2523</v>
      </c>
      <c r="F3574" s="4">
        <v>1989</v>
      </c>
      <c r="G3574" s="8">
        <v>-0.1</v>
      </c>
      <c r="H3574" s="4" t="s">
        <v>2523</v>
      </c>
      <c r="I3574" s="8">
        <v>-1.6</v>
      </c>
      <c r="J3574" s="3">
        <f>1449</f>
        <v>1449</v>
      </c>
      <c r="K3574" s="3">
        <v>50607</v>
      </c>
      <c r="L3574" s="17" t="str" cm="1">
        <f t="array" ref="L3574">_xlfn.IFS(MID(K3574,2,2)="01", "서울", MID(K3574,2,2)="02","경기",MID(K3574,2,2)="03","충청",MID(K3574,2,2)="04","충청",MID(K3574,2,2)="05","전라",MID(K3574,2,2)="06","전라",MID(K3574,2,2)="07","경북",MID(K3574,2,2)="08","경남",MID(K3574,2,2)="09","강원",MID(K3574,2,2)="10","제주",TRUE,"국외")</f>
        <v>전라</v>
      </c>
    </row>
    <row r="3575" spans="1:12" ht="17.25" thickBot="1">
      <c r="A3575" s="3" t="s">
        <v>3440</v>
      </c>
      <c r="B3575" s="3" t="s">
        <v>81</v>
      </c>
      <c r="C3575" s="3"/>
      <c r="D3575" s="4" t="s">
        <v>2710</v>
      </c>
      <c r="E3575" s="4" t="s">
        <v>3387</v>
      </c>
      <c r="F3575" s="4">
        <v>1991</v>
      </c>
      <c r="G3575" s="9"/>
      <c r="H3575" s="4" t="s">
        <v>20</v>
      </c>
      <c r="I3575" s="8">
        <v>0.5</v>
      </c>
      <c r="J3575" s="3">
        <f>1631</f>
        <v>1631</v>
      </c>
      <c r="K3575" s="3">
        <v>50105</v>
      </c>
      <c r="L3575" s="17" t="str" cm="1">
        <f t="array" ref="L3575">_xlfn.IFS(MID(K3575,2,2)="01", "서울", MID(K3575,2,2)="02","경기",MID(K3575,2,2)="03","충청",MID(K3575,2,2)="04","충청",MID(K3575,2,2)="05","전라",MID(K3575,2,2)="06","전라",MID(K3575,2,2)="07","경북",MID(K3575,2,2)="08","경남",MID(K3575,2,2)="09","강원",MID(K3575,2,2)="10","제주",TRUE,"국외")</f>
        <v>서울</v>
      </c>
    </row>
    <row r="3576" spans="1:12" ht="17.25" thickBot="1">
      <c r="A3576" s="3" t="s">
        <v>3441</v>
      </c>
      <c r="B3576" s="3" t="s">
        <v>3256</v>
      </c>
      <c r="C3576" s="3"/>
      <c r="D3576" s="4" t="s">
        <v>2710</v>
      </c>
      <c r="E3576" s="4" t="s">
        <v>3387</v>
      </c>
      <c r="F3576" s="4">
        <v>1991</v>
      </c>
      <c r="G3576" s="9"/>
      <c r="H3576" s="4"/>
      <c r="I3576" s="9"/>
      <c r="J3576" s="3">
        <f>1642</f>
        <v>1642</v>
      </c>
      <c r="K3576" s="3">
        <v>50127</v>
      </c>
      <c r="L3576" s="17" t="str" cm="1">
        <f t="array" ref="L3576">_xlfn.IFS(MID(K3576,2,2)="01", "서울", MID(K3576,2,2)="02","경기",MID(K3576,2,2)="03","충청",MID(K3576,2,2)="04","충청",MID(K3576,2,2)="05","전라",MID(K3576,2,2)="06","전라",MID(K3576,2,2)="07","경북",MID(K3576,2,2)="08","경남",MID(K3576,2,2)="09","강원",MID(K3576,2,2)="10","제주",TRUE,"국외")</f>
        <v>서울</v>
      </c>
    </row>
    <row r="3577" spans="1:12" ht="17.25" thickBot="1">
      <c r="A3577" s="3" t="s">
        <v>3442</v>
      </c>
      <c r="B3577" s="3" t="s">
        <v>3256</v>
      </c>
      <c r="C3577" s="3"/>
      <c r="D3577" s="4" t="s">
        <v>2710</v>
      </c>
      <c r="E3577" s="4" t="s">
        <v>2725</v>
      </c>
      <c r="F3577" s="4">
        <v>1989</v>
      </c>
      <c r="G3577" s="8">
        <v>0</v>
      </c>
      <c r="H3577" s="4" t="s">
        <v>2725</v>
      </c>
      <c r="I3577" s="8">
        <v>-3.9</v>
      </c>
      <c r="J3577" s="3">
        <f>1495</f>
        <v>1495</v>
      </c>
      <c r="K3577" s="3">
        <v>50127</v>
      </c>
      <c r="L3577" s="17" t="str" cm="1">
        <f t="array" ref="L3577">_xlfn.IFS(MID(K3577,2,2)="01", "서울", MID(K3577,2,2)="02","경기",MID(K3577,2,2)="03","충청",MID(K3577,2,2)="04","충청",MID(K3577,2,2)="05","전라",MID(K3577,2,2)="06","전라",MID(K3577,2,2)="07","경북",MID(K3577,2,2)="08","경남",MID(K3577,2,2)="09","강원",MID(K3577,2,2)="10","제주",TRUE,"국외")</f>
        <v>서울</v>
      </c>
    </row>
    <row r="3578" spans="1:12" ht="17.25" thickBot="1">
      <c r="A3578" s="3" t="s">
        <v>3443</v>
      </c>
      <c r="B3578" s="3" t="s">
        <v>3256</v>
      </c>
      <c r="C3578" s="3"/>
      <c r="D3578" s="4" t="s">
        <v>2710</v>
      </c>
      <c r="E3578" s="4" t="s">
        <v>2725</v>
      </c>
      <c r="F3578" s="4">
        <v>1989</v>
      </c>
      <c r="G3578" s="8">
        <v>-0.1</v>
      </c>
      <c r="H3578" s="4" t="s">
        <v>2725</v>
      </c>
      <c r="I3578" s="8">
        <v>6.1</v>
      </c>
      <c r="J3578" s="3">
        <f>1436</f>
        <v>1436</v>
      </c>
      <c r="K3578" s="3">
        <v>50127</v>
      </c>
      <c r="L3578" s="17" t="str" cm="1">
        <f t="array" ref="L3578">_xlfn.IFS(MID(K3578,2,2)="01", "서울", MID(K3578,2,2)="02","경기",MID(K3578,2,2)="03","충청",MID(K3578,2,2)="04","충청",MID(K3578,2,2)="05","전라",MID(K3578,2,2)="06","전라",MID(K3578,2,2)="07","경북",MID(K3578,2,2)="08","경남",MID(K3578,2,2)="09","강원",MID(K3578,2,2)="10","제주",TRUE,"국외")</f>
        <v>서울</v>
      </c>
    </row>
    <row r="3579" spans="1:12" ht="17.25" thickBot="1">
      <c r="A3579" s="3" t="s">
        <v>3444</v>
      </c>
      <c r="B3579" s="3" t="s">
        <v>70</v>
      </c>
      <c r="C3579" s="3"/>
      <c r="D3579" s="4" t="s">
        <v>2710</v>
      </c>
      <c r="E3579" s="4" t="s">
        <v>2725</v>
      </c>
      <c r="F3579" s="4">
        <v>1989</v>
      </c>
      <c r="G3579" s="8">
        <v>0</v>
      </c>
      <c r="H3579" s="4" t="s">
        <v>2725</v>
      </c>
      <c r="I3579" s="8">
        <v>-0.1</v>
      </c>
      <c r="J3579" s="3">
        <f>1446</f>
        <v>1446</v>
      </c>
      <c r="K3579" s="3">
        <v>50103</v>
      </c>
      <c r="L3579" s="17" t="str" cm="1">
        <f t="array" ref="L3579">_xlfn.IFS(MID(K3579,2,2)="01", "서울", MID(K3579,2,2)="02","경기",MID(K3579,2,2)="03","충청",MID(K3579,2,2)="04","충청",MID(K3579,2,2)="05","전라",MID(K3579,2,2)="06","전라",MID(K3579,2,2)="07","경북",MID(K3579,2,2)="08","경남",MID(K3579,2,2)="09","강원",MID(K3579,2,2)="10","제주",TRUE,"국외")</f>
        <v>서울</v>
      </c>
    </row>
    <row r="3580" spans="1:12" ht="17.25" thickBot="1">
      <c r="A3580" s="3" t="s">
        <v>3445</v>
      </c>
      <c r="B3580" s="3" t="s">
        <v>3042</v>
      </c>
      <c r="C3580" s="3"/>
      <c r="D3580" s="4" t="s">
        <v>2710</v>
      </c>
      <c r="E3580" s="4" t="s">
        <v>9</v>
      </c>
      <c r="F3580" s="4">
        <v>1989</v>
      </c>
      <c r="G3580" s="8">
        <v>-0.1</v>
      </c>
      <c r="H3580" s="4" t="s">
        <v>9</v>
      </c>
      <c r="I3580" s="8">
        <v>3.3</v>
      </c>
      <c r="J3580" s="3">
        <f>1483</f>
        <v>1483</v>
      </c>
      <c r="K3580" s="3">
        <v>50814</v>
      </c>
      <c r="L3580" s="17" t="str" cm="1">
        <f t="array" ref="L3580">_xlfn.IFS(MID(K3580,2,2)="01", "서울", MID(K3580,2,2)="02","경기",MID(K3580,2,2)="03","충청",MID(K3580,2,2)="04","충청",MID(K3580,2,2)="05","전라",MID(K3580,2,2)="06","전라",MID(K3580,2,2)="07","경북",MID(K3580,2,2)="08","경남",MID(K3580,2,2)="09","강원",MID(K3580,2,2)="10","제주",TRUE,"국외")</f>
        <v>경남</v>
      </c>
    </row>
    <row r="3581" spans="1:12" ht="17.25" thickBot="1">
      <c r="A3581" s="3" t="s">
        <v>3446</v>
      </c>
      <c r="B3581" s="3" t="s">
        <v>2470</v>
      </c>
      <c r="C3581" s="3"/>
      <c r="D3581" s="4" t="s">
        <v>2710</v>
      </c>
      <c r="E3581" s="4" t="s">
        <v>9</v>
      </c>
      <c r="F3581" s="4">
        <v>1989</v>
      </c>
      <c r="G3581" s="8">
        <v>0</v>
      </c>
      <c r="H3581" s="4" t="s">
        <v>9</v>
      </c>
      <c r="I3581" s="8">
        <v>0</v>
      </c>
      <c r="J3581" s="3">
        <f>1458</f>
        <v>1458</v>
      </c>
      <c r="K3581" s="3">
        <v>50813</v>
      </c>
      <c r="L3581" s="17" t="str" cm="1">
        <f t="array" ref="L3581">_xlfn.IFS(MID(K3581,2,2)="01", "서울", MID(K3581,2,2)="02","경기",MID(K3581,2,2)="03","충청",MID(K3581,2,2)="04","충청",MID(K3581,2,2)="05","전라",MID(K3581,2,2)="06","전라",MID(K3581,2,2)="07","경북",MID(K3581,2,2)="08","경남",MID(K3581,2,2)="09","강원",MID(K3581,2,2)="10","제주",TRUE,"국외")</f>
        <v>경남</v>
      </c>
    </row>
    <row r="3582" spans="1:12" ht="17.25" thickBot="1">
      <c r="A3582" s="3" t="s">
        <v>3447</v>
      </c>
      <c r="B3582" s="3" t="s">
        <v>176</v>
      </c>
      <c r="C3582" s="3"/>
      <c r="D3582" s="4" t="s">
        <v>2710</v>
      </c>
      <c r="E3582" s="4" t="s">
        <v>3101</v>
      </c>
      <c r="F3582" s="4">
        <v>1989</v>
      </c>
      <c r="G3582" s="8">
        <v>-0.3</v>
      </c>
      <c r="H3582" s="4" t="s">
        <v>3101</v>
      </c>
      <c r="I3582" s="8">
        <v>-0.3</v>
      </c>
      <c r="J3582" s="3">
        <f>1479</f>
        <v>1479</v>
      </c>
      <c r="K3582" s="3">
        <v>50302</v>
      </c>
      <c r="L3582" s="17" t="str" cm="1">
        <f t="array" ref="L3582">_xlfn.IFS(MID(K3582,2,2)="01", "서울", MID(K3582,2,2)="02","경기",MID(K3582,2,2)="03","충청",MID(K3582,2,2)="04","충청",MID(K3582,2,2)="05","전라",MID(K3582,2,2)="06","전라",MID(K3582,2,2)="07","경북",MID(K3582,2,2)="08","경남",MID(K3582,2,2)="09","강원",MID(K3582,2,2)="10","제주",TRUE,"국외")</f>
        <v>충청</v>
      </c>
    </row>
    <row r="3583" spans="1:12" ht="17.25" thickBot="1">
      <c r="A3583" s="3" t="s">
        <v>3448</v>
      </c>
      <c r="B3583" s="3" t="s">
        <v>78</v>
      </c>
      <c r="C3583" s="3"/>
      <c r="D3583" s="4" t="s">
        <v>2710</v>
      </c>
      <c r="E3583" s="4" t="s">
        <v>3101</v>
      </c>
      <c r="F3583" s="4">
        <v>1989</v>
      </c>
      <c r="G3583" s="8">
        <v>-0.2</v>
      </c>
      <c r="H3583" s="4" t="s">
        <v>3101</v>
      </c>
      <c r="I3583" s="8">
        <v>-3.3</v>
      </c>
      <c r="J3583" s="3">
        <f>1484</f>
        <v>1484</v>
      </c>
      <c r="K3583" s="3">
        <v>50401</v>
      </c>
      <c r="L3583" s="17" t="str" cm="1">
        <f t="array" ref="L3583">_xlfn.IFS(MID(K3583,2,2)="01", "서울", MID(K3583,2,2)="02","경기",MID(K3583,2,2)="03","충청",MID(K3583,2,2)="04","충청",MID(K3583,2,2)="05","전라",MID(K3583,2,2)="06","전라",MID(K3583,2,2)="07","경북",MID(K3583,2,2)="08","경남",MID(K3583,2,2)="09","강원",MID(K3583,2,2)="10","제주",TRUE,"국외")</f>
        <v>충청</v>
      </c>
    </row>
    <row r="3584" spans="1:12" ht="17.25" thickBot="1">
      <c r="A3584" s="3" t="s">
        <v>3449</v>
      </c>
      <c r="B3584" s="3" t="s">
        <v>50</v>
      </c>
      <c r="C3584" s="3"/>
      <c r="D3584" s="4" t="s">
        <v>2710</v>
      </c>
      <c r="E3584" s="4" t="s">
        <v>3101</v>
      </c>
      <c r="F3584" s="4">
        <v>1989</v>
      </c>
      <c r="G3584" s="8">
        <v>0</v>
      </c>
      <c r="H3584" s="4" t="s">
        <v>3</v>
      </c>
      <c r="I3584" s="8">
        <v>3.8</v>
      </c>
      <c r="J3584" s="3">
        <f>1434</f>
        <v>1434</v>
      </c>
      <c r="K3584" s="3">
        <v>50301</v>
      </c>
      <c r="L3584" s="17" t="str" cm="1">
        <f t="array" ref="L3584">_xlfn.IFS(MID(K3584,2,2)="01", "서울", MID(K3584,2,2)="02","경기",MID(K3584,2,2)="03","충청",MID(K3584,2,2)="04","충청",MID(K3584,2,2)="05","전라",MID(K3584,2,2)="06","전라",MID(K3584,2,2)="07","경북",MID(K3584,2,2)="08","경남",MID(K3584,2,2)="09","강원",MID(K3584,2,2)="10","제주",TRUE,"국외")</f>
        <v>충청</v>
      </c>
    </row>
    <row r="3585" spans="1:12" ht="17.25" thickBot="1">
      <c r="A3585" s="3" t="s">
        <v>3450</v>
      </c>
      <c r="B3585" s="3" t="s">
        <v>14</v>
      </c>
      <c r="C3585" s="3"/>
      <c r="D3585" s="4" t="s">
        <v>2710</v>
      </c>
      <c r="E3585" s="4" t="s">
        <v>23</v>
      </c>
      <c r="F3585" s="4">
        <v>1989</v>
      </c>
      <c r="G3585" s="8">
        <v>0.2</v>
      </c>
      <c r="H3585" s="4" t="s">
        <v>23</v>
      </c>
      <c r="I3585" s="8">
        <v>26.4</v>
      </c>
      <c r="J3585" s="3">
        <f>1472</f>
        <v>1472</v>
      </c>
      <c r="K3585" s="3">
        <v>50703</v>
      </c>
      <c r="L3585" s="17" t="str" cm="1">
        <f t="array" ref="L3585">_xlfn.IFS(MID(K3585,2,2)="01", "서울", MID(K3585,2,2)="02","경기",MID(K3585,2,2)="03","충청",MID(K3585,2,2)="04","충청",MID(K3585,2,2)="05","전라",MID(K3585,2,2)="06","전라",MID(K3585,2,2)="07","경북",MID(K3585,2,2)="08","경남",MID(K3585,2,2)="09","강원",MID(K3585,2,2)="10","제주",TRUE,"국외")</f>
        <v>경북</v>
      </c>
    </row>
    <row r="3586" spans="1:12" ht="17.25" thickBot="1">
      <c r="A3586" s="3" t="s">
        <v>3451</v>
      </c>
      <c r="B3586" s="3"/>
      <c r="C3586" s="3"/>
      <c r="D3586" s="4" t="s">
        <v>2710</v>
      </c>
      <c r="E3586" s="4" t="s">
        <v>23</v>
      </c>
      <c r="F3586" s="4">
        <v>1989</v>
      </c>
      <c r="G3586" s="8">
        <v>0</v>
      </c>
      <c r="H3586" s="4" t="s">
        <v>23</v>
      </c>
      <c r="I3586" s="8">
        <v>0</v>
      </c>
      <c r="J3586" s="3">
        <f>1477</f>
        <v>1477</v>
      </c>
      <c r="K3586" s="3"/>
      <c r="L3586" s="17" t="str" cm="1">
        <f t="array" ref="L3586">_xlfn.IFS(MID(K3586,2,2)="01", "서울", MID(K3586,2,2)="02","경기",MID(K3586,2,2)="03","충청",MID(K3586,2,2)="04","충청",MID(K3586,2,2)="05","전라",MID(K3586,2,2)="06","전라",MID(K3586,2,2)="07","경북",MID(K3586,2,2)="08","경남",MID(K3586,2,2)="09","강원",MID(K3586,2,2)="10","제주",TRUE,"국외")</f>
        <v>국외</v>
      </c>
    </row>
    <row r="3587" spans="1:12" ht="17.25" thickBot="1">
      <c r="A3587" s="3" t="s">
        <v>3452</v>
      </c>
      <c r="B3587" s="3" t="s">
        <v>128</v>
      </c>
      <c r="C3587" s="3"/>
      <c r="D3587" s="4" t="s">
        <v>2710</v>
      </c>
      <c r="E3587" s="4" t="s">
        <v>2968</v>
      </c>
      <c r="F3587" s="4">
        <v>1990</v>
      </c>
      <c r="G3587" s="9"/>
      <c r="H3587" s="4" t="s">
        <v>2968</v>
      </c>
      <c r="I3587" s="8">
        <v>0.1</v>
      </c>
      <c r="J3587" s="3">
        <f>1502</f>
        <v>1502</v>
      </c>
      <c r="K3587" s="3">
        <v>50901</v>
      </c>
      <c r="L3587" s="17" t="str" cm="1">
        <f t="array" ref="L3587">_xlfn.IFS(MID(K3587,2,2)="01", "서울", MID(K3587,2,2)="02","경기",MID(K3587,2,2)="03","충청",MID(K3587,2,2)="04","충청",MID(K3587,2,2)="05","전라",MID(K3587,2,2)="06","전라",MID(K3587,2,2)="07","경북",MID(K3587,2,2)="08","경남",MID(K3587,2,2)="09","강원",MID(K3587,2,2)="10","제주",TRUE,"국외")</f>
        <v>강원</v>
      </c>
    </row>
    <row r="3588" spans="1:12" ht="17.25" thickBot="1">
      <c r="A3588" s="3" t="s">
        <v>3453</v>
      </c>
      <c r="B3588" s="3" t="s">
        <v>3336</v>
      </c>
      <c r="C3588" s="3"/>
      <c r="D3588" s="4" t="s">
        <v>2710</v>
      </c>
      <c r="E3588" s="4" t="s">
        <v>2523</v>
      </c>
      <c r="F3588" s="4">
        <v>1989</v>
      </c>
      <c r="G3588" s="8">
        <v>-0.7</v>
      </c>
      <c r="H3588" s="4" t="s">
        <v>2523</v>
      </c>
      <c r="I3588" s="8">
        <v>1.8</v>
      </c>
      <c r="J3588" s="3">
        <f>1467</f>
        <v>1467</v>
      </c>
      <c r="K3588" s="3">
        <v>50607</v>
      </c>
      <c r="L3588" s="17" t="str" cm="1">
        <f t="array" ref="L3588">_xlfn.IFS(MID(K3588,2,2)="01", "서울", MID(K3588,2,2)="02","경기",MID(K3588,2,2)="03","충청",MID(K3588,2,2)="04","충청",MID(K3588,2,2)="05","전라",MID(K3588,2,2)="06","전라",MID(K3588,2,2)="07","경북",MID(K3588,2,2)="08","경남",MID(K3588,2,2)="09","강원",MID(K3588,2,2)="10","제주",TRUE,"국외")</f>
        <v>전라</v>
      </c>
    </row>
    <row r="3589" spans="1:12" ht="17.25" thickBot="1">
      <c r="A3589" s="3" t="s">
        <v>3454</v>
      </c>
      <c r="B3589" s="3" t="s">
        <v>121</v>
      </c>
      <c r="C3589" s="3"/>
      <c r="D3589" s="4" t="s">
        <v>2710</v>
      </c>
      <c r="E3589" s="4" t="s">
        <v>2523</v>
      </c>
      <c r="F3589" s="4">
        <v>1989</v>
      </c>
      <c r="G3589" s="8">
        <v>0</v>
      </c>
      <c r="H3589" s="4" t="s">
        <v>2523</v>
      </c>
      <c r="I3589" s="8">
        <v>0</v>
      </c>
      <c r="J3589" s="3">
        <f>1487</f>
        <v>1487</v>
      </c>
      <c r="K3589" s="3">
        <v>50604</v>
      </c>
      <c r="L3589" s="17" t="str" cm="1">
        <f t="array" ref="L3589">_xlfn.IFS(MID(K3589,2,2)="01", "서울", MID(K3589,2,2)="02","경기",MID(K3589,2,2)="03","충청",MID(K3589,2,2)="04","충청",MID(K3589,2,2)="05","전라",MID(K3589,2,2)="06","전라",MID(K3589,2,2)="07","경북",MID(K3589,2,2)="08","경남",MID(K3589,2,2)="09","강원",MID(K3589,2,2)="10","제주",TRUE,"국외")</f>
        <v>전라</v>
      </c>
    </row>
    <row r="3590" spans="1:12" ht="17.25" thickBot="1">
      <c r="A3590" s="3" t="s">
        <v>1905</v>
      </c>
      <c r="B3590" s="3" t="s">
        <v>3336</v>
      </c>
      <c r="C3590" s="3"/>
      <c r="D3590" s="4" t="s">
        <v>2710</v>
      </c>
      <c r="E3590" s="4" t="s">
        <v>2523</v>
      </c>
      <c r="F3590" s="4">
        <v>1991</v>
      </c>
      <c r="G3590" s="9"/>
      <c r="H3590" s="4" t="s">
        <v>2523</v>
      </c>
      <c r="I3590" s="8">
        <v>0.1</v>
      </c>
      <c r="J3590" s="3">
        <f>1580</f>
        <v>1580</v>
      </c>
      <c r="K3590" s="3">
        <v>50607</v>
      </c>
      <c r="L3590" s="17" t="str" cm="1">
        <f t="array" ref="L3590">_xlfn.IFS(MID(K3590,2,2)="01", "서울", MID(K3590,2,2)="02","경기",MID(K3590,2,2)="03","충청",MID(K3590,2,2)="04","충청",MID(K3590,2,2)="05","전라",MID(K3590,2,2)="06","전라",MID(K3590,2,2)="07","경북",MID(K3590,2,2)="08","경남",MID(K3590,2,2)="09","강원",MID(K3590,2,2)="10","제주",TRUE,"국외")</f>
        <v>전라</v>
      </c>
    </row>
    <row r="3591" spans="1:12" ht="17.25" thickBot="1">
      <c r="A3591" s="3" t="s">
        <v>2271</v>
      </c>
      <c r="B3591" s="3" t="s">
        <v>121</v>
      </c>
      <c r="C3591" s="3"/>
      <c r="D3591" s="4" t="s">
        <v>2710</v>
      </c>
      <c r="E3591" s="4" t="s">
        <v>2523</v>
      </c>
      <c r="F3591" s="4">
        <v>1989</v>
      </c>
      <c r="G3591" s="8">
        <v>-0.3</v>
      </c>
      <c r="H3591" s="4" t="s">
        <v>2523</v>
      </c>
      <c r="I3591" s="8">
        <v>-0.3</v>
      </c>
      <c r="J3591" s="3">
        <f>1440</f>
        <v>1440</v>
      </c>
      <c r="K3591" s="3">
        <v>50604</v>
      </c>
      <c r="L3591" s="17" t="str" cm="1">
        <f t="array" ref="L3591">_xlfn.IFS(MID(K3591,2,2)="01", "서울", MID(K3591,2,2)="02","경기",MID(K3591,2,2)="03","충청",MID(K3591,2,2)="04","충청",MID(K3591,2,2)="05","전라",MID(K3591,2,2)="06","전라",MID(K3591,2,2)="07","경북",MID(K3591,2,2)="08","경남",MID(K3591,2,2)="09","강원",MID(K3591,2,2)="10","제주",TRUE,"국외")</f>
        <v>전라</v>
      </c>
    </row>
    <row r="3592" spans="1:12" ht="17.25" thickBot="1">
      <c r="A3592" s="3" t="s">
        <v>3455</v>
      </c>
      <c r="B3592" s="3" t="s">
        <v>2351</v>
      </c>
      <c r="C3592" s="3"/>
      <c r="D3592" s="4" t="s">
        <v>2710</v>
      </c>
      <c r="E3592" s="4" t="s">
        <v>2523</v>
      </c>
      <c r="F3592" s="4">
        <v>1989</v>
      </c>
      <c r="G3592" s="8">
        <v>-0.3</v>
      </c>
      <c r="H3592" s="4" t="s">
        <v>2523</v>
      </c>
      <c r="I3592" s="8">
        <v>-0.3</v>
      </c>
      <c r="J3592" s="3">
        <f>1481</f>
        <v>1481</v>
      </c>
      <c r="K3592" s="3">
        <v>50609</v>
      </c>
      <c r="L3592" s="17" t="str" cm="1">
        <f t="array" ref="L3592">_xlfn.IFS(MID(K3592,2,2)="01", "서울", MID(K3592,2,2)="02","경기",MID(K3592,2,2)="03","충청",MID(K3592,2,2)="04","충청",MID(K3592,2,2)="05","전라",MID(K3592,2,2)="06","전라",MID(K3592,2,2)="07","경북",MID(K3592,2,2)="08","경남",MID(K3592,2,2)="09","강원",MID(K3592,2,2)="10","제주",TRUE,"국외")</f>
        <v>전라</v>
      </c>
    </row>
    <row r="3593" spans="1:12" ht="17.25" thickBot="1">
      <c r="A3593" s="3" t="s">
        <v>3456</v>
      </c>
      <c r="B3593" s="3" t="s">
        <v>40</v>
      </c>
      <c r="C3593" s="3" t="s">
        <v>218</v>
      </c>
      <c r="D3593" s="4" t="s">
        <v>243</v>
      </c>
      <c r="E3593" s="4" t="s">
        <v>3387</v>
      </c>
      <c r="F3593" s="4">
        <v>1988</v>
      </c>
      <c r="G3593" s="8">
        <v>0.5</v>
      </c>
      <c r="H3593" s="4" t="s">
        <v>20</v>
      </c>
      <c r="I3593" s="8">
        <v>2.7</v>
      </c>
      <c r="J3593" s="3">
        <f>1412</f>
        <v>1412</v>
      </c>
      <c r="K3593" s="3">
        <v>50108</v>
      </c>
      <c r="L3593" s="17" t="str" cm="1">
        <f t="array" ref="L3593">_xlfn.IFS(MID(K3593,2,2)="01", "서울", MID(K3593,2,2)="02","경기",MID(K3593,2,2)="03","충청",MID(K3593,2,2)="04","충청",MID(K3593,2,2)="05","전라",MID(K3593,2,2)="06","전라",MID(K3593,2,2)="07","경북",MID(K3593,2,2)="08","경남",MID(K3593,2,2)="09","강원",MID(K3593,2,2)="10","제주",TRUE,"국외")</f>
        <v>서울</v>
      </c>
    </row>
    <row r="3594" spans="1:12" ht="17.25" thickBot="1">
      <c r="A3594" s="3" t="s">
        <v>3457</v>
      </c>
      <c r="B3594" s="3" t="s">
        <v>58</v>
      </c>
      <c r="C3594" s="3" t="s">
        <v>122</v>
      </c>
      <c r="D3594" s="4" t="s">
        <v>243</v>
      </c>
      <c r="E3594" s="4" t="s">
        <v>3387</v>
      </c>
      <c r="F3594" s="4">
        <v>1988</v>
      </c>
      <c r="G3594" s="8">
        <v>2.2000000000000002</v>
      </c>
      <c r="H3594" s="4" t="s">
        <v>3387</v>
      </c>
      <c r="I3594" s="8">
        <v>0</v>
      </c>
      <c r="J3594" s="3">
        <f>1414</f>
        <v>1414</v>
      </c>
      <c r="K3594" s="3">
        <v>50119</v>
      </c>
      <c r="L3594" s="17" t="str" cm="1">
        <f t="array" ref="L3594">_xlfn.IFS(MID(K3594,2,2)="01", "서울", MID(K3594,2,2)="02","경기",MID(K3594,2,2)="03","충청",MID(K3594,2,2)="04","충청",MID(K3594,2,2)="05","전라",MID(K3594,2,2)="06","전라",MID(K3594,2,2)="07","경북",MID(K3594,2,2)="08","경남",MID(K3594,2,2)="09","강원",MID(K3594,2,2)="10","제주",TRUE,"국외")</f>
        <v>서울</v>
      </c>
    </row>
    <row r="3595" spans="1:12" ht="17.25" thickBot="1">
      <c r="A3595" s="3" t="s">
        <v>1733</v>
      </c>
      <c r="B3595" s="3" t="s">
        <v>38</v>
      </c>
      <c r="C3595" s="3" t="s">
        <v>483</v>
      </c>
      <c r="D3595" s="4" t="s">
        <v>243</v>
      </c>
      <c r="E3595" s="4" t="s">
        <v>3387</v>
      </c>
      <c r="F3595" s="4">
        <v>1988</v>
      </c>
      <c r="G3595" s="8">
        <v>1.7</v>
      </c>
      <c r="H3595" s="4" t="s">
        <v>2725</v>
      </c>
      <c r="I3595" s="8">
        <v>29.4</v>
      </c>
      <c r="J3595" s="3">
        <f>1380</f>
        <v>1380</v>
      </c>
      <c r="K3595" s="3">
        <v>50109</v>
      </c>
      <c r="L3595" s="17" t="str" cm="1">
        <f t="array" ref="L3595">_xlfn.IFS(MID(K3595,2,2)="01", "서울", MID(K3595,2,2)="02","경기",MID(K3595,2,2)="03","충청",MID(K3595,2,2)="04","충청",MID(K3595,2,2)="05","전라",MID(K3595,2,2)="06","전라",MID(K3595,2,2)="07","경북",MID(K3595,2,2)="08","경남",MID(K3595,2,2)="09","강원",MID(K3595,2,2)="10","제주",TRUE,"국외")</f>
        <v>서울</v>
      </c>
    </row>
    <row r="3596" spans="1:12" ht="17.25" thickBot="1">
      <c r="A3596" s="3" t="s">
        <v>3458</v>
      </c>
      <c r="B3596" s="3" t="s">
        <v>5</v>
      </c>
      <c r="C3596" s="3" t="s">
        <v>133</v>
      </c>
      <c r="D3596" s="4" t="s">
        <v>243</v>
      </c>
      <c r="E3596" s="4" t="s">
        <v>2725</v>
      </c>
      <c r="F3596" s="4">
        <v>1988</v>
      </c>
      <c r="G3596" s="8">
        <v>0</v>
      </c>
      <c r="H3596" s="4" t="s">
        <v>2725</v>
      </c>
      <c r="I3596" s="8">
        <v>0</v>
      </c>
      <c r="J3596" s="3">
        <f>1384</f>
        <v>1384</v>
      </c>
      <c r="K3596" s="3">
        <v>50114</v>
      </c>
      <c r="L3596" s="17" t="str" cm="1">
        <f t="array" ref="L3596">_xlfn.IFS(MID(K3596,2,2)="01", "서울", MID(K3596,2,2)="02","경기",MID(K3596,2,2)="03","충청",MID(K3596,2,2)="04","충청",MID(K3596,2,2)="05","전라",MID(K3596,2,2)="06","전라",MID(K3596,2,2)="07","경북",MID(K3596,2,2)="08","경남",MID(K3596,2,2)="09","강원",MID(K3596,2,2)="10","제주",TRUE,"국외")</f>
        <v>서울</v>
      </c>
    </row>
    <row r="3597" spans="1:12" ht="17.25" thickBot="1">
      <c r="A3597" s="3" t="s">
        <v>3459</v>
      </c>
      <c r="B3597" s="3" t="s">
        <v>70</v>
      </c>
      <c r="C3597" s="3" t="s">
        <v>221</v>
      </c>
      <c r="D3597" s="4" t="s">
        <v>243</v>
      </c>
      <c r="E3597" s="4" t="s">
        <v>2725</v>
      </c>
      <c r="F3597" s="4">
        <v>1990</v>
      </c>
      <c r="G3597" s="9"/>
      <c r="H3597" s="4" t="s">
        <v>2725</v>
      </c>
      <c r="I3597" s="8">
        <v>-1.2</v>
      </c>
      <c r="J3597" s="3">
        <f>1528</f>
        <v>1528</v>
      </c>
      <c r="K3597" s="3">
        <v>50103</v>
      </c>
      <c r="L3597" s="17" t="str" cm="1">
        <f t="array" ref="L3597">_xlfn.IFS(MID(K3597,2,2)="01", "서울", MID(K3597,2,2)="02","경기",MID(K3597,2,2)="03","충청",MID(K3597,2,2)="04","충청",MID(K3597,2,2)="05","전라",MID(K3597,2,2)="06","전라",MID(K3597,2,2)="07","경북",MID(K3597,2,2)="08","경남",MID(K3597,2,2)="09","강원",MID(K3597,2,2)="10","제주",TRUE,"국외")</f>
        <v>서울</v>
      </c>
    </row>
    <row r="3598" spans="1:12" ht="17.25" thickBot="1">
      <c r="A3598" s="3" t="s">
        <v>3460</v>
      </c>
      <c r="B3598" s="3" t="s">
        <v>335</v>
      </c>
      <c r="C3598" s="3" t="s">
        <v>549</v>
      </c>
      <c r="D3598" s="4" t="s">
        <v>243</v>
      </c>
      <c r="E3598" s="4" t="s">
        <v>9</v>
      </c>
      <c r="F3598" s="4">
        <v>1988</v>
      </c>
      <c r="G3598" s="8">
        <v>-0.5</v>
      </c>
      <c r="H3598" s="4" t="s">
        <v>9</v>
      </c>
      <c r="I3598" s="8">
        <v>-1.5</v>
      </c>
      <c r="J3598" s="3">
        <f>1403</f>
        <v>1403</v>
      </c>
      <c r="K3598" s="3">
        <v>50804</v>
      </c>
      <c r="L3598" s="17" t="str" cm="1">
        <f t="array" ref="L3598">_xlfn.IFS(MID(K3598,2,2)="01", "서울", MID(K3598,2,2)="02","경기",MID(K3598,2,2)="03","충청",MID(K3598,2,2)="04","충청",MID(K3598,2,2)="05","전라",MID(K3598,2,2)="06","전라",MID(K3598,2,2)="07","경북",MID(K3598,2,2)="08","경남",MID(K3598,2,2)="09","강원",MID(K3598,2,2)="10","제주",TRUE,"국외")</f>
        <v>경남</v>
      </c>
    </row>
    <row r="3599" spans="1:12" ht="17.25" thickBot="1">
      <c r="A3599" s="3" t="s">
        <v>3461</v>
      </c>
      <c r="B3599" s="3" t="s">
        <v>176</v>
      </c>
      <c r="C3599" s="3" t="s">
        <v>329</v>
      </c>
      <c r="D3599" s="4" t="s">
        <v>243</v>
      </c>
      <c r="E3599" s="4" t="s">
        <v>3101</v>
      </c>
      <c r="F3599" s="4">
        <v>1988</v>
      </c>
      <c r="G3599" s="8">
        <v>-0.3</v>
      </c>
      <c r="H3599" s="4" t="s">
        <v>3101</v>
      </c>
      <c r="I3599" s="8">
        <v>14.9</v>
      </c>
      <c r="J3599" s="3">
        <f>1415</f>
        <v>1415</v>
      </c>
      <c r="K3599" s="3">
        <v>50302</v>
      </c>
      <c r="L3599" s="17" t="str" cm="1">
        <f t="array" ref="L3599">_xlfn.IFS(MID(K3599,2,2)="01", "서울", MID(K3599,2,2)="02","경기",MID(K3599,2,2)="03","충청",MID(K3599,2,2)="04","충청",MID(K3599,2,2)="05","전라",MID(K3599,2,2)="06","전라",MID(K3599,2,2)="07","경북",MID(K3599,2,2)="08","경남",MID(K3599,2,2)="09","강원",MID(K3599,2,2)="10","제주",TRUE,"국외")</f>
        <v>충청</v>
      </c>
    </row>
    <row r="3600" spans="1:12" ht="17.25" thickBot="1">
      <c r="A3600" s="3" t="s">
        <v>3462</v>
      </c>
      <c r="B3600" s="3" t="s">
        <v>14</v>
      </c>
      <c r="C3600" s="3" t="s">
        <v>45</v>
      </c>
      <c r="D3600" s="4" t="s">
        <v>243</v>
      </c>
      <c r="E3600" s="4" t="s">
        <v>23</v>
      </c>
      <c r="F3600" s="4">
        <v>1988</v>
      </c>
      <c r="G3600" s="8">
        <v>-0.5</v>
      </c>
      <c r="H3600" s="4" t="s">
        <v>23</v>
      </c>
      <c r="I3600" s="8">
        <v>-0.3</v>
      </c>
      <c r="J3600" s="3">
        <f>1402</f>
        <v>1402</v>
      </c>
      <c r="K3600" s="3">
        <v>50703</v>
      </c>
      <c r="L3600" s="17" t="str" cm="1">
        <f t="array" ref="L3600">_xlfn.IFS(MID(K3600,2,2)="01", "서울", MID(K3600,2,2)="02","경기",MID(K3600,2,2)="03","충청",MID(K3600,2,2)="04","충청",MID(K3600,2,2)="05","전라",MID(K3600,2,2)="06","전라",MID(K3600,2,2)="07","경북",MID(K3600,2,2)="08","경남",MID(K3600,2,2)="09","강원",MID(K3600,2,2)="10","제주",TRUE,"국외")</f>
        <v>경북</v>
      </c>
    </row>
    <row r="3601" spans="1:12" ht="17.25" thickBot="1">
      <c r="A3601" s="3" t="s">
        <v>3463</v>
      </c>
      <c r="B3601" s="3" t="s">
        <v>464</v>
      </c>
      <c r="C3601" s="3" t="s">
        <v>538</v>
      </c>
      <c r="D3601" s="4" t="s">
        <v>243</v>
      </c>
      <c r="E3601" s="4" t="s">
        <v>23</v>
      </c>
      <c r="F3601" s="4">
        <v>1988</v>
      </c>
      <c r="G3601" s="8">
        <v>-0.2</v>
      </c>
      <c r="H3601" s="4" t="s">
        <v>23</v>
      </c>
      <c r="I3601" s="8">
        <v>-1.5</v>
      </c>
      <c r="J3601" s="3">
        <f>1417</f>
        <v>1417</v>
      </c>
      <c r="K3601" s="3">
        <v>50706</v>
      </c>
      <c r="L3601" s="17" t="str" cm="1">
        <f t="array" ref="L3601">_xlfn.IFS(MID(K3601,2,2)="01", "서울", MID(K3601,2,2)="02","경기",MID(K3601,2,2)="03","충청",MID(K3601,2,2)="04","충청",MID(K3601,2,2)="05","전라",MID(K3601,2,2)="06","전라",MID(K3601,2,2)="07","경북",MID(K3601,2,2)="08","경남",MID(K3601,2,2)="09","강원",MID(K3601,2,2)="10","제주",TRUE,"국외")</f>
        <v>경북</v>
      </c>
    </row>
    <row r="3602" spans="1:12" ht="17.25" thickBot="1">
      <c r="A3602" s="3" t="s">
        <v>3464</v>
      </c>
      <c r="B3602" s="3" t="s">
        <v>464</v>
      </c>
      <c r="C3602" s="3" t="s">
        <v>483</v>
      </c>
      <c r="D3602" s="4" t="s">
        <v>243</v>
      </c>
      <c r="E3602" s="4" t="s">
        <v>23</v>
      </c>
      <c r="F3602" s="4">
        <v>1989</v>
      </c>
      <c r="G3602" s="9"/>
      <c r="H3602" s="4" t="s">
        <v>23</v>
      </c>
      <c r="I3602" s="8">
        <v>9.6</v>
      </c>
      <c r="J3602" s="3">
        <f>1465</f>
        <v>1465</v>
      </c>
      <c r="K3602" s="3">
        <v>50706</v>
      </c>
      <c r="L3602" s="17" t="str" cm="1">
        <f t="array" ref="L3602">_xlfn.IFS(MID(K3602,2,2)="01", "서울", MID(K3602,2,2)="02","경기",MID(K3602,2,2)="03","충청",MID(K3602,2,2)="04","충청",MID(K3602,2,2)="05","전라",MID(K3602,2,2)="06","전라",MID(K3602,2,2)="07","경북",MID(K3602,2,2)="08","경남",MID(K3602,2,2)="09","강원",MID(K3602,2,2)="10","제주",TRUE,"국외")</f>
        <v>경북</v>
      </c>
    </row>
    <row r="3603" spans="1:12" ht="17.25" thickBot="1">
      <c r="A3603" s="3" t="s">
        <v>3465</v>
      </c>
      <c r="B3603" s="3" t="s">
        <v>241</v>
      </c>
      <c r="C3603" s="3" t="s">
        <v>221</v>
      </c>
      <c r="D3603" s="4" t="s">
        <v>243</v>
      </c>
      <c r="E3603" s="4" t="s">
        <v>2968</v>
      </c>
      <c r="F3603" s="4">
        <v>1988</v>
      </c>
      <c r="G3603" s="8">
        <v>0.9</v>
      </c>
      <c r="H3603" s="4" t="s">
        <v>2968</v>
      </c>
      <c r="I3603" s="8">
        <v>11.3</v>
      </c>
      <c r="J3603" s="3">
        <f>1393</f>
        <v>1393</v>
      </c>
      <c r="K3603" s="3">
        <v>50202</v>
      </c>
      <c r="L3603" s="17" t="str" cm="1">
        <f t="array" ref="L3603">_xlfn.IFS(MID(K3603,2,2)="01", "서울", MID(K3603,2,2)="02","경기",MID(K3603,2,2)="03","충청",MID(K3603,2,2)="04","충청",MID(K3603,2,2)="05","전라",MID(K3603,2,2)="06","전라",MID(K3603,2,2)="07","경북",MID(K3603,2,2)="08","경남",MID(K3603,2,2)="09","강원",MID(K3603,2,2)="10","제주",TRUE,"국외")</f>
        <v>경기</v>
      </c>
    </row>
    <row r="3604" spans="1:12" ht="17.25" thickBot="1">
      <c r="A3604" s="3" t="s">
        <v>3466</v>
      </c>
      <c r="B3604" s="3" t="s">
        <v>241</v>
      </c>
      <c r="C3604" s="3"/>
      <c r="D3604" s="4" t="s">
        <v>243</v>
      </c>
      <c r="E3604" s="4" t="s">
        <v>2968</v>
      </c>
      <c r="F3604" s="4">
        <v>1989</v>
      </c>
      <c r="G3604" s="9"/>
      <c r="H3604" s="4" t="s">
        <v>2968</v>
      </c>
      <c r="I3604" s="8">
        <v>14.9</v>
      </c>
      <c r="J3604" s="3">
        <f>1463</f>
        <v>1463</v>
      </c>
      <c r="K3604" s="3">
        <v>50202</v>
      </c>
      <c r="L3604" s="17" t="str" cm="1">
        <f t="array" ref="L3604">_xlfn.IFS(MID(K3604,2,2)="01", "서울", MID(K3604,2,2)="02","경기",MID(K3604,2,2)="03","충청",MID(K3604,2,2)="04","충청",MID(K3604,2,2)="05","전라",MID(K3604,2,2)="06","전라",MID(K3604,2,2)="07","경북",MID(K3604,2,2)="08","경남",MID(K3604,2,2)="09","강원",MID(K3604,2,2)="10","제주",TRUE,"국외")</f>
        <v>경기</v>
      </c>
    </row>
    <row r="3605" spans="1:12" ht="17.25" thickBot="1">
      <c r="A3605" s="3" t="s">
        <v>3467</v>
      </c>
      <c r="B3605" s="3" t="s">
        <v>22</v>
      </c>
      <c r="C3605" s="3" t="s">
        <v>221</v>
      </c>
      <c r="D3605" s="4" t="s">
        <v>243</v>
      </c>
      <c r="E3605" s="4" t="s">
        <v>2968</v>
      </c>
      <c r="F3605" s="4">
        <v>1988</v>
      </c>
      <c r="G3605" s="8">
        <v>-0.4</v>
      </c>
      <c r="H3605" s="4" t="s">
        <v>2968</v>
      </c>
      <c r="I3605" s="8">
        <v>-1.7</v>
      </c>
      <c r="J3605" s="3">
        <f>1407</f>
        <v>1407</v>
      </c>
      <c r="K3605" s="3">
        <v>50209</v>
      </c>
      <c r="L3605" s="17" t="str" cm="1">
        <f t="array" ref="L3605">_xlfn.IFS(MID(K3605,2,2)="01", "서울", MID(K3605,2,2)="02","경기",MID(K3605,2,2)="03","충청",MID(K3605,2,2)="04","충청",MID(K3605,2,2)="05","전라",MID(K3605,2,2)="06","전라",MID(K3605,2,2)="07","경북",MID(K3605,2,2)="08","경남",MID(K3605,2,2)="09","강원",MID(K3605,2,2)="10","제주",TRUE,"국외")</f>
        <v>경기</v>
      </c>
    </row>
    <row r="3606" spans="1:12" ht="17.25" thickBot="1">
      <c r="A3606" s="3" t="s">
        <v>3468</v>
      </c>
      <c r="B3606" s="3" t="s">
        <v>158</v>
      </c>
      <c r="C3606" s="3" t="s">
        <v>83</v>
      </c>
      <c r="D3606" s="4" t="s">
        <v>243</v>
      </c>
      <c r="E3606" s="4" t="s">
        <v>2523</v>
      </c>
      <c r="F3606" s="4">
        <v>1989</v>
      </c>
      <c r="G3606" s="9"/>
      <c r="H3606" s="4" t="s">
        <v>2523</v>
      </c>
      <c r="I3606" s="8">
        <v>45</v>
      </c>
      <c r="J3606" s="3">
        <v>12724</v>
      </c>
      <c r="K3606" s="3">
        <v>50501</v>
      </c>
      <c r="L3606" s="17" t="str" cm="1">
        <f t="array" ref="L3606">_xlfn.IFS(MID(K3606,2,2)="01", "서울", MID(K3606,2,2)="02","경기",MID(K3606,2,2)="03","충청",MID(K3606,2,2)="04","충청",MID(K3606,2,2)="05","전라",MID(K3606,2,2)="06","전라",MID(K3606,2,2)="07","경북",MID(K3606,2,2)="08","경남",MID(K3606,2,2)="09","강원",MID(K3606,2,2)="10","제주",TRUE,"국외")</f>
        <v>전라</v>
      </c>
    </row>
    <row r="3607" spans="1:12" ht="17.25" thickBot="1">
      <c r="A3607" s="3" t="s">
        <v>3469</v>
      </c>
      <c r="B3607" s="3" t="s">
        <v>25</v>
      </c>
      <c r="C3607" s="3" t="s">
        <v>45</v>
      </c>
      <c r="D3607" s="4" t="s">
        <v>243</v>
      </c>
      <c r="E3607" s="4" t="s">
        <v>3101</v>
      </c>
      <c r="F3607" s="4">
        <v>1988</v>
      </c>
      <c r="G3607" s="8">
        <v>-0.3</v>
      </c>
      <c r="H3607" s="4" t="s">
        <v>3101</v>
      </c>
      <c r="I3607" s="8">
        <v>0.9</v>
      </c>
      <c r="J3607" s="3">
        <f>1373</f>
        <v>1373</v>
      </c>
      <c r="K3607" s="3">
        <v>50403</v>
      </c>
      <c r="L3607" s="17" t="str" cm="1">
        <f t="array" ref="L3607">_xlfn.IFS(MID(K3607,2,2)="01", "서울", MID(K3607,2,2)="02","경기",MID(K3607,2,2)="03","충청",MID(K3607,2,2)="04","충청",MID(K3607,2,2)="05","전라",MID(K3607,2,2)="06","전라",MID(K3607,2,2)="07","경북",MID(K3607,2,2)="08","경남",MID(K3607,2,2)="09","강원",MID(K3607,2,2)="10","제주",TRUE,"국외")</f>
        <v>충청</v>
      </c>
    </row>
    <row r="3608" spans="1:12" ht="17.25" thickBot="1">
      <c r="A3608" s="3" t="s">
        <v>3470</v>
      </c>
      <c r="B3608" s="3" t="s">
        <v>50</v>
      </c>
      <c r="C3608" s="3" t="s">
        <v>133</v>
      </c>
      <c r="D3608" s="4" t="s">
        <v>243</v>
      </c>
      <c r="E3608" s="4" t="s">
        <v>3101</v>
      </c>
      <c r="F3608" s="4">
        <v>1989</v>
      </c>
      <c r="G3608" s="9"/>
      <c r="H3608" s="4" t="s">
        <v>3</v>
      </c>
      <c r="I3608" s="8">
        <v>71.400000000000006</v>
      </c>
      <c r="J3608" s="3">
        <v>10597</v>
      </c>
      <c r="K3608" s="3">
        <v>50301</v>
      </c>
      <c r="L3608" s="17" t="str" cm="1">
        <f t="array" ref="L3608">_xlfn.IFS(MID(K3608,2,2)="01", "서울", MID(K3608,2,2)="02","경기",MID(K3608,2,2)="03","충청",MID(K3608,2,2)="04","충청",MID(K3608,2,2)="05","전라",MID(K3608,2,2)="06","전라",MID(K3608,2,2)="07","경북",MID(K3608,2,2)="08","경남",MID(K3608,2,2)="09","강원",MID(K3608,2,2)="10","제주",TRUE,"국외")</f>
        <v>충청</v>
      </c>
    </row>
    <row r="3609" spans="1:12" ht="17.25" thickBot="1">
      <c r="A3609" s="3" t="s">
        <v>3471</v>
      </c>
      <c r="B3609" s="3" t="s">
        <v>11</v>
      </c>
      <c r="C3609" s="3" t="s">
        <v>218</v>
      </c>
      <c r="D3609" s="4" t="s">
        <v>243</v>
      </c>
      <c r="E3609" s="4" t="s">
        <v>2725</v>
      </c>
      <c r="F3609" s="4">
        <v>1988</v>
      </c>
      <c r="G3609" s="8">
        <v>0.5</v>
      </c>
      <c r="H3609" s="4" t="s">
        <v>9</v>
      </c>
      <c r="I3609" s="8">
        <v>0.5</v>
      </c>
      <c r="J3609" s="3">
        <f>1386</f>
        <v>1386</v>
      </c>
      <c r="K3609" s="3">
        <v>50802</v>
      </c>
      <c r="L3609" s="17" t="str" cm="1">
        <f t="array" ref="L3609">_xlfn.IFS(MID(K3609,2,2)="01", "서울", MID(K3609,2,2)="02","경기",MID(K3609,2,2)="03","충청",MID(K3609,2,2)="04","충청",MID(K3609,2,2)="05","전라",MID(K3609,2,2)="06","전라",MID(K3609,2,2)="07","경북",MID(K3609,2,2)="08","경남",MID(K3609,2,2)="09","강원",MID(K3609,2,2)="10","제주",TRUE,"국외")</f>
        <v>경남</v>
      </c>
    </row>
    <row r="3610" spans="1:12" ht="17.25" thickBot="1">
      <c r="A3610" s="3" t="s">
        <v>3472</v>
      </c>
      <c r="B3610" s="3" t="s">
        <v>34</v>
      </c>
      <c r="C3610" s="3" t="s">
        <v>83</v>
      </c>
      <c r="D3610" s="4" t="s">
        <v>254</v>
      </c>
      <c r="E3610" s="4" t="s">
        <v>3387</v>
      </c>
      <c r="F3610" s="4">
        <v>1988</v>
      </c>
      <c r="G3610" s="8">
        <v>0</v>
      </c>
      <c r="H3610" s="4" t="s">
        <v>3387</v>
      </c>
      <c r="I3610" s="8">
        <v>0</v>
      </c>
      <c r="J3610" s="3">
        <f>1396</f>
        <v>1396</v>
      </c>
      <c r="K3610" s="3">
        <v>50701</v>
      </c>
      <c r="L3610" s="17" t="str" cm="1">
        <f t="array" ref="L3610">_xlfn.IFS(MID(K3610,2,2)="01", "서울", MID(K3610,2,2)="02","경기",MID(K3610,2,2)="03","충청",MID(K3610,2,2)="04","충청",MID(K3610,2,2)="05","전라",MID(K3610,2,2)="06","전라",MID(K3610,2,2)="07","경북",MID(K3610,2,2)="08","경남",MID(K3610,2,2)="09","강원",MID(K3610,2,2)="10","제주",TRUE,"국외")</f>
        <v>경북</v>
      </c>
    </row>
    <row r="3611" spans="1:12" ht="17.25" thickBot="1">
      <c r="A3611" s="3" t="s">
        <v>3473</v>
      </c>
      <c r="B3611" s="3" t="s">
        <v>1</v>
      </c>
      <c r="C3611" s="3" t="s">
        <v>211</v>
      </c>
      <c r="D3611" s="4" t="s">
        <v>254</v>
      </c>
      <c r="E3611" s="4" t="s">
        <v>9</v>
      </c>
      <c r="F3611" s="4">
        <v>1988</v>
      </c>
      <c r="G3611" s="8">
        <v>0.4</v>
      </c>
      <c r="H3611" s="4" t="s">
        <v>9</v>
      </c>
      <c r="I3611" s="8">
        <v>0.2</v>
      </c>
      <c r="J3611" s="3">
        <f>1376</f>
        <v>1376</v>
      </c>
      <c r="K3611" s="3">
        <v>50107</v>
      </c>
      <c r="L3611" s="17" t="str" cm="1">
        <f t="array" ref="L3611">_xlfn.IFS(MID(K3611,2,2)="01", "서울", MID(K3611,2,2)="02","경기",MID(K3611,2,2)="03","충청",MID(K3611,2,2)="04","충청",MID(K3611,2,2)="05","전라",MID(K3611,2,2)="06","전라",MID(K3611,2,2)="07","경북",MID(K3611,2,2)="08","경남",MID(K3611,2,2)="09","강원",MID(K3611,2,2)="10","제주",TRUE,"국외")</f>
        <v>서울</v>
      </c>
    </row>
    <row r="3612" spans="1:12" ht="17.25" thickBot="1">
      <c r="A3612" s="3" t="s">
        <v>3474</v>
      </c>
      <c r="B3612" s="3" t="s">
        <v>11</v>
      </c>
      <c r="C3612" s="3" t="s">
        <v>119</v>
      </c>
      <c r="D3612" s="4" t="s">
        <v>254</v>
      </c>
      <c r="E3612" s="4" t="s">
        <v>3101</v>
      </c>
      <c r="F3612" s="4">
        <v>1988</v>
      </c>
      <c r="G3612" s="8">
        <v>0.1</v>
      </c>
      <c r="H3612" s="4" t="s">
        <v>3101</v>
      </c>
      <c r="I3612" s="8">
        <v>0.1</v>
      </c>
      <c r="J3612" s="3">
        <f>1371</f>
        <v>1371</v>
      </c>
      <c r="K3612" s="3">
        <v>50802</v>
      </c>
      <c r="L3612" s="17" t="str" cm="1">
        <f t="array" ref="L3612">_xlfn.IFS(MID(K3612,2,2)="01", "서울", MID(K3612,2,2)="02","경기",MID(K3612,2,2)="03","충청",MID(K3612,2,2)="04","충청",MID(K3612,2,2)="05","전라",MID(K3612,2,2)="06","전라",MID(K3612,2,2)="07","경북",MID(K3612,2,2)="08","경남",MID(K3612,2,2)="09","강원",MID(K3612,2,2)="10","제주",TRUE,"국외")</f>
        <v>경남</v>
      </c>
    </row>
    <row r="3613" spans="1:12" ht="17.25" thickBot="1">
      <c r="A3613" s="3" t="s">
        <v>3475</v>
      </c>
      <c r="B3613" s="3" t="s">
        <v>176</v>
      </c>
      <c r="C3613" s="3" t="s">
        <v>538</v>
      </c>
      <c r="D3613" s="4" t="s">
        <v>254</v>
      </c>
      <c r="E3613" s="4" t="s">
        <v>2968</v>
      </c>
      <c r="F3613" s="4">
        <v>1988</v>
      </c>
      <c r="G3613" s="8">
        <v>0.4</v>
      </c>
      <c r="H3613" s="4" t="s">
        <v>2968</v>
      </c>
      <c r="I3613" s="8">
        <v>3.3</v>
      </c>
      <c r="J3613" s="3">
        <f>1385</f>
        <v>1385</v>
      </c>
      <c r="K3613" s="3">
        <v>50302</v>
      </c>
      <c r="L3613" s="17" t="str" cm="1">
        <f t="array" ref="L3613">_xlfn.IFS(MID(K3613,2,2)="01", "서울", MID(K3613,2,2)="02","경기",MID(K3613,2,2)="03","충청",MID(K3613,2,2)="04","충청",MID(K3613,2,2)="05","전라",MID(K3613,2,2)="06","전라",MID(K3613,2,2)="07","경북",MID(K3613,2,2)="08","경남",MID(K3613,2,2)="09","강원",MID(K3613,2,2)="10","제주",TRUE,"국외")</f>
        <v>충청</v>
      </c>
    </row>
    <row r="3614" spans="1:12" ht="17.25" thickBot="1">
      <c r="A3614" s="3" t="s">
        <v>3476</v>
      </c>
      <c r="B3614" s="3" t="s">
        <v>42</v>
      </c>
      <c r="C3614" s="3" t="s">
        <v>172</v>
      </c>
      <c r="D3614" s="4" t="s">
        <v>254</v>
      </c>
      <c r="E3614" s="4" t="s">
        <v>2968</v>
      </c>
      <c r="F3614" s="4">
        <v>1988</v>
      </c>
      <c r="G3614" s="8">
        <v>1.3</v>
      </c>
      <c r="H3614" s="4" t="s">
        <v>2968</v>
      </c>
      <c r="I3614" s="8">
        <v>1.1000000000000001</v>
      </c>
      <c r="J3614" s="3">
        <f>1410</f>
        <v>1410</v>
      </c>
      <c r="K3614" s="3">
        <v>50502</v>
      </c>
      <c r="L3614" s="17" t="str" cm="1">
        <f t="array" ref="L3614">_xlfn.IFS(MID(K3614,2,2)="01", "서울", MID(K3614,2,2)="02","경기",MID(K3614,2,2)="03","충청",MID(K3614,2,2)="04","충청",MID(K3614,2,2)="05","전라",MID(K3614,2,2)="06","전라",MID(K3614,2,2)="07","경북",MID(K3614,2,2)="08","경남",MID(K3614,2,2)="09","강원",MID(K3614,2,2)="10","제주",TRUE,"국외")</f>
        <v>전라</v>
      </c>
    </row>
    <row r="3615" spans="1:12" ht="17.25" thickBot="1">
      <c r="A3615" s="3" t="s">
        <v>3477</v>
      </c>
      <c r="B3615" s="3" t="s">
        <v>2491</v>
      </c>
      <c r="C3615" s="3" t="s">
        <v>218</v>
      </c>
      <c r="D3615" s="4" t="s">
        <v>254</v>
      </c>
      <c r="E3615" s="4" t="s">
        <v>2968</v>
      </c>
      <c r="F3615" s="4">
        <v>1988</v>
      </c>
      <c r="G3615" s="8">
        <v>-0.1</v>
      </c>
      <c r="H3615" s="4" t="s">
        <v>2968</v>
      </c>
      <c r="I3615" s="8">
        <v>-0.1</v>
      </c>
      <c r="J3615" s="3">
        <f>1377</f>
        <v>1377</v>
      </c>
      <c r="K3615" s="3">
        <v>50608</v>
      </c>
      <c r="L3615" s="17" t="str" cm="1">
        <f t="array" ref="L3615">_xlfn.IFS(MID(K3615,2,2)="01", "서울", MID(K3615,2,2)="02","경기",MID(K3615,2,2)="03","충청",MID(K3615,2,2)="04","충청",MID(K3615,2,2)="05","전라",MID(K3615,2,2)="06","전라",MID(K3615,2,2)="07","경북",MID(K3615,2,2)="08","경남",MID(K3615,2,2)="09","강원",MID(K3615,2,2)="10","제주",TRUE,"국외")</f>
        <v>전라</v>
      </c>
    </row>
    <row r="3616" spans="1:12" ht="17.25" thickBot="1">
      <c r="A3616" s="3" t="s">
        <v>3475</v>
      </c>
      <c r="B3616" s="3" t="s">
        <v>25</v>
      </c>
      <c r="C3616" s="3" t="s">
        <v>119</v>
      </c>
      <c r="D3616" s="4" t="s">
        <v>254</v>
      </c>
      <c r="E3616" s="4" t="s">
        <v>2968</v>
      </c>
      <c r="F3616" s="4">
        <v>1989</v>
      </c>
      <c r="G3616" s="9"/>
      <c r="H3616" s="4" t="s">
        <v>2725</v>
      </c>
      <c r="I3616" s="8">
        <v>2.2999999999999998</v>
      </c>
      <c r="J3616" s="3">
        <v>15156</v>
      </c>
      <c r="K3616" s="3">
        <v>50403</v>
      </c>
      <c r="L3616" s="17" t="str" cm="1">
        <f t="array" ref="L3616">_xlfn.IFS(MID(K3616,2,2)="01", "서울", MID(K3616,2,2)="02","경기",MID(K3616,2,2)="03","충청",MID(K3616,2,2)="04","충청",MID(K3616,2,2)="05","전라",MID(K3616,2,2)="06","전라",MID(K3616,2,2)="07","경북",MID(K3616,2,2)="08","경남",MID(K3616,2,2)="09","강원",MID(K3616,2,2)="10","제주",TRUE,"국외")</f>
        <v>충청</v>
      </c>
    </row>
    <row r="3617" spans="1:12" ht="17.25" thickBot="1">
      <c r="A3617" s="3" t="s">
        <v>3478</v>
      </c>
      <c r="B3617" s="3" t="s">
        <v>107</v>
      </c>
      <c r="C3617" s="3" t="s">
        <v>83</v>
      </c>
      <c r="D3617" s="4" t="s">
        <v>254</v>
      </c>
      <c r="E3617" s="4" t="s">
        <v>2523</v>
      </c>
      <c r="F3617" s="4">
        <v>1988</v>
      </c>
      <c r="G3617" s="8">
        <v>1.2</v>
      </c>
      <c r="H3617" s="4" t="s">
        <v>2523</v>
      </c>
      <c r="I3617" s="8">
        <v>1</v>
      </c>
      <c r="J3617" s="3">
        <f>1372</f>
        <v>1372</v>
      </c>
      <c r="K3617" s="3">
        <v>50602</v>
      </c>
      <c r="L3617" s="17" t="str" cm="1">
        <f t="array" ref="L3617">_xlfn.IFS(MID(K3617,2,2)="01", "서울", MID(K3617,2,2)="02","경기",MID(K3617,2,2)="03","충청",MID(K3617,2,2)="04","충청",MID(K3617,2,2)="05","전라",MID(K3617,2,2)="06","전라",MID(K3617,2,2)="07","경북",MID(K3617,2,2)="08","경남",MID(K3617,2,2)="09","강원",MID(K3617,2,2)="10","제주",TRUE,"국외")</f>
        <v>전라</v>
      </c>
    </row>
    <row r="3618" spans="1:12" ht="17.25" thickBot="1">
      <c r="A3618" s="3" t="s">
        <v>3479</v>
      </c>
      <c r="B3618" s="3" t="s">
        <v>34</v>
      </c>
      <c r="C3618" s="3" t="s">
        <v>83</v>
      </c>
      <c r="D3618" s="4" t="s">
        <v>254</v>
      </c>
      <c r="E3618" s="4" t="s">
        <v>3387</v>
      </c>
      <c r="F3618" s="4">
        <v>1988</v>
      </c>
      <c r="G3618" s="8">
        <v>0.9</v>
      </c>
      <c r="H3618" s="4" t="s">
        <v>20</v>
      </c>
      <c r="I3618" s="8">
        <v>2.2000000000000002</v>
      </c>
      <c r="J3618" s="3">
        <f>1406</f>
        <v>1406</v>
      </c>
      <c r="K3618" s="3">
        <v>50701</v>
      </c>
      <c r="L3618" s="17" t="str" cm="1">
        <f t="array" ref="L3618">_xlfn.IFS(MID(K3618,2,2)="01", "서울", MID(K3618,2,2)="02","경기",MID(K3618,2,2)="03","충청",MID(K3618,2,2)="04","충청",MID(K3618,2,2)="05","전라",MID(K3618,2,2)="06","전라",MID(K3618,2,2)="07","경북",MID(K3618,2,2)="08","경남",MID(K3618,2,2)="09","강원",MID(K3618,2,2)="10","제주",TRUE,"국외")</f>
        <v>경북</v>
      </c>
    </row>
    <row r="3619" spans="1:12" ht="17.25" thickBot="1">
      <c r="A3619" s="3" t="s">
        <v>3480</v>
      </c>
      <c r="B3619" s="3" t="s">
        <v>34</v>
      </c>
      <c r="C3619" s="3" t="s">
        <v>83</v>
      </c>
      <c r="D3619" s="4" t="s">
        <v>254</v>
      </c>
      <c r="E3619" s="4" t="s">
        <v>2725</v>
      </c>
      <c r="F3619" s="4">
        <v>1988</v>
      </c>
      <c r="G3619" s="8">
        <v>-0.1</v>
      </c>
      <c r="H3619" s="4" t="s">
        <v>2725</v>
      </c>
      <c r="I3619" s="8">
        <v>-0.1</v>
      </c>
      <c r="J3619" s="3">
        <f>1383</f>
        <v>1383</v>
      </c>
      <c r="K3619" s="3">
        <v>50701</v>
      </c>
      <c r="L3619" s="17" t="str" cm="1">
        <f t="array" ref="L3619">_xlfn.IFS(MID(K3619,2,2)="01", "서울", MID(K3619,2,2)="02","경기",MID(K3619,2,2)="03","충청",MID(K3619,2,2)="04","충청",MID(K3619,2,2)="05","전라",MID(K3619,2,2)="06","전라",MID(K3619,2,2)="07","경북",MID(K3619,2,2)="08","경남",MID(K3619,2,2)="09","강원",MID(K3619,2,2)="10","제주",TRUE,"국외")</f>
        <v>경북</v>
      </c>
    </row>
    <row r="3620" spans="1:12" ht="17.25" thickBot="1">
      <c r="A3620" s="3" t="s">
        <v>3481</v>
      </c>
      <c r="B3620" s="3" t="s">
        <v>361</v>
      </c>
      <c r="C3620" s="3" t="s">
        <v>45</v>
      </c>
      <c r="D3620" s="4" t="s">
        <v>254</v>
      </c>
      <c r="E3620" s="4" t="s">
        <v>9</v>
      </c>
      <c r="F3620" s="4">
        <v>1988</v>
      </c>
      <c r="G3620" s="8">
        <v>0</v>
      </c>
      <c r="H3620" s="4" t="s">
        <v>9</v>
      </c>
      <c r="I3620" s="8">
        <v>-0.1</v>
      </c>
      <c r="J3620" s="3">
        <f>1404</f>
        <v>1404</v>
      </c>
      <c r="K3620" s="3">
        <v>50121</v>
      </c>
      <c r="L3620" s="17" t="str" cm="1">
        <f t="array" ref="L3620">_xlfn.IFS(MID(K3620,2,2)="01", "서울", MID(K3620,2,2)="02","경기",MID(K3620,2,2)="03","충청",MID(K3620,2,2)="04","충청",MID(K3620,2,2)="05","전라",MID(K3620,2,2)="06","전라",MID(K3620,2,2)="07","경북",MID(K3620,2,2)="08","경남",MID(K3620,2,2)="09","강원",MID(K3620,2,2)="10","제주",TRUE,"국외")</f>
        <v>서울</v>
      </c>
    </row>
    <row r="3621" spans="1:12" ht="17.25" thickBot="1">
      <c r="A3621" s="3" t="s">
        <v>3482</v>
      </c>
      <c r="B3621" s="3" t="s">
        <v>25</v>
      </c>
      <c r="C3621" s="3" t="s">
        <v>119</v>
      </c>
      <c r="D3621" s="4" t="s">
        <v>254</v>
      </c>
      <c r="E3621" s="4" t="s">
        <v>3101</v>
      </c>
      <c r="F3621" s="4">
        <v>1988</v>
      </c>
      <c r="G3621" s="8">
        <v>-0.3</v>
      </c>
      <c r="H3621" s="4" t="s">
        <v>3101</v>
      </c>
      <c r="I3621" s="8">
        <v>-0.3</v>
      </c>
      <c r="J3621" s="3">
        <f>1394</f>
        <v>1394</v>
      </c>
      <c r="K3621" s="3">
        <v>50403</v>
      </c>
      <c r="L3621" s="17" t="str" cm="1">
        <f t="array" ref="L3621">_xlfn.IFS(MID(K3621,2,2)="01", "서울", MID(K3621,2,2)="02","경기",MID(K3621,2,2)="03","충청",MID(K3621,2,2)="04","충청",MID(K3621,2,2)="05","전라",MID(K3621,2,2)="06","전라",MID(K3621,2,2)="07","경북",MID(K3621,2,2)="08","경남",MID(K3621,2,2)="09","강원",MID(K3621,2,2)="10","제주",TRUE,"국외")</f>
        <v>충청</v>
      </c>
    </row>
    <row r="3622" spans="1:12" ht="17.25" thickBot="1">
      <c r="A3622" s="3" t="s">
        <v>3483</v>
      </c>
      <c r="B3622" s="3" t="s">
        <v>5</v>
      </c>
      <c r="C3622" s="3" t="s">
        <v>218</v>
      </c>
      <c r="D3622" s="4" t="s">
        <v>254</v>
      </c>
      <c r="E3622" s="4" t="s">
        <v>2968</v>
      </c>
      <c r="F3622" s="4">
        <v>1988</v>
      </c>
      <c r="G3622" s="8">
        <v>1.2</v>
      </c>
      <c r="H3622" s="4" t="s">
        <v>2968</v>
      </c>
      <c r="I3622" s="8">
        <v>7.8</v>
      </c>
      <c r="J3622" s="3">
        <f>1395</f>
        <v>1395</v>
      </c>
      <c r="K3622" s="3">
        <v>50114</v>
      </c>
      <c r="L3622" s="17" t="str" cm="1">
        <f t="array" ref="L3622">_xlfn.IFS(MID(K3622,2,2)="01", "서울", MID(K3622,2,2)="02","경기",MID(K3622,2,2)="03","충청",MID(K3622,2,2)="04","충청",MID(K3622,2,2)="05","전라",MID(K3622,2,2)="06","전라",MID(K3622,2,2)="07","경북",MID(K3622,2,2)="08","경남",MID(K3622,2,2)="09","강원",MID(K3622,2,2)="10","제주",TRUE,"국외")</f>
        <v>서울</v>
      </c>
    </row>
    <row r="3623" spans="1:12" ht="17.25" thickBot="1">
      <c r="A3623" s="3" t="s">
        <v>3484</v>
      </c>
      <c r="B3623" s="3" t="s">
        <v>107</v>
      </c>
      <c r="C3623" s="3" t="s">
        <v>99</v>
      </c>
      <c r="D3623" s="4" t="s">
        <v>254</v>
      </c>
      <c r="E3623" s="4" t="s">
        <v>2523</v>
      </c>
      <c r="F3623" s="4">
        <v>1988</v>
      </c>
      <c r="G3623" s="8">
        <v>0</v>
      </c>
      <c r="H3623" s="4" t="s">
        <v>2661</v>
      </c>
      <c r="I3623" s="8">
        <v>-0.8</v>
      </c>
      <c r="J3623" s="3">
        <f>1389</f>
        <v>1389</v>
      </c>
      <c r="K3623" s="3">
        <v>50602</v>
      </c>
      <c r="L3623" s="17" t="str" cm="1">
        <f t="array" ref="L3623">_xlfn.IFS(MID(K3623,2,2)="01", "서울", MID(K3623,2,2)="02","경기",MID(K3623,2,2)="03","충청",MID(K3623,2,2)="04","충청",MID(K3623,2,2)="05","전라",MID(K3623,2,2)="06","전라",MID(K3623,2,2)="07","경북",MID(K3623,2,2)="08","경남",MID(K3623,2,2)="09","강원",MID(K3623,2,2)="10","제주",TRUE,"국외")</f>
        <v>전라</v>
      </c>
    </row>
    <row r="3624" spans="1:12" ht="17.25" thickBot="1">
      <c r="A3624" s="3" t="s">
        <v>3485</v>
      </c>
      <c r="B3624" s="3" t="s">
        <v>96</v>
      </c>
      <c r="C3624" s="3" t="s">
        <v>122</v>
      </c>
      <c r="D3624" s="4" t="s">
        <v>254</v>
      </c>
      <c r="E3624" s="4" t="s">
        <v>3387</v>
      </c>
      <c r="F3624" s="4">
        <v>1988</v>
      </c>
      <c r="G3624" s="8">
        <v>-0.1</v>
      </c>
      <c r="H3624" s="4" t="s">
        <v>3387</v>
      </c>
      <c r="I3624" s="8">
        <v>-0.1</v>
      </c>
      <c r="J3624" s="3">
        <f>1392</f>
        <v>1392</v>
      </c>
      <c r="K3624" s="3">
        <v>50601</v>
      </c>
      <c r="L3624" s="17" t="str" cm="1">
        <f t="array" ref="L3624">_xlfn.IFS(MID(K3624,2,2)="01", "서울", MID(K3624,2,2)="02","경기",MID(K3624,2,2)="03","충청",MID(K3624,2,2)="04","충청",MID(K3624,2,2)="05","전라",MID(K3624,2,2)="06","전라",MID(K3624,2,2)="07","경북",MID(K3624,2,2)="08","경남",MID(K3624,2,2)="09","강원",MID(K3624,2,2)="10","제주",TRUE,"국외")</f>
        <v>전라</v>
      </c>
    </row>
    <row r="3625" spans="1:12" ht="17.25" thickBot="1">
      <c r="A3625" s="3" t="s">
        <v>3486</v>
      </c>
      <c r="B3625" s="3" t="s">
        <v>66</v>
      </c>
      <c r="C3625" s="3" t="s">
        <v>45</v>
      </c>
      <c r="D3625" s="4" t="s">
        <v>254</v>
      </c>
      <c r="E3625" s="4" t="s">
        <v>2725</v>
      </c>
      <c r="F3625" s="4">
        <v>1988</v>
      </c>
      <c r="G3625" s="8">
        <v>0.2</v>
      </c>
      <c r="H3625" s="4" t="s">
        <v>2661</v>
      </c>
      <c r="I3625" s="8">
        <v>-1.1000000000000001</v>
      </c>
      <c r="J3625" s="3">
        <f>1378</f>
        <v>1378</v>
      </c>
      <c r="K3625" s="3">
        <v>50110</v>
      </c>
      <c r="L3625" s="17" t="str" cm="1">
        <f t="array" ref="L3625">_xlfn.IFS(MID(K3625,2,2)="01", "서울", MID(K3625,2,2)="02","경기",MID(K3625,2,2)="03","충청",MID(K3625,2,2)="04","충청",MID(K3625,2,2)="05","전라",MID(K3625,2,2)="06","전라",MID(K3625,2,2)="07","경북",MID(K3625,2,2)="08","경남",MID(K3625,2,2)="09","강원",MID(K3625,2,2)="10","제주",TRUE,"국외")</f>
        <v>서울</v>
      </c>
    </row>
    <row r="3626" spans="1:12" ht="17.25" thickBot="1">
      <c r="A3626" s="3" t="s">
        <v>3487</v>
      </c>
      <c r="B3626" s="3" t="s">
        <v>34</v>
      </c>
      <c r="C3626" s="3" t="s">
        <v>538</v>
      </c>
      <c r="D3626" s="4" t="s">
        <v>254</v>
      </c>
      <c r="E3626" s="4" t="s">
        <v>9</v>
      </c>
      <c r="F3626" s="4">
        <v>1988</v>
      </c>
      <c r="G3626" s="8">
        <v>-0.2</v>
      </c>
      <c r="H3626" s="4" t="s">
        <v>23</v>
      </c>
      <c r="I3626" s="8">
        <v>-0.6</v>
      </c>
      <c r="J3626" s="3">
        <f>1374</f>
        <v>1374</v>
      </c>
      <c r="K3626" s="3">
        <v>50701</v>
      </c>
      <c r="L3626" s="17" t="str" cm="1">
        <f t="array" ref="L3626">_xlfn.IFS(MID(K3626,2,2)="01", "서울", MID(K3626,2,2)="02","경기",MID(K3626,2,2)="03","충청",MID(K3626,2,2)="04","충청",MID(K3626,2,2)="05","전라",MID(K3626,2,2)="06","전라",MID(K3626,2,2)="07","경북",MID(K3626,2,2)="08","경남",MID(K3626,2,2)="09","강원",MID(K3626,2,2)="10","제주",TRUE,"국외")</f>
        <v>경북</v>
      </c>
    </row>
    <row r="3627" spans="1:12" ht="17.25" thickBot="1">
      <c r="A3627" s="3" t="s">
        <v>3488</v>
      </c>
      <c r="B3627" s="3" t="s">
        <v>25</v>
      </c>
      <c r="C3627" s="3" t="s">
        <v>208</v>
      </c>
      <c r="D3627" s="4" t="s">
        <v>254</v>
      </c>
      <c r="E3627" s="4" t="s">
        <v>3101</v>
      </c>
      <c r="F3627" s="4">
        <v>1988</v>
      </c>
      <c r="G3627" s="8">
        <v>-0.1</v>
      </c>
      <c r="H3627" s="4" t="s">
        <v>3101</v>
      </c>
      <c r="I3627" s="8">
        <v>-0.2</v>
      </c>
      <c r="J3627" s="3">
        <f>1379</f>
        <v>1379</v>
      </c>
      <c r="K3627" s="3">
        <v>50403</v>
      </c>
      <c r="L3627" s="17" t="str" cm="1">
        <f t="array" ref="L3627">_xlfn.IFS(MID(K3627,2,2)="01", "서울", MID(K3627,2,2)="02","경기",MID(K3627,2,2)="03","충청",MID(K3627,2,2)="04","충청",MID(K3627,2,2)="05","전라",MID(K3627,2,2)="06","전라",MID(K3627,2,2)="07","경북",MID(K3627,2,2)="08","경남",MID(K3627,2,2)="09","강원",MID(K3627,2,2)="10","제주",TRUE,"국외")</f>
        <v>충청</v>
      </c>
    </row>
    <row r="3628" spans="1:12" ht="17.25" thickBot="1">
      <c r="A3628" s="3" t="s">
        <v>3489</v>
      </c>
      <c r="B3628" s="3" t="s">
        <v>93</v>
      </c>
      <c r="C3628" s="3" t="s">
        <v>119</v>
      </c>
      <c r="D3628" s="4" t="s">
        <v>254</v>
      </c>
      <c r="E3628" s="4" t="s">
        <v>2968</v>
      </c>
      <c r="F3628" s="4">
        <v>1988</v>
      </c>
      <c r="G3628" s="8">
        <v>0.2</v>
      </c>
      <c r="H3628" s="4" t="s">
        <v>2661</v>
      </c>
      <c r="I3628" s="8">
        <v>2.1</v>
      </c>
      <c r="J3628" s="3">
        <f>1397</f>
        <v>1397</v>
      </c>
      <c r="K3628" s="3">
        <v>50805</v>
      </c>
      <c r="L3628" s="17" t="str" cm="1">
        <f t="array" ref="L3628">_xlfn.IFS(MID(K3628,2,2)="01", "서울", MID(K3628,2,2)="02","경기",MID(K3628,2,2)="03","충청",MID(K3628,2,2)="04","충청",MID(K3628,2,2)="05","전라",MID(K3628,2,2)="06","전라",MID(K3628,2,2)="07","경북",MID(K3628,2,2)="08","경남",MID(K3628,2,2)="09","강원",MID(K3628,2,2)="10","제주",TRUE,"국외")</f>
        <v>경남</v>
      </c>
    </row>
    <row r="3629" spans="1:12" ht="17.25" thickBot="1">
      <c r="A3629" s="3" t="s">
        <v>3490</v>
      </c>
      <c r="B3629" s="3" t="s">
        <v>50</v>
      </c>
      <c r="C3629" s="3" t="s">
        <v>549</v>
      </c>
      <c r="D3629" s="4" t="s">
        <v>254</v>
      </c>
      <c r="E3629" s="4" t="s">
        <v>2968</v>
      </c>
      <c r="F3629" s="4">
        <v>1992</v>
      </c>
      <c r="G3629" s="9"/>
      <c r="H3629" s="4" t="s">
        <v>2968</v>
      </c>
      <c r="I3629" s="8">
        <v>-1</v>
      </c>
      <c r="J3629" s="3">
        <f>1676</f>
        <v>1676</v>
      </c>
      <c r="K3629" s="3">
        <v>50301</v>
      </c>
      <c r="L3629" s="17" t="str" cm="1">
        <f t="array" ref="L3629">_xlfn.IFS(MID(K3629,2,2)="01", "서울", MID(K3629,2,2)="02","경기",MID(K3629,2,2)="03","충청",MID(K3629,2,2)="04","충청",MID(K3629,2,2)="05","전라",MID(K3629,2,2)="06","전라",MID(K3629,2,2)="07","경북",MID(K3629,2,2)="08","경남",MID(K3629,2,2)="09","강원",MID(K3629,2,2)="10","제주",TRUE,"국외")</f>
        <v>충청</v>
      </c>
    </row>
    <row r="3630" spans="1:12" ht="17.25" thickBot="1">
      <c r="A3630" s="3" t="s">
        <v>3491</v>
      </c>
      <c r="B3630" s="3"/>
      <c r="C3630" s="3" t="s">
        <v>208</v>
      </c>
      <c r="D3630" s="4" t="s">
        <v>254</v>
      </c>
      <c r="E3630" s="4" t="s">
        <v>3387</v>
      </c>
      <c r="F3630" s="4">
        <v>1988</v>
      </c>
      <c r="G3630" s="8">
        <v>0</v>
      </c>
      <c r="H3630" s="4" t="s">
        <v>3387</v>
      </c>
      <c r="I3630" s="8">
        <v>-0.2</v>
      </c>
      <c r="J3630" s="3">
        <f>1399</f>
        <v>1399</v>
      </c>
      <c r="K3630" s="3"/>
      <c r="L3630" s="17" t="str" cm="1">
        <f t="array" ref="L3630">_xlfn.IFS(MID(K3630,2,2)="01", "서울", MID(K3630,2,2)="02","경기",MID(K3630,2,2)="03","충청",MID(K3630,2,2)="04","충청",MID(K3630,2,2)="05","전라",MID(K3630,2,2)="06","전라",MID(K3630,2,2)="07","경북",MID(K3630,2,2)="08","경남",MID(K3630,2,2)="09","강원",MID(K3630,2,2)="10","제주",TRUE,"국외")</f>
        <v>국외</v>
      </c>
    </row>
    <row r="3631" spans="1:12" ht="17.25" thickBot="1">
      <c r="A3631" s="3" t="s">
        <v>1127</v>
      </c>
      <c r="B3631" s="3" t="s">
        <v>66</v>
      </c>
      <c r="C3631" s="3" t="s">
        <v>122</v>
      </c>
      <c r="D3631" s="4" t="s">
        <v>254</v>
      </c>
      <c r="E3631" s="4" t="s">
        <v>2725</v>
      </c>
      <c r="F3631" s="4">
        <v>1990</v>
      </c>
      <c r="G3631" s="9"/>
      <c r="H3631" s="4" t="s">
        <v>2725</v>
      </c>
      <c r="I3631" s="8">
        <v>3.7</v>
      </c>
      <c r="J3631" s="3">
        <v>11472</v>
      </c>
      <c r="K3631" s="3">
        <v>50110</v>
      </c>
      <c r="L3631" s="17" t="str" cm="1">
        <f t="array" ref="L3631">_xlfn.IFS(MID(K3631,2,2)="01", "서울", MID(K3631,2,2)="02","경기",MID(K3631,2,2)="03","충청",MID(K3631,2,2)="04","충청",MID(K3631,2,2)="05","전라",MID(K3631,2,2)="06","전라",MID(K3631,2,2)="07","경북",MID(K3631,2,2)="08","경남",MID(K3631,2,2)="09","강원",MID(K3631,2,2)="10","제주",TRUE,"국외")</f>
        <v>서울</v>
      </c>
    </row>
    <row r="3632" spans="1:12" ht="17.25" thickBot="1">
      <c r="A3632" s="3" t="s">
        <v>3492</v>
      </c>
      <c r="B3632" s="3" t="s">
        <v>2491</v>
      </c>
      <c r="C3632" s="3" t="s">
        <v>122</v>
      </c>
      <c r="D3632" s="4" t="s">
        <v>254</v>
      </c>
      <c r="E3632" s="4" t="s">
        <v>2968</v>
      </c>
      <c r="F3632" s="4">
        <v>1988</v>
      </c>
      <c r="G3632" s="8">
        <v>-0.1</v>
      </c>
      <c r="H3632" s="4" t="s">
        <v>2968</v>
      </c>
      <c r="I3632" s="8">
        <v>-0.1</v>
      </c>
      <c r="J3632" s="3">
        <f>1391</f>
        <v>1391</v>
      </c>
      <c r="K3632" s="3">
        <v>50608</v>
      </c>
      <c r="L3632" s="17" t="str" cm="1">
        <f t="array" ref="L3632">_xlfn.IFS(MID(K3632,2,2)="01", "서울", MID(K3632,2,2)="02","경기",MID(K3632,2,2)="03","충청",MID(K3632,2,2)="04","충청",MID(K3632,2,2)="05","전라",MID(K3632,2,2)="06","전라",MID(K3632,2,2)="07","경북",MID(K3632,2,2)="08","경남",MID(K3632,2,2)="09","강원",MID(K3632,2,2)="10","제주",TRUE,"국외")</f>
        <v>전라</v>
      </c>
    </row>
    <row r="3633" spans="1:12" ht="17.25" thickBot="1">
      <c r="A3633" s="3" t="s">
        <v>3493</v>
      </c>
      <c r="B3633" s="3" t="s">
        <v>107</v>
      </c>
      <c r="C3633" s="3" t="s">
        <v>45</v>
      </c>
      <c r="D3633" s="4" t="s">
        <v>254</v>
      </c>
      <c r="E3633" s="4" t="s">
        <v>2725</v>
      </c>
      <c r="F3633" s="4">
        <v>1991</v>
      </c>
      <c r="G3633" s="9"/>
      <c r="H3633" s="4" t="s">
        <v>2968</v>
      </c>
      <c r="I3633" s="8">
        <v>0.9</v>
      </c>
      <c r="J3633" s="3">
        <f>1599</f>
        <v>1599</v>
      </c>
      <c r="K3633" s="3">
        <v>50602</v>
      </c>
      <c r="L3633" s="17" t="str" cm="1">
        <f t="array" ref="L3633">_xlfn.IFS(MID(K3633,2,2)="01", "서울", MID(K3633,2,2)="02","경기",MID(K3633,2,2)="03","충청",MID(K3633,2,2)="04","충청",MID(K3633,2,2)="05","전라",MID(K3633,2,2)="06","전라",MID(K3633,2,2)="07","경북",MID(K3633,2,2)="08","경남",MID(K3633,2,2)="09","강원",MID(K3633,2,2)="10","제주",TRUE,"국외")</f>
        <v>전라</v>
      </c>
    </row>
    <row r="3634" spans="1:12" ht="17.25" thickBot="1">
      <c r="A3634" s="3" t="s">
        <v>3494</v>
      </c>
      <c r="B3634" s="3" t="s">
        <v>42</v>
      </c>
      <c r="C3634" s="3"/>
      <c r="D3634" s="4" t="s">
        <v>254</v>
      </c>
      <c r="E3634" s="4" t="s">
        <v>2968</v>
      </c>
      <c r="F3634" s="4">
        <v>1988</v>
      </c>
      <c r="G3634" s="8">
        <v>-0.4</v>
      </c>
      <c r="H3634" s="4" t="s">
        <v>2968</v>
      </c>
      <c r="I3634" s="8">
        <v>-3.6</v>
      </c>
      <c r="J3634" s="3">
        <f>1413</f>
        <v>1413</v>
      </c>
      <c r="K3634" s="3">
        <v>50502</v>
      </c>
      <c r="L3634" s="17" t="str" cm="1">
        <f t="array" ref="L3634">_xlfn.IFS(MID(K3634,2,2)="01", "서울", MID(K3634,2,2)="02","경기",MID(K3634,2,2)="03","충청",MID(K3634,2,2)="04","충청",MID(K3634,2,2)="05","전라",MID(K3634,2,2)="06","전라",MID(K3634,2,2)="07","경북",MID(K3634,2,2)="08","경남",MID(K3634,2,2)="09","강원",MID(K3634,2,2)="10","제주",TRUE,"국외")</f>
        <v>전라</v>
      </c>
    </row>
    <row r="3635" spans="1:12" ht="17.25" thickBot="1">
      <c r="A3635" s="3" t="s">
        <v>3495</v>
      </c>
      <c r="B3635" s="3"/>
      <c r="C3635" s="3"/>
      <c r="D3635" s="4" t="s">
        <v>181</v>
      </c>
      <c r="E3635" s="4" t="s">
        <v>2725</v>
      </c>
      <c r="F3635" s="4">
        <v>1988</v>
      </c>
      <c r="G3635" s="8">
        <v>-0.1</v>
      </c>
      <c r="H3635" s="4" t="s">
        <v>2725</v>
      </c>
      <c r="I3635" s="8">
        <v>-0.3</v>
      </c>
      <c r="J3635" s="3">
        <f>1388</f>
        <v>1388</v>
      </c>
      <c r="K3635" s="3"/>
      <c r="L3635" s="17" t="str" cm="1">
        <f t="array" ref="L3635">_xlfn.IFS(MID(K3635,2,2)="01", "서울", MID(K3635,2,2)="02","경기",MID(K3635,2,2)="03","충청",MID(K3635,2,2)="04","충청",MID(K3635,2,2)="05","전라",MID(K3635,2,2)="06","전라",MID(K3635,2,2)="07","경북",MID(K3635,2,2)="08","경남",MID(K3635,2,2)="09","강원",MID(K3635,2,2)="10","제주",TRUE,"국외")</f>
        <v>국외</v>
      </c>
    </row>
    <row r="3636" spans="1:12" ht="17.25" thickBot="1">
      <c r="A3636" s="3" t="s">
        <v>3496</v>
      </c>
      <c r="B3636" s="3"/>
      <c r="C3636" s="3"/>
      <c r="D3636" s="4" t="s">
        <v>181</v>
      </c>
      <c r="E3636" s="4" t="s">
        <v>2725</v>
      </c>
      <c r="F3636" s="4">
        <v>1988</v>
      </c>
      <c r="G3636" s="8">
        <v>4.3</v>
      </c>
      <c r="H3636" s="4" t="s">
        <v>2725</v>
      </c>
      <c r="I3636" s="8">
        <v>7.1</v>
      </c>
      <c r="J3636" s="3">
        <f>1390</f>
        <v>1390</v>
      </c>
      <c r="K3636" s="3"/>
      <c r="L3636" s="17" t="str" cm="1">
        <f t="array" ref="L3636">_xlfn.IFS(MID(K3636,2,2)="01", "서울", MID(K3636,2,2)="02","경기",MID(K3636,2,2)="03","충청",MID(K3636,2,2)="04","충청",MID(K3636,2,2)="05","전라",MID(K3636,2,2)="06","전라",MID(K3636,2,2)="07","경북",MID(K3636,2,2)="08","경남",MID(K3636,2,2)="09","강원",MID(K3636,2,2)="10","제주",TRUE,"국외")</f>
        <v>국외</v>
      </c>
    </row>
    <row r="3637" spans="1:12" ht="17.25" thickBot="1">
      <c r="A3637" s="3" t="s">
        <v>3497</v>
      </c>
      <c r="B3637" s="3"/>
      <c r="C3637" s="3"/>
      <c r="D3637" s="4" t="s">
        <v>181</v>
      </c>
      <c r="E3637" s="4" t="s">
        <v>3101</v>
      </c>
      <c r="F3637" s="4">
        <v>1988</v>
      </c>
      <c r="G3637" s="8">
        <v>2.1</v>
      </c>
      <c r="H3637" s="4" t="s">
        <v>3101</v>
      </c>
      <c r="I3637" s="8">
        <v>5.8</v>
      </c>
      <c r="J3637" s="3">
        <f>1401</f>
        <v>1401</v>
      </c>
      <c r="K3637" s="3"/>
      <c r="L3637" s="17" t="str" cm="1">
        <f t="array" ref="L3637">_xlfn.IFS(MID(K3637,2,2)="01", "서울", MID(K3637,2,2)="02","경기",MID(K3637,2,2)="03","충청",MID(K3637,2,2)="04","충청",MID(K3637,2,2)="05","전라",MID(K3637,2,2)="06","전라",MID(K3637,2,2)="07","경북",MID(K3637,2,2)="08","경남",MID(K3637,2,2)="09","강원",MID(K3637,2,2)="10","제주",TRUE,"국외")</f>
        <v>국외</v>
      </c>
    </row>
    <row r="3638" spans="1:12" ht="17.25" thickBot="1">
      <c r="A3638" s="3" t="s">
        <v>3498</v>
      </c>
      <c r="B3638" s="3" t="s">
        <v>722</v>
      </c>
      <c r="C3638" s="3"/>
      <c r="D3638" s="4" t="s">
        <v>181</v>
      </c>
      <c r="E3638" s="4" t="s">
        <v>23</v>
      </c>
      <c r="F3638" s="4">
        <v>1988</v>
      </c>
      <c r="G3638" s="8">
        <v>-0.5</v>
      </c>
      <c r="H3638" s="4" t="s">
        <v>23</v>
      </c>
      <c r="I3638" s="8">
        <v>-0.5</v>
      </c>
      <c r="J3638" s="3">
        <f>1416</f>
        <v>1416</v>
      </c>
      <c r="K3638" s="3">
        <v>51100</v>
      </c>
      <c r="L3638" s="17" t="str" cm="1">
        <f t="array" ref="L3638">_xlfn.IFS(MID(K3638,2,2)="01", "서울", MID(K3638,2,2)="02","경기",MID(K3638,2,2)="03","충청",MID(K3638,2,2)="04","충청",MID(K3638,2,2)="05","전라",MID(K3638,2,2)="06","전라",MID(K3638,2,2)="07","경북",MID(K3638,2,2)="08","경남",MID(K3638,2,2)="09","강원",MID(K3638,2,2)="10","제주",TRUE,"국외")</f>
        <v>국외</v>
      </c>
    </row>
    <row r="3639" spans="1:12" ht="17.25" thickBot="1">
      <c r="A3639" s="3" t="s">
        <v>3499</v>
      </c>
      <c r="B3639" s="3"/>
      <c r="C3639" s="3"/>
      <c r="D3639" s="4" t="s">
        <v>181</v>
      </c>
      <c r="E3639" s="4" t="s">
        <v>2968</v>
      </c>
      <c r="F3639" s="4">
        <v>1988</v>
      </c>
      <c r="G3639" s="8">
        <v>0.6</v>
      </c>
      <c r="H3639" s="4" t="s">
        <v>2968</v>
      </c>
      <c r="I3639" s="8">
        <v>0.6</v>
      </c>
      <c r="J3639" s="3">
        <f>1405</f>
        <v>1405</v>
      </c>
      <c r="K3639" s="3"/>
      <c r="L3639" s="17" t="str" cm="1">
        <f t="array" ref="L3639">_xlfn.IFS(MID(K3639,2,2)="01", "서울", MID(K3639,2,2)="02","경기",MID(K3639,2,2)="03","충청",MID(K3639,2,2)="04","충청",MID(K3639,2,2)="05","전라",MID(K3639,2,2)="06","전라",MID(K3639,2,2)="07","경북",MID(K3639,2,2)="08","경남",MID(K3639,2,2)="09","강원",MID(K3639,2,2)="10","제주",TRUE,"국외")</f>
        <v>국외</v>
      </c>
    </row>
    <row r="3640" spans="1:12" ht="17.25" thickBot="1">
      <c r="A3640" s="3" t="s">
        <v>3500</v>
      </c>
      <c r="B3640" s="3" t="s">
        <v>40</v>
      </c>
      <c r="C3640" s="3" t="s">
        <v>218</v>
      </c>
      <c r="D3640" s="4" t="s">
        <v>1777</v>
      </c>
      <c r="E3640" s="4" t="s">
        <v>3387</v>
      </c>
      <c r="F3640" s="4">
        <v>1988</v>
      </c>
      <c r="G3640" s="8">
        <v>-0.1</v>
      </c>
      <c r="H3640" s="4" t="s">
        <v>3387</v>
      </c>
      <c r="I3640" s="8">
        <v>-0.1</v>
      </c>
      <c r="J3640" s="3">
        <f>1375</f>
        <v>1375</v>
      </c>
      <c r="K3640" s="3">
        <v>50108</v>
      </c>
      <c r="L3640" s="17" t="str" cm="1">
        <f t="array" ref="L3640">_xlfn.IFS(MID(K3640,2,2)="01", "서울", MID(K3640,2,2)="02","경기",MID(K3640,2,2)="03","충청",MID(K3640,2,2)="04","충청",MID(K3640,2,2)="05","전라",MID(K3640,2,2)="06","전라",MID(K3640,2,2)="07","경북",MID(K3640,2,2)="08","경남",MID(K3640,2,2)="09","강원",MID(K3640,2,2)="10","제주",TRUE,"국외")</f>
        <v>서울</v>
      </c>
    </row>
    <row r="3641" spans="1:12" ht="17.25" thickBot="1">
      <c r="A3641" s="3" t="s">
        <v>3501</v>
      </c>
      <c r="B3641" s="3" t="s">
        <v>3328</v>
      </c>
      <c r="C3641" s="3"/>
      <c r="D3641" s="4" t="s">
        <v>1777</v>
      </c>
      <c r="E3641" s="4" t="s">
        <v>9</v>
      </c>
      <c r="F3641" s="4">
        <v>1988</v>
      </c>
      <c r="G3641" s="8">
        <v>1.1000000000000001</v>
      </c>
      <c r="H3641" s="4" t="s">
        <v>9</v>
      </c>
      <c r="I3641" s="8">
        <v>3.1</v>
      </c>
      <c r="J3641" s="3">
        <f>1409</f>
        <v>1409</v>
      </c>
      <c r="K3641" s="3">
        <v>50815</v>
      </c>
      <c r="L3641" s="17" t="str" cm="1">
        <f t="array" ref="L3641">_xlfn.IFS(MID(K3641,2,2)="01", "서울", MID(K3641,2,2)="02","경기",MID(K3641,2,2)="03","충청",MID(K3641,2,2)="04","충청",MID(K3641,2,2)="05","전라",MID(K3641,2,2)="06","전라",MID(K3641,2,2)="07","경북",MID(K3641,2,2)="08","경남",MID(K3641,2,2)="09","강원",MID(K3641,2,2)="10","제주",TRUE,"국외")</f>
        <v>경남</v>
      </c>
    </row>
    <row r="3642" spans="1:12" ht="17.25" thickBot="1">
      <c r="A3642" s="3" t="s">
        <v>3502</v>
      </c>
      <c r="B3642" s="3" t="s">
        <v>121</v>
      </c>
      <c r="C3642" s="3" t="s">
        <v>739</v>
      </c>
      <c r="D3642" s="4" t="s">
        <v>1777</v>
      </c>
      <c r="E3642" s="4" t="s">
        <v>9</v>
      </c>
      <c r="F3642" s="4">
        <v>1988</v>
      </c>
      <c r="G3642" s="8">
        <v>0</v>
      </c>
      <c r="H3642" s="4" t="s">
        <v>9</v>
      </c>
      <c r="I3642" s="8">
        <v>-0.1</v>
      </c>
      <c r="J3642" s="3">
        <f>1400</f>
        <v>1400</v>
      </c>
      <c r="K3642" s="3">
        <v>50604</v>
      </c>
      <c r="L3642" s="17" t="str" cm="1">
        <f t="array" ref="L3642">_xlfn.IFS(MID(K3642,2,2)="01", "서울", MID(K3642,2,2)="02","경기",MID(K3642,2,2)="03","충청",MID(K3642,2,2)="04","충청",MID(K3642,2,2)="05","전라",MID(K3642,2,2)="06","전라",MID(K3642,2,2)="07","경북",MID(K3642,2,2)="08","경남",MID(K3642,2,2)="09","강원",MID(K3642,2,2)="10","제주",TRUE,"국외")</f>
        <v>전라</v>
      </c>
    </row>
    <row r="3643" spans="1:12" ht="17.25" thickBot="1">
      <c r="A3643" s="3" t="s">
        <v>3503</v>
      </c>
      <c r="B3643" s="3" t="s">
        <v>1834</v>
      </c>
      <c r="C3643" s="3"/>
      <c r="D3643" s="4" t="s">
        <v>1777</v>
      </c>
      <c r="E3643" s="4" t="s">
        <v>23</v>
      </c>
      <c r="F3643" s="4">
        <v>1988</v>
      </c>
      <c r="G3643" s="8">
        <v>-0.3</v>
      </c>
      <c r="H3643" s="4" t="s">
        <v>23</v>
      </c>
      <c r="I3643" s="8">
        <v>-0.2</v>
      </c>
      <c r="J3643" s="3">
        <f>1381</f>
        <v>1381</v>
      </c>
      <c r="K3643" s="3">
        <v>50904</v>
      </c>
      <c r="L3643" s="17" t="str" cm="1">
        <f t="array" ref="L3643">_xlfn.IFS(MID(K3643,2,2)="01", "서울", MID(K3643,2,2)="02","경기",MID(K3643,2,2)="03","충청",MID(K3643,2,2)="04","충청",MID(K3643,2,2)="05","전라",MID(K3643,2,2)="06","전라",MID(K3643,2,2)="07","경북",MID(K3643,2,2)="08","경남",MID(K3643,2,2)="09","강원",MID(K3643,2,2)="10","제주",TRUE,"국외")</f>
        <v>강원</v>
      </c>
    </row>
    <row r="3644" spans="1:12" ht="17.25" thickBot="1">
      <c r="A3644" s="3" t="s">
        <v>3504</v>
      </c>
      <c r="B3644" s="3" t="s">
        <v>70</v>
      </c>
      <c r="C3644" s="3"/>
      <c r="D3644" s="4" t="s">
        <v>1777</v>
      </c>
      <c r="E3644" s="4" t="s">
        <v>2725</v>
      </c>
      <c r="F3644" s="4">
        <v>1989</v>
      </c>
      <c r="G3644" s="9"/>
      <c r="H3644" s="4" t="s">
        <v>2725</v>
      </c>
      <c r="I3644" s="8">
        <v>0.8</v>
      </c>
      <c r="J3644" s="3">
        <f>1474</f>
        <v>1474</v>
      </c>
      <c r="K3644" s="3">
        <v>50103</v>
      </c>
      <c r="L3644" s="17" t="str" cm="1">
        <f t="array" ref="L3644">_xlfn.IFS(MID(K3644,2,2)="01", "서울", MID(K3644,2,2)="02","경기",MID(K3644,2,2)="03","충청",MID(K3644,2,2)="04","충청",MID(K3644,2,2)="05","전라",MID(K3644,2,2)="06","전라",MID(K3644,2,2)="07","경북",MID(K3644,2,2)="08","경남",MID(K3644,2,2)="09","강원",MID(K3644,2,2)="10","제주",TRUE,"국외")</f>
        <v>서울</v>
      </c>
    </row>
    <row r="3645" spans="1:12" ht="17.25" thickBot="1">
      <c r="A3645" s="3" t="s">
        <v>3505</v>
      </c>
      <c r="B3645" s="3" t="s">
        <v>5</v>
      </c>
      <c r="C3645" s="3"/>
      <c r="D3645" s="4" t="s">
        <v>1777</v>
      </c>
      <c r="E3645" s="4" t="s">
        <v>2968</v>
      </c>
      <c r="F3645" s="4">
        <v>1988</v>
      </c>
      <c r="G3645" s="8">
        <v>0</v>
      </c>
      <c r="H3645" s="4" t="s">
        <v>2968</v>
      </c>
      <c r="I3645" s="8">
        <v>0</v>
      </c>
      <c r="J3645" s="3">
        <f>1382</f>
        <v>1382</v>
      </c>
      <c r="K3645" s="3">
        <v>50114</v>
      </c>
      <c r="L3645" s="17" t="str" cm="1">
        <f t="array" ref="L3645">_xlfn.IFS(MID(K3645,2,2)="01", "서울", MID(K3645,2,2)="02","경기",MID(K3645,2,2)="03","충청",MID(K3645,2,2)="04","충청",MID(K3645,2,2)="05","전라",MID(K3645,2,2)="06","전라",MID(K3645,2,2)="07","경북",MID(K3645,2,2)="08","경남",MID(K3645,2,2)="09","강원",MID(K3645,2,2)="10","제주",TRUE,"국외")</f>
        <v>서울</v>
      </c>
    </row>
    <row r="3646" spans="1:12" ht="17.25" thickBot="1">
      <c r="A3646" s="3"/>
      <c r="B3646" s="3" t="s">
        <v>8</v>
      </c>
      <c r="C3646" s="3"/>
      <c r="D3646" s="4" t="s">
        <v>205</v>
      </c>
      <c r="E3646" s="4" t="s">
        <v>2725</v>
      </c>
      <c r="F3646" s="4"/>
      <c r="G3646" s="9"/>
      <c r="H3646" s="4"/>
      <c r="I3646" s="9"/>
      <c r="J3646" s="3">
        <v>13921</v>
      </c>
      <c r="K3646" s="3">
        <v>50116</v>
      </c>
      <c r="L3646" s="17" t="str" cm="1">
        <f t="array" ref="L3646">_xlfn.IFS(MID(K3646,2,2)="01", "서울", MID(K3646,2,2)="02","경기",MID(K3646,2,2)="03","충청",MID(K3646,2,2)="04","충청",MID(K3646,2,2)="05","전라",MID(K3646,2,2)="06","전라",MID(K3646,2,2)="07","경북",MID(K3646,2,2)="08","경남",MID(K3646,2,2)="09","강원",MID(K3646,2,2)="10","제주",TRUE,"국외")</f>
        <v>서울</v>
      </c>
    </row>
    <row r="3647" spans="1:12" ht="17.25" thickBot="1">
      <c r="A3647" s="3" t="s">
        <v>3506</v>
      </c>
      <c r="B3647" s="3" t="s">
        <v>70</v>
      </c>
      <c r="C3647" s="3"/>
      <c r="D3647" s="4" t="s">
        <v>2710</v>
      </c>
      <c r="E3647" s="4" t="s">
        <v>3387</v>
      </c>
      <c r="F3647" s="4">
        <v>1989</v>
      </c>
      <c r="G3647" s="9"/>
      <c r="H3647" s="4" t="s">
        <v>20</v>
      </c>
      <c r="I3647" s="8">
        <v>-0.2</v>
      </c>
      <c r="J3647" s="3">
        <f>1431</f>
        <v>1431</v>
      </c>
      <c r="K3647" s="3">
        <v>50103</v>
      </c>
      <c r="L3647" s="17" t="str" cm="1">
        <f t="array" ref="L3647">_xlfn.IFS(MID(K3647,2,2)="01", "서울", MID(K3647,2,2)="02","경기",MID(K3647,2,2)="03","충청",MID(K3647,2,2)="04","충청",MID(K3647,2,2)="05","전라",MID(K3647,2,2)="06","전라",MID(K3647,2,2)="07","경북",MID(K3647,2,2)="08","경남",MID(K3647,2,2)="09","강원",MID(K3647,2,2)="10","제주",TRUE,"국외")</f>
        <v>서울</v>
      </c>
    </row>
    <row r="3648" spans="1:12" ht="17.25" thickBot="1">
      <c r="A3648" s="3" t="s">
        <v>3507</v>
      </c>
      <c r="B3648" s="3" t="s">
        <v>66</v>
      </c>
      <c r="C3648" s="3"/>
      <c r="D3648" s="4" t="s">
        <v>2710</v>
      </c>
      <c r="E3648" s="4" t="s">
        <v>3387</v>
      </c>
      <c r="F3648" s="4">
        <v>1990</v>
      </c>
      <c r="G3648" s="9"/>
      <c r="H3648" s="4" t="s">
        <v>20</v>
      </c>
      <c r="I3648" s="8">
        <v>0.1</v>
      </c>
      <c r="J3648" s="3">
        <f>1536</f>
        <v>1536</v>
      </c>
      <c r="K3648" s="3">
        <v>50110</v>
      </c>
      <c r="L3648" s="17" t="str" cm="1">
        <f t="array" ref="L3648">_xlfn.IFS(MID(K3648,2,2)="01", "서울", MID(K3648,2,2)="02","경기",MID(K3648,2,2)="03","충청",MID(K3648,2,2)="04","충청",MID(K3648,2,2)="05","전라",MID(K3648,2,2)="06","전라",MID(K3648,2,2)="07","경북",MID(K3648,2,2)="08","경남",MID(K3648,2,2)="09","강원",MID(K3648,2,2)="10","제주",TRUE,"국외")</f>
        <v>서울</v>
      </c>
    </row>
    <row r="3649" spans="1:12" ht="17.25" thickBot="1">
      <c r="A3649" s="3" t="s">
        <v>3508</v>
      </c>
      <c r="B3649" s="3" t="s">
        <v>5</v>
      </c>
      <c r="C3649" s="3"/>
      <c r="D3649" s="4" t="s">
        <v>2710</v>
      </c>
      <c r="E3649" s="4" t="s">
        <v>2725</v>
      </c>
      <c r="F3649" s="4">
        <v>1988</v>
      </c>
      <c r="G3649" s="8">
        <v>-0.3</v>
      </c>
      <c r="H3649" s="4" t="s">
        <v>2725</v>
      </c>
      <c r="I3649" s="8">
        <v>-1.1000000000000001</v>
      </c>
      <c r="J3649" s="3">
        <f>1419</f>
        <v>1419</v>
      </c>
      <c r="K3649" s="3">
        <v>50114</v>
      </c>
      <c r="L3649" s="17" t="str" cm="1">
        <f t="array" ref="L3649">_xlfn.IFS(MID(K3649,2,2)="01", "서울", MID(K3649,2,2)="02","경기",MID(K3649,2,2)="03","충청",MID(K3649,2,2)="04","충청",MID(K3649,2,2)="05","전라",MID(K3649,2,2)="06","전라",MID(K3649,2,2)="07","경북",MID(K3649,2,2)="08","경남",MID(K3649,2,2)="09","강원",MID(K3649,2,2)="10","제주",TRUE,"국외")</f>
        <v>서울</v>
      </c>
    </row>
    <row r="3650" spans="1:12" ht="17.25" thickBot="1">
      <c r="A3650" s="3" t="s">
        <v>3509</v>
      </c>
      <c r="B3650" s="3" t="s">
        <v>361</v>
      </c>
      <c r="C3650" s="3"/>
      <c r="D3650" s="4" t="s">
        <v>2710</v>
      </c>
      <c r="E3650" s="4" t="s">
        <v>2725</v>
      </c>
      <c r="F3650" s="4">
        <v>1989</v>
      </c>
      <c r="G3650" s="9"/>
      <c r="H3650" s="4" t="s">
        <v>2725</v>
      </c>
      <c r="I3650" s="8">
        <v>0</v>
      </c>
      <c r="J3650" s="3">
        <f>1466</f>
        <v>1466</v>
      </c>
      <c r="K3650" s="3">
        <v>50121</v>
      </c>
      <c r="L3650" s="17" t="str" cm="1">
        <f t="array" ref="L3650">_xlfn.IFS(MID(K3650,2,2)="01", "서울", MID(K3650,2,2)="02","경기",MID(K3650,2,2)="03","충청",MID(K3650,2,2)="04","충청",MID(K3650,2,2)="05","전라",MID(K3650,2,2)="06","전라",MID(K3650,2,2)="07","경북",MID(K3650,2,2)="08","경남",MID(K3650,2,2)="09","강원",MID(K3650,2,2)="10","제주",TRUE,"국외")</f>
        <v>서울</v>
      </c>
    </row>
    <row r="3651" spans="1:12" ht="17.25" thickBot="1">
      <c r="A3651" s="3" t="s">
        <v>3510</v>
      </c>
      <c r="B3651" s="3"/>
      <c r="C3651" s="3"/>
      <c r="D3651" s="4" t="s">
        <v>2710</v>
      </c>
      <c r="E3651" s="4" t="s">
        <v>3101</v>
      </c>
      <c r="F3651" s="4">
        <v>1988</v>
      </c>
      <c r="G3651" s="8">
        <v>0.3</v>
      </c>
      <c r="H3651" s="4" t="s">
        <v>3101</v>
      </c>
      <c r="I3651" s="8">
        <v>-0.1</v>
      </c>
      <c r="J3651" s="3">
        <f>1418</f>
        <v>1418</v>
      </c>
      <c r="K3651" s="3"/>
      <c r="L3651" s="17" t="str" cm="1">
        <f t="array" ref="L3651">_xlfn.IFS(MID(K3651,2,2)="01", "서울", MID(K3651,2,2)="02","경기",MID(K3651,2,2)="03","충청",MID(K3651,2,2)="04","충청",MID(K3651,2,2)="05","전라",MID(K3651,2,2)="06","전라",MID(K3651,2,2)="07","경북",MID(K3651,2,2)="08","경남",MID(K3651,2,2)="09","강원",MID(K3651,2,2)="10","제주",TRUE,"국외")</f>
        <v>국외</v>
      </c>
    </row>
    <row r="3652" spans="1:12" ht="17.25" thickBot="1">
      <c r="A3652" s="3" t="s">
        <v>279</v>
      </c>
      <c r="B3652" s="3" t="s">
        <v>34</v>
      </c>
      <c r="C3652" s="3"/>
      <c r="D3652" s="4" t="s">
        <v>2710</v>
      </c>
      <c r="E3652" s="4" t="s">
        <v>23</v>
      </c>
      <c r="F3652" s="4">
        <v>1989</v>
      </c>
      <c r="G3652" s="9"/>
      <c r="H3652" s="4" t="s">
        <v>23</v>
      </c>
      <c r="I3652" s="8">
        <v>-0.3</v>
      </c>
      <c r="J3652" s="3">
        <f>1486</f>
        <v>1486</v>
      </c>
      <c r="K3652" s="3">
        <v>50701</v>
      </c>
      <c r="L3652" s="17" t="str" cm="1">
        <f t="array" ref="L3652">_xlfn.IFS(MID(K3652,2,2)="01", "서울", MID(K3652,2,2)="02","경기",MID(K3652,2,2)="03","충청",MID(K3652,2,2)="04","충청",MID(K3652,2,2)="05","전라",MID(K3652,2,2)="06","전라",MID(K3652,2,2)="07","경북",MID(K3652,2,2)="08","경남",MID(K3652,2,2)="09","강원",MID(K3652,2,2)="10","제주",TRUE,"국외")</f>
        <v>경북</v>
      </c>
    </row>
    <row r="3653" spans="1:12" ht="17.25" thickBot="1">
      <c r="A3653" s="3" t="s">
        <v>686</v>
      </c>
      <c r="B3653" s="3" t="s">
        <v>147</v>
      </c>
      <c r="C3653" s="3"/>
      <c r="D3653" s="4" t="s">
        <v>2710</v>
      </c>
      <c r="E3653" s="4" t="s">
        <v>2968</v>
      </c>
      <c r="F3653" s="4">
        <v>1988</v>
      </c>
      <c r="G3653" s="8">
        <v>-0.4</v>
      </c>
      <c r="H3653" s="4" t="s">
        <v>2968</v>
      </c>
      <c r="I3653" s="8">
        <v>19.8</v>
      </c>
      <c r="J3653" s="3">
        <f>1408</f>
        <v>1408</v>
      </c>
      <c r="K3653" s="3">
        <v>50208</v>
      </c>
      <c r="L3653" s="17" t="str" cm="1">
        <f t="array" ref="L3653">_xlfn.IFS(MID(K3653,2,2)="01", "서울", MID(K3653,2,2)="02","경기",MID(K3653,2,2)="03","충청",MID(K3653,2,2)="04","충청",MID(K3653,2,2)="05","전라",MID(K3653,2,2)="06","전라",MID(K3653,2,2)="07","경북",MID(K3653,2,2)="08","경남",MID(K3653,2,2)="09","강원",MID(K3653,2,2)="10","제주",TRUE,"국외")</f>
        <v>경기</v>
      </c>
    </row>
    <row r="3654" spans="1:12" ht="17.25" thickBot="1">
      <c r="A3654" s="3" t="s">
        <v>3443</v>
      </c>
      <c r="B3654" s="3" t="s">
        <v>93</v>
      </c>
      <c r="C3654" s="3" t="s">
        <v>739</v>
      </c>
      <c r="D3654" s="4" t="s">
        <v>243</v>
      </c>
      <c r="E3654" s="4" t="s">
        <v>9</v>
      </c>
      <c r="F3654" s="4">
        <v>1987</v>
      </c>
      <c r="G3654" s="8">
        <v>0.3</v>
      </c>
      <c r="H3654" s="4" t="s">
        <v>9</v>
      </c>
      <c r="I3654" s="8">
        <v>1.7</v>
      </c>
      <c r="J3654" s="3">
        <f>1364</f>
        <v>1364</v>
      </c>
      <c r="K3654" s="3">
        <v>50805</v>
      </c>
      <c r="L3654" s="17" t="str" cm="1">
        <f t="array" ref="L3654">_xlfn.IFS(MID(K3654,2,2)="01", "서울", MID(K3654,2,2)="02","경기",MID(K3654,2,2)="03","충청",MID(K3654,2,2)="04","충청",MID(K3654,2,2)="05","전라",MID(K3654,2,2)="06","전라",MID(K3654,2,2)="07","경북",MID(K3654,2,2)="08","경남",MID(K3654,2,2)="09","강원",MID(K3654,2,2)="10","제주",TRUE,"국외")</f>
        <v>경남</v>
      </c>
    </row>
    <row r="3655" spans="1:12" ht="17.25" thickBot="1">
      <c r="A3655" s="3" t="s">
        <v>3511</v>
      </c>
      <c r="B3655" s="3" t="s">
        <v>3512</v>
      </c>
      <c r="C3655" s="3" t="s">
        <v>3183</v>
      </c>
      <c r="D3655" s="4" t="s">
        <v>243</v>
      </c>
      <c r="E3655" s="4" t="s">
        <v>3387</v>
      </c>
      <c r="F3655" s="4">
        <v>1987</v>
      </c>
      <c r="G3655" s="8">
        <v>0</v>
      </c>
      <c r="H3655" s="4" t="s">
        <v>3387</v>
      </c>
      <c r="I3655" s="8">
        <v>-0.3</v>
      </c>
      <c r="J3655" s="3">
        <f>1357</f>
        <v>1357</v>
      </c>
      <c r="K3655" s="3">
        <v>50122</v>
      </c>
      <c r="L3655" s="17" t="str" cm="1">
        <f t="array" ref="L3655">_xlfn.IFS(MID(K3655,2,2)="01", "서울", MID(K3655,2,2)="02","경기",MID(K3655,2,2)="03","충청",MID(K3655,2,2)="04","충청",MID(K3655,2,2)="05","전라",MID(K3655,2,2)="06","전라",MID(K3655,2,2)="07","경북",MID(K3655,2,2)="08","경남",MID(K3655,2,2)="09","강원",MID(K3655,2,2)="10","제주",TRUE,"국외")</f>
        <v>서울</v>
      </c>
    </row>
    <row r="3656" spans="1:12" ht="17.25" thickBot="1">
      <c r="A3656" s="3" t="s">
        <v>3513</v>
      </c>
      <c r="B3656" s="3" t="s">
        <v>145</v>
      </c>
      <c r="C3656" s="3" t="s">
        <v>45</v>
      </c>
      <c r="D3656" s="4" t="s">
        <v>243</v>
      </c>
      <c r="E3656" s="4" t="s">
        <v>3387</v>
      </c>
      <c r="F3656" s="4">
        <v>1989</v>
      </c>
      <c r="G3656" s="9"/>
      <c r="H3656" s="4" t="s">
        <v>20</v>
      </c>
      <c r="I3656" s="8">
        <v>16.899999999999999</v>
      </c>
      <c r="J3656" s="3">
        <f>1439</f>
        <v>1439</v>
      </c>
      <c r="K3656" s="3">
        <v>50106</v>
      </c>
      <c r="L3656" s="17" t="str" cm="1">
        <f t="array" ref="L3656">_xlfn.IFS(MID(K3656,2,2)="01", "서울", MID(K3656,2,2)="02","경기",MID(K3656,2,2)="03","충청",MID(K3656,2,2)="04","충청",MID(K3656,2,2)="05","전라",MID(K3656,2,2)="06","전라",MID(K3656,2,2)="07","경북",MID(K3656,2,2)="08","경남",MID(K3656,2,2)="09","강원",MID(K3656,2,2)="10","제주",TRUE,"국외")</f>
        <v>서울</v>
      </c>
    </row>
    <row r="3657" spans="1:12" ht="17.25" thickBot="1">
      <c r="A3657" s="3" t="s">
        <v>3514</v>
      </c>
      <c r="B3657" s="3" t="s">
        <v>8</v>
      </c>
      <c r="C3657" s="3" t="s">
        <v>538</v>
      </c>
      <c r="D3657" s="4" t="s">
        <v>243</v>
      </c>
      <c r="E3657" s="4" t="s">
        <v>3387</v>
      </c>
      <c r="F3657" s="4">
        <v>1987</v>
      </c>
      <c r="G3657" s="8">
        <v>0.1</v>
      </c>
      <c r="H3657" s="4" t="s">
        <v>20</v>
      </c>
      <c r="I3657" s="8">
        <v>7.8</v>
      </c>
      <c r="J3657" s="3">
        <f>1342</f>
        <v>1342</v>
      </c>
      <c r="K3657" s="3">
        <v>50116</v>
      </c>
      <c r="L3657" s="17" t="str" cm="1">
        <f t="array" ref="L3657">_xlfn.IFS(MID(K3657,2,2)="01", "서울", MID(K3657,2,2)="02","경기",MID(K3657,2,2)="03","충청",MID(K3657,2,2)="04","충청",MID(K3657,2,2)="05","전라",MID(K3657,2,2)="06","전라",MID(K3657,2,2)="07","경북",MID(K3657,2,2)="08","경남",MID(K3657,2,2)="09","강원",MID(K3657,2,2)="10","제주",TRUE,"국외")</f>
        <v>서울</v>
      </c>
    </row>
    <row r="3658" spans="1:12" ht="17.25" thickBot="1">
      <c r="A3658" s="3" t="s">
        <v>3515</v>
      </c>
      <c r="B3658" s="3"/>
      <c r="C3658" s="3" t="s">
        <v>3183</v>
      </c>
      <c r="D3658" s="4" t="s">
        <v>243</v>
      </c>
      <c r="E3658" s="4" t="s">
        <v>2725</v>
      </c>
      <c r="F3658" s="4">
        <v>1987</v>
      </c>
      <c r="G3658" s="8">
        <v>-0.4</v>
      </c>
      <c r="H3658" s="4" t="s">
        <v>2725</v>
      </c>
      <c r="I3658" s="8">
        <v>-0.4</v>
      </c>
      <c r="J3658" s="3">
        <f>1362</f>
        <v>1362</v>
      </c>
      <c r="K3658" s="3"/>
      <c r="L3658" s="17" t="str" cm="1">
        <f t="array" ref="L3658">_xlfn.IFS(MID(K3658,2,2)="01", "서울", MID(K3658,2,2)="02","경기",MID(K3658,2,2)="03","충청",MID(K3658,2,2)="04","충청",MID(K3658,2,2)="05","전라",MID(K3658,2,2)="06","전라",MID(K3658,2,2)="07","경북",MID(K3658,2,2)="08","경남",MID(K3658,2,2)="09","강원",MID(K3658,2,2)="10","제주",TRUE,"국외")</f>
        <v>국외</v>
      </c>
    </row>
    <row r="3659" spans="1:12" ht="17.25" thickBot="1">
      <c r="A3659" s="3" t="s">
        <v>3516</v>
      </c>
      <c r="B3659" s="3" t="s">
        <v>1497</v>
      </c>
      <c r="C3659" s="3" t="s">
        <v>172</v>
      </c>
      <c r="D3659" s="4" t="s">
        <v>243</v>
      </c>
      <c r="E3659" s="4" t="s">
        <v>2725</v>
      </c>
      <c r="F3659" s="4">
        <v>1987</v>
      </c>
      <c r="G3659" s="8">
        <v>0.9</v>
      </c>
      <c r="H3659" s="4" t="s">
        <v>2523</v>
      </c>
      <c r="I3659" s="8">
        <v>1.2</v>
      </c>
      <c r="J3659" s="3">
        <f>1340</f>
        <v>1340</v>
      </c>
      <c r="K3659" s="3">
        <v>50112</v>
      </c>
      <c r="L3659" s="17" t="str" cm="1">
        <f t="array" ref="L3659">_xlfn.IFS(MID(K3659,2,2)="01", "서울", MID(K3659,2,2)="02","경기",MID(K3659,2,2)="03","충청",MID(K3659,2,2)="04","충청",MID(K3659,2,2)="05","전라",MID(K3659,2,2)="06","전라",MID(K3659,2,2)="07","경북",MID(K3659,2,2)="08","경남",MID(K3659,2,2)="09","강원",MID(K3659,2,2)="10","제주",TRUE,"국외")</f>
        <v>서울</v>
      </c>
    </row>
    <row r="3660" spans="1:12" ht="17.25" thickBot="1">
      <c r="A3660" s="3" t="s">
        <v>3517</v>
      </c>
      <c r="B3660" s="3" t="s">
        <v>52</v>
      </c>
      <c r="C3660" s="3" t="s">
        <v>211</v>
      </c>
      <c r="D3660" s="4" t="s">
        <v>243</v>
      </c>
      <c r="E3660" s="4" t="s">
        <v>9</v>
      </c>
      <c r="F3660" s="4">
        <v>1987</v>
      </c>
      <c r="G3660" s="8">
        <v>-0.3</v>
      </c>
      <c r="H3660" s="4" t="s">
        <v>9</v>
      </c>
      <c r="I3660" s="8">
        <v>-0.5</v>
      </c>
      <c r="J3660" s="3">
        <f>1355</f>
        <v>1355</v>
      </c>
      <c r="K3660" s="3">
        <v>50803</v>
      </c>
      <c r="L3660" s="17" t="str" cm="1">
        <f t="array" ref="L3660">_xlfn.IFS(MID(K3660,2,2)="01", "서울", MID(K3660,2,2)="02","경기",MID(K3660,2,2)="03","충청",MID(K3660,2,2)="04","충청",MID(K3660,2,2)="05","전라",MID(K3660,2,2)="06","전라",MID(K3660,2,2)="07","경북",MID(K3660,2,2)="08","경남",MID(K3660,2,2)="09","강원",MID(K3660,2,2)="10","제주",TRUE,"국외")</f>
        <v>경남</v>
      </c>
    </row>
    <row r="3661" spans="1:12" ht="17.25" thickBot="1">
      <c r="A3661" s="3" t="s">
        <v>3518</v>
      </c>
      <c r="B3661" s="3" t="s">
        <v>25</v>
      </c>
      <c r="C3661" s="3" t="s">
        <v>739</v>
      </c>
      <c r="D3661" s="4" t="s">
        <v>243</v>
      </c>
      <c r="E3661" s="4" t="s">
        <v>3101</v>
      </c>
      <c r="F3661" s="4">
        <v>1988</v>
      </c>
      <c r="G3661" s="9"/>
      <c r="H3661" s="4" t="s">
        <v>3101</v>
      </c>
      <c r="I3661" s="8">
        <v>-0.1</v>
      </c>
      <c r="J3661" s="3">
        <f>1411</f>
        <v>1411</v>
      </c>
      <c r="K3661" s="3">
        <v>50403</v>
      </c>
      <c r="L3661" s="17" t="str" cm="1">
        <f t="array" ref="L3661">_xlfn.IFS(MID(K3661,2,2)="01", "서울", MID(K3661,2,2)="02","경기",MID(K3661,2,2)="03","충청",MID(K3661,2,2)="04","충청",MID(K3661,2,2)="05","전라",MID(K3661,2,2)="06","전라",MID(K3661,2,2)="07","경북",MID(K3661,2,2)="08","경남",MID(K3661,2,2)="09","강원",MID(K3661,2,2)="10","제주",TRUE,"국외")</f>
        <v>충청</v>
      </c>
    </row>
    <row r="3662" spans="1:12" ht="17.25" thickBot="1">
      <c r="A3662" s="3" t="s">
        <v>3519</v>
      </c>
      <c r="B3662" s="3" t="s">
        <v>25</v>
      </c>
      <c r="C3662" s="3" t="s">
        <v>119</v>
      </c>
      <c r="D3662" s="4" t="s">
        <v>243</v>
      </c>
      <c r="E3662" s="4" t="s">
        <v>3101</v>
      </c>
      <c r="F3662" s="4">
        <v>1987</v>
      </c>
      <c r="G3662" s="8">
        <v>0.9</v>
      </c>
      <c r="H3662" s="4" t="s">
        <v>3101</v>
      </c>
      <c r="I3662" s="8">
        <v>9.1</v>
      </c>
      <c r="J3662" s="3">
        <f>1363</f>
        <v>1363</v>
      </c>
      <c r="K3662" s="3">
        <v>50403</v>
      </c>
      <c r="L3662" s="17" t="str" cm="1">
        <f t="array" ref="L3662">_xlfn.IFS(MID(K3662,2,2)="01", "서울", MID(K3662,2,2)="02","경기",MID(K3662,2,2)="03","충청",MID(K3662,2,2)="04","충청",MID(K3662,2,2)="05","전라",MID(K3662,2,2)="06","전라",MID(K3662,2,2)="07","경북",MID(K3662,2,2)="08","경남",MID(K3662,2,2)="09","강원",MID(K3662,2,2)="10","제주",TRUE,"국외")</f>
        <v>충청</v>
      </c>
    </row>
    <row r="3663" spans="1:12" ht="17.25" thickBot="1">
      <c r="A3663" s="3" t="s">
        <v>3520</v>
      </c>
      <c r="B3663" s="3" t="s">
        <v>176</v>
      </c>
      <c r="C3663" s="3" t="s">
        <v>133</v>
      </c>
      <c r="D3663" s="4" t="s">
        <v>243</v>
      </c>
      <c r="E3663" s="4" t="s">
        <v>3101</v>
      </c>
      <c r="F3663" s="4">
        <v>1987</v>
      </c>
      <c r="G3663" s="8">
        <v>-0.2</v>
      </c>
      <c r="H3663" s="4" t="s">
        <v>3101</v>
      </c>
      <c r="I3663" s="8">
        <v>3.4</v>
      </c>
      <c r="J3663" s="3">
        <f>1353</f>
        <v>1353</v>
      </c>
      <c r="K3663" s="3">
        <v>50302</v>
      </c>
      <c r="L3663" s="17" t="str" cm="1">
        <f t="array" ref="L3663">_xlfn.IFS(MID(K3663,2,2)="01", "서울", MID(K3663,2,2)="02","경기",MID(K3663,2,2)="03","충청",MID(K3663,2,2)="04","충청",MID(K3663,2,2)="05","전라",MID(K3663,2,2)="06","전라",MID(K3663,2,2)="07","경북",MID(K3663,2,2)="08","경남",MID(K3663,2,2)="09","강원",MID(K3663,2,2)="10","제주",TRUE,"국외")</f>
        <v>충청</v>
      </c>
    </row>
    <row r="3664" spans="1:12" ht="17.25" thickBot="1">
      <c r="A3664" s="3" t="s">
        <v>1570</v>
      </c>
      <c r="B3664" s="3" t="s">
        <v>25</v>
      </c>
      <c r="C3664" s="3" t="s">
        <v>739</v>
      </c>
      <c r="D3664" s="4" t="s">
        <v>243</v>
      </c>
      <c r="E3664" s="4" t="s">
        <v>3101</v>
      </c>
      <c r="F3664" s="4">
        <v>1987</v>
      </c>
      <c r="G3664" s="8">
        <v>0.5</v>
      </c>
      <c r="H3664" s="4" t="s">
        <v>2661</v>
      </c>
      <c r="I3664" s="8">
        <v>3.8</v>
      </c>
      <c r="J3664" s="3">
        <f>1358</f>
        <v>1358</v>
      </c>
      <c r="K3664" s="3">
        <v>50403</v>
      </c>
      <c r="L3664" s="17" t="str" cm="1">
        <f t="array" ref="L3664">_xlfn.IFS(MID(K3664,2,2)="01", "서울", MID(K3664,2,2)="02","경기",MID(K3664,2,2)="03","충청",MID(K3664,2,2)="04","충청",MID(K3664,2,2)="05","전라",MID(K3664,2,2)="06","전라",MID(K3664,2,2)="07","경북",MID(K3664,2,2)="08","경남",MID(K3664,2,2)="09","강원",MID(K3664,2,2)="10","제주",TRUE,"국외")</f>
        <v>충청</v>
      </c>
    </row>
    <row r="3665" spans="1:12" ht="17.25" thickBot="1">
      <c r="A3665" s="3" t="s">
        <v>3521</v>
      </c>
      <c r="B3665" s="3" t="s">
        <v>34</v>
      </c>
      <c r="C3665" s="3" t="s">
        <v>739</v>
      </c>
      <c r="D3665" s="4" t="s">
        <v>243</v>
      </c>
      <c r="E3665" s="4" t="s">
        <v>23</v>
      </c>
      <c r="F3665" s="4">
        <v>1987</v>
      </c>
      <c r="G3665" s="8">
        <v>2.2000000000000002</v>
      </c>
      <c r="H3665" s="4" t="s">
        <v>23</v>
      </c>
      <c r="I3665" s="8">
        <v>26.5</v>
      </c>
      <c r="J3665" s="3">
        <v>11467</v>
      </c>
      <c r="K3665" s="3">
        <v>50701</v>
      </c>
      <c r="L3665" s="17" t="str" cm="1">
        <f t="array" ref="L3665">_xlfn.IFS(MID(K3665,2,2)="01", "서울", MID(K3665,2,2)="02","경기",MID(K3665,2,2)="03","충청",MID(K3665,2,2)="04","충청",MID(K3665,2,2)="05","전라",MID(K3665,2,2)="06","전라",MID(K3665,2,2)="07","경북",MID(K3665,2,2)="08","경남",MID(K3665,2,2)="09","강원",MID(K3665,2,2)="10","제주",TRUE,"국외")</f>
        <v>경북</v>
      </c>
    </row>
    <row r="3666" spans="1:12" ht="17.25" thickBot="1">
      <c r="A3666" s="3" t="s">
        <v>3522</v>
      </c>
      <c r="B3666" s="3" t="s">
        <v>14</v>
      </c>
      <c r="C3666" s="3" t="s">
        <v>739</v>
      </c>
      <c r="D3666" s="4" t="s">
        <v>243</v>
      </c>
      <c r="E3666" s="4" t="s">
        <v>23</v>
      </c>
      <c r="F3666" s="4">
        <v>1987</v>
      </c>
      <c r="G3666" s="8">
        <v>0.9</v>
      </c>
      <c r="H3666" s="4" t="s">
        <v>23</v>
      </c>
      <c r="I3666" s="8">
        <v>-0.8</v>
      </c>
      <c r="J3666" s="3">
        <f>1368</f>
        <v>1368</v>
      </c>
      <c r="K3666" s="3">
        <v>50703</v>
      </c>
      <c r="L3666" s="17" t="str" cm="1">
        <f t="array" ref="L3666">_xlfn.IFS(MID(K3666,2,2)="01", "서울", MID(K3666,2,2)="02","경기",MID(K3666,2,2)="03","충청",MID(K3666,2,2)="04","충청",MID(K3666,2,2)="05","전라",MID(K3666,2,2)="06","전라",MID(K3666,2,2)="07","경북",MID(K3666,2,2)="08","경남",MID(K3666,2,2)="09","강원",MID(K3666,2,2)="10","제주",TRUE,"국외")</f>
        <v>경북</v>
      </c>
    </row>
    <row r="3667" spans="1:12" ht="17.25" thickBot="1">
      <c r="A3667" s="3" t="s">
        <v>3523</v>
      </c>
      <c r="B3667" s="3" t="s">
        <v>14</v>
      </c>
      <c r="C3667" s="3" t="s">
        <v>538</v>
      </c>
      <c r="D3667" s="4" t="s">
        <v>243</v>
      </c>
      <c r="E3667" s="4" t="s">
        <v>23</v>
      </c>
      <c r="F3667" s="4">
        <v>1989</v>
      </c>
      <c r="G3667" s="9"/>
      <c r="H3667" s="4" t="s">
        <v>23</v>
      </c>
      <c r="I3667" s="8">
        <v>19</v>
      </c>
      <c r="J3667" s="3">
        <f>1420</f>
        <v>1420</v>
      </c>
      <c r="K3667" s="3">
        <v>50703</v>
      </c>
      <c r="L3667" s="17" t="str" cm="1">
        <f t="array" ref="L3667">_xlfn.IFS(MID(K3667,2,2)="01", "서울", MID(K3667,2,2)="02","경기",MID(K3667,2,2)="03","충청",MID(K3667,2,2)="04","충청",MID(K3667,2,2)="05","전라",MID(K3667,2,2)="06","전라",MID(K3667,2,2)="07","경북",MID(K3667,2,2)="08","경남",MID(K3667,2,2)="09","강원",MID(K3667,2,2)="10","제주",TRUE,"국외")</f>
        <v>경북</v>
      </c>
    </row>
    <row r="3668" spans="1:12" ht="17.25" thickBot="1">
      <c r="A3668" s="3" t="s">
        <v>3524</v>
      </c>
      <c r="B3668" s="3" t="s">
        <v>22</v>
      </c>
      <c r="C3668" s="3" t="s">
        <v>218</v>
      </c>
      <c r="D3668" s="4" t="s">
        <v>243</v>
      </c>
      <c r="E3668" s="4" t="s">
        <v>3525</v>
      </c>
      <c r="F3668" s="4">
        <v>1994</v>
      </c>
      <c r="G3668" s="9"/>
      <c r="H3668" s="4" t="s">
        <v>2968</v>
      </c>
      <c r="I3668" s="8">
        <v>0.4</v>
      </c>
      <c r="J3668" s="3">
        <f>1818</f>
        <v>1818</v>
      </c>
      <c r="K3668" s="3">
        <v>50209</v>
      </c>
      <c r="L3668" s="17" t="str" cm="1">
        <f t="array" ref="L3668">_xlfn.IFS(MID(K3668,2,2)="01", "서울", MID(K3668,2,2)="02","경기",MID(K3668,2,2)="03","충청",MID(K3668,2,2)="04","충청",MID(K3668,2,2)="05","전라",MID(K3668,2,2)="06","전라",MID(K3668,2,2)="07","경북",MID(K3668,2,2)="08","경남",MID(K3668,2,2)="09","강원",MID(K3668,2,2)="10","제주",TRUE,"국외")</f>
        <v>경기</v>
      </c>
    </row>
    <row r="3669" spans="1:12" ht="17.25" thickBot="1">
      <c r="A3669" s="3" t="s">
        <v>3526</v>
      </c>
      <c r="B3669" s="3" t="s">
        <v>158</v>
      </c>
      <c r="C3669" s="3" t="s">
        <v>133</v>
      </c>
      <c r="D3669" s="4" t="s">
        <v>243</v>
      </c>
      <c r="E3669" s="4" t="s">
        <v>2523</v>
      </c>
      <c r="F3669" s="4">
        <v>1987</v>
      </c>
      <c r="G3669" s="8">
        <v>3.6</v>
      </c>
      <c r="H3669" s="4" t="s">
        <v>2523</v>
      </c>
      <c r="I3669" s="8">
        <v>17.3</v>
      </c>
      <c r="J3669" s="3">
        <f>1338</f>
        <v>1338</v>
      </c>
      <c r="K3669" s="3">
        <v>50501</v>
      </c>
      <c r="L3669" s="17" t="str" cm="1">
        <f t="array" ref="L3669">_xlfn.IFS(MID(K3669,2,2)="01", "서울", MID(K3669,2,2)="02","경기",MID(K3669,2,2)="03","충청",MID(K3669,2,2)="04","충청",MID(K3669,2,2)="05","전라",MID(K3669,2,2)="06","전라",MID(K3669,2,2)="07","경북",MID(K3669,2,2)="08","경남",MID(K3669,2,2)="09","강원",MID(K3669,2,2)="10","제주",TRUE,"국외")</f>
        <v>전라</v>
      </c>
    </row>
    <row r="3670" spans="1:12" ht="17.25" thickBot="1">
      <c r="A3670" s="3" t="s">
        <v>3527</v>
      </c>
      <c r="B3670" s="3" t="s">
        <v>42</v>
      </c>
      <c r="C3670" s="3" t="s">
        <v>172</v>
      </c>
      <c r="D3670" s="4" t="s">
        <v>243</v>
      </c>
      <c r="E3670" s="4" t="s">
        <v>2523</v>
      </c>
      <c r="F3670" s="4">
        <v>1987</v>
      </c>
      <c r="G3670" s="8">
        <v>0</v>
      </c>
      <c r="H3670" s="4" t="s">
        <v>2661</v>
      </c>
      <c r="I3670" s="8">
        <v>0.7</v>
      </c>
      <c r="J3670" s="3">
        <f>1341</f>
        <v>1341</v>
      </c>
      <c r="K3670" s="3">
        <v>50502</v>
      </c>
      <c r="L3670" s="17" t="str" cm="1">
        <f t="array" ref="L3670">_xlfn.IFS(MID(K3670,2,2)="01", "서울", MID(K3670,2,2)="02","경기",MID(K3670,2,2)="03","충청",MID(K3670,2,2)="04","충청",MID(K3670,2,2)="05","전라",MID(K3670,2,2)="06","전라",MID(K3670,2,2)="07","경북",MID(K3670,2,2)="08","경남",MID(K3670,2,2)="09","강원",MID(K3670,2,2)="10","제주",TRUE,"국외")</f>
        <v>전라</v>
      </c>
    </row>
    <row r="3671" spans="1:12" ht="17.25" thickBot="1">
      <c r="A3671" s="3" t="s">
        <v>1572</v>
      </c>
      <c r="B3671" s="3" t="s">
        <v>107</v>
      </c>
      <c r="C3671" s="3" t="s">
        <v>133</v>
      </c>
      <c r="D3671" s="4" t="s">
        <v>243</v>
      </c>
      <c r="E3671" s="4" t="s">
        <v>2523</v>
      </c>
      <c r="F3671" s="4">
        <v>1987</v>
      </c>
      <c r="G3671" s="8">
        <v>0.2</v>
      </c>
      <c r="H3671" s="4" t="s">
        <v>2523</v>
      </c>
      <c r="I3671" s="8">
        <v>15.3</v>
      </c>
      <c r="J3671" s="3">
        <f>1337</f>
        <v>1337</v>
      </c>
      <c r="K3671" s="3">
        <v>50602</v>
      </c>
      <c r="L3671" s="17" t="str" cm="1">
        <f t="array" ref="L3671">_xlfn.IFS(MID(K3671,2,2)="01", "서울", MID(K3671,2,2)="02","경기",MID(K3671,2,2)="03","충청",MID(K3671,2,2)="04","충청",MID(K3671,2,2)="05","전라",MID(K3671,2,2)="06","전라",MID(K3671,2,2)="07","경북",MID(K3671,2,2)="08","경남",MID(K3671,2,2)="09","강원",MID(K3671,2,2)="10","제주",TRUE,"국외")</f>
        <v>전라</v>
      </c>
    </row>
    <row r="3672" spans="1:12" ht="17.25" thickBot="1">
      <c r="A3672" s="3" t="s">
        <v>3528</v>
      </c>
      <c r="B3672" s="3" t="s">
        <v>93</v>
      </c>
      <c r="C3672" s="3" t="s">
        <v>119</v>
      </c>
      <c r="D3672" s="4" t="s">
        <v>254</v>
      </c>
      <c r="E3672" s="4" t="s">
        <v>3387</v>
      </c>
      <c r="F3672" s="4">
        <v>1987</v>
      </c>
      <c r="G3672" s="8">
        <v>0</v>
      </c>
      <c r="H3672" s="4" t="s">
        <v>3387</v>
      </c>
      <c r="I3672" s="8">
        <v>-0.6</v>
      </c>
      <c r="J3672" s="3">
        <f>1359</f>
        <v>1359</v>
      </c>
      <c r="K3672" s="3">
        <v>50805</v>
      </c>
      <c r="L3672" s="17" t="str" cm="1">
        <f t="array" ref="L3672">_xlfn.IFS(MID(K3672,2,2)="01", "서울", MID(K3672,2,2)="02","경기",MID(K3672,2,2)="03","충청",MID(K3672,2,2)="04","충청",MID(K3672,2,2)="05","전라",MID(K3672,2,2)="06","전라",MID(K3672,2,2)="07","경북",MID(K3672,2,2)="08","경남",MID(K3672,2,2)="09","강원",MID(K3672,2,2)="10","제주",TRUE,"국외")</f>
        <v>경남</v>
      </c>
    </row>
    <row r="3673" spans="1:12" ht="17.25" thickBot="1">
      <c r="A3673" s="3" t="s">
        <v>3529</v>
      </c>
      <c r="B3673" s="3" t="s">
        <v>14</v>
      </c>
      <c r="C3673" s="3" t="s">
        <v>538</v>
      </c>
      <c r="D3673" s="4" t="s">
        <v>254</v>
      </c>
      <c r="E3673" s="4" t="s">
        <v>9</v>
      </c>
      <c r="F3673" s="4">
        <v>1987</v>
      </c>
      <c r="G3673" s="8">
        <v>0.1</v>
      </c>
      <c r="H3673" s="4" t="s">
        <v>9</v>
      </c>
      <c r="I3673" s="8">
        <v>0.4</v>
      </c>
      <c r="J3673" s="3">
        <f>1346</f>
        <v>1346</v>
      </c>
      <c r="K3673" s="3">
        <v>50703</v>
      </c>
      <c r="L3673" s="17" t="str" cm="1">
        <f t="array" ref="L3673">_xlfn.IFS(MID(K3673,2,2)="01", "서울", MID(K3673,2,2)="02","경기",MID(K3673,2,2)="03","충청",MID(K3673,2,2)="04","충청",MID(K3673,2,2)="05","전라",MID(K3673,2,2)="06","전라",MID(K3673,2,2)="07","경북",MID(K3673,2,2)="08","경남",MID(K3673,2,2)="09","강원",MID(K3673,2,2)="10","제주",TRUE,"국외")</f>
        <v>경북</v>
      </c>
    </row>
    <row r="3674" spans="1:12" ht="17.25" thickBot="1">
      <c r="A3674" s="3" t="s">
        <v>3530</v>
      </c>
      <c r="B3674" s="3" t="s">
        <v>158</v>
      </c>
      <c r="C3674" s="3" t="s">
        <v>133</v>
      </c>
      <c r="D3674" s="4" t="s">
        <v>254</v>
      </c>
      <c r="E3674" s="4" t="s">
        <v>3101</v>
      </c>
      <c r="F3674" s="4">
        <v>1987</v>
      </c>
      <c r="G3674" s="8">
        <v>-0.8</v>
      </c>
      <c r="H3674" s="4" t="s">
        <v>3101</v>
      </c>
      <c r="I3674" s="8">
        <v>1.7</v>
      </c>
      <c r="J3674" s="3">
        <f>1366</f>
        <v>1366</v>
      </c>
      <c r="K3674" s="3">
        <v>50501</v>
      </c>
      <c r="L3674" s="17" t="str" cm="1">
        <f t="array" ref="L3674">_xlfn.IFS(MID(K3674,2,2)="01", "서울", MID(K3674,2,2)="02","경기",MID(K3674,2,2)="03","충청",MID(K3674,2,2)="04","충청",MID(K3674,2,2)="05","전라",MID(K3674,2,2)="06","전라",MID(K3674,2,2)="07","경북",MID(K3674,2,2)="08","경남",MID(K3674,2,2)="09","강원",MID(K3674,2,2)="10","제주",TRUE,"국외")</f>
        <v>전라</v>
      </c>
    </row>
    <row r="3675" spans="1:12" ht="17.25" thickBot="1">
      <c r="A3675" s="3" t="s">
        <v>781</v>
      </c>
      <c r="B3675" s="3" t="s">
        <v>332</v>
      </c>
      <c r="C3675" s="3" t="s">
        <v>119</v>
      </c>
      <c r="D3675" s="4" t="s">
        <v>254</v>
      </c>
      <c r="E3675" s="4" t="s">
        <v>3101</v>
      </c>
      <c r="F3675" s="4">
        <v>1987</v>
      </c>
      <c r="G3675" s="8">
        <v>4.3</v>
      </c>
      <c r="H3675" s="4" t="s">
        <v>3101</v>
      </c>
      <c r="I3675" s="8">
        <v>28.3</v>
      </c>
      <c r="J3675" s="3">
        <f>1352</f>
        <v>1352</v>
      </c>
      <c r="K3675" s="3">
        <v>50705</v>
      </c>
      <c r="L3675" s="17" t="str" cm="1">
        <f t="array" ref="L3675">_xlfn.IFS(MID(K3675,2,2)="01", "서울", MID(K3675,2,2)="02","경기",MID(K3675,2,2)="03","충청",MID(K3675,2,2)="04","충청",MID(K3675,2,2)="05","전라",MID(K3675,2,2)="06","전라",MID(K3675,2,2)="07","경북",MID(K3675,2,2)="08","경남",MID(K3675,2,2)="09","강원",MID(K3675,2,2)="10","제주",TRUE,"국외")</f>
        <v>경북</v>
      </c>
    </row>
    <row r="3676" spans="1:12" ht="17.25" thickBot="1">
      <c r="A3676" s="3" t="s">
        <v>3531</v>
      </c>
      <c r="B3676" s="3" t="s">
        <v>1784</v>
      </c>
      <c r="C3676" s="3" t="s">
        <v>119</v>
      </c>
      <c r="D3676" s="4" t="s">
        <v>254</v>
      </c>
      <c r="E3676" s="4" t="s">
        <v>23</v>
      </c>
      <c r="F3676" s="4">
        <v>1988</v>
      </c>
      <c r="G3676" s="9"/>
      <c r="H3676" s="4" t="s">
        <v>23</v>
      </c>
      <c r="I3676" s="8">
        <v>0.2</v>
      </c>
      <c r="J3676" s="3">
        <f>1398</f>
        <v>1398</v>
      </c>
      <c r="K3676" s="3">
        <v>50812</v>
      </c>
      <c r="L3676" s="17" t="str" cm="1">
        <f t="array" ref="L3676">_xlfn.IFS(MID(K3676,2,2)="01", "서울", MID(K3676,2,2)="02","경기",MID(K3676,2,2)="03","충청",MID(K3676,2,2)="04","충청",MID(K3676,2,2)="05","전라",MID(K3676,2,2)="06","전라",MID(K3676,2,2)="07","경북",MID(K3676,2,2)="08","경남",MID(K3676,2,2)="09","강원",MID(K3676,2,2)="10","제주",TRUE,"국외")</f>
        <v>경남</v>
      </c>
    </row>
    <row r="3677" spans="1:12" ht="17.25" thickBot="1">
      <c r="A3677" s="3" t="s">
        <v>1927</v>
      </c>
      <c r="B3677" s="3" t="s">
        <v>34</v>
      </c>
      <c r="C3677" s="3" t="s">
        <v>83</v>
      </c>
      <c r="D3677" s="4" t="s">
        <v>254</v>
      </c>
      <c r="E3677" s="4" t="s">
        <v>3525</v>
      </c>
      <c r="F3677" s="4">
        <v>1987</v>
      </c>
      <c r="G3677" s="8">
        <v>-0.8</v>
      </c>
      <c r="H3677" s="4" t="s">
        <v>2725</v>
      </c>
      <c r="I3677" s="8">
        <v>-2.4</v>
      </c>
      <c r="J3677" s="3">
        <f>1349</f>
        <v>1349</v>
      </c>
      <c r="K3677" s="3">
        <v>50701</v>
      </c>
      <c r="L3677" s="17" t="str" cm="1">
        <f t="array" ref="L3677">_xlfn.IFS(MID(K3677,2,2)="01", "서울", MID(K3677,2,2)="02","경기",MID(K3677,2,2)="03","충청",MID(K3677,2,2)="04","충청",MID(K3677,2,2)="05","전라",MID(K3677,2,2)="06","전라",MID(K3677,2,2)="07","경북",MID(K3677,2,2)="08","경남",MID(K3677,2,2)="09","강원",MID(K3677,2,2)="10","제주",TRUE,"국외")</f>
        <v>경북</v>
      </c>
    </row>
    <row r="3678" spans="1:12" ht="17.25" thickBot="1">
      <c r="A3678" s="3" t="s">
        <v>3532</v>
      </c>
      <c r="B3678" s="3" t="s">
        <v>2524</v>
      </c>
      <c r="C3678" s="3" t="s">
        <v>538</v>
      </c>
      <c r="D3678" s="4" t="s">
        <v>254</v>
      </c>
      <c r="E3678" s="4" t="s">
        <v>3525</v>
      </c>
      <c r="F3678" s="4">
        <v>1987</v>
      </c>
      <c r="G3678" s="8">
        <v>0</v>
      </c>
      <c r="H3678" s="4" t="s">
        <v>23</v>
      </c>
      <c r="I3678" s="8">
        <v>-0.1</v>
      </c>
      <c r="J3678" s="3">
        <f>1369</f>
        <v>1369</v>
      </c>
      <c r="K3678" s="3">
        <v>50711</v>
      </c>
      <c r="L3678" s="17" t="str" cm="1">
        <f t="array" ref="L3678">_xlfn.IFS(MID(K3678,2,2)="01", "서울", MID(K3678,2,2)="02","경기",MID(K3678,2,2)="03","충청",MID(K3678,2,2)="04","충청",MID(K3678,2,2)="05","전라",MID(K3678,2,2)="06","전라",MID(K3678,2,2)="07","경북",MID(K3678,2,2)="08","경남",MID(K3678,2,2)="09","강원",MID(K3678,2,2)="10","제주",TRUE,"국외")</f>
        <v>경북</v>
      </c>
    </row>
    <row r="3679" spans="1:12" ht="17.25" thickBot="1">
      <c r="A3679" s="3" t="s">
        <v>3321</v>
      </c>
      <c r="B3679" s="3" t="s">
        <v>52</v>
      </c>
      <c r="C3679" s="3" t="s">
        <v>549</v>
      </c>
      <c r="D3679" s="4" t="s">
        <v>254</v>
      </c>
      <c r="E3679" s="4" t="s">
        <v>2725</v>
      </c>
      <c r="F3679" s="4">
        <v>1990</v>
      </c>
      <c r="G3679" s="9"/>
      <c r="H3679" s="4" t="s">
        <v>3101</v>
      </c>
      <c r="I3679" s="8">
        <v>5.2</v>
      </c>
      <c r="J3679" s="3">
        <f>1534</f>
        <v>1534</v>
      </c>
      <c r="K3679" s="3">
        <v>50803</v>
      </c>
      <c r="L3679" s="17" t="str" cm="1">
        <f t="array" ref="L3679">_xlfn.IFS(MID(K3679,2,2)="01", "서울", MID(K3679,2,2)="02","경기",MID(K3679,2,2)="03","충청",MID(K3679,2,2)="04","충청",MID(K3679,2,2)="05","전라",MID(K3679,2,2)="06","전라",MID(K3679,2,2)="07","경북",MID(K3679,2,2)="08","경남",MID(K3679,2,2)="09","강원",MID(K3679,2,2)="10","제주",TRUE,"국외")</f>
        <v>경남</v>
      </c>
    </row>
    <row r="3680" spans="1:12" ht="17.25" thickBot="1">
      <c r="A3680" s="3" t="s">
        <v>3533</v>
      </c>
      <c r="B3680" s="3" t="s">
        <v>14</v>
      </c>
      <c r="C3680" s="3" t="s">
        <v>538</v>
      </c>
      <c r="D3680" s="4" t="s">
        <v>254</v>
      </c>
      <c r="E3680" s="4" t="s">
        <v>9</v>
      </c>
      <c r="F3680" s="4">
        <v>1987</v>
      </c>
      <c r="G3680" s="8">
        <v>-0.1</v>
      </c>
      <c r="H3680" s="4" t="s">
        <v>2661</v>
      </c>
      <c r="I3680" s="8">
        <v>2.1</v>
      </c>
      <c r="J3680" s="3">
        <v>12713</v>
      </c>
      <c r="K3680" s="3">
        <v>50703</v>
      </c>
      <c r="L3680" s="17" t="str" cm="1">
        <f t="array" ref="L3680">_xlfn.IFS(MID(K3680,2,2)="01", "서울", MID(K3680,2,2)="02","경기",MID(K3680,2,2)="03","충청",MID(K3680,2,2)="04","충청",MID(K3680,2,2)="05","전라",MID(K3680,2,2)="06","전라",MID(K3680,2,2)="07","경북",MID(K3680,2,2)="08","경남",MID(K3680,2,2)="09","강원",MID(K3680,2,2)="10","제주",TRUE,"국외")</f>
        <v>경북</v>
      </c>
    </row>
    <row r="3681" spans="1:12" ht="17.25" thickBot="1">
      <c r="A3681" s="3" t="s">
        <v>3534</v>
      </c>
      <c r="B3681" s="3" t="s">
        <v>335</v>
      </c>
      <c r="C3681" s="3" t="s">
        <v>119</v>
      </c>
      <c r="D3681" s="4" t="s">
        <v>254</v>
      </c>
      <c r="E3681" s="4" t="s">
        <v>3101</v>
      </c>
      <c r="F3681" s="4">
        <v>1987</v>
      </c>
      <c r="G3681" s="8">
        <v>-0.2</v>
      </c>
      <c r="H3681" s="4" t="s">
        <v>2968</v>
      </c>
      <c r="I3681" s="8">
        <v>-0.8</v>
      </c>
      <c r="J3681" s="3">
        <f>1356</f>
        <v>1356</v>
      </c>
      <c r="K3681" s="3">
        <v>50804</v>
      </c>
      <c r="L3681" s="17" t="str" cm="1">
        <f t="array" ref="L3681">_xlfn.IFS(MID(K3681,2,2)="01", "서울", MID(K3681,2,2)="02","경기",MID(K3681,2,2)="03","충청",MID(K3681,2,2)="04","충청",MID(K3681,2,2)="05","전라",MID(K3681,2,2)="06","전라",MID(K3681,2,2)="07","경북",MID(K3681,2,2)="08","경남",MID(K3681,2,2)="09","강원",MID(K3681,2,2)="10","제주",TRUE,"국외")</f>
        <v>경남</v>
      </c>
    </row>
    <row r="3682" spans="1:12" ht="17.25" thickBot="1">
      <c r="A3682" s="3" t="s">
        <v>738</v>
      </c>
      <c r="B3682" s="3" t="s">
        <v>96</v>
      </c>
      <c r="C3682" s="3" t="s">
        <v>172</v>
      </c>
      <c r="D3682" s="4" t="s">
        <v>254</v>
      </c>
      <c r="E3682" s="4" t="s">
        <v>3525</v>
      </c>
      <c r="F3682" s="4">
        <v>1988</v>
      </c>
      <c r="G3682" s="9"/>
      <c r="H3682" s="4" t="s">
        <v>3101</v>
      </c>
      <c r="I3682" s="8">
        <v>0</v>
      </c>
      <c r="J3682" s="3">
        <f>1387</f>
        <v>1387</v>
      </c>
      <c r="K3682" s="3">
        <v>50601</v>
      </c>
      <c r="L3682" s="17" t="str" cm="1">
        <f t="array" ref="L3682">_xlfn.IFS(MID(K3682,2,2)="01", "서울", MID(K3682,2,2)="02","경기",MID(K3682,2,2)="03","충청",MID(K3682,2,2)="04","충청",MID(K3682,2,2)="05","전라",MID(K3682,2,2)="06","전라",MID(K3682,2,2)="07","경북",MID(K3682,2,2)="08","경남",MID(K3682,2,2)="09","강원",MID(K3682,2,2)="10","제주",TRUE,"국외")</f>
        <v>전라</v>
      </c>
    </row>
    <row r="3683" spans="1:12" ht="17.25" thickBot="1">
      <c r="A3683" s="3" t="s">
        <v>3535</v>
      </c>
      <c r="B3683" s="3"/>
      <c r="C3683" s="3" t="s">
        <v>538</v>
      </c>
      <c r="D3683" s="4" t="s">
        <v>254</v>
      </c>
      <c r="E3683" s="4" t="s">
        <v>23</v>
      </c>
      <c r="F3683" s="4">
        <v>1987</v>
      </c>
      <c r="G3683" s="8">
        <v>0.2</v>
      </c>
      <c r="H3683" s="4" t="s">
        <v>23</v>
      </c>
      <c r="I3683" s="8">
        <v>1.1000000000000001</v>
      </c>
      <c r="J3683" s="3">
        <f>1345</f>
        <v>1345</v>
      </c>
      <c r="K3683" s="3"/>
      <c r="L3683" s="17" t="str" cm="1">
        <f t="array" ref="L3683">_xlfn.IFS(MID(K3683,2,2)="01", "서울", MID(K3683,2,2)="02","경기",MID(K3683,2,2)="03","충청",MID(K3683,2,2)="04","충청",MID(K3683,2,2)="05","전라",MID(K3683,2,2)="06","전라",MID(K3683,2,2)="07","경북",MID(K3683,2,2)="08","경남",MID(K3683,2,2)="09","강원",MID(K3683,2,2)="10","제주",TRUE,"국외")</f>
        <v>국외</v>
      </c>
    </row>
    <row r="3684" spans="1:12" ht="17.25" thickBot="1">
      <c r="A3684" s="3" t="s">
        <v>3536</v>
      </c>
      <c r="B3684" s="3" t="s">
        <v>34</v>
      </c>
      <c r="C3684" s="3"/>
      <c r="D3684" s="4" t="s">
        <v>254</v>
      </c>
      <c r="E3684" s="4" t="s">
        <v>3525</v>
      </c>
      <c r="F3684" s="4">
        <v>1987</v>
      </c>
      <c r="G3684" s="8">
        <v>-0.6</v>
      </c>
      <c r="H3684" s="4" t="s">
        <v>2968</v>
      </c>
      <c r="I3684" s="8">
        <v>18.8</v>
      </c>
      <c r="J3684" s="3">
        <f>1370</f>
        <v>1370</v>
      </c>
      <c r="K3684" s="3">
        <v>50701</v>
      </c>
      <c r="L3684" s="17" t="str" cm="1">
        <f t="array" ref="L3684">_xlfn.IFS(MID(K3684,2,2)="01", "서울", MID(K3684,2,2)="02","경기",MID(K3684,2,2)="03","충청",MID(K3684,2,2)="04","충청",MID(K3684,2,2)="05","전라",MID(K3684,2,2)="06","전라",MID(K3684,2,2)="07","경북",MID(K3684,2,2)="08","경남",MID(K3684,2,2)="09","강원",MID(K3684,2,2)="10","제주",TRUE,"국외")</f>
        <v>경북</v>
      </c>
    </row>
    <row r="3685" spans="1:12" ht="17.25" thickBot="1">
      <c r="A3685" s="3" t="s">
        <v>2297</v>
      </c>
      <c r="B3685" s="3" t="s">
        <v>2524</v>
      </c>
      <c r="C3685" s="3" t="s">
        <v>538</v>
      </c>
      <c r="D3685" s="4" t="s">
        <v>254</v>
      </c>
      <c r="E3685" s="4" t="s">
        <v>23</v>
      </c>
      <c r="F3685" s="4">
        <v>1987</v>
      </c>
      <c r="G3685" s="8">
        <v>0</v>
      </c>
      <c r="H3685" s="4" t="s">
        <v>23</v>
      </c>
      <c r="I3685" s="8">
        <v>-0.9</v>
      </c>
      <c r="J3685" s="3">
        <f>1344</f>
        <v>1344</v>
      </c>
      <c r="K3685" s="3">
        <v>50711</v>
      </c>
      <c r="L3685" s="17" t="str" cm="1">
        <f t="array" ref="L3685">_xlfn.IFS(MID(K3685,2,2)="01", "서울", MID(K3685,2,2)="02","경기",MID(K3685,2,2)="03","충청",MID(K3685,2,2)="04","충청",MID(K3685,2,2)="05","전라",MID(K3685,2,2)="06","전라",MID(K3685,2,2)="07","경북",MID(K3685,2,2)="08","경남",MID(K3685,2,2)="09","강원",MID(K3685,2,2)="10","제주",TRUE,"국외")</f>
        <v>경북</v>
      </c>
    </row>
    <row r="3686" spans="1:12" ht="17.25" thickBot="1">
      <c r="A3686" s="3" t="s">
        <v>3537</v>
      </c>
      <c r="B3686" s="3" t="s">
        <v>722</v>
      </c>
      <c r="C3686" s="3"/>
      <c r="D3686" s="4" t="s">
        <v>181</v>
      </c>
      <c r="E3686" s="4" t="s">
        <v>23</v>
      </c>
      <c r="F3686" s="4">
        <v>1987</v>
      </c>
      <c r="G3686" s="8">
        <v>1</v>
      </c>
      <c r="H3686" s="4" t="s">
        <v>23</v>
      </c>
      <c r="I3686" s="8">
        <v>23.4</v>
      </c>
      <c r="J3686" s="3">
        <f>1360</f>
        <v>1360</v>
      </c>
      <c r="K3686" s="3">
        <v>51100</v>
      </c>
      <c r="L3686" s="17" t="str" cm="1">
        <f t="array" ref="L3686">_xlfn.IFS(MID(K3686,2,2)="01", "서울", MID(K3686,2,2)="02","경기",MID(K3686,2,2)="03","충청",MID(K3686,2,2)="04","충청",MID(K3686,2,2)="05","전라",MID(K3686,2,2)="06","전라",MID(K3686,2,2)="07","경북",MID(K3686,2,2)="08","경남",MID(K3686,2,2)="09","강원",MID(K3686,2,2)="10","제주",TRUE,"국외")</f>
        <v>국외</v>
      </c>
    </row>
    <row r="3687" spans="1:12" ht="17.25" thickBot="1">
      <c r="A3687" s="3" t="s">
        <v>3210</v>
      </c>
      <c r="B3687" s="3" t="s">
        <v>1834</v>
      </c>
      <c r="C3687" s="3"/>
      <c r="D3687" s="4" t="s">
        <v>1777</v>
      </c>
      <c r="E3687" s="4" t="s">
        <v>3525</v>
      </c>
      <c r="F3687" s="4">
        <v>1987</v>
      </c>
      <c r="G3687" s="8">
        <v>-0.8</v>
      </c>
      <c r="H3687" s="4" t="s">
        <v>3525</v>
      </c>
      <c r="I3687" s="8">
        <v>-0.6</v>
      </c>
      <c r="J3687" s="3">
        <f>1348</f>
        <v>1348</v>
      </c>
      <c r="K3687" s="3">
        <v>50904</v>
      </c>
      <c r="L3687" s="17" t="str" cm="1">
        <f t="array" ref="L3687">_xlfn.IFS(MID(K3687,2,2)="01", "서울", MID(K3687,2,2)="02","경기",MID(K3687,2,2)="03","충청",MID(K3687,2,2)="04","충청",MID(K3687,2,2)="05","전라",MID(K3687,2,2)="06","전라",MID(K3687,2,2)="07","경북",MID(K3687,2,2)="08","경남",MID(K3687,2,2)="09","강원",MID(K3687,2,2)="10","제주",TRUE,"국외")</f>
        <v>강원</v>
      </c>
    </row>
    <row r="3688" spans="1:12" ht="17.25" thickBot="1">
      <c r="A3688" s="3" t="s">
        <v>3538</v>
      </c>
      <c r="B3688" s="3" t="s">
        <v>34</v>
      </c>
      <c r="C3688" s="3" t="s">
        <v>538</v>
      </c>
      <c r="D3688" s="4" t="s">
        <v>1777</v>
      </c>
      <c r="E3688" s="4" t="s">
        <v>2725</v>
      </c>
      <c r="F3688" s="4">
        <v>1987</v>
      </c>
      <c r="G3688" s="8">
        <v>0</v>
      </c>
      <c r="H3688" s="4" t="s">
        <v>2725</v>
      </c>
      <c r="I3688" s="8">
        <v>0.3</v>
      </c>
      <c r="J3688" s="3">
        <f>1339</f>
        <v>1339</v>
      </c>
      <c r="K3688" s="3">
        <v>50701</v>
      </c>
      <c r="L3688" s="17" t="str" cm="1">
        <f t="array" ref="L3688">_xlfn.IFS(MID(K3688,2,2)="01", "서울", MID(K3688,2,2)="02","경기",MID(K3688,2,2)="03","충청",MID(K3688,2,2)="04","충청",MID(K3688,2,2)="05","전라",MID(K3688,2,2)="06","전라",MID(K3688,2,2)="07","경북",MID(K3688,2,2)="08","경남",MID(K3688,2,2)="09","강원",MID(K3688,2,2)="10","제주",TRUE,"국외")</f>
        <v>경북</v>
      </c>
    </row>
    <row r="3689" spans="1:12" ht="17.25" thickBot="1">
      <c r="A3689" s="3" t="s">
        <v>3539</v>
      </c>
      <c r="B3689" s="3" t="s">
        <v>25</v>
      </c>
      <c r="C3689" s="3" t="s">
        <v>119</v>
      </c>
      <c r="D3689" s="4" t="s">
        <v>1777</v>
      </c>
      <c r="E3689" s="4" t="s">
        <v>3101</v>
      </c>
      <c r="F3689" s="4">
        <v>1988</v>
      </c>
      <c r="G3689" s="9"/>
      <c r="H3689" s="4" t="s">
        <v>3</v>
      </c>
      <c r="I3689" s="8">
        <v>48.4</v>
      </c>
      <c r="J3689" s="3">
        <v>13282</v>
      </c>
      <c r="K3689" s="3">
        <v>50403</v>
      </c>
      <c r="L3689" s="17" t="str" cm="1">
        <f t="array" ref="L3689">_xlfn.IFS(MID(K3689,2,2)="01", "서울", MID(K3689,2,2)="02","경기",MID(K3689,2,2)="03","충청",MID(K3689,2,2)="04","충청",MID(K3689,2,2)="05","전라",MID(K3689,2,2)="06","전라",MID(K3689,2,2)="07","경북",MID(K3689,2,2)="08","경남",MID(K3689,2,2)="09","강원",MID(K3689,2,2)="10","제주",TRUE,"국외")</f>
        <v>충청</v>
      </c>
    </row>
    <row r="3690" spans="1:12" ht="17.25" thickBot="1">
      <c r="A3690" s="3" t="s">
        <v>3540</v>
      </c>
      <c r="B3690" s="3" t="s">
        <v>8</v>
      </c>
      <c r="C3690" s="3"/>
      <c r="D3690" s="4" t="s">
        <v>2710</v>
      </c>
      <c r="E3690" s="4" t="s">
        <v>2725</v>
      </c>
      <c r="F3690" s="4">
        <v>1987</v>
      </c>
      <c r="G3690" s="8">
        <v>0</v>
      </c>
      <c r="H3690" s="4" t="s">
        <v>2725</v>
      </c>
      <c r="I3690" s="8">
        <v>1.7</v>
      </c>
      <c r="J3690" s="3">
        <f>1347</f>
        <v>1347</v>
      </c>
      <c r="K3690" s="3">
        <v>50116</v>
      </c>
      <c r="L3690" s="17" t="str" cm="1">
        <f t="array" ref="L3690">_xlfn.IFS(MID(K3690,2,2)="01", "서울", MID(K3690,2,2)="02","경기",MID(K3690,2,2)="03","충청",MID(K3690,2,2)="04","충청",MID(K3690,2,2)="05","전라",MID(K3690,2,2)="06","전라",MID(K3690,2,2)="07","경북",MID(K3690,2,2)="08","경남",MID(K3690,2,2)="09","강원",MID(K3690,2,2)="10","제주",TRUE,"국외")</f>
        <v>서울</v>
      </c>
    </row>
    <row r="3691" spans="1:12" ht="17.25" thickBot="1">
      <c r="A3691" s="3" t="s">
        <v>3541</v>
      </c>
      <c r="B3691" s="3" t="s">
        <v>93</v>
      </c>
      <c r="C3691" s="3" t="s">
        <v>208</v>
      </c>
      <c r="D3691" s="4" t="s">
        <v>243</v>
      </c>
      <c r="E3691" s="4" t="s">
        <v>9</v>
      </c>
      <c r="F3691" s="4">
        <v>1986</v>
      </c>
      <c r="G3691" s="8">
        <v>0.4</v>
      </c>
      <c r="H3691" s="4" t="s">
        <v>9</v>
      </c>
      <c r="I3691" s="8">
        <v>8</v>
      </c>
      <c r="J3691" s="3">
        <f>1309</f>
        <v>1309</v>
      </c>
      <c r="K3691" s="3">
        <v>50805</v>
      </c>
      <c r="L3691" s="17" t="str" cm="1">
        <f t="array" ref="L3691">_xlfn.IFS(MID(K3691,2,2)="01", "서울", MID(K3691,2,2)="02","경기",MID(K3691,2,2)="03","충청",MID(K3691,2,2)="04","충청",MID(K3691,2,2)="05","전라",MID(K3691,2,2)="06","전라",MID(K3691,2,2)="07","경북",MID(K3691,2,2)="08","경남",MID(K3691,2,2)="09","강원",MID(K3691,2,2)="10","제주",TRUE,"국외")</f>
        <v>경남</v>
      </c>
    </row>
    <row r="3692" spans="1:12" ht="17.25" thickBot="1">
      <c r="A3692" s="3" t="s">
        <v>544</v>
      </c>
      <c r="B3692" s="3" t="s">
        <v>66</v>
      </c>
      <c r="C3692" s="3" t="s">
        <v>208</v>
      </c>
      <c r="D3692" s="4" t="s">
        <v>243</v>
      </c>
      <c r="E3692" s="4" t="s">
        <v>3387</v>
      </c>
      <c r="F3692" s="4">
        <v>1989</v>
      </c>
      <c r="G3692" s="9"/>
      <c r="H3692" s="4" t="s">
        <v>2661</v>
      </c>
      <c r="I3692" s="8">
        <v>0.1</v>
      </c>
      <c r="J3692" s="3">
        <f>1485</f>
        <v>1485</v>
      </c>
      <c r="K3692" s="3">
        <v>50110</v>
      </c>
      <c r="L3692" s="17" t="str" cm="1">
        <f t="array" ref="L3692">_xlfn.IFS(MID(K3692,2,2)="01", "서울", MID(K3692,2,2)="02","경기",MID(K3692,2,2)="03","충청",MID(K3692,2,2)="04","충청",MID(K3692,2,2)="05","전라",MID(K3692,2,2)="06","전라",MID(K3692,2,2)="07","경북",MID(K3692,2,2)="08","경남",MID(K3692,2,2)="09","강원",MID(K3692,2,2)="10","제주",TRUE,"국외")</f>
        <v>서울</v>
      </c>
    </row>
    <row r="3693" spans="1:12" ht="17.25" thickBot="1">
      <c r="A3693" s="3" t="s">
        <v>446</v>
      </c>
      <c r="B3693" s="3" t="s">
        <v>38</v>
      </c>
      <c r="C3693" s="3" t="s">
        <v>739</v>
      </c>
      <c r="D3693" s="4" t="s">
        <v>243</v>
      </c>
      <c r="E3693" s="4" t="s">
        <v>3387</v>
      </c>
      <c r="F3693" s="4">
        <v>1986</v>
      </c>
      <c r="G3693" s="8">
        <v>7.7</v>
      </c>
      <c r="H3693" s="4" t="s">
        <v>3387</v>
      </c>
      <c r="I3693" s="8">
        <v>11.3</v>
      </c>
      <c r="J3693" s="3">
        <f>1319</f>
        <v>1319</v>
      </c>
      <c r="K3693" s="3">
        <v>50109</v>
      </c>
      <c r="L3693" s="17" t="str" cm="1">
        <f t="array" ref="L3693">_xlfn.IFS(MID(K3693,2,2)="01", "서울", MID(K3693,2,2)="02","경기",MID(K3693,2,2)="03","충청",MID(K3693,2,2)="04","충청",MID(K3693,2,2)="05","전라",MID(K3693,2,2)="06","전라",MID(K3693,2,2)="07","경북",MID(K3693,2,2)="08","경남",MID(K3693,2,2)="09","강원",MID(K3693,2,2)="10","제주",TRUE,"국외")</f>
        <v>서울</v>
      </c>
    </row>
    <row r="3694" spans="1:12" ht="17.25" thickBot="1">
      <c r="A3694" s="3" t="s">
        <v>3542</v>
      </c>
      <c r="B3694" s="3" t="s">
        <v>145</v>
      </c>
      <c r="C3694" s="3" t="s">
        <v>99</v>
      </c>
      <c r="D3694" s="4" t="s">
        <v>243</v>
      </c>
      <c r="E3694" s="4" t="s">
        <v>3387</v>
      </c>
      <c r="F3694" s="4">
        <v>1986</v>
      </c>
      <c r="G3694" s="8">
        <v>2.9</v>
      </c>
      <c r="H3694" s="4" t="s">
        <v>20</v>
      </c>
      <c r="I3694" s="8">
        <v>25.7</v>
      </c>
      <c r="J3694" s="3">
        <f>1289</f>
        <v>1289</v>
      </c>
      <c r="K3694" s="3">
        <v>50106</v>
      </c>
      <c r="L3694" s="17" t="str" cm="1">
        <f t="array" ref="L3694">_xlfn.IFS(MID(K3694,2,2)="01", "서울", MID(K3694,2,2)="02","경기",MID(K3694,2,2)="03","충청",MID(K3694,2,2)="04","충청",MID(K3694,2,2)="05","전라",MID(K3694,2,2)="06","전라",MID(K3694,2,2)="07","경북",MID(K3694,2,2)="08","경남",MID(K3694,2,2)="09","강원",MID(K3694,2,2)="10","제주",TRUE,"국외")</f>
        <v>서울</v>
      </c>
    </row>
    <row r="3695" spans="1:12" ht="17.25" thickBot="1">
      <c r="A3695" s="3" t="s">
        <v>3543</v>
      </c>
      <c r="B3695" s="3" t="s">
        <v>66</v>
      </c>
      <c r="C3695" s="3" t="s">
        <v>45</v>
      </c>
      <c r="D3695" s="4" t="s">
        <v>243</v>
      </c>
      <c r="E3695" s="4" t="s">
        <v>3387</v>
      </c>
      <c r="F3695" s="4">
        <v>1986</v>
      </c>
      <c r="G3695" s="8">
        <v>0</v>
      </c>
      <c r="H3695" s="4" t="s">
        <v>20</v>
      </c>
      <c r="I3695" s="8">
        <v>0.8</v>
      </c>
      <c r="J3695" s="3">
        <f>1293</f>
        <v>1293</v>
      </c>
      <c r="K3695" s="3">
        <v>50110</v>
      </c>
      <c r="L3695" s="17" t="str" cm="1">
        <f t="array" ref="L3695">_xlfn.IFS(MID(K3695,2,2)="01", "서울", MID(K3695,2,2)="02","경기",MID(K3695,2,2)="03","충청",MID(K3695,2,2)="04","충청",MID(K3695,2,2)="05","전라",MID(K3695,2,2)="06","전라",MID(K3695,2,2)="07","경북",MID(K3695,2,2)="08","경남",MID(K3695,2,2)="09","강원",MID(K3695,2,2)="10","제주",TRUE,"국외")</f>
        <v>서울</v>
      </c>
    </row>
    <row r="3696" spans="1:12" ht="17.25" thickBot="1">
      <c r="A3696" s="3" t="s">
        <v>3544</v>
      </c>
      <c r="B3696" s="3" t="s">
        <v>66</v>
      </c>
      <c r="C3696" s="3" t="s">
        <v>45</v>
      </c>
      <c r="D3696" s="4" t="s">
        <v>243</v>
      </c>
      <c r="E3696" s="4" t="s">
        <v>3387</v>
      </c>
      <c r="F3696" s="4">
        <v>1986</v>
      </c>
      <c r="G3696" s="8">
        <v>-0.3</v>
      </c>
      <c r="H3696" s="4" t="s">
        <v>3387</v>
      </c>
      <c r="I3696" s="8">
        <v>0.9</v>
      </c>
      <c r="J3696" s="3">
        <f>1291</f>
        <v>1291</v>
      </c>
      <c r="K3696" s="3">
        <v>50110</v>
      </c>
      <c r="L3696" s="17" t="str" cm="1">
        <f t="array" ref="L3696">_xlfn.IFS(MID(K3696,2,2)="01", "서울", MID(K3696,2,2)="02","경기",MID(K3696,2,2)="03","충청",MID(K3696,2,2)="04","충청",MID(K3696,2,2)="05","전라",MID(K3696,2,2)="06","전라",MID(K3696,2,2)="07","경북",MID(K3696,2,2)="08","경남",MID(K3696,2,2)="09","강원",MID(K3696,2,2)="10","제주",TRUE,"국외")</f>
        <v>서울</v>
      </c>
    </row>
    <row r="3697" spans="1:12" ht="17.25" thickBot="1">
      <c r="A3697" s="3" t="s">
        <v>3545</v>
      </c>
      <c r="B3697" s="3" t="s">
        <v>5</v>
      </c>
      <c r="C3697" s="3" t="s">
        <v>218</v>
      </c>
      <c r="D3697" s="4" t="s">
        <v>243</v>
      </c>
      <c r="E3697" s="4" t="s">
        <v>2725</v>
      </c>
      <c r="F3697" s="4">
        <v>1986</v>
      </c>
      <c r="G3697" s="8">
        <v>0.1</v>
      </c>
      <c r="H3697" s="4" t="s">
        <v>2725</v>
      </c>
      <c r="I3697" s="8">
        <v>1.6</v>
      </c>
      <c r="J3697" s="3">
        <f>1275</f>
        <v>1275</v>
      </c>
      <c r="K3697" s="3">
        <v>50114</v>
      </c>
      <c r="L3697" s="17" t="str" cm="1">
        <f t="array" ref="L3697">_xlfn.IFS(MID(K3697,2,2)="01", "서울", MID(K3697,2,2)="02","경기",MID(K3697,2,2)="03","충청",MID(K3697,2,2)="04","충청",MID(K3697,2,2)="05","전라",MID(K3697,2,2)="06","전라",MID(K3697,2,2)="07","경북",MID(K3697,2,2)="08","경남",MID(K3697,2,2)="09","강원",MID(K3697,2,2)="10","제주",TRUE,"국외")</f>
        <v>서울</v>
      </c>
    </row>
    <row r="3698" spans="1:12" ht="17.25" thickBot="1">
      <c r="A3698" s="3" t="s">
        <v>3546</v>
      </c>
      <c r="B3698" s="3" t="s">
        <v>38</v>
      </c>
      <c r="C3698" s="3" t="s">
        <v>45</v>
      </c>
      <c r="D3698" s="4" t="s">
        <v>243</v>
      </c>
      <c r="E3698" s="4" t="s">
        <v>2725</v>
      </c>
      <c r="F3698" s="4">
        <v>1986</v>
      </c>
      <c r="G3698" s="8">
        <v>-0.5</v>
      </c>
      <c r="H3698" s="4" t="s">
        <v>2661</v>
      </c>
      <c r="I3698" s="8">
        <v>13.3</v>
      </c>
      <c r="J3698" s="3">
        <f>1292</f>
        <v>1292</v>
      </c>
      <c r="K3698" s="3">
        <v>50109</v>
      </c>
      <c r="L3698" s="17" t="str" cm="1">
        <f t="array" ref="L3698">_xlfn.IFS(MID(K3698,2,2)="01", "서울", MID(K3698,2,2)="02","경기",MID(K3698,2,2)="03","충청",MID(K3698,2,2)="04","충청",MID(K3698,2,2)="05","전라",MID(K3698,2,2)="06","전라",MID(K3698,2,2)="07","경북",MID(K3698,2,2)="08","경남",MID(K3698,2,2)="09","강원",MID(K3698,2,2)="10","제주",TRUE,"국외")</f>
        <v>서울</v>
      </c>
    </row>
    <row r="3699" spans="1:12" ht="17.25" thickBot="1">
      <c r="A3699" s="3" t="s">
        <v>3547</v>
      </c>
      <c r="B3699" s="3" t="s">
        <v>1</v>
      </c>
      <c r="C3699" s="3"/>
      <c r="D3699" s="4" t="s">
        <v>243</v>
      </c>
      <c r="E3699" s="4" t="s">
        <v>2725</v>
      </c>
      <c r="F3699" s="4">
        <v>1986</v>
      </c>
      <c r="G3699" s="8">
        <v>0</v>
      </c>
      <c r="H3699" s="4" t="s">
        <v>2725</v>
      </c>
      <c r="I3699" s="8">
        <v>0.5</v>
      </c>
      <c r="J3699" s="3">
        <f>1325</f>
        <v>1325</v>
      </c>
      <c r="K3699" s="3">
        <v>50107</v>
      </c>
      <c r="L3699" s="17" t="str" cm="1">
        <f t="array" ref="L3699">_xlfn.IFS(MID(K3699,2,2)="01", "서울", MID(K3699,2,2)="02","경기",MID(K3699,2,2)="03","충청",MID(K3699,2,2)="04","충청",MID(K3699,2,2)="05","전라",MID(K3699,2,2)="06","전라",MID(K3699,2,2)="07","경북",MID(K3699,2,2)="08","경남",MID(K3699,2,2)="09","강원",MID(K3699,2,2)="10","제주",TRUE,"국외")</f>
        <v>서울</v>
      </c>
    </row>
    <row r="3700" spans="1:12" ht="17.25" thickBot="1">
      <c r="A3700" s="3" t="s">
        <v>3548</v>
      </c>
      <c r="B3700" s="3" t="s">
        <v>8</v>
      </c>
      <c r="C3700" s="3" t="s">
        <v>208</v>
      </c>
      <c r="D3700" s="4" t="s">
        <v>243</v>
      </c>
      <c r="E3700" s="4" t="s">
        <v>2725</v>
      </c>
      <c r="F3700" s="4">
        <v>1988</v>
      </c>
      <c r="G3700" s="9"/>
      <c r="H3700" s="4" t="s">
        <v>2725</v>
      </c>
      <c r="I3700" s="8">
        <v>-0.2</v>
      </c>
      <c r="J3700" s="3">
        <v>11432</v>
      </c>
      <c r="K3700" s="3">
        <v>50116</v>
      </c>
      <c r="L3700" s="17" t="str" cm="1">
        <f t="array" ref="L3700">_xlfn.IFS(MID(K3700,2,2)="01", "서울", MID(K3700,2,2)="02","경기",MID(K3700,2,2)="03","충청",MID(K3700,2,2)="04","충청",MID(K3700,2,2)="05","전라",MID(K3700,2,2)="06","전라",MID(K3700,2,2)="07","경북",MID(K3700,2,2)="08","경남",MID(K3700,2,2)="09","강원",MID(K3700,2,2)="10","제주",TRUE,"국외")</f>
        <v>서울</v>
      </c>
    </row>
    <row r="3701" spans="1:12" ht="17.25" thickBot="1">
      <c r="A3701" s="3" t="s">
        <v>3549</v>
      </c>
      <c r="B3701" s="3"/>
      <c r="C3701" s="3" t="s">
        <v>208</v>
      </c>
      <c r="D3701" s="4" t="s">
        <v>243</v>
      </c>
      <c r="E3701" s="4" t="s">
        <v>9</v>
      </c>
      <c r="F3701" s="4">
        <v>1986</v>
      </c>
      <c r="G3701" s="8">
        <v>0</v>
      </c>
      <c r="H3701" s="4" t="s">
        <v>9</v>
      </c>
      <c r="I3701" s="8">
        <v>-0.5</v>
      </c>
      <c r="J3701" s="3">
        <f>1305</f>
        <v>1305</v>
      </c>
      <c r="K3701" s="3"/>
      <c r="L3701" s="17" t="str" cm="1">
        <f t="array" ref="L3701">_xlfn.IFS(MID(K3701,2,2)="01", "서울", MID(K3701,2,2)="02","경기",MID(K3701,2,2)="03","충청",MID(K3701,2,2)="04","충청",MID(K3701,2,2)="05","전라",MID(K3701,2,2)="06","전라",MID(K3701,2,2)="07","경북",MID(K3701,2,2)="08","경남",MID(K3701,2,2)="09","강원",MID(K3701,2,2)="10","제주",TRUE,"국외")</f>
        <v>국외</v>
      </c>
    </row>
    <row r="3702" spans="1:12" ht="17.25" thickBot="1">
      <c r="A3702" s="3" t="s">
        <v>3550</v>
      </c>
      <c r="B3702" s="3" t="s">
        <v>52</v>
      </c>
      <c r="C3702" s="3" t="s">
        <v>739</v>
      </c>
      <c r="D3702" s="4" t="s">
        <v>243</v>
      </c>
      <c r="E3702" s="4" t="s">
        <v>9</v>
      </c>
      <c r="F3702" s="4">
        <v>1986</v>
      </c>
      <c r="G3702" s="8">
        <v>0</v>
      </c>
      <c r="H3702" s="4" t="s">
        <v>9</v>
      </c>
      <c r="I3702" s="8">
        <v>0.6</v>
      </c>
      <c r="J3702" s="3">
        <f>1306</f>
        <v>1306</v>
      </c>
      <c r="K3702" s="3">
        <v>50803</v>
      </c>
      <c r="L3702" s="17" t="str" cm="1">
        <f t="array" ref="L3702">_xlfn.IFS(MID(K3702,2,2)="01", "서울", MID(K3702,2,2)="02","경기",MID(K3702,2,2)="03","충청",MID(K3702,2,2)="04","충청",MID(K3702,2,2)="05","전라",MID(K3702,2,2)="06","전라",MID(K3702,2,2)="07","경북",MID(K3702,2,2)="08","경남",MID(K3702,2,2)="09","강원",MID(K3702,2,2)="10","제주",TRUE,"국외")</f>
        <v>경남</v>
      </c>
    </row>
    <row r="3703" spans="1:12" ht="17.25" thickBot="1">
      <c r="A3703" s="3" t="s">
        <v>1238</v>
      </c>
      <c r="B3703" s="3" t="s">
        <v>93</v>
      </c>
      <c r="C3703" s="3" t="s">
        <v>83</v>
      </c>
      <c r="D3703" s="4" t="s">
        <v>243</v>
      </c>
      <c r="E3703" s="4" t="s">
        <v>9</v>
      </c>
      <c r="F3703" s="4">
        <v>1986</v>
      </c>
      <c r="G3703" s="8">
        <v>0.3</v>
      </c>
      <c r="H3703" s="4" t="s">
        <v>23</v>
      </c>
      <c r="I3703" s="8">
        <v>9.1999999999999993</v>
      </c>
      <c r="J3703" s="3">
        <f>1284</f>
        <v>1284</v>
      </c>
      <c r="K3703" s="3">
        <v>50805</v>
      </c>
      <c r="L3703" s="17" t="str" cm="1">
        <f t="array" ref="L3703">_xlfn.IFS(MID(K3703,2,2)="01", "서울", MID(K3703,2,2)="02","경기",MID(K3703,2,2)="03","충청",MID(K3703,2,2)="04","충청",MID(K3703,2,2)="05","전라",MID(K3703,2,2)="06","전라",MID(K3703,2,2)="07","경북",MID(K3703,2,2)="08","경남",MID(K3703,2,2)="09","강원",MID(K3703,2,2)="10","제주",TRUE,"국외")</f>
        <v>경남</v>
      </c>
    </row>
    <row r="3704" spans="1:12" ht="17.25" thickBot="1">
      <c r="A3704" s="3" t="s">
        <v>3551</v>
      </c>
      <c r="B3704" s="3" t="s">
        <v>1784</v>
      </c>
      <c r="C3704" s="3" t="s">
        <v>83</v>
      </c>
      <c r="D3704" s="4" t="s">
        <v>243</v>
      </c>
      <c r="E3704" s="4" t="s">
        <v>9</v>
      </c>
      <c r="F3704" s="4">
        <v>1986</v>
      </c>
      <c r="G3704" s="8">
        <v>1.3</v>
      </c>
      <c r="H3704" s="4" t="s">
        <v>9</v>
      </c>
      <c r="I3704" s="8">
        <v>38.200000000000003</v>
      </c>
      <c r="J3704" s="3">
        <f>1330</f>
        <v>1330</v>
      </c>
      <c r="K3704" s="3">
        <v>50812</v>
      </c>
      <c r="L3704" s="17" t="str" cm="1">
        <f t="array" ref="L3704">_xlfn.IFS(MID(K3704,2,2)="01", "서울", MID(K3704,2,2)="02","경기",MID(K3704,2,2)="03","충청",MID(K3704,2,2)="04","충청",MID(K3704,2,2)="05","전라",MID(K3704,2,2)="06","전라",MID(K3704,2,2)="07","경북",MID(K3704,2,2)="08","경남",MID(K3704,2,2)="09","강원",MID(K3704,2,2)="10","제주",TRUE,"국외")</f>
        <v>경남</v>
      </c>
    </row>
    <row r="3705" spans="1:12" ht="17.25" thickBot="1">
      <c r="A3705" s="3" t="s">
        <v>3552</v>
      </c>
      <c r="B3705" s="3" t="s">
        <v>36</v>
      </c>
      <c r="C3705" s="3" t="s">
        <v>45</v>
      </c>
      <c r="D3705" s="4" t="s">
        <v>243</v>
      </c>
      <c r="E3705" s="4" t="s">
        <v>3101</v>
      </c>
      <c r="F3705" s="4">
        <v>1990</v>
      </c>
      <c r="G3705" s="9"/>
      <c r="H3705" s="4" t="s">
        <v>3101</v>
      </c>
      <c r="I3705" s="8">
        <v>-0.7</v>
      </c>
      <c r="J3705" s="3">
        <f>1556</f>
        <v>1556</v>
      </c>
      <c r="K3705" s="3">
        <v>50402</v>
      </c>
      <c r="L3705" s="17" t="str" cm="1">
        <f t="array" ref="L3705">_xlfn.IFS(MID(K3705,2,2)="01", "서울", MID(K3705,2,2)="02","경기",MID(K3705,2,2)="03","충청",MID(K3705,2,2)="04","충청",MID(K3705,2,2)="05","전라",MID(K3705,2,2)="06","전라",MID(K3705,2,2)="07","경북",MID(K3705,2,2)="08","경남",MID(K3705,2,2)="09","강원",MID(K3705,2,2)="10","제주",TRUE,"국외")</f>
        <v>충청</v>
      </c>
    </row>
    <row r="3706" spans="1:12" ht="17.25" thickBot="1">
      <c r="A3706" s="3" t="s">
        <v>3553</v>
      </c>
      <c r="B3706" s="3" t="s">
        <v>36</v>
      </c>
      <c r="C3706" s="3" t="s">
        <v>739</v>
      </c>
      <c r="D3706" s="4" t="s">
        <v>243</v>
      </c>
      <c r="E3706" s="4" t="s">
        <v>3101</v>
      </c>
      <c r="F3706" s="4">
        <v>1986</v>
      </c>
      <c r="G3706" s="8">
        <v>-0.7</v>
      </c>
      <c r="H3706" s="4" t="s">
        <v>3101</v>
      </c>
      <c r="I3706" s="8">
        <v>-0.5</v>
      </c>
      <c r="J3706" s="3">
        <f>1285</f>
        <v>1285</v>
      </c>
      <c r="K3706" s="3">
        <v>50402</v>
      </c>
      <c r="L3706" s="17" t="str" cm="1">
        <f t="array" ref="L3706">_xlfn.IFS(MID(K3706,2,2)="01", "서울", MID(K3706,2,2)="02","경기",MID(K3706,2,2)="03","충청",MID(K3706,2,2)="04","충청",MID(K3706,2,2)="05","전라",MID(K3706,2,2)="06","전라",MID(K3706,2,2)="07","경북",MID(K3706,2,2)="08","경남",MID(K3706,2,2)="09","강원",MID(K3706,2,2)="10","제주",TRUE,"국외")</f>
        <v>충청</v>
      </c>
    </row>
    <row r="3707" spans="1:12" ht="17.25" thickBot="1">
      <c r="A3707" s="3" t="s">
        <v>3554</v>
      </c>
      <c r="B3707" s="3" t="s">
        <v>36</v>
      </c>
      <c r="C3707" s="3" t="s">
        <v>45</v>
      </c>
      <c r="D3707" s="4" t="s">
        <v>243</v>
      </c>
      <c r="E3707" s="4" t="s">
        <v>3101</v>
      </c>
      <c r="F3707" s="4">
        <v>1986</v>
      </c>
      <c r="G3707" s="8">
        <v>-0.1</v>
      </c>
      <c r="H3707" s="4" t="s">
        <v>3101</v>
      </c>
      <c r="I3707" s="8">
        <v>-0.4</v>
      </c>
      <c r="J3707" s="3">
        <f>1297</f>
        <v>1297</v>
      </c>
      <c r="K3707" s="3">
        <v>50402</v>
      </c>
      <c r="L3707" s="17" t="str" cm="1">
        <f t="array" ref="L3707">_xlfn.IFS(MID(K3707,2,2)="01", "서울", MID(K3707,2,2)="02","경기",MID(K3707,2,2)="03","충청",MID(K3707,2,2)="04","충청",MID(K3707,2,2)="05","전라",MID(K3707,2,2)="06","전라",MID(K3707,2,2)="07","경북",MID(K3707,2,2)="08","경남",MID(K3707,2,2)="09","강원",MID(K3707,2,2)="10","제주",TRUE,"국외")</f>
        <v>충청</v>
      </c>
    </row>
    <row r="3708" spans="1:12" ht="17.25" thickBot="1">
      <c r="A3708" s="3" t="s">
        <v>3555</v>
      </c>
      <c r="B3708" s="3" t="s">
        <v>25</v>
      </c>
      <c r="C3708" s="3" t="s">
        <v>221</v>
      </c>
      <c r="D3708" s="4" t="s">
        <v>243</v>
      </c>
      <c r="E3708" s="4" t="s">
        <v>3101</v>
      </c>
      <c r="F3708" s="4">
        <v>1986</v>
      </c>
      <c r="G3708" s="8">
        <v>0</v>
      </c>
      <c r="H3708" s="4" t="s">
        <v>3101</v>
      </c>
      <c r="I3708" s="8">
        <v>0</v>
      </c>
      <c r="J3708" s="3">
        <f>1298</f>
        <v>1298</v>
      </c>
      <c r="K3708" s="3">
        <v>50403</v>
      </c>
      <c r="L3708" s="17" t="str" cm="1">
        <f t="array" ref="L3708">_xlfn.IFS(MID(K3708,2,2)="01", "서울", MID(K3708,2,2)="02","경기",MID(K3708,2,2)="03","충청",MID(K3708,2,2)="04","충청",MID(K3708,2,2)="05","전라",MID(K3708,2,2)="06","전라",MID(K3708,2,2)="07","경북",MID(K3708,2,2)="08","경남",MID(K3708,2,2)="09","강원",MID(K3708,2,2)="10","제주",TRUE,"국외")</f>
        <v>충청</v>
      </c>
    </row>
    <row r="3709" spans="1:12" ht="17.25" thickBot="1">
      <c r="A3709" s="3" t="s">
        <v>3556</v>
      </c>
      <c r="B3709" s="3" t="s">
        <v>25</v>
      </c>
      <c r="C3709" s="3" t="s">
        <v>119</v>
      </c>
      <c r="D3709" s="4" t="s">
        <v>243</v>
      </c>
      <c r="E3709" s="4" t="s">
        <v>3101</v>
      </c>
      <c r="F3709" s="4">
        <v>1986</v>
      </c>
      <c r="G3709" s="8">
        <v>-0.2</v>
      </c>
      <c r="H3709" s="4" t="s">
        <v>3101</v>
      </c>
      <c r="I3709" s="8">
        <v>-0.2</v>
      </c>
      <c r="J3709" s="3">
        <f>1290</f>
        <v>1290</v>
      </c>
      <c r="K3709" s="3">
        <v>50403</v>
      </c>
      <c r="L3709" s="17" t="str" cm="1">
        <f t="array" ref="L3709">_xlfn.IFS(MID(K3709,2,2)="01", "서울", MID(K3709,2,2)="02","경기",MID(K3709,2,2)="03","충청",MID(K3709,2,2)="04","충청",MID(K3709,2,2)="05","전라",MID(K3709,2,2)="06","전라",MID(K3709,2,2)="07","경북",MID(K3709,2,2)="08","경남",MID(K3709,2,2)="09","강원",MID(K3709,2,2)="10","제주",TRUE,"국외")</f>
        <v>충청</v>
      </c>
    </row>
    <row r="3710" spans="1:12" ht="17.25" thickBot="1">
      <c r="A3710" s="3" t="s">
        <v>3557</v>
      </c>
      <c r="B3710" s="3" t="s">
        <v>50</v>
      </c>
      <c r="C3710" s="3" t="s">
        <v>99</v>
      </c>
      <c r="D3710" s="4" t="s">
        <v>243</v>
      </c>
      <c r="E3710" s="4" t="s">
        <v>3101</v>
      </c>
      <c r="F3710" s="4">
        <v>1986</v>
      </c>
      <c r="G3710" s="8">
        <v>2.6</v>
      </c>
      <c r="H3710" s="4" t="s">
        <v>3101</v>
      </c>
      <c r="I3710" s="8">
        <v>27.8</v>
      </c>
      <c r="J3710" s="3">
        <f>1336</f>
        <v>1336</v>
      </c>
      <c r="K3710" s="3">
        <v>50301</v>
      </c>
      <c r="L3710" s="17" t="str" cm="1">
        <f t="array" ref="L3710">_xlfn.IFS(MID(K3710,2,2)="01", "서울", MID(K3710,2,2)="02","경기",MID(K3710,2,2)="03","충청",MID(K3710,2,2)="04","충청",MID(K3710,2,2)="05","전라",MID(K3710,2,2)="06","전라",MID(K3710,2,2)="07","경북",MID(K3710,2,2)="08","경남",MID(K3710,2,2)="09","강원",MID(K3710,2,2)="10","제주",TRUE,"국외")</f>
        <v>충청</v>
      </c>
    </row>
    <row r="3711" spans="1:12" ht="17.25" thickBot="1">
      <c r="A3711" s="3" t="s">
        <v>3558</v>
      </c>
      <c r="B3711" s="3" t="s">
        <v>25</v>
      </c>
      <c r="C3711" s="3" t="s">
        <v>739</v>
      </c>
      <c r="D3711" s="4" t="s">
        <v>243</v>
      </c>
      <c r="E3711" s="4" t="s">
        <v>3101</v>
      </c>
      <c r="F3711" s="4">
        <v>1986</v>
      </c>
      <c r="G3711" s="8">
        <v>3</v>
      </c>
      <c r="H3711" s="4" t="s">
        <v>3101</v>
      </c>
      <c r="I3711" s="8">
        <v>18.8</v>
      </c>
      <c r="J3711" s="3">
        <f>1282</f>
        <v>1282</v>
      </c>
      <c r="K3711" s="3">
        <v>50403</v>
      </c>
      <c r="L3711" s="17" t="str" cm="1">
        <f t="array" ref="L3711">_xlfn.IFS(MID(K3711,2,2)="01", "서울", MID(K3711,2,2)="02","경기",MID(K3711,2,2)="03","충청",MID(K3711,2,2)="04","충청",MID(K3711,2,2)="05","전라",MID(K3711,2,2)="06","전라",MID(K3711,2,2)="07","경북",MID(K3711,2,2)="08","경남",MID(K3711,2,2)="09","강원",MID(K3711,2,2)="10","제주",TRUE,"국외")</f>
        <v>충청</v>
      </c>
    </row>
    <row r="3712" spans="1:12" ht="17.25" thickBot="1">
      <c r="A3712" s="3" t="s">
        <v>3559</v>
      </c>
      <c r="B3712" s="3" t="s">
        <v>2524</v>
      </c>
      <c r="C3712" s="3" t="s">
        <v>211</v>
      </c>
      <c r="D3712" s="4" t="s">
        <v>243</v>
      </c>
      <c r="E3712" s="4" t="s">
        <v>23</v>
      </c>
      <c r="F3712" s="4">
        <v>1987</v>
      </c>
      <c r="G3712" s="9"/>
      <c r="H3712" s="4" t="s">
        <v>3101</v>
      </c>
      <c r="I3712" s="8">
        <v>0.1</v>
      </c>
      <c r="J3712" s="3">
        <f>1367</f>
        <v>1367</v>
      </c>
      <c r="K3712" s="3">
        <v>50711</v>
      </c>
      <c r="L3712" s="17" t="str" cm="1">
        <f t="array" ref="L3712">_xlfn.IFS(MID(K3712,2,2)="01", "서울", MID(K3712,2,2)="02","경기",MID(K3712,2,2)="03","충청",MID(K3712,2,2)="04","충청",MID(K3712,2,2)="05","전라",MID(K3712,2,2)="06","전라",MID(K3712,2,2)="07","경북",MID(K3712,2,2)="08","경남",MID(K3712,2,2)="09","강원",MID(K3712,2,2)="10","제주",TRUE,"국외")</f>
        <v>경북</v>
      </c>
    </row>
    <row r="3713" spans="1:12" ht="17.25" thickBot="1">
      <c r="A3713" s="3" t="s">
        <v>3560</v>
      </c>
      <c r="B3713" s="3"/>
      <c r="C3713" s="3" t="s">
        <v>45</v>
      </c>
      <c r="D3713" s="4" t="s">
        <v>243</v>
      </c>
      <c r="E3713" s="4" t="s">
        <v>23</v>
      </c>
      <c r="F3713" s="4">
        <v>1986</v>
      </c>
      <c r="G3713" s="8">
        <v>0.1</v>
      </c>
      <c r="H3713" s="4" t="s">
        <v>23</v>
      </c>
      <c r="I3713" s="8">
        <v>-0.4</v>
      </c>
      <c r="J3713" s="3">
        <f>1312</f>
        <v>1312</v>
      </c>
      <c r="K3713" s="3"/>
      <c r="L3713" s="17" t="str" cm="1">
        <f t="array" ref="L3713">_xlfn.IFS(MID(K3713,2,2)="01", "서울", MID(K3713,2,2)="02","경기",MID(K3713,2,2)="03","충청",MID(K3713,2,2)="04","충청",MID(K3713,2,2)="05","전라",MID(K3713,2,2)="06","전라",MID(K3713,2,2)="07","경북",MID(K3713,2,2)="08","경남",MID(K3713,2,2)="09","강원",MID(K3713,2,2)="10","제주",TRUE,"국외")</f>
        <v>국외</v>
      </c>
    </row>
    <row r="3714" spans="1:12" ht="17.25" thickBot="1">
      <c r="A3714" s="3" t="s">
        <v>3561</v>
      </c>
      <c r="B3714" s="3" t="s">
        <v>14</v>
      </c>
      <c r="C3714" s="3" t="s">
        <v>739</v>
      </c>
      <c r="D3714" s="4" t="s">
        <v>243</v>
      </c>
      <c r="E3714" s="4" t="s">
        <v>23</v>
      </c>
      <c r="F3714" s="4">
        <v>1986</v>
      </c>
      <c r="G3714" s="8">
        <v>0</v>
      </c>
      <c r="H3714" s="4" t="s">
        <v>23</v>
      </c>
      <c r="I3714" s="8">
        <v>0.1</v>
      </c>
      <c r="J3714" s="3">
        <f>1303</f>
        <v>1303</v>
      </c>
      <c r="K3714" s="3">
        <v>50703</v>
      </c>
      <c r="L3714" s="17" t="str" cm="1">
        <f t="array" ref="L3714">_xlfn.IFS(MID(K3714,2,2)="01", "서울", MID(K3714,2,2)="02","경기",MID(K3714,2,2)="03","충청",MID(K3714,2,2)="04","충청",MID(K3714,2,2)="05","전라",MID(K3714,2,2)="06","전라",MID(K3714,2,2)="07","경북",MID(K3714,2,2)="08","경남",MID(K3714,2,2)="09","강원",MID(K3714,2,2)="10","제주",TRUE,"국외")</f>
        <v>경북</v>
      </c>
    </row>
    <row r="3715" spans="1:12" ht="17.25" thickBot="1">
      <c r="A3715" s="3" t="s">
        <v>3562</v>
      </c>
      <c r="B3715" s="3" t="s">
        <v>14</v>
      </c>
      <c r="C3715" s="3" t="s">
        <v>538</v>
      </c>
      <c r="D3715" s="4" t="s">
        <v>243</v>
      </c>
      <c r="E3715" s="4" t="s">
        <v>23</v>
      </c>
      <c r="F3715" s="4">
        <v>1986</v>
      </c>
      <c r="G3715" s="8">
        <v>-0.1</v>
      </c>
      <c r="H3715" s="4" t="s">
        <v>3101</v>
      </c>
      <c r="I3715" s="8">
        <v>-0.1</v>
      </c>
      <c r="J3715" s="3">
        <f>1307</f>
        <v>1307</v>
      </c>
      <c r="K3715" s="3">
        <v>50703</v>
      </c>
      <c r="L3715" s="17" t="str" cm="1">
        <f t="array" ref="L3715">_xlfn.IFS(MID(K3715,2,2)="01", "서울", MID(K3715,2,2)="02","경기",MID(K3715,2,2)="03","충청",MID(K3715,2,2)="04","충청",MID(K3715,2,2)="05","전라",MID(K3715,2,2)="06","전라",MID(K3715,2,2)="07","경북",MID(K3715,2,2)="08","경남",MID(K3715,2,2)="09","강원",MID(K3715,2,2)="10","제주",TRUE,"국외")</f>
        <v>경북</v>
      </c>
    </row>
    <row r="3716" spans="1:12" ht="17.25" thickBot="1">
      <c r="A3716" s="3" t="s">
        <v>3563</v>
      </c>
      <c r="B3716" s="3" t="s">
        <v>34</v>
      </c>
      <c r="C3716" s="3" t="s">
        <v>211</v>
      </c>
      <c r="D3716" s="4" t="s">
        <v>243</v>
      </c>
      <c r="E3716" s="4" t="s">
        <v>23</v>
      </c>
      <c r="F3716" s="4">
        <v>1986</v>
      </c>
      <c r="G3716" s="8">
        <v>-0.1</v>
      </c>
      <c r="H3716" s="4" t="s">
        <v>23</v>
      </c>
      <c r="I3716" s="8">
        <v>1.3</v>
      </c>
      <c r="J3716" s="3">
        <f>1272</f>
        <v>1272</v>
      </c>
      <c r="K3716" s="3">
        <v>50701</v>
      </c>
      <c r="L3716" s="17" t="str" cm="1">
        <f t="array" ref="L3716">_xlfn.IFS(MID(K3716,2,2)="01", "서울", MID(K3716,2,2)="02","경기",MID(K3716,2,2)="03","충청",MID(K3716,2,2)="04","충청",MID(K3716,2,2)="05","전라",MID(K3716,2,2)="06","전라",MID(K3716,2,2)="07","경북",MID(K3716,2,2)="08","경남",MID(K3716,2,2)="09","강원",MID(K3716,2,2)="10","제주",TRUE,"국외")</f>
        <v>경북</v>
      </c>
    </row>
    <row r="3717" spans="1:12" ht="17.25" thickBot="1">
      <c r="A3717" s="3" t="s">
        <v>3564</v>
      </c>
      <c r="B3717" s="3" t="s">
        <v>22</v>
      </c>
      <c r="C3717" s="3" t="s">
        <v>221</v>
      </c>
      <c r="D3717" s="4" t="s">
        <v>243</v>
      </c>
      <c r="E3717" s="4" t="s">
        <v>3525</v>
      </c>
      <c r="F3717" s="4">
        <v>1986</v>
      </c>
      <c r="G3717" s="8">
        <v>0</v>
      </c>
      <c r="H3717" s="4" t="s">
        <v>3525</v>
      </c>
      <c r="I3717" s="8">
        <v>0</v>
      </c>
      <c r="J3717" s="3">
        <f>1310</f>
        <v>1310</v>
      </c>
      <c r="K3717" s="3">
        <v>50209</v>
      </c>
      <c r="L3717" s="17" t="str" cm="1">
        <f t="array" ref="L3717">_xlfn.IFS(MID(K3717,2,2)="01", "서울", MID(K3717,2,2)="02","경기",MID(K3717,2,2)="03","충청",MID(K3717,2,2)="04","충청",MID(K3717,2,2)="05","전라",MID(K3717,2,2)="06","전라",MID(K3717,2,2)="07","경북",MID(K3717,2,2)="08","경남",MID(K3717,2,2)="09","강원",MID(K3717,2,2)="10","제주",TRUE,"국외")</f>
        <v>경기</v>
      </c>
    </row>
    <row r="3718" spans="1:12" ht="17.25" thickBot="1">
      <c r="A3718" s="3" t="s">
        <v>3565</v>
      </c>
      <c r="B3718" s="3" t="s">
        <v>241</v>
      </c>
      <c r="C3718" s="3" t="s">
        <v>211</v>
      </c>
      <c r="D3718" s="4" t="s">
        <v>243</v>
      </c>
      <c r="E3718" s="4" t="s">
        <v>3525</v>
      </c>
      <c r="F3718" s="4">
        <v>1986</v>
      </c>
      <c r="G3718" s="8">
        <v>0.1</v>
      </c>
      <c r="H3718" s="4" t="s">
        <v>2968</v>
      </c>
      <c r="I3718" s="8">
        <v>6.4</v>
      </c>
      <c r="J3718" s="3">
        <f>1301</f>
        <v>1301</v>
      </c>
      <c r="K3718" s="3">
        <v>50202</v>
      </c>
      <c r="L3718" s="17" t="str" cm="1">
        <f t="array" ref="L3718">_xlfn.IFS(MID(K3718,2,2)="01", "서울", MID(K3718,2,2)="02","경기",MID(K3718,2,2)="03","충청",MID(K3718,2,2)="04","충청",MID(K3718,2,2)="05","전라",MID(K3718,2,2)="06","전라",MID(K3718,2,2)="07","경북",MID(K3718,2,2)="08","경남",MID(K3718,2,2)="09","강원",MID(K3718,2,2)="10","제주",TRUE,"국외")</f>
        <v>경기</v>
      </c>
    </row>
    <row r="3719" spans="1:12" ht="17.25" thickBot="1">
      <c r="A3719" s="3" t="s">
        <v>3566</v>
      </c>
      <c r="B3719" s="3" t="s">
        <v>22</v>
      </c>
      <c r="C3719" s="3" t="s">
        <v>221</v>
      </c>
      <c r="D3719" s="4" t="s">
        <v>243</v>
      </c>
      <c r="E3719" s="4" t="s">
        <v>3525</v>
      </c>
      <c r="F3719" s="4">
        <v>1986</v>
      </c>
      <c r="G3719" s="8">
        <v>2.2000000000000002</v>
      </c>
      <c r="H3719" s="4" t="s">
        <v>2968</v>
      </c>
      <c r="I3719" s="8">
        <v>31.4</v>
      </c>
      <c r="J3719" s="3">
        <f>1281</f>
        <v>1281</v>
      </c>
      <c r="K3719" s="3">
        <v>50209</v>
      </c>
      <c r="L3719" s="17" t="str" cm="1">
        <f t="array" ref="L3719">_xlfn.IFS(MID(K3719,2,2)="01", "서울", MID(K3719,2,2)="02","경기",MID(K3719,2,2)="03","충청",MID(K3719,2,2)="04","충청",MID(K3719,2,2)="05","전라",MID(K3719,2,2)="06","전라",MID(K3719,2,2)="07","경북",MID(K3719,2,2)="08","경남",MID(K3719,2,2)="09","강원",MID(K3719,2,2)="10","제주",TRUE,"국외")</f>
        <v>경기</v>
      </c>
    </row>
    <row r="3720" spans="1:12" ht="17.25" thickBot="1">
      <c r="A3720" s="3" t="s">
        <v>3567</v>
      </c>
      <c r="B3720" s="3" t="s">
        <v>107</v>
      </c>
      <c r="C3720" s="3" t="s">
        <v>208</v>
      </c>
      <c r="D3720" s="4" t="s">
        <v>243</v>
      </c>
      <c r="E3720" s="4" t="s">
        <v>2523</v>
      </c>
      <c r="F3720" s="4">
        <v>1986</v>
      </c>
      <c r="G3720" s="8">
        <v>2.6</v>
      </c>
      <c r="H3720" s="4" t="s">
        <v>20</v>
      </c>
      <c r="I3720" s="8">
        <v>5.6</v>
      </c>
      <c r="J3720" s="3">
        <f>1316</f>
        <v>1316</v>
      </c>
      <c r="K3720" s="3">
        <v>50602</v>
      </c>
      <c r="L3720" s="17" t="str" cm="1">
        <f t="array" ref="L3720">_xlfn.IFS(MID(K3720,2,2)="01", "서울", MID(K3720,2,2)="02","경기",MID(K3720,2,2)="03","충청",MID(K3720,2,2)="04","충청",MID(K3720,2,2)="05","전라",MID(K3720,2,2)="06","전라",MID(K3720,2,2)="07","경북",MID(K3720,2,2)="08","경남",MID(K3720,2,2)="09","강원",MID(K3720,2,2)="10","제주",TRUE,"국외")</f>
        <v>전라</v>
      </c>
    </row>
    <row r="3721" spans="1:12" ht="17.25" thickBot="1">
      <c r="A3721" s="3" t="s">
        <v>3568</v>
      </c>
      <c r="B3721" s="3" t="s">
        <v>42</v>
      </c>
      <c r="C3721" s="3" t="s">
        <v>45</v>
      </c>
      <c r="D3721" s="4" t="s">
        <v>243</v>
      </c>
      <c r="E3721" s="4" t="s">
        <v>2523</v>
      </c>
      <c r="F3721" s="4">
        <v>1986</v>
      </c>
      <c r="G3721" s="8">
        <v>-1.4</v>
      </c>
      <c r="H3721" s="4" t="s">
        <v>2523</v>
      </c>
      <c r="I3721" s="8">
        <v>-2.9</v>
      </c>
      <c r="J3721" s="3">
        <f>1317</f>
        <v>1317</v>
      </c>
      <c r="K3721" s="3">
        <v>50502</v>
      </c>
      <c r="L3721" s="17" t="str" cm="1">
        <f t="array" ref="L3721">_xlfn.IFS(MID(K3721,2,2)="01", "서울", MID(K3721,2,2)="02","경기",MID(K3721,2,2)="03","충청",MID(K3721,2,2)="04","충청",MID(K3721,2,2)="05","전라",MID(K3721,2,2)="06","전라",MID(K3721,2,2)="07","경북",MID(K3721,2,2)="08","경남",MID(K3721,2,2)="09","강원",MID(K3721,2,2)="10","제주",TRUE,"국외")</f>
        <v>전라</v>
      </c>
    </row>
    <row r="3722" spans="1:12" ht="17.25" thickBot="1">
      <c r="A3722" s="3" t="s">
        <v>684</v>
      </c>
      <c r="B3722" s="3" t="s">
        <v>2491</v>
      </c>
      <c r="C3722" s="3"/>
      <c r="D3722" s="4" t="s">
        <v>243</v>
      </c>
      <c r="E3722" s="4" t="s">
        <v>2523</v>
      </c>
      <c r="F3722" s="4">
        <v>1986</v>
      </c>
      <c r="G3722" s="8">
        <v>-0.7</v>
      </c>
      <c r="H3722" s="4" t="s">
        <v>2523</v>
      </c>
      <c r="I3722" s="8">
        <v>19.100000000000001</v>
      </c>
      <c r="J3722" s="3">
        <f>1327</f>
        <v>1327</v>
      </c>
      <c r="K3722" s="3">
        <v>50608</v>
      </c>
      <c r="L3722" s="17" t="str" cm="1">
        <f t="array" ref="L3722">_xlfn.IFS(MID(K3722,2,2)="01", "서울", MID(K3722,2,2)="02","경기",MID(K3722,2,2)="03","충청",MID(K3722,2,2)="04","충청",MID(K3722,2,2)="05","전라",MID(K3722,2,2)="06","전라",MID(K3722,2,2)="07","경북",MID(K3722,2,2)="08","경남",MID(K3722,2,2)="09","강원",MID(K3722,2,2)="10","제주",TRUE,"국외")</f>
        <v>전라</v>
      </c>
    </row>
    <row r="3723" spans="1:12" ht="17.25" thickBot="1">
      <c r="A3723" s="3" t="s">
        <v>528</v>
      </c>
      <c r="B3723" s="3" t="s">
        <v>42</v>
      </c>
      <c r="C3723" s="3" t="s">
        <v>172</v>
      </c>
      <c r="D3723" s="4" t="s">
        <v>243</v>
      </c>
      <c r="E3723" s="4" t="s">
        <v>2523</v>
      </c>
      <c r="F3723" s="4">
        <v>1986</v>
      </c>
      <c r="G3723" s="8">
        <v>-0.3</v>
      </c>
      <c r="H3723" s="4" t="s">
        <v>2523</v>
      </c>
      <c r="I3723" s="8">
        <v>3.7</v>
      </c>
      <c r="J3723" s="3">
        <f>1313</f>
        <v>1313</v>
      </c>
      <c r="K3723" s="3">
        <v>50502</v>
      </c>
      <c r="L3723" s="17" t="str" cm="1">
        <f t="array" ref="L3723">_xlfn.IFS(MID(K3723,2,2)="01", "서울", MID(K3723,2,2)="02","경기",MID(K3723,2,2)="03","충청",MID(K3723,2,2)="04","충청",MID(K3723,2,2)="05","전라",MID(K3723,2,2)="06","전라",MID(K3723,2,2)="07","경북",MID(K3723,2,2)="08","경남",MID(K3723,2,2)="09","강원",MID(K3723,2,2)="10","제주",TRUE,"국외")</f>
        <v>전라</v>
      </c>
    </row>
    <row r="3724" spans="1:12" ht="17.25" thickBot="1">
      <c r="A3724" s="3" t="s">
        <v>3569</v>
      </c>
      <c r="B3724" s="3" t="s">
        <v>158</v>
      </c>
      <c r="C3724" s="3" t="s">
        <v>133</v>
      </c>
      <c r="D3724" s="4" t="s">
        <v>243</v>
      </c>
      <c r="E3724" s="4" t="s">
        <v>2523</v>
      </c>
      <c r="F3724" s="4">
        <v>1986</v>
      </c>
      <c r="G3724" s="8">
        <v>-0.3</v>
      </c>
      <c r="H3724" s="4" t="s">
        <v>2523</v>
      </c>
      <c r="I3724" s="8">
        <v>-0.4</v>
      </c>
      <c r="J3724" s="3">
        <f>1300</f>
        <v>1300</v>
      </c>
      <c r="K3724" s="3">
        <v>50501</v>
      </c>
      <c r="L3724" s="17" t="str" cm="1">
        <f t="array" ref="L3724">_xlfn.IFS(MID(K3724,2,2)="01", "서울", MID(K3724,2,2)="02","경기",MID(K3724,2,2)="03","충청",MID(K3724,2,2)="04","충청",MID(K3724,2,2)="05","전라",MID(K3724,2,2)="06","전라",MID(K3724,2,2)="07","경북",MID(K3724,2,2)="08","경남",MID(K3724,2,2)="09","강원",MID(K3724,2,2)="10","제주",TRUE,"국외")</f>
        <v>전라</v>
      </c>
    </row>
    <row r="3725" spans="1:12" ht="17.25" thickBot="1">
      <c r="A3725" s="3" t="s">
        <v>3570</v>
      </c>
      <c r="B3725" s="3" t="s">
        <v>158</v>
      </c>
      <c r="C3725" s="3" t="s">
        <v>133</v>
      </c>
      <c r="D3725" s="4" t="s">
        <v>243</v>
      </c>
      <c r="E3725" s="4" t="s">
        <v>2523</v>
      </c>
      <c r="F3725" s="4">
        <v>1986</v>
      </c>
      <c r="G3725" s="8">
        <v>0.1</v>
      </c>
      <c r="H3725" s="4" t="s">
        <v>2523</v>
      </c>
      <c r="I3725" s="8">
        <v>0.2</v>
      </c>
      <c r="J3725" s="3">
        <f>1270</f>
        <v>1270</v>
      </c>
      <c r="K3725" s="3">
        <v>50501</v>
      </c>
      <c r="L3725" s="17" t="str" cm="1">
        <f t="array" ref="L3725">_xlfn.IFS(MID(K3725,2,2)="01", "서울", MID(K3725,2,2)="02","경기",MID(K3725,2,2)="03","충청",MID(K3725,2,2)="04","충청",MID(K3725,2,2)="05","전라",MID(K3725,2,2)="06","전라",MID(K3725,2,2)="07","경북",MID(K3725,2,2)="08","경남",MID(K3725,2,2)="09","강원",MID(K3725,2,2)="10","제주",TRUE,"국외")</f>
        <v>전라</v>
      </c>
    </row>
    <row r="3726" spans="1:12" ht="17.25" thickBot="1">
      <c r="A3726" s="3" t="s">
        <v>3571</v>
      </c>
      <c r="B3726" s="3" t="s">
        <v>2491</v>
      </c>
      <c r="C3726" s="3" t="s">
        <v>99</v>
      </c>
      <c r="D3726" s="4" t="s">
        <v>243</v>
      </c>
      <c r="E3726" s="4" t="s">
        <v>2523</v>
      </c>
      <c r="F3726" s="4">
        <v>1986</v>
      </c>
      <c r="G3726" s="8">
        <v>0.2</v>
      </c>
      <c r="H3726" s="4" t="s">
        <v>2523</v>
      </c>
      <c r="I3726" s="8">
        <v>14</v>
      </c>
      <c r="J3726" s="3">
        <f>1271</f>
        <v>1271</v>
      </c>
      <c r="K3726" s="3">
        <v>50608</v>
      </c>
      <c r="L3726" s="17" t="str" cm="1">
        <f t="array" ref="L3726">_xlfn.IFS(MID(K3726,2,2)="01", "서울", MID(K3726,2,2)="02","경기",MID(K3726,2,2)="03","충청",MID(K3726,2,2)="04","충청",MID(K3726,2,2)="05","전라",MID(K3726,2,2)="06","전라",MID(K3726,2,2)="07","경북",MID(K3726,2,2)="08","경남",MID(K3726,2,2)="09","강원",MID(K3726,2,2)="10","제주",TRUE,"국외")</f>
        <v>전라</v>
      </c>
    </row>
    <row r="3727" spans="1:12" ht="17.25" thickBot="1">
      <c r="A3727" s="3" t="s">
        <v>2297</v>
      </c>
      <c r="B3727" s="3" t="s">
        <v>121</v>
      </c>
      <c r="C3727" s="3" t="s">
        <v>83</v>
      </c>
      <c r="D3727" s="4" t="s">
        <v>243</v>
      </c>
      <c r="E3727" s="4" t="s">
        <v>2523</v>
      </c>
      <c r="F3727" s="4">
        <v>1986</v>
      </c>
      <c r="G3727" s="8">
        <v>1.4</v>
      </c>
      <c r="H3727" s="4" t="s">
        <v>2523</v>
      </c>
      <c r="I3727" s="8">
        <v>31.9</v>
      </c>
      <c r="J3727" s="3">
        <f>1314</f>
        <v>1314</v>
      </c>
      <c r="K3727" s="3">
        <v>50604</v>
      </c>
      <c r="L3727" s="17" t="str" cm="1">
        <f t="array" ref="L3727">_xlfn.IFS(MID(K3727,2,2)="01", "서울", MID(K3727,2,2)="02","경기",MID(K3727,2,2)="03","충청",MID(K3727,2,2)="04","충청",MID(K3727,2,2)="05","전라",MID(K3727,2,2)="06","전라",MID(K3727,2,2)="07","경북",MID(K3727,2,2)="08","경남",MID(K3727,2,2)="09","강원",MID(K3727,2,2)="10","제주",TRUE,"국외")</f>
        <v>전라</v>
      </c>
    </row>
    <row r="3728" spans="1:12" ht="17.25" thickBot="1">
      <c r="A3728" s="3" t="s">
        <v>1507</v>
      </c>
      <c r="B3728" s="3"/>
      <c r="C3728" s="3" t="s">
        <v>221</v>
      </c>
      <c r="D3728" s="4" t="s">
        <v>243</v>
      </c>
      <c r="E3728" s="4" t="s">
        <v>2523</v>
      </c>
      <c r="F3728" s="4">
        <v>1986</v>
      </c>
      <c r="G3728" s="8">
        <v>-0.1</v>
      </c>
      <c r="H3728" s="4" t="s">
        <v>2523</v>
      </c>
      <c r="I3728" s="8">
        <v>-0.1</v>
      </c>
      <c r="J3728" s="3">
        <f>1280</f>
        <v>1280</v>
      </c>
      <c r="K3728" s="3"/>
      <c r="L3728" s="17" t="str" cm="1">
        <f t="array" ref="L3728">_xlfn.IFS(MID(K3728,2,2)="01", "서울", MID(K3728,2,2)="02","경기",MID(K3728,2,2)="03","충청",MID(K3728,2,2)="04","충청",MID(K3728,2,2)="05","전라",MID(K3728,2,2)="06","전라",MID(K3728,2,2)="07","경북",MID(K3728,2,2)="08","경남",MID(K3728,2,2)="09","강원",MID(K3728,2,2)="10","제주",TRUE,"국외")</f>
        <v>국외</v>
      </c>
    </row>
    <row r="3729" spans="1:12" ht="17.25" thickBot="1">
      <c r="A3729" s="3" t="s">
        <v>3572</v>
      </c>
      <c r="B3729" s="3" t="s">
        <v>335</v>
      </c>
      <c r="C3729" s="3" t="s">
        <v>119</v>
      </c>
      <c r="D3729" s="4" t="s">
        <v>243</v>
      </c>
      <c r="E3729" s="4" t="s">
        <v>9</v>
      </c>
      <c r="F3729" s="4">
        <v>1986</v>
      </c>
      <c r="G3729" s="8">
        <v>0.1</v>
      </c>
      <c r="H3729" s="4" t="s">
        <v>9</v>
      </c>
      <c r="I3729" s="8">
        <v>3.7</v>
      </c>
      <c r="J3729" s="3">
        <f>1329</f>
        <v>1329</v>
      </c>
      <c r="K3729" s="3">
        <v>50804</v>
      </c>
      <c r="L3729" s="17" t="str" cm="1">
        <f t="array" ref="L3729">_xlfn.IFS(MID(K3729,2,2)="01", "서울", MID(K3729,2,2)="02","경기",MID(K3729,2,2)="03","충청",MID(K3729,2,2)="04","충청",MID(K3729,2,2)="05","전라",MID(K3729,2,2)="06","전라",MID(K3729,2,2)="07","경북",MID(K3729,2,2)="08","경남",MID(K3729,2,2)="09","강원",MID(K3729,2,2)="10","제주",TRUE,"국외")</f>
        <v>경남</v>
      </c>
    </row>
    <row r="3730" spans="1:12" ht="17.25" thickBot="1">
      <c r="A3730" s="3" t="s">
        <v>3573</v>
      </c>
      <c r="B3730" s="3" t="s">
        <v>93</v>
      </c>
      <c r="C3730" s="3" t="s">
        <v>45</v>
      </c>
      <c r="D3730" s="4" t="s">
        <v>243</v>
      </c>
      <c r="E3730" s="4" t="s">
        <v>9</v>
      </c>
      <c r="F3730" s="4">
        <v>1990</v>
      </c>
      <c r="G3730" s="9"/>
      <c r="H3730" s="4" t="s">
        <v>9</v>
      </c>
      <c r="I3730" s="8">
        <v>24.5</v>
      </c>
      <c r="J3730" s="3">
        <f>1539</f>
        <v>1539</v>
      </c>
      <c r="K3730" s="3">
        <v>50805</v>
      </c>
      <c r="L3730" s="17" t="str" cm="1">
        <f t="array" ref="L3730">_xlfn.IFS(MID(K3730,2,2)="01", "서울", MID(K3730,2,2)="02","경기",MID(K3730,2,2)="03","충청",MID(K3730,2,2)="04","충청",MID(K3730,2,2)="05","전라",MID(K3730,2,2)="06","전라",MID(K3730,2,2)="07","경북",MID(K3730,2,2)="08","경남",MID(K3730,2,2)="09","강원",MID(K3730,2,2)="10","제주",TRUE,"국외")</f>
        <v>경남</v>
      </c>
    </row>
    <row r="3731" spans="1:12" ht="17.25" thickBot="1">
      <c r="A3731" s="3" t="s">
        <v>3574</v>
      </c>
      <c r="B3731" s="3" t="s">
        <v>34</v>
      </c>
      <c r="C3731" s="3" t="s">
        <v>739</v>
      </c>
      <c r="D3731" s="4" t="s">
        <v>243</v>
      </c>
      <c r="E3731" s="4" t="s">
        <v>23</v>
      </c>
      <c r="F3731" s="4">
        <v>1986</v>
      </c>
      <c r="G3731" s="8">
        <v>4.9000000000000004</v>
      </c>
      <c r="H3731" s="4" t="s">
        <v>23</v>
      </c>
      <c r="I3731" s="8">
        <v>36</v>
      </c>
      <c r="J3731" s="3">
        <f>1315</f>
        <v>1315</v>
      </c>
      <c r="K3731" s="3">
        <v>50701</v>
      </c>
      <c r="L3731" s="17" t="str" cm="1">
        <f t="array" ref="L3731">_xlfn.IFS(MID(K3731,2,2)="01", "서울", MID(K3731,2,2)="02","경기",MID(K3731,2,2)="03","충청",MID(K3731,2,2)="04","충청",MID(K3731,2,2)="05","전라",MID(K3731,2,2)="06","전라",MID(K3731,2,2)="07","경북",MID(K3731,2,2)="08","경남",MID(K3731,2,2)="09","강원",MID(K3731,2,2)="10","제주",TRUE,"국외")</f>
        <v>경북</v>
      </c>
    </row>
    <row r="3732" spans="1:12" ht="17.25" thickBot="1">
      <c r="A3732" s="3" t="s">
        <v>3575</v>
      </c>
      <c r="B3732" s="3" t="s">
        <v>2524</v>
      </c>
      <c r="C3732" s="3" t="s">
        <v>538</v>
      </c>
      <c r="D3732" s="4" t="s">
        <v>243</v>
      </c>
      <c r="E3732" s="4" t="s">
        <v>23</v>
      </c>
      <c r="F3732" s="4">
        <v>1986</v>
      </c>
      <c r="G3732" s="8">
        <v>0.1</v>
      </c>
      <c r="H3732" s="4" t="s">
        <v>23</v>
      </c>
      <c r="I3732" s="8">
        <v>6.1</v>
      </c>
      <c r="J3732" s="3">
        <f>1323</f>
        <v>1323</v>
      </c>
      <c r="K3732" s="3">
        <v>50711</v>
      </c>
      <c r="L3732" s="17" t="str" cm="1">
        <f t="array" ref="L3732">_xlfn.IFS(MID(K3732,2,2)="01", "서울", MID(K3732,2,2)="02","경기",MID(K3732,2,2)="03","충청",MID(K3732,2,2)="04","충청",MID(K3732,2,2)="05","전라",MID(K3732,2,2)="06","전라",MID(K3732,2,2)="07","경북",MID(K3732,2,2)="08","경남",MID(K3732,2,2)="09","강원",MID(K3732,2,2)="10","제주",TRUE,"국외")</f>
        <v>경북</v>
      </c>
    </row>
    <row r="3733" spans="1:12" ht="17.25" thickBot="1">
      <c r="A3733" s="3" t="s">
        <v>1638</v>
      </c>
      <c r="B3733" s="3" t="s">
        <v>1497</v>
      </c>
      <c r="C3733" s="3" t="s">
        <v>45</v>
      </c>
      <c r="D3733" s="4" t="s">
        <v>243</v>
      </c>
      <c r="E3733" s="4" t="s">
        <v>3101</v>
      </c>
      <c r="F3733" s="4">
        <v>1986</v>
      </c>
      <c r="G3733" s="8">
        <v>2.2000000000000002</v>
      </c>
      <c r="H3733" s="4" t="s">
        <v>3101</v>
      </c>
      <c r="I3733" s="8">
        <v>2.1</v>
      </c>
      <c r="J3733" s="3">
        <f>1288</f>
        <v>1288</v>
      </c>
      <c r="K3733" s="3">
        <v>50112</v>
      </c>
      <c r="L3733" s="17" t="str" cm="1">
        <f t="array" ref="L3733">_xlfn.IFS(MID(K3733,2,2)="01", "서울", MID(K3733,2,2)="02","경기",MID(K3733,2,2)="03","충청",MID(K3733,2,2)="04","충청",MID(K3733,2,2)="05","전라",MID(K3733,2,2)="06","전라",MID(K3733,2,2)="07","경북",MID(K3733,2,2)="08","경남",MID(K3733,2,2)="09","강원",MID(K3733,2,2)="10","제주",TRUE,"국외")</f>
        <v>서울</v>
      </c>
    </row>
    <row r="3734" spans="1:12" ht="17.25" thickBot="1">
      <c r="A3734" s="3" t="s">
        <v>3576</v>
      </c>
      <c r="B3734" s="3"/>
      <c r="C3734" s="3" t="s">
        <v>208</v>
      </c>
      <c r="D3734" s="4" t="s">
        <v>254</v>
      </c>
      <c r="E3734" s="4" t="s">
        <v>3101</v>
      </c>
      <c r="F3734" s="4">
        <v>1986</v>
      </c>
      <c r="G3734" s="8">
        <v>0.2</v>
      </c>
      <c r="H3734" s="4" t="s">
        <v>3101</v>
      </c>
      <c r="I3734" s="8">
        <v>0</v>
      </c>
      <c r="J3734" s="3">
        <f>1286</f>
        <v>1286</v>
      </c>
      <c r="K3734" s="3"/>
      <c r="L3734" s="17" t="str" cm="1">
        <f t="array" ref="L3734">_xlfn.IFS(MID(K3734,2,2)="01", "서울", MID(K3734,2,2)="02","경기",MID(K3734,2,2)="03","충청",MID(K3734,2,2)="04","충청",MID(K3734,2,2)="05","전라",MID(K3734,2,2)="06","전라",MID(K3734,2,2)="07","경북",MID(K3734,2,2)="08","경남",MID(K3734,2,2)="09","강원",MID(K3734,2,2)="10","제주",TRUE,"국외")</f>
        <v>국외</v>
      </c>
    </row>
    <row r="3735" spans="1:12" ht="17.25" thickBot="1">
      <c r="A3735" s="3" t="s">
        <v>3577</v>
      </c>
      <c r="B3735" s="3"/>
      <c r="C3735" s="3" t="s">
        <v>3578</v>
      </c>
      <c r="D3735" s="4" t="s">
        <v>254</v>
      </c>
      <c r="E3735" s="4" t="s">
        <v>3387</v>
      </c>
      <c r="F3735" s="4">
        <v>1986</v>
      </c>
      <c r="G3735" s="8">
        <v>-0.1</v>
      </c>
      <c r="H3735" s="4" t="s">
        <v>3387</v>
      </c>
      <c r="I3735" s="8">
        <v>-0.4</v>
      </c>
      <c r="J3735" s="3">
        <f>1283</f>
        <v>1283</v>
      </c>
      <c r="K3735" s="3"/>
      <c r="L3735" s="17" t="str" cm="1">
        <f t="array" ref="L3735">_xlfn.IFS(MID(K3735,2,2)="01", "서울", MID(K3735,2,2)="02","경기",MID(K3735,2,2)="03","충청",MID(K3735,2,2)="04","충청",MID(K3735,2,2)="05","전라",MID(K3735,2,2)="06","전라",MID(K3735,2,2)="07","경북",MID(K3735,2,2)="08","경남",MID(K3735,2,2)="09","강원",MID(K3735,2,2)="10","제주",TRUE,"국외")</f>
        <v>국외</v>
      </c>
    </row>
    <row r="3736" spans="1:12" ht="17.25" thickBot="1">
      <c r="A3736" s="3" t="s">
        <v>3579</v>
      </c>
      <c r="B3736" s="3" t="s">
        <v>14</v>
      </c>
      <c r="C3736" s="3" t="s">
        <v>211</v>
      </c>
      <c r="D3736" s="4" t="s">
        <v>254</v>
      </c>
      <c r="E3736" s="4" t="s">
        <v>2725</v>
      </c>
      <c r="F3736" s="4">
        <v>1987</v>
      </c>
      <c r="G3736" s="9"/>
      <c r="H3736" s="4" t="s">
        <v>2725</v>
      </c>
      <c r="I3736" s="8">
        <v>0.2</v>
      </c>
      <c r="J3736" s="3">
        <f>1361</f>
        <v>1361</v>
      </c>
      <c r="K3736" s="3">
        <v>50703</v>
      </c>
      <c r="L3736" s="17" t="str" cm="1">
        <f t="array" ref="L3736">_xlfn.IFS(MID(K3736,2,2)="01", "서울", MID(K3736,2,2)="02","경기",MID(K3736,2,2)="03","충청",MID(K3736,2,2)="04","충청",MID(K3736,2,2)="05","전라",MID(K3736,2,2)="06","전라",MID(K3736,2,2)="07","경북",MID(K3736,2,2)="08","경남",MID(K3736,2,2)="09","강원",MID(K3736,2,2)="10","제주",TRUE,"국외")</f>
        <v>경북</v>
      </c>
    </row>
    <row r="3737" spans="1:12" ht="17.25" thickBot="1">
      <c r="A3737" s="3" t="s">
        <v>3580</v>
      </c>
      <c r="B3737" s="3" t="s">
        <v>2491</v>
      </c>
      <c r="C3737" s="3" t="s">
        <v>99</v>
      </c>
      <c r="D3737" s="4" t="s">
        <v>254</v>
      </c>
      <c r="E3737" s="4" t="s">
        <v>3101</v>
      </c>
      <c r="F3737" s="4">
        <v>1986</v>
      </c>
      <c r="G3737" s="8">
        <v>-0.2</v>
      </c>
      <c r="H3737" s="4" t="s">
        <v>3101</v>
      </c>
      <c r="I3737" s="8">
        <v>-0.2</v>
      </c>
      <c r="J3737" s="3">
        <f>1302</f>
        <v>1302</v>
      </c>
      <c r="K3737" s="3">
        <v>50608</v>
      </c>
      <c r="L3737" s="17" t="str" cm="1">
        <f t="array" ref="L3737">_xlfn.IFS(MID(K3737,2,2)="01", "서울", MID(K3737,2,2)="02","경기",MID(K3737,2,2)="03","충청",MID(K3737,2,2)="04","충청",MID(K3737,2,2)="05","전라",MID(K3737,2,2)="06","전라",MID(K3737,2,2)="07","경북",MID(K3737,2,2)="08","경남",MID(K3737,2,2)="09","강원",MID(K3737,2,2)="10","제주",TRUE,"국외")</f>
        <v>전라</v>
      </c>
    </row>
    <row r="3738" spans="1:12" ht="17.25" thickBot="1">
      <c r="A3738" s="3" t="s">
        <v>3581</v>
      </c>
      <c r="B3738" s="3"/>
      <c r="C3738" s="3" t="s">
        <v>133</v>
      </c>
      <c r="D3738" s="4" t="s">
        <v>254</v>
      </c>
      <c r="E3738" s="4" t="s">
        <v>3101</v>
      </c>
      <c r="F3738" s="4">
        <v>1986</v>
      </c>
      <c r="G3738" s="8">
        <v>0.5</v>
      </c>
      <c r="H3738" s="4" t="s">
        <v>3101</v>
      </c>
      <c r="I3738" s="8">
        <v>0.2</v>
      </c>
      <c r="J3738" s="3">
        <f>1322</f>
        <v>1322</v>
      </c>
      <c r="K3738" s="3"/>
      <c r="L3738" s="17" t="str" cm="1">
        <f t="array" ref="L3738">_xlfn.IFS(MID(K3738,2,2)="01", "서울", MID(K3738,2,2)="02","경기",MID(K3738,2,2)="03","충청",MID(K3738,2,2)="04","충청",MID(K3738,2,2)="05","전라",MID(K3738,2,2)="06","전라",MID(K3738,2,2)="07","경북",MID(K3738,2,2)="08","경남",MID(K3738,2,2)="09","강원",MID(K3738,2,2)="10","제주",TRUE,"국외")</f>
        <v>국외</v>
      </c>
    </row>
    <row r="3739" spans="1:12" ht="17.25" thickBot="1">
      <c r="A3739" s="3" t="s">
        <v>3582</v>
      </c>
      <c r="B3739" s="3" t="s">
        <v>107</v>
      </c>
      <c r="C3739" s="3" t="s">
        <v>99</v>
      </c>
      <c r="D3739" s="4" t="s">
        <v>254</v>
      </c>
      <c r="E3739" s="4" t="s">
        <v>3101</v>
      </c>
      <c r="F3739" s="4">
        <v>1987</v>
      </c>
      <c r="G3739" s="9"/>
      <c r="H3739" s="4" t="s">
        <v>2661</v>
      </c>
      <c r="I3739" s="8">
        <v>1</v>
      </c>
      <c r="J3739" s="3">
        <f>1350</f>
        <v>1350</v>
      </c>
      <c r="K3739" s="3">
        <v>50602</v>
      </c>
      <c r="L3739" s="17" t="str" cm="1">
        <f t="array" ref="L3739">_xlfn.IFS(MID(K3739,2,2)="01", "서울", MID(K3739,2,2)="02","경기",MID(K3739,2,2)="03","충청",MID(K3739,2,2)="04","충청",MID(K3739,2,2)="05","전라",MID(K3739,2,2)="06","전라",MID(K3739,2,2)="07","경북",MID(K3739,2,2)="08","경남",MID(K3739,2,2)="09","강원",MID(K3739,2,2)="10","제주",TRUE,"국외")</f>
        <v>전라</v>
      </c>
    </row>
    <row r="3740" spans="1:12" ht="17.25" thickBot="1">
      <c r="A3740" s="3" t="s">
        <v>3583</v>
      </c>
      <c r="B3740" s="3" t="s">
        <v>50</v>
      </c>
      <c r="C3740" s="3"/>
      <c r="D3740" s="4" t="s">
        <v>254</v>
      </c>
      <c r="E3740" s="4" t="s">
        <v>3525</v>
      </c>
      <c r="F3740" s="4">
        <v>1986</v>
      </c>
      <c r="G3740" s="8">
        <v>-0.1</v>
      </c>
      <c r="H3740" s="4" t="s">
        <v>3525</v>
      </c>
      <c r="I3740" s="8">
        <v>-0.7</v>
      </c>
      <c r="J3740" s="3">
        <f>1296</f>
        <v>1296</v>
      </c>
      <c r="K3740" s="3">
        <v>50301</v>
      </c>
      <c r="L3740" s="17" t="str" cm="1">
        <f t="array" ref="L3740">_xlfn.IFS(MID(K3740,2,2)="01", "서울", MID(K3740,2,2)="02","경기",MID(K3740,2,2)="03","충청",MID(K3740,2,2)="04","충청",MID(K3740,2,2)="05","전라",MID(K3740,2,2)="06","전라",MID(K3740,2,2)="07","경북",MID(K3740,2,2)="08","경남",MID(K3740,2,2)="09","강원",MID(K3740,2,2)="10","제주",TRUE,"국외")</f>
        <v>충청</v>
      </c>
    </row>
    <row r="3741" spans="1:12" ht="17.25" thickBot="1">
      <c r="A3741" s="3" t="s">
        <v>3584</v>
      </c>
      <c r="B3741" s="3" t="s">
        <v>11</v>
      </c>
      <c r="C3741" s="3" t="s">
        <v>83</v>
      </c>
      <c r="D3741" s="4" t="s">
        <v>254</v>
      </c>
      <c r="E3741" s="4" t="s">
        <v>3525</v>
      </c>
      <c r="F3741" s="4">
        <v>1986</v>
      </c>
      <c r="G3741" s="8">
        <v>-0.7</v>
      </c>
      <c r="H3741" s="4" t="s">
        <v>3525</v>
      </c>
      <c r="I3741" s="8">
        <v>-0.7</v>
      </c>
      <c r="J3741" s="3">
        <f>1331</f>
        <v>1331</v>
      </c>
      <c r="K3741" s="3">
        <v>50802</v>
      </c>
      <c r="L3741" s="17" t="str" cm="1">
        <f t="array" ref="L3741">_xlfn.IFS(MID(K3741,2,2)="01", "서울", MID(K3741,2,2)="02","경기",MID(K3741,2,2)="03","충청",MID(K3741,2,2)="04","충청",MID(K3741,2,2)="05","전라",MID(K3741,2,2)="06","전라",MID(K3741,2,2)="07","경북",MID(K3741,2,2)="08","경남",MID(K3741,2,2)="09","강원",MID(K3741,2,2)="10","제주",TRUE,"국외")</f>
        <v>경남</v>
      </c>
    </row>
    <row r="3742" spans="1:12" ht="17.25" thickBot="1">
      <c r="A3742" s="3" t="s">
        <v>3585</v>
      </c>
      <c r="B3742" s="3"/>
      <c r="C3742" s="3"/>
      <c r="D3742" s="4" t="s">
        <v>254</v>
      </c>
      <c r="E3742" s="4" t="s">
        <v>3525</v>
      </c>
      <c r="F3742" s="4">
        <v>1986</v>
      </c>
      <c r="G3742" s="8">
        <v>-1</v>
      </c>
      <c r="H3742" s="4" t="s">
        <v>2968</v>
      </c>
      <c r="I3742" s="8">
        <v>0.7</v>
      </c>
      <c r="J3742" s="3">
        <f>1333</f>
        <v>1333</v>
      </c>
      <c r="K3742" s="3"/>
      <c r="L3742" s="17" t="str" cm="1">
        <f t="array" ref="L3742">_xlfn.IFS(MID(K3742,2,2)="01", "서울", MID(K3742,2,2)="02","경기",MID(K3742,2,2)="03","충청",MID(K3742,2,2)="04","충청",MID(K3742,2,2)="05","전라",MID(K3742,2,2)="06","전라",MID(K3742,2,2)="07","경북",MID(K3742,2,2)="08","경남",MID(K3742,2,2)="09","강원",MID(K3742,2,2)="10","제주",TRUE,"국외")</f>
        <v>국외</v>
      </c>
    </row>
    <row r="3743" spans="1:12" ht="17.25" thickBot="1">
      <c r="A3743" s="3" t="s">
        <v>3586</v>
      </c>
      <c r="B3743" s="3" t="s">
        <v>5</v>
      </c>
      <c r="C3743" s="3" t="s">
        <v>538</v>
      </c>
      <c r="D3743" s="4" t="s">
        <v>254</v>
      </c>
      <c r="E3743" s="4" t="s">
        <v>3525</v>
      </c>
      <c r="F3743" s="4">
        <v>1986</v>
      </c>
      <c r="G3743" s="8">
        <v>2</v>
      </c>
      <c r="H3743" s="4" t="s">
        <v>3525</v>
      </c>
      <c r="I3743" s="8">
        <v>1.9</v>
      </c>
      <c r="J3743" s="3">
        <f>1279</f>
        <v>1279</v>
      </c>
      <c r="K3743" s="3">
        <v>50114</v>
      </c>
      <c r="L3743" s="17" t="str" cm="1">
        <f t="array" ref="L3743">_xlfn.IFS(MID(K3743,2,2)="01", "서울", MID(K3743,2,2)="02","경기",MID(K3743,2,2)="03","충청",MID(K3743,2,2)="04","충청",MID(K3743,2,2)="05","전라",MID(K3743,2,2)="06","전라",MID(K3743,2,2)="07","경북",MID(K3743,2,2)="08","경남",MID(K3743,2,2)="09","강원",MID(K3743,2,2)="10","제주",TRUE,"국외")</f>
        <v>서울</v>
      </c>
    </row>
    <row r="3744" spans="1:12" ht="17.25" thickBot="1">
      <c r="A3744" s="3" t="s">
        <v>624</v>
      </c>
      <c r="B3744" s="3" t="s">
        <v>3587</v>
      </c>
      <c r="C3744" s="3" t="s">
        <v>133</v>
      </c>
      <c r="D3744" s="4" t="s">
        <v>254</v>
      </c>
      <c r="E3744" s="4" t="s">
        <v>3525</v>
      </c>
      <c r="F3744" s="4">
        <v>1986</v>
      </c>
      <c r="G3744" s="8">
        <v>-0.2</v>
      </c>
      <c r="H3744" s="4" t="s">
        <v>3525</v>
      </c>
      <c r="I3744" s="8">
        <v>-0.2</v>
      </c>
      <c r="J3744" s="3">
        <f>1335</f>
        <v>1335</v>
      </c>
      <c r="K3744" s="3">
        <v>50125</v>
      </c>
      <c r="L3744" s="17" t="str" cm="1">
        <f t="array" ref="L3744">_xlfn.IFS(MID(K3744,2,2)="01", "서울", MID(K3744,2,2)="02","경기",MID(K3744,2,2)="03","충청",MID(K3744,2,2)="04","충청",MID(K3744,2,2)="05","전라",MID(K3744,2,2)="06","전라",MID(K3744,2,2)="07","경북",MID(K3744,2,2)="08","경남",MID(K3744,2,2)="09","강원",MID(K3744,2,2)="10","제주",TRUE,"국외")</f>
        <v>서울</v>
      </c>
    </row>
    <row r="3745" spans="1:12" ht="17.25" thickBot="1">
      <c r="A3745" s="3" t="s">
        <v>3588</v>
      </c>
      <c r="B3745" s="3" t="s">
        <v>34</v>
      </c>
      <c r="C3745" s="3" t="s">
        <v>538</v>
      </c>
      <c r="D3745" s="4" t="s">
        <v>254</v>
      </c>
      <c r="E3745" s="4" t="s">
        <v>3525</v>
      </c>
      <c r="F3745" s="4">
        <v>1986</v>
      </c>
      <c r="G3745" s="8">
        <v>0</v>
      </c>
      <c r="H3745" s="4" t="s">
        <v>3525</v>
      </c>
      <c r="I3745" s="8">
        <v>0</v>
      </c>
      <c r="J3745" s="3">
        <f>1295</f>
        <v>1295</v>
      </c>
      <c r="K3745" s="3">
        <v>50701</v>
      </c>
      <c r="L3745" s="17" t="str" cm="1">
        <f t="array" ref="L3745">_xlfn.IFS(MID(K3745,2,2)="01", "서울", MID(K3745,2,2)="02","경기",MID(K3745,2,2)="03","충청",MID(K3745,2,2)="04","충청",MID(K3745,2,2)="05","전라",MID(K3745,2,2)="06","전라",MID(K3745,2,2)="07","경북",MID(K3745,2,2)="08","경남",MID(K3745,2,2)="09","강원",MID(K3745,2,2)="10","제주",TRUE,"국외")</f>
        <v>경북</v>
      </c>
    </row>
    <row r="3746" spans="1:12" ht="17.25" thickBot="1">
      <c r="A3746" s="3" t="s">
        <v>3589</v>
      </c>
      <c r="B3746" s="3"/>
      <c r="C3746" s="3"/>
      <c r="D3746" s="4" t="s">
        <v>181</v>
      </c>
      <c r="E3746" s="4" t="s">
        <v>2725</v>
      </c>
      <c r="F3746" s="4">
        <v>1986</v>
      </c>
      <c r="G3746" s="8">
        <v>-0.1</v>
      </c>
      <c r="H3746" s="4" t="s">
        <v>2725</v>
      </c>
      <c r="I3746" s="8">
        <v>-0.1</v>
      </c>
      <c r="J3746" s="3">
        <f>1274</f>
        <v>1274</v>
      </c>
      <c r="K3746" s="3"/>
      <c r="L3746" s="17" t="str" cm="1">
        <f t="array" ref="L3746">_xlfn.IFS(MID(K3746,2,2)="01", "서울", MID(K3746,2,2)="02","경기",MID(K3746,2,2)="03","충청",MID(K3746,2,2)="04","충청",MID(K3746,2,2)="05","전라",MID(K3746,2,2)="06","전라",MID(K3746,2,2)="07","경북",MID(K3746,2,2)="08","경남",MID(K3746,2,2)="09","강원",MID(K3746,2,2)="10","제주",TRUE,"국외")</f>
        <v>국외</v>
      </c>
    </row>
    <row r="3747" spans="1:12" ht="17.25" thickBot="1">
      <c r="A3747" s="3" t="s">
        <v>3590</v>
      </c>
      <c r="B3747" s="3"/>
      <c r="C3747" s="3"/>
      <c r="D3747" s="4" t="s">
        <v>181</v>
      </c>
      <c r="E3747" s="4" t="s">
        <v>3101</v>
      </c>
      <c r="F3747" s="4">
        <v>1986</v>
      </c>
      <c r="G3747" s="8">
        <v>1.9</v>
      </c>
      <c r="H3747" s="4" t="s">
        <v>3101</v>
      </c>
      <c r="I3747" s="8">
        <v>9.8000000000000007</v>
      </c>
      <c r="J3747" s="3">
        <f>1278</f>
        <v>1278</v>
      </c>
      <c r="K3747" s="3"/>
      <c r="L3747" s="17" t="str" cm="1">
        <f t="array" ref="L3747">_xlfn.IFS(MID(K3747,2,2)="01", "서울", MID(K3747,2,2)="02","경기",MID(K3747,2,2)="03","충청",MID(K3747,2,2)="04","충청",MID(K3747,2,2)="05","전라",MID(K3747,2,2)="06","전라",MID(K3747,2,2)="07","경북",MID(K3747,2,2)="08","경남",MID(K3747,2,2)="09","강원",MID(K3747,2,2)="10","제주",TRUE,"국외")</f>
        <v>국외</v>
      </c>
    </row>
    <row r="3748" spans="1:12" ht="17.25" thickBot="1">
      <c r="A3748" s="3" t="s">
        <v>2237</v>
      </c>
      <c r="B3748" s="3"/>
      <c r="C3748" s="3"/>
      <c r="D3748" s="4" t="s">
        <v>181</v>
      </c>
      <c r="E3748" s="4" t="s">
        <v>3525</v>
      </c>
      <c r="F3748" s="4">
        <v>1986</v>
      </c>
      <c r="G3748" s="8">
        <v>0.6</v>
      </c>
      <c r="H3748" s="4" t="s">
        <v>3525</v>
      </c>
      <c r="I3748" s="8">
        <v>1.4</v>
      </c>
      <c r="J3748" s="3">
        <f>1320</f>
        <v>1320</v>
      </c>
      <c r="K3748" s="3"/>
      <c r="L3748" s="17" t="str" cm="1">
        <f t="array" ref="L3748">_xlfn.IFS(MID(K3748,2,2)="01", "서울", MID(K3748,2,2)="02","경기",MID(K3748,2,2)="03","충청",MID(K3748,2,2)="04","충청",MID(K3748,2,2)="05","전라",MID(K3748,2,2)="06","전라",MID(K3748,2,2)="07","경북",MID(K3748,2,2)="08","경남",MID(K3748,2,2)="09","강원",MID(K3748,2,2)="10","제주",TRUE,"국외")</f>
        <v>국외</v>
      </c>
    </row>
    <row r="3749" spans="1:12" ht="17.25" thickBot="1">
      <c r="A3749" s="3" t="s">
        <v>3591</v>
      </c>
      <c r="B3749" s="3"/>
      <c r="C3749" s="3"/>
      <c r="D3749" s="4" t="s">
        <v>181</v>
      </c>
      <c r="E3749" s="4" t="s">
        <v>3525</v>
      </c>
      <c r="F3749" s="4">
        <v>1986</v>
      </c>
      <c r="G3749" s="8">
        <v>1.7</v>
      </c>
      <c r="H3749" s="4" t="s">
        <v>3525</v>
      </c>
      <c r="I3749" s="8">
        <v>3.9</v>
      </c>
      <c r="J3749" s="3">
        <f>1321</f>
        <v>1321</v>
      </c>
      <c r="K3749" s="3"/>
      <c r="L3749" s="17" t="str" cm="1">
        <f t="array" ref="L3749">_xlfn.IFS(MID(K3749,2,2)="01", "서울", MID(K3749,2,2)="02","경기",MID(K3749,2,2)="03","충청",MID(K3749,2,2)="04","충청",MID(K3749,2,2)="05","전라",MID(K3749,2,2)="06","전라",MID(K3749,2,2)="07","경북",MID(K3749,2,2)="08","경남",MID(K3749,2,2)="09","강원",MID(K3749,2,2)="10","제주",TRUE,"국외")</f>
        <v>국외</v>
      </c>
    </row>
    <row r="3750" spans="1:12" ht="17.25" thickBot="1">
      <c r="A3750" s="3" t="s">
        <v>3592</v>
      </c>
      <c r="B3750" s="3"/>
      <c r="C3750" s="3"/>
      <c r="D3750" s="4" t="s">
        <v>181</v>
      </c>
      <c r="E3750" s="4" t="s">
        <v>3525</v>
      </c>
      <c r="F3750" s="4">
        <v>1986</v>
      </c>
      <c r="G3750" s="8">
        <v>-0.1</v>
      </c>
      <c r="H3750" s="4" t="s">
        <v>3525</v>
      </c>
      <c r="I3750" s="8">
        <v>-0.1</v>
      </c>
      <c r="J3750" s="3">
        <f>1277</f>
        <v>1277</v>
      </c>
      <c r="K3750" s="3"/>
      <c r="L3750" s="17" t="str" cm="1">
        <f t="array" ref="L3750">_xlfn.IFS(MID(K3750,2,2)="01", "서울", MID(K3750,2,2)="02","경기",MID(K3750,2,2)="03","충청",MID(K3750,2,2)="04","충청",MID(K3750,2,2)="05","전라",MID(K3750,2,2)="06","전라",MID(K3750,2,2)="07","경북",MID(K3750,2,2)="08","경남",MID(K3750,2,2)="09","강원",MID(K3750,2,2)="10","제주",TRUE,"국외")</f>
        <v>국외</v>
      </c>
    </row>
    <row r="3751" spans="1:12" ht="17.25" thickBot="1">
      <c r="A3751" s="3" t="s">
        <v>3593</v>
      </c>
      <c r="B3751" s="3" t="s">
        <v>2491</v>
      </c>
      <c r="C3751" s="3"/>
      <c r="D3751" s="4" t="s">
        <v>1777</v>
      </c>
      <c r="E3751" s="4" t="s">
        <v>3101</v>
      </c>
      <c r="F3751" s="4">
        <v>1986</v>
      </c>
      <c r="G3751" s="8">
        <v>1</v>
      </c>
      <c r="H3751" s="4" t="s">
        <v>3101</v>
      </c>
      <c r="I3751" s="8">
        <v>-3.1</v>
      </c>
      <c r="J3751" s="3">
        <f>1326</f>
        <v>1326</v>
      </c>
      <c r="K3751" s="3">
        <v>50608</v>
      </c>
      <c r="L3751" s="17" t="str" cm="1">
        <f t="array" ref="L3751">_xlfn.IFS(MID(K3751,2,2)="01", "서울", MID(K3751,2,2)="02","경기",MID(K3751,2,2)="03","충청",MID(K3751,2,2)="04","충청",MID(K3751,2,2)="05","전라",MID(K3751,2,2)="06","전라",MID(K3751,2,2)="07","경북",MID(K3751,2,2)="08","경남",MID(K3751,2,2)="09","강원",MID(K3751,2,2)="10","제주",TRUE,"국외")</f>
        <v>전라</v>
      </c>
    </row>
    <row r="3752" spans="1:12" ht="17.25" thickBot="1">
      <c r="A3752" s="3" t="s">
        <v>3594</v>
      </c>
      <c r="B3752" s="3" t="s">
        <v>50</v>
      </c>
      <c r="C3752" s="3"/>
      <c r="D3752" s="4" t="s">
        <v>1777</v>
      </c>
      <c r="E3752" s="4" t="s">
        <v>3101</v>
      </c>
      <c r="F3752" s="4">
        <v>1987</v>
      </c>
      <c r="G3752" s="9"/>
      <c r="H3752" s="4" t="s">
        <v>3</v>
      </c>
      <c r="I3752" s="8">
        <v>58.8</v>
      </c>
      <c r="J3752" s="3">
        <f>1354</f>
        <v>1354</v>
      </c>
      <c r="K3752" s="3">
        <v>50301</v>
      </c>
      <c r="L3752" s="17" t="str" cm="1">
        <f t="array" ref="L3752">_xlfn.IFS(MID(K3752,2,2)="01", "서울", MID(K3752,2,2)="02","경기",MID(K3752,2,2)="03","충청",MID(K3752,2,2)="04","충청",MID(K3752,2,2)="05","전라",MID(K3752,2,2)="06","전라",MID(K3752,2,2)="07","경북",MID(K3752,2,2)="08","경남",MID(K3752,2,2)="09","강원",MID(K3752,2,2)="10","제주",TRUE,"국외")</f>
        <v>충청</v>
      </c>
    </row>
    <row r="3753" spans="1:12" ht="17.25" thickBot="1">
      <c r="A3753" s="3" t="s">
        <v>2033</v>
      </c>
      <c r="B3753" s="3" t="s">
        <v>241</v>
      </c>
      <c r="C3753" s="3"/>
      <c r="D3753" s="4" t="s">
        <v>3595</v>
      </c>
      <c r="E3753" s="4" t="s">
        <v>3101</v>
      </c>
      <c r="F3753" s="4">
        <v>1986</v>
      </c>
      <c r="G3753" s="8">
        <v>0</v>
      </c>
      <c r="H3753" s="4" t="s">
        <v>3101</v>
      </c>
      <c r="I3753" s="8">
        <v>0.4</v>
      </c>
      <c r="J3753" s="3">
        <f>1287</f>
        <v>1287</v>
      </c>
      <c r="K3753" s="3">
        <v>50202</v>
      </c>
      <c r="L3753" s="17" t="str" cm="1">
        <f t="array" ref="L3753">_xlfn.IFS(MID(K3753,2,2)="01", "서울", MID(K3753,2,2)="02","경기",MID(K3753,2,2)="03","충청",MID(K3753,2,2)="04","충청",MID(K3753,2,2)="05","전라",MID(K3753,2,2)="06","전라",MID(K3753,2,2)="07","경북",MID(K3753,2,2)="08","경남",MID(K3753,2,2)="09","강원",MID(K3753,2,2)="10","제주",TRUE,"국외")</f>
        <v>경기</v>
      </c>
    </row>
    <row r="3754" spans="1:12" ht="17.25" thickBot="1">
      <c r="A3754" s="3" t="s">
        <v>3596</v>
      </c>
      <c r="B3754" s="3" t="s">
        <v>2351</v>
      </c>
      <c r="C3754" s="3"/>
      <c r="D3754" s="4" t="s">
        <v>2710</v>
      </c>
      <c r="E3754" s="4" t="s">
        <v>2523</v>
      </c>
      <c r="F3754" s="4">
        <v>1990</v>
      </c>
      <c r="G3754" s="9"/>
      <c r="H3754" s="4" t="s">
        <v>2523</v>
      </c>
      <c r="I3754" s="8">
        <v>0</v>
      </c>
      <c r="J3754" s="3">
        <f>1531</f>
        <v>1531</v>
      </c>
      <c r="K3754" s="3">
        <v>50609</v>
      </c>
      <c r="L3754" s="17" t="str" cm="1">
        <f t="array" ref="L3754">_xlfn.IFS(MID(K3754,2,2)="01", "서울", MID(K3754,2,2)="02","경기",MID(K3754,2,2)="03","충청",MID(K3754,2,2)="04","충청",MID(K3754,2,2)="05","전라",MID(K3754,2,2)="06","전라",MID(K3754,2,2)="07","경북",MID(K3754,2,2)="08","경남",MID(K3754,2,2)="09","강원",MID(K3754,2,2)="10","제주",TRUE,"국외")</f>
        <v>전라</v>
      </c>
    </row>
    <row r="3755" spans="1:12" ht="17.25" thickBot="1">
      <c r="A3755" s="3" t="s">
        <v>3597</v>
      </c>
      <c r="B3755" s="3" t="s">
        <v>1</v>
      </c>
      <c r="C3755" s="3" t="s">
        <v>739</v>
      </c>
      <c r="D3755" s="4" t="s">
        <v>243</v>
      </c>
      <c r="E3755" s="4" t="s">
        <v>2725</v>
      </c>
      <c r="F3755" s="4">
        <v>1985</v>
      </c>
      <c r="G3755" s="8">
        <v>-0.4</v>
      </c>
      <c r="H3755" s="4" t="s">
        <v>2725</v>
      </c>
      <c r="I3755" s="8">
        <v>5.6</v>
      </c>
      <c r="J3755" s="3">
        <f>1251</f>
        <v>1251</v>
      </c>
      <c r="K3755" s="3">
        <v>50107</v>
      </c>
      <c r="L3755" s="17" t="str" cm="1">
        <f t="array" ref="L3755">_xlfn.IFS(MID(K3755,2,2)="01", "서울", MID(K3755,2,2)="02","경기",MID(K3755,2,2)="03","충청",MID(K3755,2,2)="04","충청",MID(K3755,2,2)="05","전라",MID(K3755,2,2)="06","전라",MID(K3755,2,2)="07","경북",MID(K3755,2,2)="08","경남",MID(K3755,2,2)="09","강원",MID(K3755,2,2)="10","제주",TRUE,"국외")</f>
        <v>서울</v>
      </c>
    </row>
    <row r="3756" spans="1:12" ht="17.25" thickBot="1">
      <c r="A3756" s="3" t="s">
        <v>3598</v>
      </c>
      <c r="B3756" s="3" t="s">
        <v>2524</v>
      </c>
      <c r="C3756" s="3" t="s">
        <v>739</v>
      </c>
      <c r="D3756" s="4" t="s">
        <v>243</v>
      </c>
      <c r="E3756" s="4" t="s">
        <v>23</v>
      </c>
      <c r="F3756" s="4">
        <v>1985</v>
      </c>
      <c r="G3756" s="8">
        <v>0.3</v>
      </c>
      <c r="H3756" s="4" t="s">
        <v>23</v>
      </c>
      <c r="I3756" s="8">
        <v>16.5</v>
      </c>
      <c r="J3756" s="3">
        <f>1252</f>
        <v>1252</v>
      </c>
      <c r="K3756" s="3">
        <v>50711</v>
      </c>
      <c r="L3756" s="17" t="str" cm="1">
        <f t="array" ref="L3756">_xlfn.IFS(MID(K3756,2,2)="01", "서울", MID(K3756,2,2)="02","경기",MID(K3756,2,2)="03","충청",MID(K3756,2,2)="04","충청",MID(K3756,2,2)="05","전라",MID(K3756,2,2)="06","전라",MID(K3756,2,2)="07","경북",MID(K3756,2,2)="08","경남",MID(K3756,2,2)="09","강원",MID(K3756,2,2)="10","제주",TRUE,"국외")</f>
        <v>경북</v>
      </c>
    </row>
    <row r="3757" spans="1:12" ht="17.25" thickBot="1">
      <c r="A3757" s="3" t="s">
        <v>3599</v>
      </c>
      <c r="B3757" s="3" t="s">
        <v>361</v>
      </c>
      <c r="C3757" s="3"/>
      <c r="D3757" s="4" t="s">
        <v>243</v>
      </c>
      <c r="E3757" s="4" t="s">
        <v>3387</v>
      </c>
      <c r="F3757" s="4">
        <v>1986</v>
      </c>
      <c r="G3757" s="9"/>
      <c r="H3757" s="4" t="s">
        <v>3387</v>
      </c>
      <c r="I3757" s="8">
        <v>-2.8</v>
      </c>
      <c r="J3757" s="3">
        <f>1328</f>
        <v>1328</v>
      </c>
      <c r="K3757" s="3">
        <v>50121</v>
      </c>
      <c r="L3757" s="17" t="str" cm="1">
        <f t="array" ref="L3757">_xlfn.IFS(MID(K3757,2,2)="01", "서울", MID(K3757,2,2)="02","경기",MID(K3757,2,2)="03","충청",MID(K3757,2,2)="04","충청",MID(K3757,2,2)="05","전라",MID(K3757,2,2)="06","전라",MID(K3757,2,2)="07","경북",MID(K3757,2,2)="08","경남",MID(K3757,2,2)="09","강원",MID(K3757,2,2)="10","제주",TRUE,"국외")</f>
        <v>서울</v>
      </c>
    </row>
    <row r="3758" spans="1:12" ht="17.25" thickBot="1">
      <c r="A3758" s="3" t="s">
        <v>3600</v>
      </c>
      <c r="B3758" s="3" t="s">
        <v>361</v>
      </c>
      <c r="C3758" s="3" t="s">
        <v>211</v>
      </c>
      <c r="D3758" s="4" t="s">
        <v>243</v>
      </c>
      <c r="E3758" s="4" t="s">
        <v>3387</v>
      </c>
      <c r="F3758" s="4">
        <v>1985</v>
      </c>
      <c r="G3758" s="8">
        <v>0.2</v>
      </c>
      <c r="H3758" s="4" t="s">
        <v>20</v>
      </c>
      <c r="I3758" s="8">
        <v>61.2</v>
      </c>
      <c r="J3758" s="3">
        <f>1259</f>
        <v>1259</v>
      </c>
      <c r="K3758" s="3">
        <v>50121</v>
      </c>
      <c r="L3758" s="17" t="str" cm="1">
        <f t="array" ref="L3758">_xlfn.IFS(MID(K3758,2,2)="01", "서울", MID(K3758,2,2)="02","경기",MID(K3758,2,2)="03","충청",MID(K3758,2,2)="04","충청",MID(K3758,2,2)="05","전라",MID(K3758,2,2)="06","전라",MID(K3758,2,2)="07","경북",MID(K3758,2,2)="08","경남",MID(K3758,2,2)="09","강원",MID(K3758,2,2)="10","제주",TRUE,"국외")</f>
        <v>서울</v>
      </c>
    </row>
    <row r="3759" spans="1:12" ht="17.25" thickBot="1">
      <c r="A3759" s="3" t="s">
        <v>3601</v>
      </c>
      <c r="B3759" s="3" t="s">
        <v>3587</v>
      </c>
      <c r="C3759" s="3" t="s">
        <v>45</v>
      </c>
      <c r="D3759" s="4" t="s">
        <v>243</v>
      </c>
      <c r="E3759" s="4" t="s">
        <v>3387</v>
      </c>
      <c r="F3759" s="4">
        <v>1985</v>
      </c>
      <c r="G3759" s="8">
        <v>3.4</v>
      </c>
      <c r="H3759" s="4" t="s">
        <v>20</v>
      </c>
      <c r="I3759" s="8">
        <v>26.8</v>
      </c>
      <c r="J3759" s="3">
        <f>1258</f>
        <v>1258</v>
      </c>
      <c r="K3759" s="3">
        <v>50125</v>
      </c>
      <c r="L3759" s="17" t="str" cm="1">
        <f t="array" ref="L3759">_xlfn.IFS(MID(K3759,2,2)="01", "서울", MID(K3759,2,2)="02","경기",MID(K3759,2,2)="03","충청",MID(K3759,2,2)="04","충청",MID(K3759,2,2)="05","전라",MID(K3759,2,2)="06","전라",MID(K3759,2,2)="07","경북",MID(K3759,2,2)="08","경남",MID(K3759,2,2)="09","강원",MID(K3759,2,2)="10","제주",TRUE,"국외")</f>
        <v>서울</v>
      </c>
    </row>
    <row r="3760" spans="1:12" ht="17.25" thickBot="1">
      <c r="A3760" s="3" t="s">
        <v>3602</v>
      </c>
      <c r="B3760" s="3" t="s">
        <v>3512</v>
      </c>
      <c r="C3760" s="3"/>
      <c r="D3760" s="4" t="s">
        <v>243</v>
      </c>
      <c r="E3760" s="4" t="s">
        <v>3387</v>
      </c>
      <c r="F3760" s="4">
        <v>1985</v>
      </c>
      <c r="G3760" s="8">
        <v>-0.5</v>
      </c>
      <c r="H3760" s="4" t="s">
        <v>3387</v>
      </c>
      <c r="I3760" s="8">
        <v>26.2</v>
      </c>
      <c r="J3760" s="3">
        <f>1247</f>
        <v>1247</v>
      </c>
      <c r="K3760" s="3">
        <v>50122</v>
      </c>
      <c r="L3760" s="17" t="str" cm="1">
        <f t="array" ref="L3760">_xlfn.IFS(MID(K3760,2,2)="01", "서울", MID(K3760,2,2)="02","경기",MID(K3760,2,2)="03","충청",MID(K3760,2,2)="04","충청",MID(K3760,2,2)="05","전라",MID(K3760,2,2)="06","전라",MID(K3760,2,2)="07","경북",MID(K3760,2,2)="08","경남",MID(K3760,2,2)="09","강원",MID(K3760,2,2)="10","제주",TRUE,"국외")</f>
        <v>서울</v>
      </c>
    </row>
    <row r="3761" spans="1:12" ht="17.25" thickBot="1">
      <c r="A3761" s="3" t="s">
        <v>3603</v>
      </c>
      <c r="B3761" s="3" t="s">
        <v>38</v>
      </c>
      <c r="C3761" s="3" t="s">
        <v>45</v>
      </c>
      <c r="D3761" s="4" t="s">
        <v>243</v>
      </c>
      <c r="E3761" s="4" t="s">
        <v>3387</v>
      </c>
      <c r="F3761" s="4">
        <v>1985</v>
      </c>
      <c r="G3761" s="8">
        <v>-0.8</v>
      </c>
      <c r="H3761" s="4" t="s">
        <v>3387</v>
      </c>
      <c r="I3761" s="8">
        <v>-1.1000000000000001</v>
      </c>
      <c r="J3761" s="3">
        <f>1246</f>
        <v>1246</v>
      </c>
      <c r="K3761" s="3">
        <v>50109</v>
      </c>
      <c r="L3761" s="17" t="str" cm="1">
        <f t="array" ref="L3761">_xlfn.IFS(MID(K3761,2,2)="01", "서울", MID(K3761,2,2)="02","경기",MID(K3761,2,2)="03","충청",MID(K3761,2,2)="04","충청",MID(K3761,2,2)="05","전라",MID(K3761,2,2)="06","전라",MID(K3761,2,2)="07","경북",MID(K3761,2,2)="08","경남",MID(K3761,2,2)="09","강원",MID(K3761,2,2)="10","제주",TRUE,"국외")</f>
        <v>서울</v>
      </c>
    </row>
    <row r="3762" spans="1:12" ht="17.25" thickBot="1">
      <c r="A3762" s="3" t="s">
        <v>3604</v>
      </c>
      <c r="B3762" s="3" t="s">
        <v>66</v>
      </c>
      <c r="C3762" s="3" t="s">
        <v>211</v>
      </c>
      <c r="D3762" s="4" t="s">
        <v>243</v>
      </c>
      <c r="E3762" s="4" t="s">
        <v>2725</v>
      </c>
      <c r="F3762" s="4">
        <v>1985</v>
      </c>
      <c r="G3762" s="8">
        <v>2.2000000000000002</v>
      </c>
      <c r="H3762" s="4" t="s">
        <v>2725</v>
      </c>
      <c r="I3762" s="8">
        <v>25.8</v>
      </c>
      <c r="J3762" s="3">
        <f>1239</f>
        <v>1239</v>
      </c>
      <c r="K3762" s="3">
        <v>50110</v>
      </c>
      <c r="L3762" s="17" t="str" cm="1">
        <f t="array" ref="L3762">_xlfn.IFS(MID(K3762,2,2)="01", "서울", MID(K3762,2,2)="02","경기",MID(K3762,2,2)="03","충청",MID(K3762,2,2)="04","충청",MID(K3762,2,2)="05","전라",MID(K3762,2,2)="06","전라",MID(K3762,2,2)="07","경북",MID(K3762,2,2)="08","경남",MID(K3762,2,2)="09","강원",MID(K3762,2,2)="10","제주",TRUE,"국외")</f>
        <v>서울</v>
      </c>
    </row>
    <row r="3763" spans="1:12" ht="17.25" thickBot="1">
      <c r="A3763" s="3" t="s">
        <v>3605</v>
      </c>
      <c r="B3763" s="3"/>
      <c r="C3763" s="3" t="s">
        <v>133</v>
      </c>
      <c r="D3763" s="4" t="s">
        <v>243</v>
      </c>
      <c r="E3763" s="4" t="s">
        <v>2725</v>
      </c>
      <c r="F3763" s="4">
        <v>1985</v>
      </c>
      <c r="G3763" s="8">
        <v>-0.1</v>
      </c>
      <c r="H3763" s="4" t="s">
        <v>2725</v>
      </c>
      <c r="I3763" s="8">
        <v>-0.3</v>
      </c>
      <c r="J3763" s="3">
        <f>1236</f>
        <v>1236</v>
      </c>
      <c r="K3763" s="3"/>
      <c r="L3763" s="17" t="str" cm="1">
        <f t="array" ref="L3763">_xlfn.IFS(MID(K3763,2,2)="01", "서울", MID(K3763,2,2)="02","경기",MID(K3763,2,2)="03","충청",MID(K3763,2,2)="04","충청",MID(K3763,2,2)="05","전라",MID(K3763,2,2)="06","전라",MID(K3763,2,2)="07","경북",MID(K3763,2,2)="08","경남",MID(K3763,2,2)="09","강원",MID(K3763,2,2)="10","제주",TRUE,"국외")</f>
        <v>국외</v>
      </c>
    </row>
    <row r="3764" spans="1:12" ht="17.25" thickBot="1">
      <c r="A3764" s="3" t="s">
        <v>3606</v>
      </c>
      <c r="B3764" s="3" t="s">
        <v>14</v>
      </c>
      <c r="C3764" s="3" t="s">
        <v>538</v>
      </c>
      <c r="D3764" s="4" t="s">
        <v>243</v>
      </c>
      <c r="E3764" s="4" t="s">
        <v>2725</v>
      </c>
      <c r="F3764" s="4">
        <v>1986</v>
      </c>
      <c r="G3764" s="9"/>
      <c r="H3764" s="4" t="s">
        <v>2725</v>
      </c>
      <c r="I3764" s="8">
        <v>-0.1</v>
      </c>
      <c r="J3764" s="3">
        <f>1273</f>
        <v>1273</v>
      </c>
      <c r="K3764" s="3">
        <v>50703</v>
      </c>
      <c r="L3764" s="17" t="str" cm="1">
        <f t="array" ref="L3764">_xlfn.IFS(MID(K3764,2,2)="01", "서울", MID(K3764,2,2)="02","경기",MID(K3764,2,2)="03","충청",MID(K3764,2,2)="04","충청",MID(K3764,2,2)="05","전라",MID(K3764,2,2)="06","전라",MID(K3764,2,2)="07","경북",MID(K3764,2,2)="08","경남",MID(K3764,2,2)="09","강원",MID(K3764,2,2)="10","제주",TRUE,"국외")</f>
        <v>경북</v>
      </c>
    </row>
    <row r="3765" spans="1:12" ht="17.25" thickBot="1">
      <c r="A3765" s="3" t="s">
        <v>3607</v>
      </c>
      <c r="B3765" s="3" t="s">
        <v>11</v>
      </c>
      <c r="C3765" s="3" t="s">
        <v>119</v>
      </c>
      <c r="D3765" s="4" t="s">
        <v>243</v>
      </c>
      <c r="E3765" s="4" t="s">
        <v>9</v>
      </c>
      <c r="F3765" s="4">
        <v>1985</v>
      </c>
      <c r="G3765" s="8">
        <v>0</v>
      </c>
      <c r="H3765" s="4" t="s">
        <v>9</v>
      </c>
      <c r="I3765" s="8">
        <v>0.3</v>
      </c>
      <c r="J3765" s="3">
        <f>1242</f>
        <v>1242</v>
      </c>
      <c r="K3765" s="3">
        <v>50802</v>
      </c>
      <c r="L3765" s="17" t="str" cm="1">
        <f t="array" ref="L3765">_xlfn.IFS(MID(K3765,2,2)="01", "서울", MID(K3765,2,2)="02","경기",MID(K3765,2,2)="03","충청",MID(K3765,2,2)="04","충청",MID(K3765,2,2)="05","전라",MID(K3765,2,2)="06","전라",MID(K3765,2,2)="07","경북",MID(K3765,2,2)="08","경남",MID(K3765,2,2)="09","강원",MID(K3765,2,2)="10","제주",TRUE,"국외")</f>
        <v>경남</v>
      </c>
    </row>
    <row r="3766" spans="1:12" ht="17.25" thickBot="1">
      <c r="A3766" s="3" t="s">
        <v>3608</v>
      </c>
      <c r="B3766" s="3" t="s">
        <v>1784</v>
      </c>
      <c r="C3766" s="3" t="s">
        <v>119</v>
      </c>
      <c r="D3766" s="4" t="s">
        <v>243</v>
      </c>
      <c r="E3766" s="4" t="s">
        <v>9</v>
      </c>
      <c r="F3766" s="4">
        <v>1985</v>
      </c>
      <c r="G3766" s="8">
        <v>-0.4</v>
      </c>
      <c r="H3766" s="4" t="s">
        <v>9</v>
      </c>
      <c r="I3766" s="8">
        <v>-0.4</v>
      </c>
      <c r="J3766" s="3">
        <f>1248</f>
        <v>1248</v>
      </c>
      <c r="K3766" s="3">
        <v>50812</v>
      </c>
      <c r="L3766" s="17" t="str" cm="1">
        <f t="array" ref="L3766">_xlfn.IFS(MID(K3766,2,2)="01", "서울", MID(K3766,2,2)="02","경기",MID(K3766,2,2)="03","충청",MID(K3766,2,2)="04","충청",MID(K3766,2,2)="05","전라",MID(K3766,2,2)="06","전라",MID(K3766,2,2)="07","경북",MID(K3766,2,2)="08","경남",MID(K3766,2,2)="09","강원",MID(K3766,2,2)="10","제주",TRUE,"국외")</f>
        <v>경남</v>
      </c>
    </row>
    <row r="3767" spans="1:12" ht="17.25" thickBot="1">
      <c r="A3767" s="3" t="s">
        <v>3609</v>
      </c>
      <c r="B3767" s="3" t="s">
        <v>93</v>
      </c>
      <c r="C3767" s="3" t="s">
        <v>45</v>
      </c>
      <c r="D3767" s="4" t="s">
        <v>243</v>
      </c>
      <c r="E3767" s="4" t="s">
        <v>9</v>
      </c>
      <c r="F3767" s="4">
        <v>1985</v>
      </c>
      <c r="G3767" s="8">
        <v>-0.6</v>
      </c>
      <c r="H3767" s="4" t="s">
        <v>9</v>
      </c>
      <c r="I3767" s="8">
        <v>18.100000000000001</v>
      </c>
      <c r="J3767" s="3">
        <f>1256</f>
        <v>1256</v>
      </c>
      <c r="K3767" s="3">
        <v>50805</v>
      </c>
      <c r="L3767" s="17" t="str" cm="1">
        <f t="array" ref="L3767">_xlfn.IFS(MID(K3767,2,2)="01", "서울", MID(K3767,2,2)="02","경기",MID(K3767,2,2)="03","충청",MID(K3767,2,2)="04","충청",MID(K3767,2,2)="05","전라",MID(K3767,2,2)="06","전라",MID(K3767,2,2)="07","경북",MID(K3767,2,2)="08","경남",MID(K3767,2,2)="09","강원",MID(K3767,2,2)="10","제주",TRUE,"국외")</f>
        <v>경남</v>
      </c>
    </row>
    <row r="3768" spans="1:12" ht="17.25" thickBot="1">
      <c r="A3768" s="3" t="s">
        <v>269</v>
      </c>
      <c r="B3768" s="3" t="s">
        <v>63</v>
      </c>
      <c r="C3768" s="3" t="s">
        <v>119</v>
      </c>
      <c r="D3768" s="4" t="s">
        <v>243</v>
      </c>
      <c r="E3768" s="4" t="s">
        <v>9</v>
      </c>
      <c r="F3768" s="4">
        <v>1985</v>
      </c>
      <c r="G3768" s="8">
        <v>2.7</v>
      </c>
      <c r="H3768" s="4" t="s">
        <v>9</v>
      </c>
      <c r="I3768" s="8">
        <v>6.9</v>
      </c>
      <c r="J3768" s="3">
        <f>1262</f>
        <v>1262</v>
      </c>
      <c r="K3768" s="3">
        <v>50807</v>
      </c>
      <c r="L3768" s="17" t="str" cm="1">
        <f t="array" ref="L3768">_xlfn.IFS(MID(K3768,2,2)="01", "서울", MID(K3768,2,2)="02","경기",MID(K3768,2,2)="03","충청",MID(K3768,2,2)="04","충청",MID(K3768,2,2)="05","전라",MID(K3768,2,2)="06","전라",MID(K3768,2,2)="07","경북",MID(K3768,2,2)="08","경남",MID(K3768,2,2)="09","강원",MID(K3768,2,2)="10","제주",TRUE,"국외")</f>
        <v>경남</v>
      </c>
    </row>
    <row r="3769" spans="1:12" ht="17.25" thickBot="1">
      <c r="A3769" s="3" t="s">
        <v>3610</v>
      </c>
      <c r="B3769" s="3" t="s">
        <v>63</v>
      </c>
      <c r="C3769" s="3"/>
      <c r="D3769" s="4" t="s">
        <v>243</v>
      </c>
      <c r="E3769" s="4" t="s">
        <v>9</v>
      </c>
      <c r="F3769" s="4">
        <v>1985</v>
      </c>
      <c r="G3769" s="8">
        <v>-1.8</v>
      </c>
      <c r="H3769" s="4" t="s">
        <v>9</v>
      </c>
      <c r="I3769" s="8">
        <v>-2.7</v>
      </c>
      <c r="J3769" s="3">
        <f>1265</f>
        <v>1265</v>
      </c>
      <c r="K3769" s="3">
        <v>50807</v>
      </c>
      <c r="L3769" s="17" t="str" cm="1">
        <f t="array" ref="L3769">_xlfn.IFS(MID(K3769,2,2)="01", "서울", MID(K3769,2,2)="02","경기",MID(K3769,2,2)="03","충청",MID(K3769,2,2)="04","충청",MID(K3769,2,2)="05","전라",MID(K3769,2,2)="06","전라",MID(K3769,2,2)="07","경북",MID(K3769,2,2)="08","경남",MID(K3769,2,2)="09","강원",MID(K3769,2,2)="10","제주",TRUE,"국외")</f>
        <v>경남</v>
      </c>
    </row>
    <row r="3770" spans="1:12" ht="17.25" thickBot="1">
      <c r="A3770" s="3" t="s">
        <v>654</v>
      </c>
      <c r="B3770" s="3" t="s">
        <v>93</v>
      </c>
      <c r="C3770" s="3" t="s">
        <v>208</v>
      </c>
      <c r="D3770" s="4" t="s">
        <v>243</v>
      </c>
      <c r="E3770" s="4" t="s">
        <v>9</v>
      </c>
      <c r="F3770" s="4">
        <v>1987</v>
      </c>
      <c r="G3770" s="9"/>
      <c r="H3770" s="4" t="s">
        <v>9</v>
      </c>
      <c r="I3770" s="8">
        <v>0.2</v>
      </c>
      <c r="J3770" s="3">
        <f>1351</f>
        <v>1351</v>
      </c>
      <c r="K3770" s="3">
        <v>50805</v>
      </c>
      <c r="L3770" s="17" t="str" cm="1">
        <f t="array" ref="L3770">_xlfn.IFS(MID(K3770,2,2)="01", "서울", MID(K3770,2,2)="02","경기",MID(K3770,2,2)="03","충청",MID(K3770,2,2)="04","충청",MID(K3770,2,2)="05","전라",MID(K3770,2,2)="06","전라",MID(K3770,2,2)="07","경북",MID(K3770,2,2)="08","경남",MID(K3770,2,2)="09","강원",MID(K3770,2,2)="10","제주",TRUE,"국외")</f>
        <v>경남</v>
      </c>
    </row>
    <row r="3771" spans="1:12" ht="17.25" thickBot="1">
      <c r="A3771" s="3" t="s">
        <v>3611</v>
      </c>
      <c r="B3771" s="3" t="s">
        <v>25</v>
      </c>
      <c r="C3771" s="3" t="s">
        <v>119</v>
      </c>
      <c r="D3771" s="4" t="s">
        <v>243</v>
      </c>
      <c r="E3771" s="4"/>
      <c r="F3771" s="4">
        <v>1986</v>
      </c>
      <c r="G3771" s="9"/>
      <c r="H3771" s="4" t="s">
        <v>3101</v>
      </c>
      <c r="I3771" s="8">
        <v>8.4</v>
      </c>
      <c r="J3771" s="3">
        <f>1269</f>
        <v>1269</v>
      </c>
      <c r="K3771" s="3">
        <v>50403</v>
      </c>
      <c r="L3771" s="17" t="str" cm="1">
        <f t="array" ref="L3771">_xlfn.IFS(MID(K3771,2,2)="01", "서울", MID(K3771,2,2)="02","경기",MID(K3771,2,2)="03","충청",MID(K3771,2,2)="04","충청",MID(K3771,2,2)="05","전라",MID(K3771,2,2)="06","전라",MID(K3771,2,2)="07","경북",MID(K3771,2,2)="08","경남",MID(K3771,2,2)="09","강원",MID(K3771,2,2)="10","제주",TRUE,"국외")</f>
        <v>충청</v>
      </c>
    </row>
    <row r="3772" spans="1:12" ht="17.25" thickBot="1">
      <c r="A3772" s="3" t="s">
        <v>3612</v>
      </c>
      <c r="B3772" s="3" t="s">
        <v>25</v>
      </c>
      <c r="C3772" s="3" t="s">
        <v>739</v>
      </c>
      <c r="D3772" s="4" t="s">
        <v>243</v>
      </c>
      <c r="E3772" s="4"/>
      <c r="F3772" s="4">
        <v>1986</v>
      </c>
      <c r="G3772" s="9"/>
      <c r="H3772" s="4" t="s">
        <v>3101</v>
      </c>
      <c r="I3772" s="8">
        <v>31.7</v>
      </c>
      <c r="J3772" s="3">
        <v>12994</v>
      </c>
      <c r="K3772" s="3">
        <v>50403</v>
      </c>
      <c r="L3772" s="17" t="str" cm="1">
        <f t="array" ref="L3772">_xlfn.IFS(MID(K3772,2,2)="01", "서울", MID(K3772,2,2)="02","경기",MID(K3772,2,2)="03","충청",MID(K3772,2,2)="04","충청",MID(K3772,2,2)="05","전라",MID(K3772,2,2)="06","전라",MID(K3772,2,2)="07","경북",MID(K3772,2,2)="08","경남",MID(K3772,2,2)="09","강원",MID(K3772,2,2)="10","제주",TRUE,"국외")</f>
        <v>충청</v>
      </c>
    </row>
    <row r="3773" spans="1:12" ht="17.25" thickBot="1">
      <c r="A3773" s="3" t="s">
        <v>3613</v>
      </c>
      <c r="B3773" s="3" t="s">
        <v>22</v>
      </c>
      <c r="C3773" s="3" t="s">
        <v>218</v>
      </c>
      <c r="D3773" s="4" t="s">
        <v>243</v>
      </c>
      <c r="E3773" s="4" t="s">
        <v>3614</v>
      </c>
      <c r="F3773" s="4">
        <v>1985</v>
      </c>
      <c r="G3773" s="8">
        <v>1.6</v>
      </c>
      <c r="H3773" s="4" t="s">
        <v>3525</v>
      </c>
      <c r="I3773" s="8">
        <v>-2.4</v>
      </c>
      <c r="J3773" s="3">
        <f>1266</f>
        <v>1266</v>
      </c>
      <c r="K3773" s="3">
        <v>50209</v>
      </c>
      <c r="L3773" s="17" t="str" cm="1">
        <f t="array" ref="L3773">_xlfn.IFS(MID(K3773,2,2)="01", "서울", MID(K3773,2,2)="02","경기",MID(K3773,2,2)="03","충청",MID(K3773,2,2)="04","충청",MID(K3773,2,2)="05","전라",MID(K3773,2,2)="06","전라",MID(K3773,2,2)="07","경북",MID(K3773,2,2)="08","경남",MID(K3773,2,2)="09","강원",MID(K3773,2,2)="10","제주",TRUE,"국외")</f>
        <v>경기</v>
      </c>
    </row>
    <row r="3774" spans="1:12" ht="17.25" thickBot="1">
      <c r="A3774" s="3" t="s">
        <v>3615</v>
      </c>
      <c r="B3774" s="3" t="s">
        <v>361</v>
      </c>
      <c r="C3774" s="3"/>
      <c r="D3774" s="4" t="s">
        <v>243</v>
      </c>
      <c r="E3774" s="4" t="s">
        <v>3614</v>
      </c>
      <c r="F3774" s="4">
        <v>1985</v>
      </c>
      <c r="G3774" s="8">
        <v>-0.1</v>
      </c>
      <c r="H3774" s="4" t="s">
        <v>3525</v>
      </c>
      <c r="I3774" s="8">
        <v>-0.1</v>
      </c>
      <c r="J3774" s="3">
        <f>1254</f>
        <v>1254</v>
      </c>
      <c r="K3774" s="3">
        <v>50121</v>
      </c>
      <c r="L3774" s="17" t="str" cm="1">
        <f t="array" ref="L3774">_xlfn.IFS(MID(K3774,2,2)="01", "서울", MID(K3774,2,2)="02","경기",MID(K3774,2,2)="03","충청",MID(K3774,2,2)="04","충청",MID(K3774,2,2)="05","전라",MID(K3774,2,2)="06","전라",MID(K3774,2,2)="07","경북",MID(K3774,2,2)="08","경남",MID(K3774,2,2)="09","강원",MID(K3774,2,2)="10","제주",TRUE,"국외")</f>
        <v>서울</v>
      </c>
    </row>
    <row r="3775" spans="1:12" ht="17.25" thickBot="1">
      <c r="A3775" s="3" t="s">
        <v>3615</v>
      </c>
      <c r="B3775" s="3" t="s">
        <v>361</v>
      </c>
      <c r="C3775" s="3"/>
      <c r="D3775" s="4" t="s">
        <v>243</v>
      </c>
      <c r="E3775" s="4" t="s">
        <v>3614</v>
      </c>
      <c r="F3775" s="4">
        <v>1985</v>
      </c>
      <c r="G3775" s="8">
        <v>0</v>
      </c>
      <c r="H3775" s="4" t="s">
        <v>3525</v>
      </c>
      <c r="I3775" s="8">
        <v>-0.1</v>
      </c>
      <c r="J3775" s="3">
        <f>1254</f>
        <v>1254</v>
      </c>
      <c r="K3775" s="3">
        <v>50121</v>
      </c>
      <c r="L3775" s="17" t="str" cm="1">
        <f t="array" ref="L3775">_xlfn.IFS(MID(K3775,2,2)="01", "서울", MID(K3775,2,2)="02","경기",MID(K3775,2,2)="03","충청",MID(K3775,2,2)="04","충청",MID(K3775,2,2)="05","전라",MID(K3775,2,2)="06","전라",MID(K3775,2,2)="07","경북",MID(K3775,2,2)="08","경남",MID(K3775,2,2)="09","강원",MID(K3775,2,2)="10","제주",TRUE,"국외")</f>
        <v>서울</v>
      </c>
    </row>
    <row r="3776" spans="1:12" ht="17.25" thickBot="1">
      <c r="A3776" s="3" t="s">
        <v>3616</v>
      </c>
      <c r="B3776" s="3" t="s">
        <v>22</v>
      </c>
      <c r="C3776" s="3" t="s">
        <v>83</v>
      </c>
      <c r="D3776" s="4" t="s">
        <v>243</v>
      </c>
      <c r="E3776" s="4" t="s">
        <v>3614</v>
      </c>
      <c r="F3776" s="4">
        <v>1985</v>
      </c>
      <c r="G3776" s="8">
        <v>-0.1</v>
      </c>
      <c r="H3776" s="4" t="s">
        <v>3525</v>
      </c>
      <c r="I3776" s="8">
        <v>-0.2</v>
      </c>
      <c r="J3776" s="3">
        <f>1249</f>
        <v>1249</v>
      </c>
      <c r="K3776" s="3">
        <v>50209</v>
      </c>
      <c r="L3776" s="17" t="str" cm="1">
        <f t="array" ref="L3776">_xlfn.IFS(MID(K3776,2,2)="01", "서울", MID(K3776,2,2)="02","경기",MID(K3776,2,2)="03","충청",MID(K3776,2,2)="04","충청",MID(K3776,2,2)="05","전라",MID(K3776,2,2)="06","전라",MID(K3776,2,2)="07","경북",MID(K3776,2,2)="08","경남",MID(K3776,2,2)="09","강원",MID(K3776,2,2)="10","제주",TRUE,"국외")</f>
        <v>경기</v>
      </c>
    </row>
    <row r="3777" spans="1:12" ht="17.25" thickBot="1">
      <c r="A3777" s="3" t="s">
        <v>1808</v>
      </c>
      <c r="B3777" s="3" t="s">
        <v>22</v>
      </c>
      <c r="C3777" s="3" t="s">
        <v>221</v>
      </c>
      <c r="D3777" s="4" t="s">
        <v>243</v>
      </c>
      <c r="E3777" s="4" t="s">
        <v>3614</v>
      </c>
      <c r="F3777" s="4">
        <v>1985</v>
      </c>
      <c r="G3777" s="8">
        <v>0</v>
      </c>
      <c r="H3777" s="4" t="s">
        <v>3525</v>
      </c>
      <c r="I3777" s="8">
        <v>-0.1</v>
      </c>
      <c r="J3777" s="3">
        <f>1234</f>
        <v>1234</v>
      </c>
      <c r="K3777" s="3">
        <v>50209</v>
      </c>
      <c r="L3777" s="17" t="str" cm="1">
        <f t="array" ref="L3777">_xlfn.IFS(MID(K3777,2,2)="01", "서울", MID(K3777,2,2)="02","경기",MID(K3777,2,2)="03","충청",MID(K3777,2,2)="04","충청",MID(K3777,2,2)="05","전라",MID(K3777,2,2)="06","전라",MID(K3777,2,2)="07","경북",MID(K3777,2,2)="08","경남",MID(K3777,2,2)="09","강원",MID(K3777,2,2)="10","제주",TRUE,"국외")</f>
        <v>경기</v>
      </c>
    </row>
    <row r="3778" spans="1:12" ht="17.25" thickBot="1">
      <c r="A3778" s="3" t="s">
        <v>3617</v>
      </c>
      <c r="B3778" s="3" t="s">
        <v>22</v>
      </c>
      <c r="C3778" s="3" t="s">
        <v>221</v>
      </c>
      <c r="D3778" s="4" t="s">
        <v>243</v>
      </c>
      <c r="E3778" s="4" t="s">
        <v>3614</v>
      </c>
      <c r="F3778" s="4">
        <v>1985</v>
      </c>
      <c r="G3778" s="8">
        <v>0</v>
      </c>
      <c r="H3778" s="4" t="s">
        <v>3525</v>
      </c>
      <c r="I3778" s="8">
        <v>0.8</v>
      </c>
      <c r="J3778" s="3">
        <f>1244</f>
        <v>1244</v>
      </c>
      <c r="K3778" s="3">
        <v>50209</v>
      </c>
      <c r="L3778" s="17" t="str" cm="1">
        <f t="array" ref="L3778">_xlfn.IFS(MID(K3778,2,2)="01", "서울", MID(K3778,2,2)="02","경기",MID(K3778,2,2)="03","충청",MID(K3778,2,2)="04","충청",MID(K3778,2,2)="05","전라",MID(K3778,2,2)="06","전라",MID(K3778,2,2)="07","경북",MID(K3778,2,2)="08","경남",MID(K3778,2,2)="09","강원",MID(K3778,2,2)="10","제주",TRUE,"국외")</f>
        <v>경기</v>
      </c>
    </row>
    <row r="3779" spans="1:12" ht="17.25" thickBot="1">
      <c r="A3779" s="3" t="s">
        <v>3618</v>
      </c>
      <c r="B3779" s="3" t="s">
        <v>2524</v>
      </c>
      <c r="C3779" s="3" t="s">
        <v>208</v>
      </c>
      <c r="D3779" s="4" t="s">
        <v>243</v>
      </c>
      <c r="E3779" s="4" t="s">
        <v>23</v>
      </c>
      <c r="F3779" s="4">
        <v>1985</v>
      </c>
      <c r="G3779" s="8">
        <v>-0.1</v>
      </c>
      <c r="H3779" s="4" t="s">
        <v>3101</v>
      </c>
      <c r="I3779" s="8">
        <v>6.5</v>
      </c>
      <c r="J3779" s="3">
        <f>1235</f>
        <v>1235</v>
      </c>
      <c r="K3779" s="3">
        <v>50711</v>
      </c>
      <c r="L3779" s="17" t="str" cm="1">
        <f t="array" ref="L3779">_xlfn.IFS(MID(K3779,2,2)="01", "서울", MID(K3779,2,2)="02","경기",MID(K3779,2,2)="03","충청",MID(K3779,2,2)="04","충청",MID(K3779,2,2)="05","전라",MID(K3779,2,2)="06","전라",MID(K3779,2,2)="07","경북",MID(K3779,2,2)="08","경남",MID(K3779,2,2)="09","강원",MID(K3779,2,2)="10","제주",TRUE,"국외")</f>
        <v>경북</v>
      </c>
    </row>
    <row r="3780" spans="1:12" ht="17.25" thickBot="1">
      <c r="A3780" s="3" t="s">
        <v>3619</v>
      </c>
      <c r="B3780" s="3" t="s">
        <v>34</v>
      </c>
      <c r="C3780" s="3"/>
      <c r="D3780" s="4" t="s">
        <v>243</v>
      </c>
      <c r="E3780" s="4" t="s">
        <v>23</v>
      </c>
      <c r="F3780" s="4">
        <v>1985</v>
      </c>
      <c r="G3780" s="8">
        <v>0</v>
      </c>
      <c r="H3780" s="4" t="s">
        <v>23</v>
      </c>
      <c r="I3780" s="8">
        <v>-0.4</v>
      </c>
      <c r="J3780" s="3">
        <f>1257</f>
        <v>1257</v>
      </c>
      <c r="K3780" s="3">
        <v>50701</v>
      </c>
      <c r="L3780" s="17" t="str" cm="1">
        <f t="array" ref="L3780">_xlfn.IFS(MID(K3780,2,2)="01", "서울", MID(K3780,2,2)="02","경기",MID(K3780,2,2)="03","충청",MID(K3780,2,2)="04","충청",MID(K3780,2,2)="05","전라",MID(K3780,2,2)="06","전라",MID(K3780,2,2)="07","경북",MID(K3780,2,2)="08","경남",MID(K3780,2,2)="09","강원",MID(K3780,2,2)="10","제주",TRUE,"국외")</f>
        <v>경북</v>
      </c>
    </row>
    <row r="3781" spans="1:12" ht="17.25" thickBot="1">
      <c r="A3781" s="3" t="s">
        <v>3620</v>
      </c>
      <c r="B3781" s="3"/>
      <c r="C3781" s="3" t="s">
        <v>538</v>
      </c>
      <c r="D3781" s="4" t="s">
        <v>243</v>
      </c>
      <c r="E3781" s="4" t="s">
        <v>23</v>
      </c>
      <c r="F3781" s="4">
        <v>1986</v>
      </c>
      <c r="G3781" s="9"/>
      <c r="H3781" s="4" t="s">
        <v>3101</v>
      </c>
      <c r="I3781" s="8">
        <v>-0.1</v>
      </c>
      <c r="J3781" s="3">
        <f>1294</f>
        <v>1294</v>
      </c>
      <c r="K3781" s="3"/>
      <c r="L3781" s="17" t="str" cm="1">
        <f t="array" ref="L3781">_xlfn.IFS(MID(K3781,2,2)="01", "서울", MID(K3781,2,2)="02","경기",MID(K3781,2,2)="03","충청",MID(K3781,2,2)="04","충청",MID(K3781,2,2)="05","전라",MID(K3781,2,2)="06","전라",MID(K3781,2,2)="07","경북",MID(K3781,2,2)="08","경남",MID(K3781,2,2)="09","강원",MID(K3781,2,2)="10","제주",TRUE,"국외")</f>
        <v>국외</v>
      </c>
    </row>
    <row r="3782" spans="1:12" ht="17.25" thickBot="1">
      <c r="A3782" s="3" t="s">
        <v>3621</v>
      </c>
      <c r="B3782" s="3" t="s">
        <v>2524</v>
      </c>
      <c r="C3782" s="3" t="s">
        <v>739</v>
      </c>
      <c r="D3782" s="4" t="s">
        <v>243</v>
      </c>
      <c r="E3782" s="4" t="s">
        <v>23</v>
      </c>
      <c r="F3782" s="4">
        <v>1985</v>
      </c>
      <c r="G3782" s="8">
        <v>0.4</v>
      </c>
      <c r="H3782" s="4" t="s">
        <v>23</v>
      </c>
      <c r="I3782" s="8">
        <v>8.6999999999999993</v>
      </c>
      <c r="J3782" s="3">
        <f>1237</f>
        <v>1237</v>
      </c>
      <c r="K3782" s="3">
        <v>50711</v>
      </c>
      <c r="L3782" s="17" t="str" cm="1">
        <f t="array" ref="L3782">_xlfn.IFS(MID(K3782,2,2)="01", "서울", MID(K3782,2,2)="02","경기",MID(K3782,2,2)="03","충청",MID(K3782,2,2)="04","충청",MID(K3782,2,2)="05","전라",MID(K3782,2,2)="06","전라",MID(K3782,2,2)="07","경북",MID(K3782,2,2)="08","경남",MID(K3782,2,2)="09","강원",MID(K3782,2,2)="10","제주",TRUE,"국외")</f>
        <v>경북</v>
      </c>
    </row>
    <row r="3783" spans="1:12" ht="17.25" thickBot="1">
      <c r="A3783" s="3" t="s">
        <v>3622</v>
      </c>
      <c r="B3783" s="3" t="s">
        <v>34</v>
      </c>
      <c r="C3783" s="3" t="s">
        <v>538</v>
      </c>
      <c r="D3783" s="4" t="s">
        <v>243</v>
      </c>
      <c r="E3783" s="4" t="s">
        <v>23</v>
      </c>
      <c r="F3783" s="4">
        <v>1986</v>
      </c>
      <c r="G3783" s="9"/>
      <c r="H3783" s="4" t="s">
        <v>3101</v>
      </c>
      <c r="I3783" s="8">
        <v>9.1999999999999993</v>
      </c>
      <c r="J3783" s="3">
        <f>1276</f>
        <v>1276</v>
      </c>
      <c r="K3783" s="3">
        <v>50701</v>
      </c>
      <c r="L3783" s="17" t="str" cm="1">
        <f t="array" ref="L3783">_xlfn.IFS(MID(K3783,2,2)="01", "서울", MID(K3783,2,2)="02","경기",MID(K3783,2,2)="03","충청",MID(K3783,2,2)="04","충청",MID(K3783,2,2)="05","전라",MID(K3783,2,2)="06","전라",MID(K3783,2,2)="07","경북",MID(K3783,2,2)="08","경남",MID(K3783,2,2)="09","강원",MID(K3783,2,2)="10","제주",TRUE,"국외")</f>
        <v>경북</v>
      </c>
    </row>
    <row r="3784" spans="1:12" ht="17.25" thickBot="1">
      <c r="A3784" s="3" t="s">
        <v>3623</v>
      </c>
      <c r="B3784" s="3" t="s">
        <v>2491</v>
      </c>
      <c r="C3784" s="3" t="s">
        <v>172</v>
      </c>
      <c r="D3784" s="4" t="s">
        <v>243</v>
      </c>
      <c r="E3784" s="4" t="s">
        <v>2523</v>
      </c>
      <c r="F3784" s="4">
        <v>1985</v>
      </c>
      <c r="G3784" s="8">
        <v>-0.7</v>
      </c>
      <c r="H3784" s="4" t="s">
        <v>2523</v>
      </c>
      <c r="I3784" s="8">
        <v>-0.7</v>
      </c>
      <c r="J3784" s="3">
        <f>1233</f>
        <v>1233</v>
      </c>
      <c r="K3784" s="3">
        <v>50608</v>
      </c>
      <c r="L3784" s="17" t="str" cm="1">
        <f t="array" ref="L3784">_xlfn.IFS(MID(K3784,2,2)="01", "서울", MID(K3784,2,2)="02","경기",MID(K3784,2,2)="03","충청",MID(K3784,2,2)="04","충청",MID(K3784,2,2)="05","전라",MID(K3784,2,2)="06","전라",MID(K3784,2,2)="07","경북",MID(K3784,2,2)="08","경남",MID(K3784,2,2)="09","강원",MID(K3784,2,2)="10","제주",TRUE,"국외")</f>
        <v>전라</v>
      </c>
    </row>
    <row r="3785" spans="1:12" ht="17.25" thickBot="1">
      <c r="A3785" s="3" t="s">
        <v>3624</v>
      </c>
      <c r="B3785" s="3" t="s">
        <v>2491</v>
      </c>
      <c r="C3785" s="3" t="s">
        <v>83</v>
      </c>
      <c r="D3785" s="4" t="s">
        <v>243</v>
      </c>
      <c r="E3785" s="4" t="s">
        <v>2523</v>
      </c>
      <c r="F3785" s="4">
        <v>1985</v>
      </c>
      <c r="G3785" s="8">
        <v>-0.5</v>
      </c>
      <c r="H3785" s="4" t="s">
        <v>2523</v>
      </c>
      <c r="I3785" s="8">
        <v>-0.5</v>
      </c>
      <c r="J3785" s="3">
        <f>1238</f>
        <v>1238</v>
      </c>
      <c r="K3785" s="3">
        <v>50608</v>
      </c>
      <c r="L3785" s="17" t="str" cm="1">
        <f t="array" ref="L3785">_xlfn.IFS(MID(K3785,2,2)="01", "서울", MID(K3785,2,2)="02","경기",MID(K3785,2,2)="03","충청",MID(K3785,2,2)="04","충청",MID(K3785,2,2)="05","전라",MID(K3785,2,2)="06","전라",MID(K3785,2,2)="07","경북",MID(K3785,2,2)="08","경남",MID(K3785,2,2)="09","강원",MID(K3785,2,2)="10","제주",TRUE,"국외")</f>
        <v>전라</v>
      </c>
    </row>
    <row r="3786" spans="1:12" ht="17.25" thickBot="1">
      <c r="A3786" s="3" t="s">
        <v>3625</v>
      </c>
      <c r="B3786" s="3" t="s">
        <v>107</v>
      </c>
      <c r="C3786" s="3" t="s">
        <v>45</v>
      </c>
      <c r="D3786" s="4" t="s">
        <v>243</v>
      </c>
      <c r="E3786" s="4" t="s">
        <v>2523</v>
      </c>
      <c r="F3786" s="4">
        <v>1985</v>
      </c>
      <c r="G3786" s="8">
        <v>5.0999999999999996</v>
      </c>
      <c r="H3786" s="4" t="s">
        <v>2523</v>
      </c>
      <c r="I3786" s="8">
        <v>101.7</v>
      </c>
      <c r="J3786" s="3">
        <f>1263</f>
        <v>1263</v>
      </c>
      <c r="K3786" s="3">
        <v>50602</v>
      </c>
      <c r="L3786" s="17" t="str" cm="1">
        <f t="array" ref="L3786">_xlfn.IFS(MID(K3786,2,2)="01", "서울", MID(K3786,2,2)="02","경기",MID(K3786,2,2)="03","충청",MID(K3786,2,2)="04","충청",MID(K3786,2,2)="05","전라",MID(K3786,2,2)="06","전라",MID(K3786,2,2)="07","경북",MID(K3786,2,2)="08","경남",MID(K3786,2,2)="09","강원",MID(K3786,2,2)="10","제주",TRUE,"국외")</f>
        <v>전라</v>
      </c>
    </row>
    <row r="3787" spans="1:12" ht="17.25" thickBot="1">
      <c r="A3787" s="3" t="s">
        <v>3626</v>
      </c>
      <c r="B3787" s="3" t="s">
        <v>2491</v>
      </c>
      <c r="C3787" s="3" t="s">
        <v>83</v>
      </c>
      <c r="D3787" s="4" t="s">
        <v>243</v>
      </c>
      <c r="E3787" s="4" t="s">
        <v>2523</v>
      </c>
      <c r="F3787" s="4">
        <v>1985</v>
      </c>
      <c r="G3787" s="8">
        <v>3.9</v>
      </c>
      <c r="H3787" s="4" t="s">
        <v>2523</v>
      </c>
      <c r="I3787" s="8">
        <v>32</v>
      </c>
      <c r="J3787" s="3">
        <f>1250</f>
        <v>1250</v>
      </c>
      <c r="K3787" s="3">
        <v>50608</v>
      </c>
      <c r="L3787" s="17" t="str" cm="1">
        <f t="array" ref="L3787">_xlfn.IFS(MID(K3787,2,2)="01", "서울", MID(K3787,2,2)="02","경기",MID(K3787,2,2)="03","충청",MID(K3787,2,2)="04","충청",MID(K3787,2,2)="05","전라",MID(K3787,2,2)="06","전라",MID(K3787,2,2)="07","경북",MID(K3787,2,2)="08","경남",MID(K3787,2,2)="09","강원",MID(K3787,2,2)="10","제주",TRUE,"국외")</f>
        <v>전라</v>
      </c>
    </row>
    <row r="3788" spans="1:12" ht="17.25" thickBot="1">
      <c r="A3788" s="3" t="s">
        <v>3627</v>
      </c>
      <c r="B3788" s="3" t="s">
        <v>2491</v>
      </c>
      <c r="C3788" s="3" t="s">
        <v>122</v>
      </c>
      <c r="D3788" s="4" t="s">
        <v>243</v>
      </c>
      <c r="E3788" s="4" t="s">
        <v>2523</v>
      </c>
      <c r="F3788" s="4">
        <v>1985</v>
      </c>
      <c r="G3788" s="8">
        <v>0.2</v>
      </c>
      <c r="H3788" s="4" t="s">
        <v>2523</v>
      </c>
      <c r="I3788" s="8">
        <v>-0.1</v>
      </c>
      <c r="J3788" s="3">
        <f>1264</f>
        <v>1264</v>
      </c>
      <c r="K3788" s="3">
        <v>50608</v>
      </c>
      <c r="L3788" s="17" t="str" cm="1">
        <f t="array" ref="L3788">_xlfn.IFS(MID(K3788,2,2)="01", "서울", MID(K3788,2,2)="02","경기",MID(K3788,2,2)="03","충청",MID(K3788,2,2)="04","충청",MID(K3788,2,2)="05","전라",MID(K3788,2,2)="06","전라",MID(K3788,2,2)="07","경북",MID(K3788,2,2)="08","경남",MID(K3788,2,2)="09","강원",MID(K3788,2,2)="10","제주",TRUE,"국외")</f>
        <v>전라</v>
      </c>
    </row>
    <row r="3789" spans="1:12" ht="17.25" thickBot="1">
      <c r="A3789" s="3" t="s">
        <v>3628</v>
      </c>
      <c r="B3789" s="3" t="s">
        <v>107</v>
      </c>
      <c r="C3789" s="3" t="s">
        <v>221</v>
      </c>
      <c r="D3789" s="4" t="s">
        <v>243</v>
      </c>
      <c r="E3789" s="4" t="s">
        <v>2523</v>
      </c>
      <c r="F3789" s="4">
        <v>1985</v>
      </c>
      <c r="G3789" s="8">
        <v>0.3</v>
      </c>
      <c r="H3789" s="4" t="s">
        <v>2523</v>
      </c>
      <c r="I3789" s="8">
        <v>-2.2000000000000002</v>
      </c>
      <c r="J3789" s="3">
        <f>1267</f>
        <v>1267</v>
      </c>
      <c r="K3789" s="3">
        <v>50602</v>
      </c>
      <c r="L3789" s="17" t="str" cm="1">
        <f t="array" ref="L3789">_xlfn.IFS(MID(K3789,2,2)="01", "서울", MID(K3789,2,2)="02","경기",MID(K3789,2,2)="03","충청",MID(K3789,2,2)="04","충청",MID(K3789,2,2)="05","전라",MID(K3789,2,2)="06","전라",MID(K3789,2,2)="07","경북",MID(K3789,2,2)="08","경남",MID(K3789,2,2)="09","강원",MID(K3789,2,2)="10","제주",TRUE,"국외")</f>
        <v>전라</v>
      </c>
    </row>
    <row r="3790" spans="1:12" ht="17.25" thickBot="1">
      <c r="A3790" s="3" t="s">
        <v>3629</v>
      </c>
      <c r="B3790" s="3" t="s">
        <v>66</v>
      </c>
      <c r="C3790" s="3" t="s">
        <v>739</v>
      </c>
      <c r="D3790" s="4" t="s">
        <v>243</v>
      </c>
      <c r="E3790" s="4" t="s">
        <v>3387</v>
      </c>
      <c r="F3790" s="4">
        <v>1985</v>
      </c>
      <c r="G3790" s="8">
        <v>0.5</v>
      </c>
      <c r="H3790" s="4" t="s">
        <v>3387</v>
      </c>
      <c r="I3790" s="8">
        <v>10.199999999999999</v>
      </c>
      <c r="J3790" s="3">
        <v>14223</v>
      </c>
      <c r="K3790" s="3">
        <v>50110</v>
      </c>
      <c r="L3790" s="17" t="str" cm="1">
        <f t="array" ref="L3790">_xlfn.IFS(MID(K3790,2,2)="01", "서울", MID(K3790,2,2)="02","경기",MID(K3790,2,2)="03","충청",MID(K3790,2,2)="04","충청",MID(K3790,2,2)="05","전라",MID(K3790,2,2)="06","전라",MID(K3790,2,2)="07","경북",MID(K3790,2,2)="08","경남",MID(K3790,2,2)="09","강원",MID(K3790,2,2)="10","제주",TRUE,"국외")</f>
        <v>서울</v>
      </c>
    </row>
    <row r="3791" spans="1:12" ht="17.25" thickBot="1">
      <c r="A3791" s="3" t="s">
        <v>3630</v>
      </c>
      <c r="B3791" s="3" t="s">
        <v>1497</v>
      </c>
      <c r="C3791" s="3" t="s">
        <v>45</v>
      </c>
      <c r="D3791" s="4" t="s">
        <v>243</v>
      </c>
      <c r="E3791" s="4" t="s">
        <v>3387</v>
      </c>
      <c r="F3791" s="4">
        <v>1985</v>
      </c>
      <c r="G3791" s="8">
        <v>-0.4</v>
      </c>
      <c r="H3791" s="4" t="s">
        <v>3387</v>
      </c>
      <c r="I3791" s="8">
        <v>-1.4</v>
      </c>
      <c r="J3791" s="3">
        <f>1243</f>
        <v>1243</v>
      </c>
      <c r="K3791" s="3">
        <v>50112</v>
      </c>
      <c r="L3791" s="17" t="str" cm="1">
        <f t="array" ref="L3791">_xlfn.IFS(MID(K3791,2,2)="01", "서울", MID(K3791,2,2)="02","경기",MID(K3791,2,2)="03","충청",MID(K3791,2,2)="04","충청",MID(K3791,2,2)="05","전라",MID(K3791,2,2)="06","전라",MID(K3791,2,2)="07","경북",MID(K3791,2,2)="08","경남",MID(K3791,2,2)="09","강원",MID(K3791,2,2)="10","제주",TRUE,"국외")</f>
        <v>서울</v>
      </c>
    </row>
    <row r="3792" spans="1:12" ht="17.25" thickBot="1">
      <c r="A3792" s="3" t="s">
        <v>3631</v>
      </c>
      <c r="B3792" s="3" t="s">
        <v>93</v>
      </c>
      <c r="C3792" s="3" t="s">
        <v>45</v>
      </c>
      <c r="D3792" s="4" t="s">
        <v>243</v>
      </c>
      <c r="E3792" s="4" t="s">
        <v>9</v>
      </c>
      <c r="F3792" s="4">
        <v>1985</v>
      </c>
      <c r="G3792" s="8">
        <v>-0.3</v>
      </c>
      <c r="H3792" s="4" t="s">
        <v>2968</v>
      </c>
      <c r="I3792" s="8">
        <v>14.3</v>
      </c>
      <c r="J3792" s="3">
        <v>11470</v>
      </c>
      <c r="K3792" s="3">
        <v>50805</v>
      </c>
      <c r="L3792" s="17" t="str" cm="1">
        <f t="array" ref="L3792">_xlfn.IFS(MID(K3792,2,2)="01", "서울", MID(K3792,2,2)="02","경기",MID(K3792,2,2)="03","충청",MID(K3792,2,2)="04","충청",MID(K3792,2,2)="05","전라",MID(K3792,2,2)="06","전라",MID(K3792,2,2)="07","경북",MID(K3792,2,2)="08","경남",MID(K3792,2,2)="09","강원",MID(K3792,2,2)="10","제주",TRUE,"국외")</f>
        <v>경남</v>
      </c>
    </row>
    <row r="3793" spans="1:12" ht="17.25" thickBot="1">
      <c r="A3793" s="3" t="s">
        <v>3632</v>
      </c>
      <c r="B3793" s="3" t="s">
        <v>50</v>
      </c>
      <c r="C3793" s="3" t="s">
        <v>133</v>
      </c>
      <c r="D3793" s="4" t="s">
        <v>243</v>
      </c>
      <c r="E3793" s="4"/>
      <c r="F3793" s="4">
        <v>1986</v>
      </c>
      <c r="G3793" s="9"/>
      <c r="H3793" s="4" t="s">
        <v>3101</v>
      </c>
      <c r="I3793" s="8">
        <v>-0.1</v>
      </c>
      <c r="J3793" s="3">
        <f>1324</f>
        <v>1324</v>
      </c>
      <c r="K3793" s="3">
        <v>50301</v>
      </c>
      <c r="L3793" s="17" t="str" cm="1">
        <f t="array" ref="L3793">_xlfn.IFS(MID(K3793,2,2)="01", "서울", MID(K3793,2,2)="02","경기",MID(K3793,2,2)="03","충청",MID(K3793,2,2)="04","충청",MID(K3793,2,2)="05","전라",MID(K3793,2,2)="06","전라",MID(K3793,2,2)="07","경북",MID(K3793,2,2)="08","경남",MID(K3793,2,2)="09","강원",MID(K3793,2,2)="10","제주",TRUE,"국외")</f>
        <v>충청</v>
      </c>
    </row>
    <row r="3794" spans="1:12" ht="17.25" thickBot="1">
      <c r="A3794" s="3" t="s">
        <v>3633</v>
      </c>
      <c r="B3794" s="3" t="s">
        <v>158</v>
      </c>
      <c r="C3794" s="3" t="s">
        <v>172</v>
      </c>
      <c r="D3794" s="4" t="s">
        <v>254</v>
      </c>
      <c r="E3794" s="4" t="s">
        <v>2725</v>
      </c>
      <c r="F3794" s="4">
        <v>1985</v>
      </c>
      <c r="G3794" s="8">
        <v>-0.1</v>
      </c>
      <c r="H3794" s="4" t="s">
        <v>2725</v>
      </c>
      <c r="I3794" s="8">
        <v>-0.1</v>
      </c>
      <c r="J3794" s="3">
        <f>1240</f>
        <v>1240</v>
      </c>
      <c r="K3794" s="3">
        <v>50501</v>
      </c>
      <c r="L3794" s="17" t="str" cm="1">
        <f t="array" ref="L3794">_xlfn.IFS(MID(K3794,2,2)="01", "서울", MID(K3794,2,2)="02","경기",MID(K3794,2,2)="03","충청",MID(K3794,2,2)="04","충청",MID(K3794,2,2)="05","전라",MID(K3794,2,2)="06","전라",MID(K3794,2,2)="07","경북",MID(K3794,2,2)="08","경남",MID(K3794,2,2)="09","강원",MID(K3794,2,2)="10","제주",TRUE,"국외")</f>
        <v>전라</v>
      </c>
    </row>
    <row r="3795" spans="1:12" ht="17.25" thickBot="1">
      <c r="A3795" s="3" t="s">
        <v>3634</v>
      </c>
      <c r="B3795" s="3" t="s">
        <v>5</v>
      </c>
      <c r="C3795" s="3" t="s">
        <v>211</v>
      </c>
      <c r="D3795" s="4" t="s">
        <v>254</v>
      </c>
      <c r="E3795" s="4" t="s">
        <v>2725</v>
      </c>
      <c r="F3795" s="4">
        <v>1985</v>
      </c>
      <c r="G3795" s="8">
        <v>0.1</v>
      </c>
      <c r="H3795" s="4" t="s">
        <v>2725</v>
      </c>
      <c r="I3795" s="8">
        <v>0.1</v>
      </c>
      <c r="J3795" s="3">
        <f>1255</f>
        <v>1255</v>
      </c>
      <c r="K3795" s="3">
        <v>50114</v>
      </c>
      <c r="L3795" s="17" t="str" cm="1">
        <f t="array" ref="L3795">_xlfn.IFS(MID(K3795,2,2)="01", "서울", MID(K3795,2,2)="02","경기",MID(K3795,2,2)="03","충청",MID(K3795,2,2)="04","충청",MID(K3795,2,2)="05","전라",MID(K3795,2,2)="06","전라",MID(K3795,2,2)="07","경북",MID(K3795,2,2)="08","경남",MID(K3795,2,2)="09","강원",MID(K3795,2,2)="10","제주",TRUE,"국외")</f>
        <v>서울</v>
      </c>
    </row>
    <row r="3796" spans="1:12" ht="17.25" thickBot="1">
      <c r="A3796" s="3" t="s">
        <v>3635</v>
      </c>
      <c r="B3796" s="3"/>
      <c r="C3796" s="3" t="s">
        <v>133</v>
      </c>
      <c r="D3796" s="4" t="s">
        <v>254</v>
      </c>
      <c r="E3796" s="4" t="s">
        <v>2725</v>
      </c>
      <c r="F3796" s="4">
        <v>1989</v>
      </c>
      <c r="G3796" s="9"/>
      <c r="H3796" s="4" t="s">
        <v>2725</v>
      </c>
      <c r="I3796" s="8">
        <v>-0.6</v>
      </c>
      <c r="J3796" s="3">
        <f>1430</f>
        <v>1430</v>
      </c>
      <c r="K3796" s="3"/>
      <c r="L3796" s="17" t="str" cm="1">
        <f t="array" ref="L3796">_xlfn.IFS(MID(K3796,2,2)="01", "서울", MID(K3796,2,2)="02","경기",MID(K3796,2,2)="03","충청",MID(K3796,2,2)="04","충청",MID(K3796,2,2)="05","전라",MID(K3796,2,2)="06","전라",MID(K3796,2,2)="07","경북",MID(K3796,2,2)="08","경남",MID(K3796,2,2)="09","강원",MID(K3796,2,2)="10","제주",TRUE,"국외")</f>
        <v>국외</v>
      </c>
    </row>
    <row r="3797" spans="1:12" ht="17.25" thickBot="1">
      <c r="A3797" s="3" t="s">
        <v>3636</v>
      </c>
      <c r="B3797" s="3"/>
      <c r="C3797" s="3"/>
      <c r="D3797" s="4" t="s">
        <v>181</v>
      </c>
      <c r="E3797" s="4" t="s">
        <v>3387</v>
      </c>
      <c r="F3797" s="4">
        <v>1985</v>
      </c>
      <c r="G3797" s="8">
        <v>0.1</v>
      </c>
      <c r="H3797" s="4" t="s">
        <v>3387</v>
      </c>
      <c r="I3797" s="8">
        <v>2.7</v>
      </c>
      <c r="J3797" s="3">
        <f>1245</f>
        <v>1245</v>
      </c>
      <c r="K3797" s="3"/>
      <c r="L3797" s="17" t="str" cm="1">
        <f t="array" ref="L3797">_xlfn.IFS(MID(K3797,2,2)="01", "서울", MID(K3797,2,2)="02","경기",MID(K3797,2,2)="03","충청",MID(K3797,2,2)="04","충청",MID(K3797,2,2)="05","전라",MID(K3797,2,2)="06","전라",MID(K3797,2,2)="07","경북",MID(K3797,2,2)="08","경남",MID(K3797,2,2)="09","강원",MID(K3797,2,2)="10","제주",TRUE,"국외")</f>
        <v>국외</v>
      </c>
    </row>
    <row r="3798" spans="1:12" ht="17.25" thickBot="1">
      <c r="A3798" s="3" t="s">
        <v>3637</v>
      </c>
      <c r="B3798" s="3" t="s">
        <v>3638</v>
      </c>
      <c r="C3798" s="3"/>
      <c r="D3798" s="4" t="s">
        <v>1777</v>
      </c>
      <c r="E3798" s="4"/>
      <c r="F3798" s="4">
        <v>1986</v>
      </c>
      <c r="G3798" s="9"/>
      <c r="H3798" s="4" t="s">
        <v>3101</v>
      </c>
      <c r="I3798" s="8">
        <v>-1.4</v>
      </c>
      <c r="J3798" s="3">
        <f>1334</f>
        <v>1334</v>
      </c>
      <c r="K3798" s="3">
        <v>50123</v>
      </c>
      <c r="L3798" s="17" t="str" cm="1">
        <f t="array" ref="L3798">_xlfn.IFS(MID(K3798,2,2)="01", "서울", MID(K3798,2,2)="02","경기",MID(K3798,2,2)="03","충청",MID(K3798,2,2)="04","충청",MID(K3798,2,2)="05","전라",MID(K3798,2,2)="06","전라",MID(K3798,2,2)="07","경북",MID(K3798,2,2)="08","경남",MID(K3798,2,2)="09","강원",MID(K3798,2,2)="10","제주",TRUE,"국외")</f>
        <v>서울</v>
      </c>
    </row>
    <row r="3799" spans="1:12" ht="17.25" thickBot="1">
      <c r="A3799" s="3" t="s">
        <v>3639</v>
      </c>
      <c r="B3799" s="3" t="s">
        <v>107</v>
      </c>
      <c r="C3799" s="3" t="s">
        <v>208</v>
      </c>
      <c r="D3799" s="4" t="s">
        <v>1777</v>
      </c>
      <c r="E3799" s="4" t="s">
        <v>2523</v>
      </c>
      <c r="F3799" s="4">
        <v>1985</v>
      </c>
      <c r="G3799" s="8">
        <v>0</v>
      </c>
      <c r="H3799" s="4" t="s">
        <v>2523</v>
      </c>
      <c r="I3799" s="8">
        <v>0</v>
      </c>
      <c r="J3799" s="3">
        <f>1253</f>
        <v>1253</v>
      </c>
      <c r="K3799" s="3">
        <v>50602</v>
      </c>
      <c r="L3799" s="17" t="str" cm="1">
        <f t="array" ref="L3799">_xlfn.IFS(MID(K3799,2,2)="01", "서울", MID(K3799,2,2)="02","경기",MID(K3799,2,2)="03","충청",MID(K3799,2,2)="04","충청",MID(K3799,2,2)="05","전라",MID(K3799,2,2)="06","전라",MID(K3799,2,2)="07","경북",MID(K3799,2,2)="08","경남",MID(K3799,2,2)="09","강원",MID(K3799,2,2)="10","제주",TRUE,"국외")</f>
        <v>전라</v>
      </c>
    </row>
    <row r="3800" spans="1:12" ht="17.25" thickBot="1">
      <c r="A3800" s="3" t="s">
        <v>3640</v>
      </c>
      <c r="B3800" s="3" t="s">
        <v>121</v>
      </c>
      <c r="C3800" s="3"/>
      <c r="D3800" s="4" t="s">
        <v>1777</v>
      </c>
      <c r="E3800" s="4" t="s">
        <v>2523</v>
      </c>
      <c r="F3800" s="4">
        <v>1987</v>
      </c>
      <c r="G3800" s="9"/>
      <c r="H3800" s="4" t="s">
        <v>2523</v>
      </c>
      <c r="I3800" s="8">
        <v>20.9</v>
      </c>
      <c r="J3800" s="3">
        <f>1365</f>
        <v>1365</v>
      </c>
      <c r="K3800" s="3">
        <v>50604</v>
      </c>
      <c r="L3800" s="17" t="str" cm="1">
        <f t="array" ref="L3800">_xlfn.IFS(MID(K3800,2,2)="01", "서울", MID(K3800,2,2)="02","경기",MID(K3800,2,2)="03","충청",MID(K3800,2,2)="04","충청",MID(K3800,2,2)="05","전라",MID(K3800,2,2)="06","전라",MID(K3800,2,2)="07","경북",MID(K3800,2,2)="08","경남",MID(K3800,2,2)="09","강원",MID(K3800,2,2)="10","제주",TRUE,"국외")</f>
        <v>전라</v>
      </c>
    </row>
    <row r="3801" spans="1:12" ht="17.25" thickBot="1">
      <c r="A3801" s="3" t="s">
        <v>1515</v>
      </c>
      <c r="B3801" s="3" t="s">
        <v>93</v>
      </c>
      <c r="C3801" s="3" t="s">
        <v>119</v>
      </c>
      <c r="D3801" s="4" t="s">
        <v>243</v>
      </c>
      <c r="E3801" s="4" t="s">
        <v>9</v>
      </c>
      <c r="F3801" s="4">
        <v>1984</v>
      </c>
      <c r="G3801" s="8">
        <v>0.2</v>
      </c>
      <c r="H3801" s="4" t="s">
        <v>3101</v>
      </c>
      <c r="I3801" s="8">
        <v>-0.4</v>
      </c>
      <c r="J3801" s="3">
        <f>1224</f>
        <v>1224</v>
      </c>
      <c r="K3801" s="3">
        <v>50805</v>
      </c>
      <c r="L3801" s="17" t="str" cm="1">
        <f t="array" ref="L3801">_xlfn.IFS(MID(K3801,2,2)="01", "서울", MID(K3801,2,2)="02","경기",MID(K3801,2,2)="03","충청",MID(K3801,2,2)="04","충청",MID(K3801,2,2)="05","전라",MID(K3801,2,2)="06","전라",MID(K3801,2,2)="07","경북",MID(K3801,2,2)="08","경남",MID(K3801,2,2)="09","강원",MID(K3801,2,2)="10","제주",TRUE,"국외")</f>
        <v>경남</v>
      </c>
    </row>
    <row r="3802" spans="1:12" ht="17.25" thickBot="1">
      <c r="A3802" s="3" t="s">
        <v>3641</v>
      </c>
      <c r="B3802" s="3" t="s">
        <v>1</v>
      </c>
      <c r="C3802" s="3" t="s">
        <v>83</v>
      </c>
      <c r="D3802" s="4" t="s">
        <v>243</v>
      </c>
      <c r="E3802" s="4" t="s">
        <v>3387</v>
      </c>
      <c r="F3802" s="4">
        <v>1984</v>
      </c>
      <c r="G3802" s="8">
        <v>0.1</v>
      </c>
      <c r="H3802" s="4" t="s">
        <v>3525</v>
      </c>
      <c r="I3802" s="8">
        <v>1.1000000000000001</v>
      </c>
      <c r="J3802" s="3">
        <f>1206</f>
        <v>1206</v>
      </c>
      <c r="K3802" s="3">
        <v>50107</v>
      </c>
      <c r="L3802" s="17" t="str" cm="1">
        <f t="array" ref="L3802">_xlfn.IFS(MID(K3802,2,2)="01", "서울", MID(K3802,2,2)="02","경기",MID(K3802,2,2)="03","충청",MID(K3802,2,2)="04","충청",MID(K3802,2,2)="05","전라",MID(K3802,2,2)="06","전라",MID(K3802,2,2)="07","경북",MID(K3802,2,2)="08","경남",MID(K3802,2,2)="09","강원",MID(K3802,2,2)="10","제주",TRUE,"국외")</f>
        <v>서울</v>
      </c>
    </row>
    <row r="3803" spans="1:12" ht="17.25" thickBot="1">
      <c r="A3803" s="3" t="s">
        <v>3642</v>
      </c>
      <c r="B3803" s="3"/>
      <c r="C3803" s="3" t="s">
        <v>45</v>
      </c>
      <c r="D3803" s="4" t="s">
        <v>243</v>
      </c>
      <c r="E3803" s="4" t="s">
        <v>3387</v>
      </c>
      <c r="F3803" s="4">
        <v>1984</v>
      </c>
      <c r="G3803" s="8">
        <v>2.8</v>
      </c>
      <c r="H3803" s="4" t="s">
        <v>3387</v>
      </c>
      <c r="I3803" s="8">
        <v>3.1</v>
      </c>
      <c r="J3803" s="3">
        <f>1223</f>
        <v>1223</v>
      </c>
      <c r="K3803" s="3"/>
      <c r="L3803" s="17" t="str" cm="1">
        <f t="array" ref="L3803">_xlfn.IFS(MID(K3803,2,2)="01", "서울", MID(K3803,2,2)="02","경기",MID(K3803,2,2)="03","충청",MID(K3803,2,2)="04","충청",MID(K3803,2,2)="05","전라",MID(K3803,2,2)="06","전라",MID(K3803,2,2)="07","경북",MID(K3803,2,2)="08","경남",MID(K3803,2,2)="09","강원",MID(K3803,2,2)="10","제주",TRUE,"국외")</f>
        <v>국외</v>
      </c>
    </row>
    <row r="3804" spans="1:12" ht="17.25" thickBot="1">
      <c r="A3804" s="3" t="s">
        <v>1924</v>
      </c>
      <c r="B3804" s="3" t="s">
        <v>361</v>
      </c>
      <c r="C3804" s="3" t="s">
        <v>119</v>
      </c>
      <c r="D3804" s="4" t="s">
        <v>243</v>
      </c>
      <c r="E3804" s="4" t="s">
        <v>3387</v>
      </c>
      <c r="F3804" s="4">
        <v>1984</v>
      </c>
      <c r="G3804" s="8">
        <v>0.8</v>
      </c>
      <c r="H3804" s="4" t="s">
        <v>3387</v>
      </c>
      <c r="I3804" s="8">
        <v>21.2</v>
      </c>
      <c r="J3804" s="3">
        <f>1193</f>
        <v>1193</v>
      </c>
      <c r="K3804" s="3">
        <v>50121</v>
      </c>
      <c r="L3804" s="17" t="str" cm="1">
        <f t="array" ref="L3804">_xlfn.IFS(MID(K3804,2,2)="01", "서울", MID(K3804,2,2)="02","경기",MID(K3804,2,2)="03","충청",MID(K3804,2,2)="04","충청",MID(K3804,2,2)="05","전라",MID(K3804,2,2)="06","전라",MID(K3804,2,2)="07","경북",MID(K3804,2,2)="08","경남",MID(K3804,2,2)="09","강원",MID(K3804,2,2)="10","제주",TRUE,"국외")</f>
        <v>서울</v>
      </c>
    </row>
    <row r="3805" spans="1:12" ht="17.25" thickBot="1">
      <c r="A3805" s="3" t="s">
        <v>3643</v>
      </c>
      <c r="B3805" s="3" t="s">
        <v>66</v>
      </c>
      <c r="C3805" s="3" t="s">
        <v>739</v>
      </c>
      <c r="D3805" s="4" t="s">
        <v>243</v>
      </c>
      <c r="E3805" s="4" t="s">
        <v>3387</v>
      </c>
      <c r="F3805" s="4">
        <v>1984</v>
      </c>
      <c r="G3805" s="8">
        <v>1</v>
      </c>
      <c r="H3805" s="4" t="s">
        <v>3387</v>
      </c>
      <c r="I3805" s="8">
        <v>0.8</v>
      </c>
      <c r="J3805" s="3">
        <f>1202</f>
        <v>1202</v>
      </c>
      <c r="K3805" s="3">
        <v>50110</v>
      </c>
      <c r="L3805" s="17" t="str" cm="1">
        <f t="array" ref="L3805">_xlfn.IFS(MID(K3805,2,2)="01", "서울", MID(K3805,2,2)="02","경기",MID(K3805,2,2)="03","충청",MID(K3805,2,2)="04","충청",MID(K3805,2,2)="05","전라",MID(K3805,2,2)="06","전라",MID(K3805,2,2)="07","경북",MID(K3805,2,2)="08","경남",MID(K3805,2,2)="09","강원",MID(K3805,2,2)="10","제주",TRUE,"국외")</f>
        <v>서울</v>
      </c>
    </row>
    <row r="3806" spans="1:12" ht="17.25" thickBot="1">
      <c r="A3806" s="3" t="s">
        <v>3644</v>
      </c>
      <c r="B3806" s="3" t="s">
        <v>8</v>
      </c>
      <c r="C3806" s="3"/>
      <c r="D3806" s="4" t="s">
        <v>243</v>
      </c>
      <c r="E3806" s="4" t="s">
        <v>3387</v>
      </c>
      <c r="F3806" s="4">
        <v>1984</v>
      </c>
      <c r="G3806" s="8">
        <v>-0.5</v>
      </c>
      <c r="H3806" s="4" t="s">
        <v>3387</v>
      </c>
      <c r="I3806" s="8">
        <v>-0.5</v>
      </c>
      <c r="J3806" s="3">
        <f>1211</f>
        <v>1211</v>
      </c>
      <c r="K3806" s="3">
        <v>50116</v>
      </c>
      <c r="L3806" s="17" t="str" cm="1">
        <f t="array" ref="L3806">_xlfn.IFS(MID(K3806,2,2)="01", "서울", MID(K3806,2,2)="02","경기",MID(K3806,2,2)="03","충청",MID(K3806,2,2)="04","충청",MID(K3806,2,2)="05","전라",MID(K3806,2,2)="06","전라",MID(K3806,2,2)="07","경북",MID(K3806,2,2)="08","경남",MID(K3806,2,2)="09","강원",MID(K3806,2,2)="10","제주",TRUE,"국외")</f>
        <v>서울</v>
      </c>
    </row>
    <row r="3807" spans="1:12" ht="17.25" thickBot="1">
      <c r="A3807" s="3" t="s">
        <v>3645</v>
      </c>
      <c r="B3807" s="3" t="s">
        <v>78</v>
      </c>
      <c r="C3807" s="3" t="s">
        <v>45</v>
      </c>
      <c r="D3807" s="4" t="s">
        <v>243</v>
      </c>
      <c r="E3807" s="4" t="s">
        <v>2725</v>
      </c>
      <c r="F3807" s="4">
        <v>1984</v>
      </c>
      <c r="G3807" s="8">
        <v>0.3</v>
      </c>
      <c r="H3807" s="4" t="s">
        <v>2725</v>
      </c>
      <c r="I3807" s="8">
        <v>39</v>
      </c>
      <c r="J3807" s="3">
        <f>1203</f>
        <v>1203</v>
      </c>
      <c r="K3807" s="3">
        <v>50401</v>
      </c>
      <c r="L3807" s="17" t="str" cm="1">
        <f t="array" ref="L3807">_xlfn.IFS(MID(K3807,2,2)="01", "서울", MID(K3807,2,2)="02","경기",MID(K3807,2,2)="03","충청",MID(K3807,2,2)="04","충청",MID(K3807,2,2)="05","전라",MID(K3807,2,2)="06","전라",MID(K3807,2,2)="07","경북",MID(K3807,2,2)="08","경남",MID(K3807,2,2)="09","강원",MID(K3807,2,2)="10","제주",TRUE,"국외")</f>
        <v>충청</v>
      </c>
    </row>
    <row r="3808" spans="1:12" ht="17.25" thickBot="1">
      <c r="A3808" s="3" t="s">
        <v>3646</v>
      </c>
      <c r="B3808" s="3" t="s">
        <v>78</v>
      </c>
      <c r="C3808" s="3"/>
      <c r="D3808" s="4" t="s">
        <v>243</v>
      </c>
      <c r="E3808" s="4" t="s">
        <v>2725</v>
      </c>
      <c r="F3808" s="4">
        <v>1984</v>
      </c>
      <c r="G3808" s="8">
        <v>-0.1</v>
      </c>
      <c r="H3808" s="4" t="s">
        <v>2725</v>
      </c>
      <c r="I3808" s="8">
        <v>-0.3</v>
      </c>
      <c r="J3808" s="3">
        <f>1204</f>
        <v>1204</v>
      </c>
      <c r="K3808" s="3">
        <v>50401</v>
      </c>
      <c r="L3808" s="17" t="str" cm="1">
        <f t="array" ref="L3808">_xlfn.IFS(MID(K3808,2,2)="01", "서울", MID(K3808,2,2)="02","경기",MID(K3808,2,2)="03","충청",MID(K3808,2,2)="04","충청",MID(K3808,2,2)="05","전라",MID(K3808,2,2)="06","전라",MID(K3808,2,2)="07","경북",MID(K3808,2,2)="08","경남",MID(K3808,2,2)="09","강원",MID(K3808,2,2)="10","제주",TRUE,"국외")</f>
        <v>충청</v>
      </c>
    </row>
    <row r="3809" spans="1:12" ht="17.25" thickBot="1">
      <c r="A3809" s="3" t="s">
        <v>458</v>
      </c>
      <c r="B3809" s="3" t="s">
        <v>25</v>
      </c>
      <c r="C3809" s="3" t="s">
        <v>119</v>
      </c>
      <c r="D3809" s="4" t="s">
        <v>243</v>
      </c>
      <c r="E3809" s="4" t="s">
        <v>2725</v>
      </c>
      <c r="F3809" s="4">
        <v>1984</v>
      </c>
      <c r="G3809" s="8">
        <v>1.4</v>
      </c>
      <c r="H3809" s="4" t="s">
        <v>2725</v>
      </c>
      <c r="I3809" s="8">
        <v>10.199999999999999</v>
      </c>
      <c r="J3809" s="3">
        <v>12962</v>
      </c>
      <c r="K3809" s="3">
        <v>50403</v>
      </c>
      <c r="L3809" s="17" t="str" cm="1">
        <f t="array" ref="L3809">_xlfn.IFS(MID(K3809,2,2)="01", "서울", MID(K3809,2,2)="02","경기",MID(K3809,2,2)="03","충청",MID(K3809,2,2)="04","충청",MID(K3809,2,2)="05","전라",MID(K3809,2,2)="06","전라",MID(K3809,2,2)="07","경북",MID(K3809,2,2)="08","경남",MID(K3809,2,2)="09","강원",MID(K3809,2,2)="10","제주",TRUE,"국외")</f>
        <v>충청</v>
      </c>
    </row>
    <row r="3810" spans="1:12" ht="17.25" thickBot="1">
      <c r="A3810" s="3" t="s">
        <v>3647</v>
      </c>
      <c r="B3810" s="3" t="s">
        <v>361</v>
      </c>
      <c r="C3810" s="3" t="s">
        <v>739</v>
      </c>
      <c r="D3810" s="4" t="s">
        <v>243</v>
      </c>
      <c r="E3810" s="4" t="s">
        <v>2725</v>
      </c>
      <c r="F3810" s="4">
        <v>1984</v>
      </c>
      <c r="G3810" s="9"/>
      <c r="H3810" s="4" t="s">
        <v>2725</v>
      </c>
      <c r="I3810" s="8">
        <v>0.8</v>
      </c>
      <c r="J3810" s="3">
        <f>1268</f>
        <v>1268</v>
      </c>
      <c r="K3810" s="3">
        <v>50121</v>
      </c>
      <c r="L3810" s="17" t="str" cm="1">
        <f t="array" ref="L3810">_xlfn.IFS(MID(K3810,2,2)="01", "서울", MID(K3810,2,2)="02","경기",MID(K3810,2,2)="03","충청",MID(K3810,2,2)="04","충청",MID(K3810,2,2)="05","전라",MID(K3810,2,2)="06","전라",MID(K3810,2,2)="07","경북",MID(K3810,2,2)="08","경남",MID(K3810,2,2)="09","강원",MID(K3810,2,2)="10","제주",TRUE,"국외")</f>
        <v>서울</v>
      </c>
    </row>
    <row r="3811" spans="1:12" ht="17.25" thickBot="1">
      <c r="A3811" s="3" t="s">
        <v>3648</v>
      </c>
      <c r="B3811" s="3" t="s">
        <v>50</v>
      </c>
      <c r="C3811" s="3" t="s">
        <v>208</v>
      </c>
      <c r="D3811" s="4" t="s">
        <v>243</v>
      </c>
      <c r="E3811" s="4" t="s">
        <v>2725</v>
      </c>
      <c r="F3811" s="4">
        <v>1984</v>
      </c>
      <c r="G3811" s="8">
        <v>0</v>
      </c>
      <c r="H3811" s="4" t="s">
        <v>2725</v>
      </c>
      <c r="I3811" s="8">
        <v>0</v>
      </c>
      <c r="J3811" s="3">
        <f>1209</f>
        <v>1209</v>
      </c>
      <c r="K3811" s="3">
        <v>50301</v>
      </c>
      <c r="L3811" s="17" t="str" cm="1">
        <f t="array" ref="L3811">_xlfn.IFS(MID(K3811,2,2)="01", "서울", MID(K3811,2,2)="02","경기",MID(K3811,2,2)="03","충청",MID(K3811,2,2)="04","충청",MID(K3811,2,2)="05","전라",MID(K3811,2,2)="06","전라",MID(K3811,2,2)="07","경북",MID(K3811,2,2)="08","경남",MID(K3811,2,2)="09","강원",MID(K3811,2,2)="10","제주",TRUE,"국외")</f>
        <v>충청</v>
      </c>
    </row>
    <row r="3812" spans="1:12" ht="17.25" thickBot="1">
      <c r="A3812" s="3" t="s">
        <v>3649</v>
      </c>
      <c r="B3812" s="3"/>
      <c r="C3812" s="3" t="s">
        <v>83</v>
      </c>
      <c r="D3812" s="4" t="s">
        <v>243</v>
      </c>
      <c r="E3812" s="4" t="s">
        <v>2725</v>
      </c>
      <c r="F3812" s="4">
        <v>1986</v>
      </c>
      <c r="G3812" s="9"/>
      <c r="H3812" s="4" t="s">
        <v>3101</v>
      </c>
      <c r="I3812" s="8">
        <v>-0.2</v>
      </c>
      <c r="J3812" s="3">
        <f>1308</f>
        <v>1308</v>
      </c>
      <c r="K3812" s="3"/>
      <c r="L3812" s="17" t="str" cm="1">
        <f t="array" ref="L3812">_xlfn.IFS(MID(K3812,2,2)="01", "서울", MID(K3812,2,2)="02","경기",MID(K3812,2,2)="03","충청",MID(K3812,2,2)="04","충청",MID(K3812,2,2)="05","전라",MID(K3812,2,2)="06","전라",MID(K3812,2,2)="07","경북",MID(K3812,2,2)="08","경남",MID(K3812,2,2)="09","강원",MID(K3812,2,2)="10","제주",TRUE,"국외")</f>
        <v>국외</v>
      </c>
    </row>
    <row r="3813" spans="1:12" ht="17.25" thickBot="1">
      <c r="A3813" s="3" t="s">
        <v>1704</v>
      </c>
      <c r="B3813" s="3"/>
      <c r="C3813" s="3" t="s">
        <v>538</v>
      </c>
      <c r="D3813" s="4" t="s">
        <v>243</v>
      </c>
      <c r="E3813" s="4" t="s">
        <v>2725</v>
      </c>
      <c r="F3813" s="4">
        <v>1984</v>
      </c>
      <c r="G3813" s="8">
        <v>0</v>
      </c>
      <c r="H3813" s="4" t="s">
        <v>3101</v>
      </c>
      <c r="I3813" s="8">
        <v>0.1</v>
      </c>
      <c r="J3813" s="3">
        <f>1205</f>
        <v>1205</v>
      </c>
      <c r="K3813" s="3"/>
      <c r="L3813" s="17" t="str" cm="1">
        <f t="array" ref="L3813">_xlfn.IFS(MID(K3813,2,2)="01", "서울", MID(K3813,2,2)="02","경기",MID(K3813,2,2)="03","충청",MID(K3813,2,2)="04","충청",MID(K3813,2,2)="05","전라",MID(K3813,2,2)="06","전라",MID(K3813,2,2)="07","경북",MID(K3813,2,2)="08","경남",MID(K3813,2,2)="09","강원",MID(K3813,2,2)="10","제주",TRUE,"국외")</f>
        <v>국외</v>
      </c>
    </row>
    <row r="3814" spans="1:12" ht="17.25" thickBot="1">
      <c r="A3814" s="3" t="s">
        <v>3650</v>
      </c>
      <c r="B3814" s="3" t="s">
        <v>78</v>
      </c>
      <c r="C3814" s="3" t="s">
        <v>208</v>
      </c>
      <c r="D3814" s="4" t="s">
        <v>243</v>
      </c>
      <c r="E3814" s="4" t="s">
        <v>2725</v>
      </c>
      <c r="F3814" s="4">
        <v>1986</v>
      </c>
      <c r="G3814" s="9"/>
      <c r="H3814" s="4" t="s">
        <v>3101</v>
      </c>
      <c r="I3814" s="8">
        <v>-0.3</v>
      </c>
      <c r="J3814" s="3">
        <f>1332</f>
        <v>1332</v>
      </c>
      <c r="K3814" s="3">
        <v>50401</v>
      </c>
      <c r="L3814" s="17" t="str" cm="1">
        <f t="array" ref="L3814">_xlfn.IFS(MID(K3814,2,2)="01", "서울", MID(K3814,2,2)="02","경기",MID(K3814,2,2)="03","충청",MID(K3814,2,2)="04","충청",MID(K3814,2,2)="05","전라",MID(K3814,2,2)="06","전라",MID(K3814,2,2)="07","경북",MID(K3814,2,2)="08","경남",MID(K3814,2,2)="09","강원",MID(K3814,2,2)="10","제주",TRUE,"국외")</f>
        <v>충청</v>
      </c>
    </row>
    <row r="3815" spans="1:12" ht="17.25" thickBot="1">
      <c r="A3815" s="3" t="s">
        <v>3651</v>
      </c>
      <c r="B3815" s="3" t="s">
        <v>38</v>
      </c>
      <c r="C3815" s="3" t="s">
        <v>99</v>
      </c>
      <c r="D3815" s="4" t="s">
        <v>243</v>
      </c>
      <c r="E3815" s="4" t="s">
        <v>2725</v>
      </c>
      <c r="F3815" s="4">
        <v>1984</v>
      </c>
      <c r="G3815" s="8">
        <v>4.3</v>
      </c>
      <c r="H3815" s="4" t="s">
        <v>2725</v>
      </c>
      <c r="I3815" s="8">
        <v>11.8</v>
      </c>
      <c r="J3815" s="3">
        <f>1227</f>
        <v>1227</v>
      </c>
      <c r="K3815" s="3">
        <v>50109</v>
      </c>
      <c r="L3815" s="17" t="str" cm="1">
        <f t="array" ref="L3815">_xlfn.IFS(MID(K3815,2,2)="01", "서울", MID(K3815,2,2)="02","경기",MID(K3815,2,2)="03","충청",MID(K3815,2,2)="04","충청",MID(K3815,2,2)="05","전라",MID(K3815,2,2)="06","전라",MID(K3815,2,2)="07","경북",MID(K3815,2,2)="08","경남",MID(K3815,2,2)="09","강원",MID(K3815,2,2)="10","제주",TRUE,"국외")</f>
        <v>서울</v>
      </c>
    </row>
    <row r="3816" spans="1:12" ht="17.25" thickBot="1">
      <c r="A3816" s="3" t="s">
        <v>3652</v>
      </c>
      <c r="B3816" s="3" t="s">
        <v>5</v>
      </c>
      <c r="C3816" s="3"/>
      <c r="D3816" s="4" t="s">
        <v>243</v>
      </c>
      <c r="E3816" s="4" t="s">
        <v>2725</v>
      </c>
      <c r="F3816" s="4">
        <v>1986</v>
      </c>
      <c r="G3816" s="9"/>
      <c r="H3816" s="4" t="s">
        <v>2725</v>
      </c>
      <c r="I3816" s="8">
        <v>0.2</v>
      </c>
      <c r="J3816" s="3">
        <f>1318</f>
        <v>1318</v>
      </c>
      <c r="K3816" s="3">
        <v>50114</v>
      </c>
      <c r="L3816" s="17" t="str" cm="1">
        <f t="array" ref="L3816">_xlfn.IFS(MID(K3816,2,2)="01", "서울", MID(K3816,2,2)="02","경기",MID(K3816,2,2)="03","충청",MID(K3816,2,2)="04","충청",MID(K3816,2,2)="05","전라",MID(K3816,2,2)="06","전라",MID(K3816,2,2)="07","경북",MID(K3816,2,2)="08","경남",MID(K3816,2,2)="09","강원",MID(K3816,2,2)="10","제주",TRUE,"국외")</f>
        <v>서울</v>
      </c>
    </row>
    <row r="3817" spans="1:12" ht="17.25" thickBot="1">
      <c r="A3817" s="3" t="s">
        <v>3653</v>
      </c>
      <c r="B3817" s="3" t="s">
        <v>1497</v>
      </c>
      <c r="C3817" s="3" t="s">
        <v>99</v>
      </c>
      <c r="D3817" s="4" t="s">
        <v>243</v>
      </c>
      <c r="E3817" s="4" t="s">
        <v>2725</v>
      </c>
      <c r="F3817" s="4">
        <v>1984</v>
      </c>
      <c r="G3817" s="8">
        <v>0.2</v>
      </c>
      <c r="H3817" s="4" t="s">
        <v>2725</v>
      </c>
      <c r="I3817" s="8">
        <v>0.2</v>
      </c>
      <c r="J3817" s="3">
        <f>1217</f>
        <v>1217</v>
      </c>
      <c r="K3817" s="3">
        <v>50112</v>
      </c>
      <c r="L3817" s="17" t="str" cm="1">
        <f t="array" ref="L3817">_xlfn.IFS(MID(K3817,2,2)="01", "서울", MID(K3817,2,2)="02","경기",MID(K3817,2,2)="03","충청",MID(K3817,2,2)="04","충청",MID(K3817,2,2)="05","전라",MID(K3817,2,2)="06","전라",MID(K3817,2,2)="07","경북",MID(K3817,2,2)="08","경남",MID(K3817,2,2)="09","강원",MID(K3817,2,2)="10","제주",TRUE,"국외")</f>
        <v>서울</v>
      </c>
    </row>
    <row r="3818" spans="1:12" ht="17.25" thickBot="1">
      <c r="A3818" s="3" t="s">
        <v>3654</v>
      </c>
      <c r="B3818" s="3" t="s">
        <v>50</v>
      </c>
      <c r="C3818" s="3" t="s">
        <v>99</v>
      </c>
      <c r="D3818" s="4" t="s">
        <v>243</v>
      </c>
      <c r="E3818" s="4" t="s">
        <v>2725</v>
      </c>
      <c r="F3818" s="4">
        <v>1986</v>
      </c>
      <c r="G3818" s="9"/>
      <c r="H3818" s="4" t="s">
        <v>2725</v>
      </c>
      <c r="I3818" s="8">
        <v>5.4</v>
      </c>
      <c r="J3818" s="3">
        <f>1311</f>
        <v>1311</v>
      </c>
      <c r="K3818" s="3">
        <v>50301</v>
      </c>
      <c r="L3818" s="17" t="str" cm="1">
        <f t="array" ref="L3818">_xlfn.IFS(MID(K3818,2,2)="01", "서울", MID(K3818,2,2)="02","경기",MID(K3818,2,2)="03","충청",MID(K3818,2,2)="04","충청",MID(K3818,2,2)="05","전라",MID(K3818,2,2)="06","전라",MID(K3818,2,2)="07","경북",MID(K3818,2,2)="08","경남",MID(K3818,2,2)="09","강원",MID(K3818,2,2)="10","제주",TRUE,"국외")</f>
        <v>충청</v>
      </c>
    </row>
    <row r="3819" spans="1:12" ht="17.25" thickBot="1">
      <c r="A3819" s="3" t="s">
        <v>3655</v>
      </c>
      <c r="B3819" s="3"/>
      <c r="C3819" s="3" t="s">
        <v>99</v>
      </c>
      <c r="D3819" s="4" t="s">
        <v>243</v>
      </c>
      <c r="E3819" s="4" t="s">
        <v>9</v>
      </c>
      <c r="F3819" s="4">
        <v>1984</v>
      </c>
      <c r="G3819" s="8">
        <v>-0.1</v>
      </c>
      <c r="H3819" s="4" t="s">
        <v>9</v>
      </c>
      <c r="I3819" s="8">
        <v>-1</v>
      </c>
      <c r="J3819" s="3">
        <f>1207</f>
        <v>1207</v>
      </c>
      <c r="K3819" s="3"/>
      <c r="L3819" s="17" t="str" cm="1">
        <f t="array" ref="L3819">_xlfn.IFS(MID(K3819,2,2)="01", "서울", MID(K3819,2,2)="02","경기",MID(K3819,2,2)="03","충청",MID(K3819,2,2)="04","충청",MID(K3819,2,2)="05","전라",MID(K3819,2,2)="06","전라",MID(K3819,2,2)="07","경북",MID(K3819,2,2)="08","경남",MID(K3819,2,2)="09","강원",MID(K3819,2,2)="10","제주",TRUE,"국외")</f>
        <v>국외</v>
      </c>
    </row>
    <row r="3820" spans="1:12" ht="17.25" thickBot="1">
      <c r="A3820" s="3" t="s">
        <v>3656</v>
      </c>
      <c r="B3820" s="3" t="s">
        <v>93</v>
      </c>
      <c r="C3820" s="3" t="s">
        <v>208</v>
      </c>
      <c r="D3820" s="4" t="s">
        <v>243</v>
      </c>
      <c r="E3820" s="4" t="s">
        <v>9</v>
      </c>
      <c r="F3820" s="4">
        <v>1984</v>
      </c>
      <c r="G3820" s="8">
        <v>2.5</v>
      </c>
      <c r="H3820" s="4" t="s">
        <v>9</v>
      </c>
      <c r="I3820" s="8">
        <v>2.2999999999999998</v>
      </c>
      <c r="J3820" s="3">
        <f>1220</f>
        <v>1220</v>
      </c>
      <c r="K3820" s="3">
        <v>50805</v>
      </c>
      <c r="L3820" s="17" t="str" cm="1">
        <f t="array" ref="L3820">_xlfn.IFS(MID(K3820,2,2)="01", "서울", MID(K3820,2,2)="02","경기",MID(K3820,2,2)="03","충청",MID(K3820,2,2)="04","충청",MID(K3820,2,2)="05","전라",MID(K3820,2,2)="06","전라",MID(K3820,2,2)="07","경북",MID(K3820,2,2)="08","경남",MID(K3820,2,2)="09","강원",MID(K3820,2,2)="10","제주",TRUE,"국외")</f>
        <v>경남</v>
      </c>
    </row>
    <row r="3821" spans="1:12" ht="17.25" thickBot="1">
      <c r="A3821" s="3" t="s">
        <v>3657</v>
      </c>
      <c r="B3821" s="3" t="s">
        <v>11</v>
      </c>
      <c r="C3821" s="3" t="s">
        <v>119</v>
      </c>
      <c r="D3821" s="4" t="s">
        <v>243</v>
      </c>
      <c r="E3821" s="4" t="s">
        <v>9</v>
      </c>
      <c r="F3821" s="4">
        <v>1984</v>
      </c>
      <c r="G3821" s="8">
        <v>0.8</v>
      </c>
      <c r="H3821" s="4" t="s">
        <v>9</v>
      </c>
      <c r="I3821" s="8">
        <v>1.3</v>
      </c>
      <c r="J3821" s="3">
        <f>1198</f>
        <v>1198</v>
      </c>
      <c r="K3821" s="3">
        <v>50802</v>
      </c>
      <c r="L3821" s="17" t="str" cm="1">
        <f t="array" ref="L3821">_xlfn.IFS(MID(K3821,2,2)="01", "서울", MID(K3821,2,2)="02","경기",MID(K3821,2,2)="03","충청",MID(K3821,2,2)="04","충청",MID(K3821,2,2)="05","전라",MID(K3821,2,2)="06","전라",MID(K3821,2,2)="07","경북",MID(K3821,2,2)="08","경남",MID(K3821,2,2)="09","강원",MID(K3821,2,2)="10","제주",TRUE,"국외")</f>
        <v>경남</v>
      </c>
    </row>
    <row r="3822" spans="1:12" ht="17.25" thickBot="1">
      <c r="A3822" s="3" t="s">
        <v>134</v>
      </c>
      <c r="B3822" s="3" t="s">
        <v>93</v>
      </c>
      <c r="C3822" s="3" t="s">
        <v>133</v>
      </c>
      <c r="D3822" s="4" t="s">
        <v>243</v>
      </c>
      <c r="E3822" s="4" t="s">
        <v>9</v>
      </c>
      <c r="F3822" s="4">
        <v>1984</v>
      </c>
      <c r="G3822" s="8">
        <v>0.9</v>
      </c>
      <c r="H3822" s="4" t="s">
        <v>9</v>
      </c>
      <c r="I3822" s="8">
        <v>30</v>
      </c>
      <c r="J3822" s="3">
        <f>1195</f>
        <v>1195</v>
      </c>
      <c r="K3822" s="3">
        <v>50805</v>
      </c>
      <c r="L3822" s="17" t="str" cm="1">
        <f t="array" ref="L3822">_xlfn.IFS(MID(K3822,2,2)="01", "서울", MID(K3822,2,2)="02","경기",MID(K3822,2,2)="03","충청",MID(K3822,2,2)="04","충청",MID(K3822,2,2)="05","전라",MID(K3822,2,2)="06","전라",MID(K3822,2,2)="07","경북",MID(K3822,2,2)="08","경남",MID(K3822,2,2)="09","강원",MID(K3822,2,2)="10","제주",TRUE,"국외")</f>
        <v>경남</v>
      </c>
    </row>
    <row r="3823" spans="1:12" ht="17.25" thickBot="1">
      <c r="A3823" s="3" t="s">
        <v>3658</v>
      </c>
      <c r="B3823" s="3" t="s">
        <v>93</v>
      </c>
      <c r="C3823" s="3" t="s">
        <v>119</v>
      </c>
      <c r="D3823" s="4" t="s">
        <v>243</v>
      </c>
      <c r="E3823" s="4" t="s">
        <v>9</v>
      </c>
      <c r="F3823" s="4">
        <v>1984</v>
      </c>
      <c r="G3823" s="8">
        <v>0.2</v>
      </c>
      <c r="H3823" s="4" t="s">
        <v>9</v>
      </c>
      <c r="I3823" s="8">
        <v>6.5</v>
      </c>
      <c r="J3823" s="3">
        <f>1200</f>
        <v>1200</v>
      </c>
      <c r="K3823" s="3">
        <v>50805</v>
      </c>
      <c r="L3823" s="17" t="str" cm="1">
        <f t="array" ref="L3823">_xlfn.IFS(MID(K3823,2,2)="01", "서울", MID(K3823,2,2)="02","경기",MID(K3823,2,2)="03","충청",MID(K3823,2,2)="04","충청",MID(K3823,2,2)="05","전라",MID(K3823,2,2)="06","전라",MID(K3823,2,2)="07","경북",MID(K3823,2,2)="08","경남",MID(K3823,2,2)="09","강원",MID(K3823,2,2)="10","제주",TRUE,"국외")</f>
        <v>경남</v>
      </c>
    </row>
    <row r="3824" spans="1:12" ht="17.25" thickBot="1">
      <c r="A3824" s="3" t="s">
        <v>3659</v>
      </c>
      <c r="B3824" s="3" t="s">
        <v>93</v>
      </c>
      <c r="C3824" s="3" t="s">
        <v>99</v>
      </c>
      <c r="D3824" s="4" t="s">
        <v>243</v>
      </c>
      <c r="E3824" s="4" t="s">
        <v>9</v>
      </c>
      <c r="F3824" s="4">
        <v>1984</v>
      </c>
      <c r="G3824" s="8">
        <v>-0.4</v>
      </c>
      <c r="H3824" s="4" t="s">
        <v>9</v>
      </c>
      <c r="I3824" s="8">
        <v>-0.9</v>
      </c>
      <c r="J3824" s="3">
        <f>1215</f>
        <v>1215</v>
      </c>
      <c r="K3824" s="3">
        <v>50805</v>
      </c>
      <c r="L3824" s="17" t="str" cm="1">
        <f t="array" ref="L3824">_xlfn.IFS(MID(K3824,2,2)="01", "서울", MID(K3824,2,2)="02","경기",MID(K3824,2,2)="03","충청",MID(K3824,2,2)="04","충청",MID(K3824,2,2)="05","전라",MID(K3824,2,2)="06","전라",MID(K3824,2,2)="07","경북",MID(K3824,2,2)="08","경남",MID(K3824,2,2)="09","강원",MID(K3824,2,2)="10","제주",TRUE,"국외")</f>
        <v>경남</v>
      </c>
    </row>
    <row r="3825" spans="1:12" ht="17.25" thickBot="1">
      <c r="A3825" s="3" t="s">
        <v>3660</v>
      </c>
      <c r="B3825" s="3" t="s">
        <v>11</v>
      </c>
      <c r="C3825" s="3"/>
      <c r="D3825" s="4" t="s">
        <v>243</v>
      </c>
      <c r="E3825" s="4" t="s">
        <v>9</v>
      </c>
      <c r="F3825" s="4">
        <v>1984</v>
      </c>
      <c r="G3825" s="8">
        <v>0</v>
      </c>
      <c r="H3825" s="4" t="s">
        <v>9</v>
      </c>
      <c r="I3825" s="8">
        <v>-1</v>
      </c>
      <c r="J3825" s="3">
        <f>1221</f>
        <v>1221</v>
      </c>
      <c r="K3825" s="3">
        <v>50802</v>
      </c>
      <c r="L3825" s="17" t="str" cm="1">
        <f t="array" ref="L3825">_xlfn.IFS(MID(K3825,2,2)="01", "서울", MID(K3825,2,2)="02","경기",MID(K3825,2,2)="03","충청",MID(K3825,2,2)="04","충청",MID(K3825,2,2)="05","전라",MID(K3825,2,2)="06","전라",MID(K3825,2,2)="07","경북",MID(K3825,2,2)="08","경남",MID(K3825,2,2)="09","강원",MID(K3825,2,2)="10","제주",TRUE,"국외")</f>
        <v>경남</v>
      </c>
    </row>
    <row r="3826" spans="1:12" ht="17.25" thickBot="1">
      <c r="A3826" s="3" t="s">
        <v>3661</v>
      </c>
      <c r="B3826" s="3" t="s">
        <v>22</v>
      </c>
      <c r="C3826" s="3" t="s">
        <v>221</v>
      </c>
      <c r="D3826" s="4" t="s">
        <v>243</v>
      </c>
      <c r="E3826" s="4" t="s">
        <v>3614</v>
      </c>
      <c r="F3826" s="4">
        <v>1984</v>
      </c>
      <c r="G3826" s="8">
        <v>0.3</v>
      </c>
      <c r="H3826" s="4" t="s">
        <v>3614</v>
      </c>
      <c r="I3826" s="8">
        <v>1.7</v>
      </c>
      <c r="J3826" s="3">
        <f>1219</f>
        <v>1219</v>
      </c>
      <c r="K3826" s="3">
        <v>50209</v>
      </c>
      <c r="L3826" s="17" t="str" cm="1">
        <f t="array" ref="L3826">_xlfn.IFS(MID(K3826,2,2)="01", "서울", MID(K3826,2,2)="02","경기",MID(K3826,2,2)="03","충청",MID(K3826,2,2)="04","충청",MID(K3826,2,2)="05","전라",MID(K3826,2,2)="06","전라",MID(K3826,2,2)="07","경북",MID(K3826,2,2)="08","경남",MID(K3826,2,2)="09","강원",MID(K3826,2,2)="10","제주",TRUE,"국외")</f>
        <v>경기</v>
      </c>
    </row>
    <row r="3827" spans="1:12" ht="17.25" thickBot="1">
      <c r="A3827" s="3" t="s">
        <v>1844</v>
      </c>
      <c r="B3827" s="3" t="s">
        <v>2524</v>
      </c>
      <c r="C3827" s="3" t="s">
        <v>538</v>
      </c>
      <c r="D3827" s="4" t="s">
        <v>243</v>
      </c>
      <c r="E3827" s="4" t="s">
        <v>23</v>
      </c>
      <c r="F3827" s="4">
        <v>1985</v>
      </c>
      <c r="G3827" s="9"/>
      <c r="H3827" s="4" t="s">
        <v>23</v>
      </c>
      <c r="I3827" s="8">
        <v>-1.2</v>
      </c>
      <c r="J3827" s="3">
        <f>1261</f>
        <v>1261</v>
      </c>
      <c r="K3827" s="3">
        <v>50711</v>
      </c>
      <c r="L3827" s="17" t="str" cm="1">
        <f t="array" ref="L3827">_xlfn.IFS(MID(K3827,2,2)="01", "서울", MID(K3827,2,2)="02","경기",MID(K3827,2,2)="03","충청",MID(K3827,2,2)="04","충청",MID(K3827,2,2)="05","전라",MID(K3827,2,2)="06","전라",MID(K3827,2,2)="07","경북",MID(K3827,2,2)="08","경남",MID(K3827,2,2)="09","강원",MID(K3827,2,2)="10","제주",TRUE,"국외")</f>
        <v>경북</v>
      </c>
    </row>
    <row r="3828" spans="1:12" ht="17.25" thickBot="1">
      <c r="A3828" s="3" t="s">
        <v>3662</v>
      </c>
      <c r="B3828" s="3" t="s">
        <v>34</v>
      </c>
      <c r="C3828" s="3" t="s">
        <v>45</v>
      </c>
      <c r="D3828" s="4" t="s">
        <v>243</v>
      </c>
      <c r="E3828" s="4" t="s">
        <v>23</v>
      </c>
      <c r="F3828" s="4">
        <v>1984</v>
      </c>
      <c r="G3828" s="8">
        <v>0.2</v>
      </c>
      <c r="H3828" s="4" t="s">
        <v>23</v>
      </c>
      <c r="I3828" s="8">
        <v>9.3000000000000007</v>
      </c>
      <c r="J3828" s="3">
        <f>1231</f>
        <v>1231</v>
      </c>
      <c r="K3828" s="3">
        <v>50701</v>
      </c>
      <c r="L3828" s="17" t="str" cm="1">
        <f t="array" ref="L3828">_xlfn.IFS(MID(K3828,2,2)="01", "서울", MID(K3828,2,2)="02","경기",MID(K3828,2,2)="03","충청",MID(K3828,2,2)="04","충청",MID(K3828,2,2)="05","전라",MID(K3828,2,2)="06","전라",MID(K3828,2,2)="07","경북",MID(K3828,2,2)="08","경남",MID(K3828,2,2)="09","강원",MID(K3828,2,2)="10","제주",TRUE,"국외")</f>
        <v>경북</v>
      </c>
    </row>
    <row r="3829" spans="1:12" ht="17.25" thickBot="1">
      <c r="A3829" s="3" t="s">
        <v>3663</v>
      </c>
      <c r="B3829" s="3" t="s">
        <v>34</v>
      </c>
      <c r="C3829" s="3" t="s">
        <v>83</v>
      </c>
      <c r="D3829" s="4" t="s">
        <v>243</v>
      </c>
      <c r="E3829" s="4" t="s">
        <v>23</v>
      </c>
      <c r="F3829" s="4">
        <v>1984</v>
      </c>
      <c r="G3829" s="8">
        <v>0.1</v>
      </c>
      <c r="H3829" s="4" t="s">
        <v>23</v>
      </c>
      <c r="I3829" s="8">
        <v>33.4</v>
      </c>
      <c r="J3829" s="3">
        <f>1196</f>
        <v>1196</v>
      </c>
      <c r="K3829" s="3">
        <v>50701</v>
      </c>
      <c r="L3829" s="17" t="str" cm="1">
        <f t="array" ref="L3829">_xlfn.IFS(MID(K3829,2,2)="01", "서울", MID(K3829,2,2)="02","경기",MID(K3829,2,2)="03","충청",MID(K3829,2,2)="04","충청",MID(K3829,2,2)="05","전라",MID(K3829,2,2)="06","전라",MID(K3829,2,2)="07","경북",MID(K3829,2,2)="08","경남",MID(K3829,2,2)="09","강원",MID(K3829,2,2)="10","제주",TRUE,"국외")</f>
        <v>경북</v>
      </c>
    </row>
    <row r="3830" spans="1:12" ht="17.25" thickBot="1">
      <c r="A3830" s="3" t="s">
        <v>3664</v>
      </c>
      <c r="B3830" s="3" t="s">
        <v>14</v>
      </c>
      <c r="C3830" s="3" t="s">
        <v>739</v>
      </c>
      <c r="D3830" s="4" t="s">
        <v>243</v>
      </c>
      <c r="E3830" s="4" t="s">
        <v>23</v>
      </c>
      <c r="F3830" s="4">
        <v>1984</v>
      </c>
      <c r="G3830" s="8">
        <v>0.2</v>
      </c>
      <c r="H3830" s="4" t="s">
        <v>23</v>
      </c>
      <c r="I3830" s="8">
        <v>-0.2</v>
      </c>
      <c r="J3830" s="3">
        <f>1229</f>
        <v>1229</v>
      </c>
      <c r="K3830" s="3">
        <v>50703</v>
      </c>
      <c r="L3830" s="17" t="str" cm="1">
        <f t="array" ref="L3830">_xlfn.IFS(MID(K3830,2,2)="01", "서울", MID(K3830,2,2)="02","경기",MID(K3830,2,2)="03","충청",MID(K3830,2,2)="04","충청",MID(K3830,2,2)="05","전라",MID(K3830,2,2)="06","전라",MID(K3830,2,2)="07","경북",MID(K3830,2,2)="08","경남",MID(K3830,2,2)="09","강원",MID(K3830,2,2)="10","제주",TRUE,"국외")</f>
        <v>경북</v>
      </c>
    </row>
    <row r="3831" spans="1:12" ht="17.25" thickBot="1">
      <c r="A3831" s="3" t="s">
        <v>3665</v>
      </c>
      <c r="B3831" s="3" t="s">
        <v>464</v>
      </c>
      <c r="C3831" s="3"/>
      <c r="D3831" s="4" t="s">
        <v>243</v>
      </c>
      <c r="E3831" s="4" t="s">
        <v>23</v>
      </c>
      <c r="F3831" s="4">
        <v>1984</v>
      </c>
      <c r="G3831" s="8">
        <v>-0.1</v>
      </c>
      <c r="H3831" s="4" t="s">
        <v>23</v>
      </c>
      <c r="I3831" s="8">
        <v>6.2</v>
      </c>
      <c r="J3831" s="3">
        <f>1214</f>
        <v>1214</v>
      </c>
      <c r="K3831" s="3">
        <v>50706</v>
      </c>
      <c r="L3831" s="17" t="str" cm="1">
        <f t="array" ref="L3831">_xlfn.IFS(MID(K3831,2,2)="01", "서울", MID(K3831,2,2)="02","경기",MID(K3831,2,2)="03","충청",MID(K3831,2,2)="04","충청",MID(K3831,2,2)="05","전라",MID(K3831,2,2)="06","전라",MID(K3831,2,2)="07","경북",MID(K3831,2,2)="08","경남",MID(K3831,2,2)="09","강원",MID(K3831,2,2)="10","제주",TRUE,"국외")</f>
        <v>경북</v>
      </c>
    </row>
    <row r="3832" spans="1:12" ht="17.25" thickBot="1">
      <c r="A3832" s="3" t="s">
        <v>3666</v>
      </c>
      <c r="B3832" s="3" t="s">
        <v>2524</v>
      </c>
      <c r="C3832" s="3" t="s">
        <v>208</v>
      </c>
      <c r="D3832" s="4" t="s">
        <v>243</v>
      </c>
      <c r="E3832" s="4" t="s">
        <v>23</v>
      </c>
      <c r="F3832" s="4">
        <v>1984</v>
      </c>
      <c r="G3832" s="8">
        <v>-0.7</v>
      </c>
      <c r="H3832" s="4" t="s">
        <v>23</v>
      </c>
      <c r="I3832" s="8">
        <v>-1.7</v>
      </c>
      <c r="J3832" s="3">
        <f>1222</f>
        <v>1222</v>
      </c>
      <c r="K3832" s="3">
        <v>50711</v>
      </c>
      <c r="L3832" s="17" t="str" cm="1">
        <f t="array" ref="L3832">_xlfn.IFS(MID(K3832,2,2)="01", "서울", MID(K3832,2,2)="02","경기",MID(K3832,2,2)="03","충청",MID(K3832,2,2)="04","충청",MID(K3832,2,2)="05","전라",MID(K3832,2,2)="06","전라",MID(K3832,2,2)="07","경북",MID(K3832,2,2)="08","경남",MID(K3832,2,2)="09","강원",MID(K3832,2,2)="10","제주",TRUE,"국외")</f>
        <v>경북</v>
      </c>
    </row>
    <row r="3833" spans="1:12" ht="17.25" thickBot="1">
      <c r="A3833" s="3" t="s">
        <v>3667</v>
      </c>
      <c r="B3833" s="3" t="s">
        <v>107</v>
      </c>
      <c r="C3833" s="3"/>
      <c r="D3833" s="4" t="s">
        <v>243</v>
      </c>
      <c r="E3833" s="4" t="s">
        <v>2523</v>
      </c>
      <c r="F3833" s="4">
        <v>1984</v>
      </c>
      <c r="G3833" s="8">
        <v>0.1</v>
      </c>
      <c r="H3833" s="4" t="s">
        <v>2523</v>
      </c>
      <c r="I3833" s="8">
        <v>12</v>
      </c>
      <c r="J3833" s="3">
        <f>1225</f>
        <v>1225</v>
      </c>
      <c r="K3833" s="3">
        <v>50602</v>
      </c>
      <c r="L3833" s="17" t="str" cm="1">
        <f t="array" ref="L3833">_xlfn.IFS(MID(K3833,2,2)="01", "서울", MID(K3833,2,2)="02","경기",MID(K3833,2,2)="03","충청",MID(K3833,2,2)="04","충청",MID(K3833,2,2)="05","전라",MID(K3833,2,2)="06","전라",MID(K3833,2,2)="07","경북",MID(K3833,2,2)="08","경남",MID(K3833,2,2)="09","강원",MID(K3833,2,2)="10","제주",TRUE,"국외")</f>
        <v>전라</v>
      </c>
    </row>
    <row r="3834" spans="1:12" ht="17.25" thickBot="1">
      <c r="A3834" s="3" t="s">
        <v>3668</v>
      </c>
      <c r="B3834" s="3" t="s">
        <v>96</v>
      </c>
      <c r="C3834" s="3" t="s">
        <v>133</v>
      </c>
      <c r="D3834" s="4" t="s">
        <v>243</v>
      </c>
      <c r="E3834" s="4" t="s">
        <v>2523</v>
      </c>
      <c r="F3834" s="4">
        <v>1984</v>
      </c>
      <c r="G3834" s="8">
        <v>-0.6</v>
      </c>
      <c r="H3834" s="4" t="s">
        <v>2523</v>
      </c>
      <c r="I3834" s="8">
        <v>-0.6</v>
      </c>
      <c r="J3834" s="3">
        <f>1201</f>
        <v>1201</v>
      </c>
      <c r="K3834" s="3">
        <v>50601</v>
      </c>
      <c r="L3834" s="17" t="str" cm="1">
        <f t="array" ref="L3834">_xlfn.IFS(MID(K3834,2,2)="01", "서울", MID(K3834,2,2)="02","경기",MID(K3834,2,2)="03","충청",MID(K3834,2,2)="04","충청",MID(K3834,2,2)="05","전라",MID(K3834,2,2)="06","전라",MID(K3834,2,2)="07","경북",MID(K3834,2,2)="08","경남",MID(K3834,2,2)="09","강원",MID(K3834,2,2)="10","제주",TRUE,"국외")</f>
        <v>전라</v>
      </c>
    </row>
    <row r="3835" spans="1:12" ht="17.25" thickBot="1">
      <c r="A3835" s="3" t="s">
        <v>3669</v>
      </c>
      <c r="B3835" s="3" t="s">
        <v>158</v>
      </c>
      <c r="C3835" s="3" t="s">
        <v>172</v>
      </c>
      <c r="D3835" s="4" t="s">
        <v>243</v>
      </c>
      <c r="E3835" s="4" t="s">
        <v>2523</v>
      </c>
      <c r="F3835" s="4">
        <v>1984</v>
      </c>
      <c r="G3835" s="8">
        <v>1.6</v>
      </c>
      <c r="H3835" s="4" t="s">
        <v>2523</v>
      </c>
      <c r="I3835" s="8">
        <v>2.9</v>
      </c>
      <c r="J3835" s="3">
        <f>1230</f>
        <v>1230</v>
      </c>
      <c r="K3835" s="3">
        <v>50501</v>
      </c>
      <c r="L3835" s="17" t="str" cm="1">
        <f t="array" ref="L3835">_xlfn.IFS(MID(K3835,2,2)="01", "서울", MID(K3835,2,2)="02","경기",MID(K3835,2,2)="03","충청",MID(K3835,2,2)="04","충청",MID(K3835,2,2)="05","전라",MID(K3835,2,2)="06","전라",MID(K3835,2,2)="07","경북",MID(K3835,2,2)="08","경남",MID(K3835,2,2)="09","강원",MID(K3835,2,2)="10","제주",TRUE,"국외")</f>
        <v>전라</v>
      </c>
    </row>
    <row r="3836" spans="1:12" ht="17.25" thickBot="1">
      <c r="A3836" s="3" t="s">
        <v>1531</v>
      </c>
      <c r="B3836" s="3" t="s">
        <v>107</v>
      </c>
      <c r="C3836" s="3" t="s">
        <v>45</v>
      </c>
      <c r="D3836" s="4" t="s">
        <v>243</v>
      </c>
      <c r="E3836" s="4" t="s">
        <v>2523</v>
      </c>
      <c r="F3836" s="4">
        <v>1987</v>
      </c>
      <c r="G3836" s="9"/>
      <c r="H3836" s="4" t="s">
        <v>2968</v>
      </c>
      <c r="I3836" s="8">
        <v>7.3</v>
      </c>
      <c r="J3836" s="3">
        <f>1343</f>
        <v>1343</v>
      </c>
      <c r="K3836" s="3">
        <v>50602</v>
      </c>
      <c r="L3836" s="17" t="str" cm="1">
        <f t="array" ref="L3836">_xlfn.IFS(MID(K3836,2,2)="01", "서울", MID(K3836,2,2)="02","경기",MID(K3836,2,2)="03","충청",MID(K3836,2,2)="04","충청",MID(K3836,2,2)="05","전라",MID(K3836,2,2)="06","전라",MID(K3836,2,2)="07","경북",MID(K3836,2,2)="08","경남",MID(K3836,2,2)="09","강원",MID(K3836,2,2)="10","제주",TRUE,"국외")</f>
        <v>전라</v>
      </c>
    </row>
    <row r="3837" spans="1:12" ht="17.25" thickBot="1">
      <c r="A3837" s="3" t="s">
        <v>3670</v>
      </c>
      <c r="B3837" s="3" t="s">
        <v>335</v>
      </c>
      <c r="C3837" s="3" t="s">
        <v>133</v>
      </c>
      <c r="D3837" s="4" t="s">
        <v>243</v>
      </c>
      <c r="E3837" s="4" t="s">
        <v>9</v>
      </c>
      <c r="F3837" s="4">
        <v>1984</v>
      </c>
      <c r="G3837" s="8">
        <v>-0.3</v>
      </c>
      <c r="H3837" s="4" t="s">
        <v>23</v>
      </c>
      <c r="I3837" s="8">
        <v>3.3</v>
      </c>
      <c r="J3837" s="3">
        <f>1228</f>
        <v>1228</v>
      </c>
      <c r="K3837" s="3">
        <v>50804</v>
      </c>
      <c r="L3837" s="17" t="str" cm="1">
        <f t="array" ref="L3837">_xlfn.IFS(MID(K3837,2,2)="01", "서울", MID(K3837,2,2)="02","경기",MID(K3837,2,2)="03","충청",MID(K3837,2,2)="04","충청",MID(K3837,2,2)="05","전라",MID(K3837,2,2)="06","전라",MID(K3837,2,2)="07","경북",MID(K3837,2,2)="08","경남",MID(K3837,2,2)="09","강원",MID(K3837,2,2)="10","제주",TRUE,"국외")</f>
        <v>경남</v>
      </c>
    </row>
    <row r="3838" spans="1:12" ht="17.25" thickBot="1">
      <c r="A3838" s="3" t="s">
        <v>3671</v>
      </c>
      <c r="B3838" s="3" t="s">
        <v>361</v>
      </c>
      <c r="C3838" s="3"/>
      <c r="D3838" s="4" t="s">
        <v>243</v>
      </c>
      <c r="E3838" s="4" t="s">
        <v>2725</v>
      </c>
      <c r="F3838" s="4">
        <v>1984</v>
      </c>
      <c r="G3838" s="8">
        <v>0</v>
      </c>
      <c r="H3838" s="4" t="s">
        <v>2725</v>
      </c>
      <c r="I3838" s="8">
        <v>0</v>
      </c>
      <c r="J3838" s="3">
        <f>1210</f>
        <v>1210</v>
      </c>
      <c r="K3838" s="3">
        <v>50121</v>
      </c>
      <c r="L3838" s="17" t="str" cm="1">
        <f t="array" ref="L3838">_xlfn.IFS(MID(K3838,2,2)="01", "서울", MID(K3838,2,2)="02","경기",MID(K3838,2,2)="03","충청",MID(K3838,2,2)="04","충청",MID(K3838,2,2)="05","전라",MID(K3838,2,2)="06","전라",MID(K3838,2,2)="07","경북",MID(K3838,2,2)="08","경남",MID(K3838,2,2)="09","강원",MID(K3838,2,2)="10","제주",TRUE,"국외")</f>
        <v>서울</v>
      </c>
    </row>
    <row r="3839" spans="1:12" ht="17.25" thickBot="1">
      <c r="A3839" s="3" t="s">
        <v>3672</v>
      </c>
      <c r="B3839" s="3" t="s">
        <v>63</v>
      </c>
      <c r="C3839" s="3" t="s">
        <v>119</v>
      </c>
      <c r="D3839" s="4" t="s">
        <v>243</v>
      </c>
      <c r="E3839" s="4" t="s">
        <v>9</v>
      </c>
      <c r="F3839" s="4">
        <v>1984</v>
      </c>
      <c r="G3839" s="8">
        <v>-0.5</v>
      </c>
      <c r="H3839" s="4" t="s">
        <v>3101</v>
      </c>
      <c r="I3839" s="8">
        <v>-0.4</v>
      </c>
      <c r="J3839" s="3">
        <f>1213</f>
        <v>1213</v>
      </c>
      <c r="K3839" s="3">
        <v>50807</v>
      </c>
      <c r="L3839" s="17" t="str" cm="1">
        <f t="array" ref="L3839">_xlfn.IFS(MID(K3839,2,2)="01", "서울", MID(K3839,2,2)="02","경기",MID(K3839,2,2)="03","충청",MID(K3839,2,2)="04","충청",MID(K3839,2,2)="05","전라",MID(K3839,2,2)="06","전라",MID(K3839,2,2)="07","경북",MID(K3839,2,2)="08","경남",MID(K3839,2,2)="09","강원",MID(K3839,2,2)="10","제주",TRUE,"국외")</f>
        <v>경남</v>
      </c>
    </row>
    <row r="3840" spans="1:12" ht="17.25" thickBot="1">
      <c r="A3840" s="3" t="s">
        <v>3673</v>
      </c>
      <c r="B3840" s="3" t="s">
        <v>1784</v>
      </c>
      <c r="C3840" s="3" t="s">
        <v>739</v>
      </c>
      <c r="D3840" s="4" t="s">
        <v>254</v>
      </c>
      <c r="E3840" s="4" t="s">
        <v>23</v>
      </c>
      <c r="F3840" s="4">
        <v>1984</v>
      </c>
      <c r="G3840" s="8">
        <v>-0.2</v>
      </c>
      <c r="H3840" s="4" t="s">
        <v>23</v>
      </c>
      <c r="I3840" s="8">
        <v>-1</v>
      </c>
      <c r="J3840" s="3">
        <f>1197</f>
        <v>1197</v>
      </c>
      <c r="K3840" s="3">
        <v>50812</v>
      </c>
      <c r="L3840" s="17" t="str" cm="1">
        <f t="array" ref="L3840">_xlfn.IFS(MID(K3840,2,2)="01", "서울", MID(K3840,2,2)="02","경기",MID(K3840,2,2)="03","충청",MID(K3840,2,2)="04","충청",MID(K3840,2,2)="05","전라",MID(K3840,2,2)="06","전라",MID(K3840,2,2)="07","경북",MID(K3840,2,2)="08","경남",MID(K3840,2,2)="09","강원",MID(K3840,2,2)="10","제주",TRUE,"국외")</f>
        <v>경남</v>
      </c>
    </row>
    <row r="3841" spans="1:12" ht="17.25" thickBot="1">
      <c r="A3841" s="3" t="s">
        <v>3674</v>
      </c>
      <c r="B3841" s="3"/>
      <c r="C3841" s="3"/>
      <c r="D3841" s="4" t="s">
        <v>181</v>
      </c>
      <c r="E3841" s="4" t="s">
        <v>23</v>
      </c>
      <c r="F3841" s="4">
        <v>1984</v>
      </c>
      <c r="G3841" s="8">
        <v>7</v>
      </c>
      <c r="H3841" s="4" t="s">
        <v>23</v>
      </c>
      <c r="I3841" s="8">
        <v>16.7</v>
      </c>
      <c r="J3841" s="3">
        <f>1218</f>
        <v>1218</v>
      </c>
      <c r="K3841" s="3"/>
      <c r="L3841" s="17" t="str" cm="1">
        <f t="array" ref="L3841">_xlfn.IFS(MID(K3841,2,2)="01", "서울", MID(K3841,2,2)="02","경기",MID(K3841,2,2)="03","충청",MID(K3841,2,2)="04","충청",MID(K3841,2,2)="05","전라",MID(K3841,2,2)="06","전라",MID(K3841,2,2)="07","경북",MID(K3841,2,2)="08","경남",MID(K3841,2,2)="09","강원",MID(K3841,2,2)="10","제주",TRUE,"국외")</f>
        <v>국외</v>
      </c>
    </row>
    <row r="3842" spans="1:12" ht="17.25" thickBot="1">
      <c r="A3842" s="3" t="s">
        <v>3675</v>
      </c>
      <c r="B3842" s="3" t="s">
        <v>722</v>
      </c>
      <c r="C3842" s="3"/>
      <c r="D3842" s="4" t="s">
        <v>181</v>
      </c>
      <c r="E3842" s="4" t="s">
        <v>23</v>
      </c>
      <c r="F3842" s="4">
        <v>1984</v>
      </c>
      <c r="G3842" s="8">
        <v>0.6</v>
      </c>
      <c r="H3842" s="4" t="s">
        <v>23</v>
      </c>
      <c r="I3842" s="8">
        <v>0.4</v>
      </c>
      <c r="J3842" s="3">
        <f>1199</f>
        <v>1199</v>
      </c>
      <c r="K3842" s="3">
        <v>51100</v>
      </c>
      <c r="L3842" s="17" t="str" cm="1">
        <f t="array" ref="L3842">_xlfn.IFS(MID(K3842,2,2)="01", "서울", MID(K3842,2,2)="02","경기",MID(K3842,2,2)="03","충청",MID(K3842,2,2)="04","충청",MID(K3842,2,2)="05","전라",MID(K3842,2,2)="06","전라",MID(K3842,2,2)="07","경북",MID(K3842,2,2)="08","경남",MID(K3842,2,2)="09","강원",MID(K3842,2,2)="10","제주",TRUE,"국외")</f>
        <v>국외</v>
      </c>
    </row>
    <row r="3843" spans="1:12" ht="17.25" thickBot="1">
      <c r="A3843" s="3" t="s">
        <v>3676</v>
      </c>
      <c r="B3843" s="3"/>
      <c r="C3843" s="3"/>
      <c r="D3843" s="4" t="s">
        <v>181</v>
      </c>
      <c r="E3843" s="4" t="s">
        <v>2725</v>
      </c>
      <c r="F3843" s="4">
        <v>1984</v>
      </c>
      <c r="G3843" s="8">
        <v>0.4</v>
      </c>
      <c r="H3843" s="4" t="s">
        <v>2725</v>
      </c>
      <c r="I3843" s="8">
        <v>0.5</v>
      </c>
      <c r="J3843" s="3">
        <f>1216</f>
        <v>1216</v>
      </c>
      <c r="K3843" s="3"/>
      <c r="L3843" s="17" t="str" cm="1">
        <f t="array" ref="L3843">_xlfn.IFS(MID(K3843,2,2)="01", "서울", MID(K3843,2,2)="02","경기",MID(K3843,2,2)="03","충청",MID(K3843,2,2)="04","충청",MID(K3843,2,2)="05","전라",MID(K3843,2,2)="06","전라",MID(K3843,2,2)="07","경북",MID(K3843,2,2)="08","경남",MID(K3843,2,2)="09","강원",MID(K3843,2,2)="10","제주",TRUE,"국외")</f>
        <v>국외</v>
      </c>
    </row>
    <row r="3844" spans="1:12" ht="17.25" thickBot="1">
      <c r="A3844" s="3" t="s">
        <v>3677</v>
      </c>
      <c r="B3844" s="3" t="s">
        <v>2524</v>
      </c>
      <c r="C3844" s="3"/>
      <c r="D3844" s="4" t="s">
        <v>181</v>
      </c>
      <c r="E3844" s="4" t="s">
        <v>2725</v>
      </c>
      <c r="F3844" s="4">
        <v>1984</v>
      </c>
      <c r="G3844" s="8">
        <v>0</v>
      </c>
      <c r="H3844" s="4" t="s">
        <v>2725</v>
      </c>
      <c r="I3844" s="8">
        <v>0</v>
      </c>
      <c r="J3844" s="3">
        <f>1212</f>
        <v>1212</v>
      </c>
      <c r="K3844" s="3">
        <v>50711</v>
      </c>
      <c r="L3844" s="17" t="str" cm="1">
        <f t="array" ref="L3844">_xlfn.IFS(MID(K3844,2,2)="01", "서울", MID(K3844,2,2)="02","경기",MID(K3844,2,2)="03","충청",MID(K3844,2,2)="04","충청",MID(K3844,2,2)="05","전라",MID(K3844,2,2)="06","전라",MID(K3844,2,2)="07","경북",MID(K3844,2,2)="08","경남",MID(K3844,2,2)="09","강원",MID(K3844,2,2)="10","제주",TRUE,"국외")</f>
        <v>경북</v>
      </c>
    </row>
    <row r="3845" spans="1:12" ht="17.25" thickBot="1">
      <c r="A3845" s="3" t="s">
        <v>3678</v>
      </c>
      <c r="B3845" s="3"/>
      <c r="C3845" s="3"/>
      <c r="D3845" s="4" t="s">
        <v>181</v>
      </c>
      <c r="E3845" s="4" t="s">
        <v>2725</v>
      </c>
      <c r="F3845" s="4">
        <v>1984</v>
      </c>
      <c r="G3845" s="8">
        <v>3.7</v>
      </c>
      <c r="H3845" s="4" t="s">
        <v>2725</v>
      </c>
      <c r="I3845" s="8">
        <v>23.8</v>
      </c>
      <c r="J3845" s="3">
        <f>1232</f>
        <v>1232</v>
      </c>
      <c r="K3845" s="3"/>
      <c r="L3845" s="17" t="str" cm="1">
        <f t="array" ref="L3845">_xlfn.IFS(MID(K3845,2,2)="01", "서울", MID(K3845,2,2)="02","경기",MID(K3845,2,2)="03","충청",MID(K3845,2,2)="04","충청",MID(K3845,2,2)="05","전라",MID(K3845,2,2)="06","전라",MID(K3845,2,2)="07","경북",MID(K3845,2,2)="08","경남",MID(K3845,2,2)="09","강원",MID(K3845,2,2)="10","제주",TRUE,"국외")</f>
        <v>국외</v>
      </c>
    </row>
    <row r="3846" spans="1:12" ht="17.25" thickBot="1">
      <c r="A3846" s="3" t="s">
        <v>3679</v>
      </c>
      <c r="B3846" s="3"/>
      <c r="C3846" s="3"/>
      <c r="D3846" s="4" t="s">
        <v>181</v>
      </c>
      <c r="E3846" s="4" t="s">
        <v>9</v>
      </c>
      <c r="F3846" s="4">
        <v>1984</v>
      </c>
      <c r="G3846" s="8">
        <v>5.8</v>
      </c>
      <c r="H3846" s="4" t="s">
        <v>9</v>
      </c>
      <c r="I3846" s="8">
        <v>20.3</v>
      </c>
      <c r="J3846" s="3">
        <f>1194</f>
        <v>1194</v>
      </c>
      <c r="K3846" s="3"/>
      <c r="L3846" s="17" t="str" cm="1">
        <f t="array" ref="L3846">_xlfn.IFS(MID(K3846,2,2)="01", "서울", MID(K3846,2,2)="02","경기",MID(K3846,2,2)="03","충청",MID(K3846,2,2)="04","충청",MID(K3846,2,2)="05","전라",MID(K3846,2,2)="06","전라",MID(K3846,2,2)="07","경북",MID(K3846,2,2)="08","경남",MID(K3846,2,2)="09","강원",MID(K3846,2,2)="10","제주",TRUE,"국외")</f>
        <v>국외</v>
      </c>
    </row>
    <row r="3847" spans="1:12" ht="17.25" thickBot="1">
      <c r="A3847" s="3" t="s">
        <v>3680</v>
      </c>
      <c r="B3847" s="3"/>
      <c r="C3847" s="3"/>
      <c r="D3847" s="4" t="s">
        <v>181</v>
      </c>
      <c r="E3847" s="4" t="s">
        <v>9</v>
      </c>
      <c r="F3847" s="4">
        <v>1984</v>
      </c>
      <c r="G3847" s="8">
        <v>0</v>
      </c>
      <c r="H3847" s="4" t="s">
        <v>9</v>
      </c>
      <c r="I3847" s="8">
        <v>0</v>
      </c>
      <c r="J3847" s="3">
        <f>1226</f>
        <v>1226</v>
      </c>
      <c r="K3847" s="3"/>
      <c r="L3847" s="17" t="str" cm="1">
        <f t="array" ref="L3847">_xlfn.IFS(MID(K3847,2,2)="01", "서울", MID(K3847,2,2)="02","경기",MID(K3847,2,2)="03","충청",MID(K3847,2,2)="04","충청",MID(K3847,2,2)="05","전라",MID(K3847,2,2)="06","전라",MID(K3847,2,2)="07","경북",MID(K3847,2,2)="08","경남",MID(K3847,2,2)="09","강원",MID(K3847,2,2)="10","제주",TRUE,"국외")</f>
        <v>국외</v>
      </c>
    </row>
    <row r="3848" spans="1:12" ht="17.25" thickBot="1">
      <c r="A3848" s="3" t="s">
        <v>3681</v>
      </c>
      <c r="B3848" s="3"/>
      <c r="C3848" s="3" t="s">
        <v>83</v>
      </c>
      <c r="D3848" s="4" t="s">
        <v>1777</v>
      </c>
      <c r="E3848" s="4" t="s">
        <v>2725</v>
      </c>
      <c r="F3848" s="4">
        <v>1984</v>
      </c>
      <c r="G3848" s="8">
        <v>0.1</v>
      </c>
      <c r="H3848" s="4" t="s">
        <v>2725</v>
      </c>
      <c r="I3848" s="8">
        <v>0</v>
      </c>
      <c r="J3848" s="3">
        <f>1208</f>
        <v>1208</v>
      </c>
      <c r="K3848" s="3"/>
      <c r="L3848" s="17" t="str" cm="1">
        <f t="array" ref="L3848">_xlfn.IFS(MID(K3848,2,2)="01", "서울", MID(K3848,2,2)="02","경기",MID(K3848,2,2)="03","충청",MID(K3848,2,2)="04","충청",MID(K3848,2,2)="05","전라",MID(K3848,2,2)="06","전라",MID(K3848,2,2)="07","경북",MID(K3848,2,2)="08","경남",MID(K3848,2,2)="09","강원",MID(K3848,2,2)="10","제주",TRUE,"국외")</f>
        <v>국외</v>
      </c>
    </row>
    <row r="3849" spans="1:12" ht="17.25" thickBot="1">
      <c r="A3849" s="3" t="s">
        <v>3682</v>
      </c>
      <c r="B3849" s="3" t="s">
        <v>68</v>
      </c>
      <c r="C3849" s="3" t="s">
        <v>218</v>
      </c>
      <c r="D3849" s="4" t="s">
        <v>243</v>
      </c>
      <c r="E3849" s="4" t="s">
        <v>3387</v>
      </c>
      <c r="F3849" s="4">
        <v>1983</v>
      </c>
      <c r="G3849" s="8">
        <v>-0.1</v>
      </c>
      <c r="H3849" s="4" t="s">
        <v>3387</v>
      </c>
      <c r="I3849" s="8">
        <v>-0.1</v>
      </c>
      <c r="J3849" s="3">
        <f>1185</f>
        <v>1185</v>
      </c>
      <c r="K3849" s="3">
        <v>50101</v>
      </c>
      <c r="L3849" s="17" t="str" cm="1">
        <f t="array" ref="L3849">_xlfn.IFS(MID(K3849,2,2)="01", "서울", MID(K3849,2,2)="02","경기",MID(K3849,2,2)="03","충청",MID(K3849,2,2)="04","충청",MID(K3849,2,2)="05","전라",MID(K3849,2,2)="06","전라",MID(K3849,2,2)="07","경북",MID(K3849,2,2)="08","경남",MID(K3849,2,2)="09","강원",MID(K3849,2,2)="10","제주",TRUE,"국외")</f>
        <v>서울</v>
      </c>
    </row>
    <row r="3850" spans="1:12" ht="17.25" thickBot="1">
      <c r="A3850" s="3" t="s">
        <v>3683</v>
      </c>
      <c r="B3850" s="3" t="s">
        <v>81</v>
      </c>
      <c r="C3850" s="3" t="s">
        <v>221</v>
      </c>
      <c r="D3850" s="4" t="s">
        <v>243</v>
      </c>
      <c r="E3850" s="4" t="s">
        <v>3387</v>
      </c>
      <c r="F3850" s="4">
        <v>1983</v>
      </c>
      <c r="G3850" s="8">
        <v>3</v>
      </c>
      <c r="H3850" s="4" t="s">
        <v>3387</v>
      </c>
      <c r="I3850" s="8">
        <v>10.4</v>
      </c>
      <c r="J3850" s="3">
        <f>1174</f>
        <v>1174</v>
      </c>
      <c r="K3850" s="3">
        <v>50105</v>
      </c>
      <c r="L3850" s="17" t="str" cm="1">
        <f t="array" ref="L3850">_xlfn.IFS(MID(K3850,2,2)="01", "서울", MID(K3850,2,2)="02","경기",MID(K3850,2,2)="03","충청",MID(K3850,2,2)="04","충청",MID(K3850,2,2)="05","전라",MID(K3850,2,2)="06","전라",MID(K3850,2,2)="07","경북",MID(K3850,2,2)="08","경남",MID(K3850,2,2)="09","강원",MID(K3850,2,2)="10","제주",TRUE,"국외")</f>
        <v>서울</v>
      </c>
    </row>
    <row r="3851" spans="1:12" ht="17.25" thickBot="1">
      <c r="A3851" s="3" t="s">
        <v>3684</v>
      </c>
      <c r="B3851" s="3" t="s">
        <v>66</v>
      </c>
      <c r="C3851" s="3" t="s">
        <v>45</v>
      </c>
      <c r="D3851" s="4" t="s">
        <v>243</v>
      </c>
      <c r="E3851" s="4" t="s">
        <v>3387</v>
      </c>
      <c r="F3851" s="4">
        <v>1983</v>
      </c>
      <c r="G3851" s="8">
        <v>-0.3</v>
      </c>
      <c r="H3851" s="4" t="s">
        <v>3387</v>
      </c>
      <c r="I3851" s="8">
        <v>-0.4</v>
      </c>
      <c r="J3851" s="3">
        <f>1170</f>
        <v>1170</v>
      </c>
      <c r="K3851" s="3">
        <v>50110</v>
      </c>
      <c r="L3851" s="17" t="str" cm="1">
        <f t="array" ref="L3851">_xlfn.IFS(MID(K3851,2,2)="01", "서울", MID(K3851,2,2)="02","경기",MID(K3851,2,2)="03","충청",MID(K3851,2,2)="04","충청",MID(K3851,2,2)="05","전라",MID(K3851,2,2)="06","전라",MID(K3851,2,2)="07","경북",MID(K3851,2,2)="08","경남",MID(K3851,2,2)="09","강원",MID(K3851,2,2)="10","제주",TRUE,"국외")</f>
        <v>서울</v>
      </c>
    </row>
    <row r="3852" spans="1:12" ht="17.25" thickBot="1">
      <c r="A3852" s="3" t="s">
        <v>2834</v>
      </c>
      <c r="B3852" s="3" t="s">
        <v>5</v>
      </c>
      <c r="C3852" s="3"/>
      <c r="D3852" s="4" t="s">
        <v>243</v>
      </c>
      <c r="E3852" s="4" t="s">
        <v>3387</v>
      </c>
      <c r="F3852" s="4">
        <v>1983</v>
      </c>
      <c r="G3852" s="8">
        <v>-0.2</v>
      </c>
      <c r="H3852" s="4" t="s">
        <v>3101</v>
      </c>
      <c r="I3852" s="8">
        <v>0.1</v>
      </c>
      <c r="J3852" s="3">
        <f>1165</f>
        <v>1165</v>
      </c>
      <c r="K3852" s="3">
        <v>50114</v>
      </c>
      <c r="L3852" s="17" t="str" cm="1">
        <f t="array" ref="L3852">_xlfn.IFS(MID(K3852,2,2)="01", "서울", MID(K3852,2,2)="02","경기",MID(K3852,2,2)="03","충청",MID(K3852,2,2)="04","충청",MID(K3852,2,2)="05","전라",MID(K3852,2,2)="06","전라",MID(K3852,2,2)="07","경북",MID(K3852,2,2)="08","경남",MID(K3852,2,2)="09","강원",MID(K3852,2,2)="10","제주",TRUE,"국외")</f>
        <v>서울</v>
      </c>
    </row>
    <row r="3853" spans="1:12" ht="17.25" thickBot="1">
      <c r="A3853" s="3" t="s">
        <v>3685</v>
      </c>
      <c r="B3853" s="3" t="s">
        <v>81</v>
      </c>
      <c r="C3853" s="3" t="s">
        <v>83</v>
      </c>
      <c r="D3853" s="4" t="s">
        <v>243</v>
      </c>
      <c r="E3853" s="4" t="s">
        <v>3387</v>
      </c>
      <c r="F3853" s="4">
        <v>1983</v>
      </c>
      <c r="G3853" s="8">
        <v>0.1</v>
      </c>
      <c r="H3853" s="4" t="s">
        <v>3387</v>
      </c>
      <c r="I3853" s="8">
        <v>1.4</v>
      </c>
      <c r="J3853" s="3">
        <f>1158</f>
        <v>1158</v>
      </c>
      <c r="K3853" s="3">
        <v>50105</v>
      </c>
      <c r="L3853" s="17" t="str" cm="1">
        <f t="array" ref="L3853">_xlfn.IFS(MID(K3853,2,2)="01", "서울", MID(K3853,2,2)="02","경기",MID(K3853,2,2)="03","충청",MID(K3853,2,2)="04","충청",MID(K3853,2,2)="05","전라",MID(K3853,2,2)="06","전라",MID(K3853,2,2)="07","경북",MID(K3853,2,2)="08","경남",MID(K3853,2,2)="09","강원",MID(K3853,2,2)="10","제주",TRUE,"국외")</f>
        <v>서울</v>
      </c>
    </row>
    <row r="3854" spans="1:12" ht="17.25" thickBot="1">
      <c r="A3854" s="3" t="s">
        <v>3686</v>
      </c>
      <c r="B3854" s="3" t="s">
        <v>38</v>
      </c>
      <c r="C3854" s="3" t="s">
        <v>83</v>
      </c>
      <c r="D3854" s="4" t="s">
        <v>243</v>
      </c>
      <c r="E3854" s="4" t="s">
        <v>3387</v>
      </c>
      <c r="F3854" s="4">
        <v>1983</v>
      </c>
      <c r="G3854" s="8">
        <v>-0.5</v>
      </c>
      <c r="H3854" s="4" t="s">
        <v>3387</v>
      </c>
      <c r="I3854" s="8">
        <v>-1.9</v>
      </c>
      <c r="J3854" s="3">
        <f>1151</f>
        <v>1151</v>
      </c>
      <c r="K3854" s="3">
        <v>50109</v>
      </c>
      <c r="L3854" s="17" t="str" cm="1">
        <f t="array" ref="L3854">_xlfn.IFS(MID(K3854,2,2)="01", "서울", MID(K3854,2,2)="02","경기",MID(K3854,2,2)="03","충청",MID(K3854,2,2)="04","충청",MID(K3854,2,2)="05","전라",MID(K3854,2,2)="06","전라",MID(K3854,2,2)="07","경북",MID(K3854,2,2)="08","경남",MID(K3854,2,2)="09","강원",MID(K3854,2,2)="10","제주",TRUE,"국외")</f>
        <v>서울</v>
      </c>
    </row>
    <row r="3855" spans="1:12" ht="17.25" thickBot="1">
      <c r="A3855" s="3" t="s">
        <v>3687</v>
      </c>
      <c r="B3855" s="3" t="s">
        <v>68</v>
      </c>
      <c r="C3855" s="3" t="s">
        <v>211</v>
      </c>
      <c r="D3855" s="4" t="s">
        <v>243</v>
      </c>
      <c r="E3855" s="4" t="s">
        <v>3387</v>
      </c>
      <c r="F3855" s="4">
        <v>1983</v>
      </c>
      <c r="G3855" s="8">
        <v>0.1</v>
      </c>
      <c r="H3855" s="4" t="s">
        <v>3387</v>
      </c>
      <c r="I3855" s="8">
        <v>-0.3</v>
      </c>
      <c r="J3855" s="3">
        <f>1148</f>
        <v>1148</v>
      </c>
      <c r="K3855" s="3">
        <v>50101</v>
      </c>
      <c r="L3855" s="17" t="str" cm="1">
        <f t="array" ref="L3855">_xlfn.IFS(MID(K3855,2,2)="01", "서울", MID(K3855,2,2)="02","경기",MID(K3855,2,2)="03","충청",MID(K3855,2,2)="04","충청",MID(K3855,2,2)="05","전라",MID(K3855,2,2)="06","전라",MID(K3855,2,2)="07","경북",MID(K3855,2,2)="08","경남",MID(K3855,2,2)="09","강원",MID(K3855,2,2)="10","제주",TRUE,"국외")</f>
        <v>서울</v>
      </c>
    </row>
    <row r="3856" spans="1:12" ht="17.25" thickBot="1">
      <c r="A3856" s="3" t="s">
        <v>2297</v>
      </c>
      <c r="B3856" s="3" t="s">
        <v>66</v>
      </c>
      <c r="C3856" s="3" t="s">
        <v>45</v>
      </c>
      <c r="D3856" s="4" t="s">
        <v>243</v>
      </c>
      <c r="E3856" s="4" t="s">
        <v>3387</v>
      </c>
      <c r="F3856" s="4">
        <v>1983</v>
      </c>
      <c r="G3856" s="8">
        <v>0.8</v>
      </c>
      <c r="H3856" s="4" t="s">
        <v>3387</v>
      </c>
      <c r="I3856" s="8">
        <v>0.3</v>
      </c>
      <c r="J3856" s="3">
        <f>1146</f>
        <v>1146</v>
      </c>
      <c r="K3856" s="3">
        <v>50110</v>
      </c>
      <c r="L3856" s="17" t="str" cm="1">
        <f t="array" ref="L3856">_xlfn.IFS(MID(K3856,2,2)="01", "서울", MID(K3856,2,2)="02","경기",MID(K3856,2,2)="03","충청",MID(K3856,2,2)="04","충청",MID(K3856,2,2)="05","전라",MID(K3856,2,2)="06","전라",MID(K3856,2,2)="07","경북",MID(K3856,2,2)="08","경남",MID(K3856,2,2)="09","강원",MID(K3856,2,2)="10","제주",TRUE,"국외")</f>
        <v>서울</v>
      </c>
    </row>
    <row r="3857" spans="1:12" ht="17.25" thickBot="1">
      <c r="A3857" s="3" t="s">
        <v>3688</v>
      </c>
      <c r="B3857" s="3" t="s">
        <v>5</v>
      </c>
      <c r="C3857" s="3" t="s">
        <v>133</v>
      </c>
      <c r="D3857" s="4" t="s">
        <v>243</v>
      </c>
      <c r="E3857" s="4" t="s">
        <v>2725</v>
      </c>
      <c r="F3857" s="4">
        <v>1983</v>
      </c>
      <c r="G3857" s="8">
        <v>-0.1</v>
      </c>
      <c r="H3857" s="4" t="s">
        <v>2725</v>
      </c>
      <c r="I3857" s="8">
        <v>26.7</v>
      </c>
      <c r="J3857" s="3">
        <f>1177</f>
        <v>1177</v>
      </c>
      <c r="K3857" s="3">
        <v>50114</v>
      </c>
      <c r="L3857" s="17" t="str" cm="1">
        <f t="array" ref="L3857">_xlfn.IFS(MID(K3857,2,2)="01", "서울", MID(K3857,2,2)="02","경기",MID(K3857,2,2)="03","충청",MID(K3857,2,2)="04","충청",MID(K3857,2,2)="05","전라",MID(K3857,2,2)="06","전라",MID(K3857,2,2)="07","경북",MID(K3857,2,2)="08","경남",MID(K3857,2,2)="09","강원",MID(K3857,2,2)="10","제주",TRUE,"국외")</f>
        <v>서울</v>
      </c>
    </row>
    <row r="3858" spans="1:12" ht="17.25" thickBot="1">
      <c r="A3858" s="3" t="s">
        <v>1912</v>
      </c>
      <c r="B3858" s="3" t="s">
        <v>66</v>
      </c>
      <c r="C3858" s="3" t="s">
        <v>45</v>
      </c>
      <c r="D3858" s="4" t="s">
        <v>243</v>
      </c>
      <c r="E3858" s="4" t="s">
        <v>2725</v>
      </c>
      <c r="F3858" s="4">
        <v>1983</v>
      </c>
      <c r="G3858" s="8">
        <v>4.3</v>
      </c>
      <c r="H3858" s="4" t="s">
        <v>2725</v>
      </c>
      <c r="I3858" s="8">
        <v>21.3</v>
      </c>
      <c r="J3858" s="3">
        <f>1139</f>
        <v>1139</v>
      </c>
      <c r="K3858" s="3">
        <v>50110</v>
      </c>
      <c r="L3858" s="17" t="str" cm="1">
        <f t="array" ref="L3858">_xlfn.IFS(MID(K3858,2,2)="01", "서울", MID(K3858,2,2)="02","경기",MID(K3858,2,2)="03","충청",MID(K3858,2,2)="04","충청",MID(K3858,2,2)="05","전라",MID(K3858,2,2)="06","전라",MID(K3858,2,2)="07","경북",MID(K3858,2,2)="08","경남",MID(K3858,2,2)="09","강원",MID(K3858,2,2)="10","제주",TRUE,"국외")</f>
        <v>서울</v>
      </c>
    </row>
    <row r="3859" spans="1:12" ht="17.25" thickBot="1">
      <c r="A3859" s="3" t="s">
        <v>3689</v>
      </c>
      <c r="B3859" s="3" t="s">
        <v>36</v>
      </c>
      <c r="C3859" s="3" t="s">
        <v>133</v>
      </c>
      <c r="D3859" s="4" t="s">
        <v>243</v>
      </c>
      <c r="E3859" s="4" t="s">
        <v>2725</v>
      </c>
      <c r="F3859" s="4">
        <v>1983</v>
      </c>
      <c r="G3859" s="8">
        <v>1.8</v>
      </c>
      <c r="H3859" s="4" t="s">
        <v>2523</v>
      </c>
      <c r="I3859" s="8">
        <v>43.2</v>
      </c>
      <c r="J3859" s="3">
        <f>1144</f>
        <v>1144</v>
      </c>
      <c r="K3859" s="3">
        <v>50402</v>
      </c>
      <c r="L3859" s="17" t="str" cm="1">
        <f t="array" ref="L3859">_xlfn.IFS(MID(K3859,2,2)="01", "서울", MID(K3859,2,2)="02","경기",MID(K3859,2,2)="03","충청",MID(K3859,2,2)="04","충청",MID(K3859,2,2)="05","전라",MID(K3859,2,2)="06","전라",MID(K3859,2,2)="07","경북",MID(K3859,2,2)="08","경남",MID(K3859,2,2)="09","강원",MID(K3859,2,2)="10","제주",TRUE,"국외")</f>
        <v>충청</v>
      </c>
    </row>
    <row r="3860" spans="1:12" ht="17.25" thickBot="1">
      <c r="A3860" s="3" t="s">
        <v>3690</v>
      </c>
      <c r="B3860" s="3" t="s">
        <v>32</v>
      </c>
      <c r="C3860" s="3"/>
      <c r="D3860" s="4" t="s">
        <v>243</v>
      </c>
      <c r="E3860" s="4" t="s">
        <v>2725</v>
      </c>
      <c r="F3860" s="4">
        <v>1983</v>
      </c>
      <c r="G3860" s="8">
        <v>1.3</v>
      </c>
      <c r="H3860" s="4" t="s">
        <v>2725</v>
      </c>
      <c r="I3860" s="8">
        <v>-0.2</v>
      </c>
      <c r="J3860" s="3">
        <f>1189</f>
        <v>1189</v>
      </c>
      <c r="K3860" s="3">
        <v>50111</v>
      </c>
      <c r="L3860" s="17" t="str" cm="1">
        <f t="array" ref="L3860">_xlfn.IFS(MID(K3860,2,2)="01", "서울", MID(K3860,2,2)="02","경기",MID(K3860,2,2)="03","충청",MID(K3860,2,2)="04","충청",MID(K3860,2,2)="05","전라",MID(K3860,2,2)="06","전라",MID(K3860,2,2)="07","경북",MID(K3860,2,2)="08","경남",MID(K3860,2,2)="09","강원",MID(K3860,2,2)="10","제주",TRUE,"국외")</f>
        <v>서울</v>
      </c>
    </row>
    <row r="3861" spans="1:12" ht="17.25" thickBot="1">
      <c r="A3861" s="3" t="s">
        <v>3691</v>
      </c>
      <c r="B3861" s="3" t="s">
        <v>176</v>
      </c>
      <c r="C3861" s="3"/>
      <c r="D3861" s="4" t="s">
        <v>243</v>
      </c>
      <c r="E3861" s="4" t="s">
        <v>2725</v>
      </c>
      <c r="F3861" s="4">
        <v>1983</v>
      </c>
      <c r="G3861" s="8">
        <v>0.2</v>
      </c>
      <c r="H3861" s="4" t="s">
        <v>2523</v>
      </c>
      <c r="I3861" s="8">
        <v>7.8</v>
      </c>
      <c r="J3861" s="3">
        <f>1159</f>
        <v>1159</v>
      </c>
      <c r="K3861" s="3">
        <v>50302</v>
      </c>
      <c r="L3861" s="17" t="str" cm="1">
        <f t="array" ref="L3861">_xlfn.IFS(MID(K3861,2,2)="01", "서울", MID(K3861,2,2)="02","경기",MID(K3861,2,2)="03","충청",MID(K3861,2,2)="04","충청",MID(K3861,2,2)="05","전라",MID(K3861,2,2)="06","전라",MID(K3861,2,2)="07","경북",MID(K3861,2,2)="08","경남",MID(K3861,2,2)="09","강원",MID(K3861,2,2)="10","제주",TRUE,"국외")</f>
        <v>충청</v>
      </c>
    </row>
    <row r="3862" spans="1:12" ht="17.25" thickBot="1">
      <c r="A3862" s="3" t="s">
        <v>3692</v>
      </c>
      <c r="B3862" s="3" t="s">
        <v>38</v>
      </c>
      <c r="C3862" s="3" t="s">
        <v>221</v>
      </c>
      <c r="D3862" s="4" t="s">
        <v>243</v>
      </c>
      <c r="E3862" s="4" t="s">
        <v>2725</v>
      </c>
      <c r="F3862" s="4">
        <v>1983</v>
      </c>
      <c r="G3862" s="8">
        <v>-0.1</v>
      </c>
      <c r="H3862" s="4" t="s">
        <v>2968</v>
      </c>
      <c r="I3862" s="8">
        <v>8.6</v>
      </c>
      <c r="J3862" s="3">
        <f>1164</f>
        <v>1164</v>
      </c>
      <c r="K3862" s="3">
        <v>50109</v>
      </c>
      <c r="L3862" s="17" t="str" cm="1">
        <f t="array" ref="L3862">_xlfn.IFS(MID(K3862,2,2)="01", "서울", MID(K3862,2,2)="02","경기",MID(K3862,2,2)="03","충청",MID(K3862,2,2)="04","충청",MID(K3862,2,2)="05","전라",MID(K3862,2,2)="06","전라",MID(K3862,2,2)="07","경북",MID(K3862,2,2)="08","경남",MID(K3862,2,2)="09","강원",MID(K3862,2,2)="10","제주",TRUE,"국외")</f>
        <v>서울</v>
      </c>
    </row>
    <row r="3863" spans="1:12" ht="17.25" thickBot="1">
      <c r="A3863" s="3" t="s">
        <v>3693</v>
      </c>
      <c r="B3863" s="3" t="s">
        <v>36</v>
      </c>
      <c r="C3863" s="3" t="s">
        <v>133</v>
      </c>
      <c r="D3863" s="4" t="s">
        <v>243</v>
      </c>
      <c r="E3863" s="4" t="s">
        <v>2725</v>
      </c>
      <c r="F3863" s="4">
        <v>1983</v>
      </c>
      <c r="G3863" s="8">
        <v>3.3</v>
      </c>
      <c r="H3863" s="4" t="s">
        <v>9</v>
      </c>
      <c r="I3863" s="8">
        <v>24.3</v>
      </c>
      <c r="J3863" s="3">
        <f>1143</f>
        <v>1143</v>
      </c>
      <c r="K3863" s="3">
        <v>50402</v>
      </c>
      <c r="L3863" s="17" t="str" cm="1">
        <f t="array" ref="L3863">_xlfn.IFS(MID(K3863,2,2)="01", "서울", MID(K3863,2,2)="02","경기",MID(K3863,2,2)="03","충청",MID(K3863,2,2)="04","충청",MID(K3863,2,2)="05","전라",MID(K3863,2,2)="06","전라",MID(K3863,2,2)="07","경북",MID(K3863,2,2)="08","경남",MID(K3863,2,2)="09","강원",MID(K3863,2,2)="10","제주",TRUE,"국외")</f>
        <v>충청</v>
      </c>
    </row>
    <row r="3864" spans="1:12" ht="17.25" thickBot="1">
      <c r="A3864" s="3" t="s">
        <v>3694</v>
      </c>
      <c r="B3864" s="3" t="s">
        <v>11</v>
      </c>
      <c r="C3864" s="3" t="s">
        <v>45</v>
      </c>
      <c r="D3864" s="4" t="s">
        <v>243</v>
      </c>
      <c r="E3864" s="4" t="s">
        <v>9</v>
      </c>
      <c r="F3864" s="4">
        <v>1983</v>
      </c>
      <c r="G3864" s="8">
        <v>-0.4</v>
      </c>
      <c r="H3864" s="4" t="s">
        <v>3614</v>
      </c>
      <c r="I3864" s="8">
        <v>-0.2</v>
      </c>
      <c r="J3864" s="3">
        <f>1161</f>
        <v>1161</v>
      </c>
      <c r="K3864" s="3">
        <v>50802</v>
      </c>
      <c r="L3864" s="17" t="str" cm="1">
        <f t="array" ref="L3864">_xlfn.IFS(MID(K3864,2,2)="01", "서울", MID(K3864,2,2)="02","경기",MID(K3864,2,2)="03","충청",MID(K3864,2,2)="04","충청",MID(K3864,2,2)="05","전라",MID(K3864,2,2)="06","전라",MID(K3864,2,2)="07","경북",MID(K3864,2,2)="08","경남",MID(K3864,2,2)="09","강원",MID(K3864,2,2)="10","제주",TRUE,"국외")</f>
        <v>경남</v>
      </c>
    </row>
    <row r="3865" spans="1:12" ht="17.25" thickBot="1">
      <c r="A3865" s="3" t="s">
        <v>3695</v>
      </c>
      <c r="B3865" s="3" t="s">
        <v>11</v>
      </c>
      <c r="C3865" s="3" t="s">
        <v>83</v>
      </c>
      <c r="D3865" s="4" t="s">
        <v>243</v>
      </c>
      <c r="E3865" s="4" t="s">
        <v>9</v>
      </c>
      <c r="F3865" s="4">
        <v>1983</v>
      </c>
      <c r="G3865" s="8">
        <v>3.1</v>
      </c>
      <c r="H3865" s="4" t="s">
        <v>9</v>
      </c>
      <c r="I3865" s="8">
        <v>38.1</v>
      </c>
      <c r="J3865" s="3">
        <f>1191</f>
        <v>1191</v>
      </c>
      <c r="K3865" s="3">
        <v>50802</v>
      </c>
      <c r="L3865" s="17" t="str" cm="1">
        <f t="array" ref="L3865">_xlfn.IFS(MID(K3865,2,2)="01", "서울", MID(K3865,2,2)="02","경기",MID(K3865,2,2)="03","충청",MID(K3865,2,2)="04","충청",MID(K3865,2,2)="05","전라",MID(K3865,2,2)="06","전라",MID(K3865,2,2)="07","경북",MID(K3865,2,2)="08","경남",MID(K3865,2,2)="09","강원",MID(K3865,2,2)="10","제주",TRUE,"국외")</f>
        <v>경남</v>
      </c>
    </row>
    <row r="3866" spans="1:12" ht="17.25" thickBot="1">
      <c r="A3866" s="3" t="s">
        <v>3696</v>
      </c>
      <c r="B3866" s="3" t="s">
        <v>11</v>
      </c>
      <c r="C3866" s="3" t="s">
        <v>83</v>
      </c>
      <c r="D3866" s="4" t="s">
        <v>243</v>
      </c>
      <c r="E3866" s="4" t="s">
        <v>9</v>
      </c>
      <c r="F3866" s="4">
        <v>1983</v>
      </c>
      <c r="G3866" s="8">
        <v>1.4</v>
      </c>
      <c r="H3866" s="4" t="s">
        <v>9</v>
      </c>
      <c r="I3866" s="8">
        <v>6.1</v>
      </c>
      <c r="J3866" s="3">
        <f>1184</f>
        <v>1184</v>
      </c>
      <c r="K3866" s="3">
        <v>50802</v>
      </c>
      <c r="L3866" s="17" t="str" cm="1">
        <f t="array" ref="L3866">_xlfn.IFS(MID(K3866,2,2)="01", "서울", MID(K3866,2,2)="02","경기",MID(K3866,2,2)="03","충청",MID(K3866,2,2)="04","충청",MID(K3866,2,2)="05","전라",MID(K3866,2,2)="06","전라",MID(K3866,2,2)="07","경북",MID(K3866,2,2)="08","경남",MID(K3866,2,2)="09","강원",MID(K3866,2,2)="10","제주",TRUE,"국외")</f>
        <v>경남</v>
      </c>
    </row>
    <row r="3867" spans="1:12" ht="17.25" thickBot="1">
      <c r="A3867" s="3" t="s">
        <v>3697</v>
      </c>
      <c r="B3867" s="3" t="s">
        <v>11</v>
      </c>
      <c r="C3867" s="3" t="s">
        <v>119</v>
      </c>
      <c r="D3867" s="4" t="s">
        <v>243</v>
      </c>
      <c r="E3867" s="4" t="s">
        <v>9</v>
      </c>
      <c r="F3867" s="4">
        <v>1983</v>
      </c>
      <c r="G3867" s="8">
        <v>-1</v>
      </c>
      <c r="H3867" s="4" t="s">
        <v>3614</v>
      </c>
      <c r="I3867" s="8">
        <v>-0.3</v>
      </c>
      <c r="J3867" s="3">
        <f>1183</f>
        <v>1183</v>
      </c>
      <c r="K3867" s="3">
        <v>50802</v>
      </c>
      <c r="L3867" s="17" t="str" cm="1">
        <f t="array" ref="L3867">_xlfn.IFS(MID(K3867,2,2)="01", "서울", MID(K3867,2,2)="02","경기",MID(K3867,2,2)="03","충청",MID(K3867,2,2)="04","충청",MID(K3867,2,2)="05","전라",MID(K3867,2,2)="06","전라",MID(K3867,2,2)="07","경북",MID(K3867,2,2)="08","경남",MID(K3867,2,2)="09","강원",MID(K3867,2,2)="10","제주",TRUE,"국외")</f>
        <v>경남</v>
      </c>
    </row>
    <row r="3868" spans="1:12" ht="17.25" thickBot="1">
      <c r="A3868" s="3" t="s">
        <v>3698</v>
      </c>
      <c r="B3868" s="3" t="s">
        <v>63</v>
      </c>
      <c r="C3868" s="3"/>
      <c r="D3868" s="4" t="s">
        <v>243</v>
      </c>
      <c r="E3868" s="4" t="s">
        <v>9</v>
      </c>
      <c r="F3868" s="4">
        <v>1983</v>
      </c>
      <c r="G3868" s="8">
        <v>3.1</v>
      </c>
      <c r="H3868" s="4" t="s">
        <v>9</v>
      </c>
      <c r="I3868" s="8">
        <v>10.8</v>
      </c>
      <c r="J3868" s="3">
        <f>1140</f>
        <v>1140</v>
      </c>
      <c r="K3868" s="3">
        <v>50807</v>
      </c>
      <c r="L3868" s="17" t="str" cm="1">
        <f t="array" ref="L3868">_xlfn.IFS(MID(K3868,2,2)="01", "서울", MID(K3868,2,2)="02","경기",MID(K3868,2,2)="03","충청",MID(K3868,2,2)="04","충청",MID(K3868,2,2)="05","전라",MID(K3868,2,2)="06","전라",MID(K3868,2,2)="07","경북",MID(K3868,2,2)="08","경남",MID(K3868,2,2)="09","강원",MID(K3868,2,2)="10","제주",TRUE,"국외")</f>
        <v>경남</v>
      </c>
    </row>
    <row r="3869" spans="1:12" ht="17.25" thickBot="1">
      <c r="A3869" s="3" t="s">
        <v>3699</v>
      </c>
      <c r="B3869" s="3" t="s">
        <v>93</v>
      </c>
      <c r="C3869" s="3" t="s">
        <v>45</v>
      </c>
      <c r="D3869" s="4" t="s">
        <v>243</v>
      </c>
      <c r="E3869" s="4" t="s">
        <v>9</v>
      </c>
      <c r="F3869" s="4">
        <v>1983</v>
      </c>
      <c r="G3869" s="8">
        <v>-0.1</v>
      </c>
      <c r="H3869" s="4" t="s">
        <v>2725</v>
      </c>
      <c r="I3869" s="8">
        <v>5.6</v>
      </c>
      <c r="J3869" s="3">
        <f>1155</f>
        <v>1155</v>
      </c>
      <c r="K3869" s="3">
        <v>50805</v>
      </c>
      <c r="L3869" s="17" t="str" cm="1">
        <f t="array" ref="L3869">_xlfn.IFS(MID(K3869,2,2)="01", "서울", MID(K3869,2,2)="02","경기",MID(K3869,2,2)="03","충청",MID(K3869,2,2)="04","충청",MID(K3869,2,2)="05","전라",MID(K3869,2,2)="06","전라",MID(K3869,2,2)="07","경북",MID(K3869,2,2)="08","경남",MID(K3869,2,2)="09","강원",MID(K3869,2,2)="10","제주",TRUE,"국외")</f>
        <v>경남</v>
      </c>
    </row>
    <row r="3870" spans="1:12" ht="17.25" thickBot="1">
      <c r="A3870" s="3" t="s">
        <v>3700</v>
      </c>
      <c r="B3870" s="3" t="s">
        <v>63</v>
      </c>
      <c r="C3870" s="3" t="s">
        <v>119</v>
      </c>
      <c r="D3870" s="4" t="s">
        <v>243</v>
      </c>
      <c r="E3870" s="4" t="s">
        <v>9</v>
      </c>
      <c r="F3870" s="4">
        <v>1983</v>
      </c>
      <c r="G3870" s="8">
        <v>0.3</v>
      </c>
      <c r="H3870" s="4" t="s">
        <v>9</v>
      </c>
      <c r="I3870" s="8">
        <v>10</v>
      </c>
      <c r="J3870" s="3">
        <f>1145</f>
        <v>1145</v>
      </c>
      <c r="K3870" s="3">
        <v>50807</v>
      </c>
      <c r="L3870" s="17" t="str" cm="1">
        <f t="array" ref="L3870">_xlfn.IFS(MID(K3870,2,2)="01", "서울", MID(K3870,2,2)="02","경기",MID(K3870,2,2)="03","충청",MID(K3870,2,2)="04","충청",MID(K3870,2,2)="05","전라",MID(K3870,2,2)="06","전라",MID(K3870,2,2)="07","경북",MID(K3870,2,2)="08","경남",MID(K3870,2,2)="09","강원",MID(K3870,2,2)="10","제주",TRUE,"국외")</f>
        <v>경남</v>
      </c>
    </row>
    <row r="3871" spans="1:12" ht="17.25" thickBot="1">
      <c r="A3871" s="3" t="s">
        <v>3701</v>
      </c>
      <c r="B3871" s="3" t="s">
        <v>11</v>
      </c>
      <c r="C3871" s="3" t="s">
        <v>211</v>
      </c>
      <c r="D3871" s="4" t="s">
        <v>243</v>
      </c>
      <c r="E3871" s="4" t="s">
        <v>9</v>
      </c>
      <c r="F3871" s="4">
        <v>1983</v>
      </c>
      <c r="G3871" s="8">
        <v>0.6</v>
      </c>
      <c r="H3871" s="4" t="s">
        <v>9</v>
      </c>
      <c r="I3871" s="8">
        <v>3.4</v>
      </c>
      <c r="J3871" s="3">
        <f>1152</f>
        <v>1152</v>
      </c>
      <c r="K3871" s="3">
        <v>50802</v>
      </c>
      <c r="L3871" s="17" t="str" cm="1">
        <f t="array" ref="L3871">_xlfn.IFS(MID(K3871,2,2)="01", "서울", MID(K3871,2,2)="02","경기",MID(K3871,2,2)="03","충청",MID(K3871,2,2)="04","충청",MID(K3871,2,2)="05","전라",MID(K3871,2,2)="06","전라",MID(K3871,2,2)="07","경북",MID(K3871,2,2)="08","경남",MID(K3871,2,2)="09","강원",MID(K3871,2,2)="10","제주",TRUE,"국외")</f>
        <v>경남</v>
      </c>
    </row>
    <row r="3872" spans="1:12" ht="17.25" thickBot="1">
      <c r="A3872" s="3" t="s">
        <v>1704</v>
      </c>
      <c r="B3872" s="3" t="s">
        <v>93</v>
      </c>
      <c r="C3872" s="3" t="s">
        <v>208</v>
      </c>
      <c r="D3872" s="4" t="s">
        <v>243</v>
      </c>
      <c r="E3872" s="4" t="s">
        <v>9</v>
      </c>
      <c r="F3872" s="4">
        <v>1983</v>
      </c>
      <c r="G3872" s="8">
        <v>-0.2</v>
      </c>
      <c r="H3872" s="4" t="s">
        <v>9</v>
      </c>
      <c r="I3872" s="8">
        <v>-0.9</v>
      </c>
      <c r="J3872" s="3">
        <f>1153</f>
        <v>1153</v>
      </c>
      <c r="K3872" s="3">
        <v>50805</v>
      </c>
      <c r="L3872" s="17" t="str" cm="1">
        <f t="array" ref="L3872">_xlfn.IFS(MID(K3872,2,2)="01", "서울", MID(K3872,2,2)="02","경기",MID(K3872,2,2)="03","충청",MID(K3872,2,2)="04","충청",MID(K3872,2,2)="05","전라",MID(K3872,2,2)="06","전라",MID(K3872,2,2)="07","경북",MID(K3872,2,2)="08","경남",MID(K3872,2,2)="09","강원",MID(K3872,2,2)="10","제주",TRUE,"국외")</f>
        <v>경남</v>
      </c>
    </row>
    <row r="3873" spans="1:12" ht="17.25" thickBot="1">
      <c r="A3873" s="3" t="s">
        <v>3702</v>
      </c>
      <c r="B3873" s="3" t="s">
        <v>63</v>
      </c>
      <c r="C3873" s="3" t="s">
        <v>119</v>
      </c>
      <c r="D3873" s="4" t="s">
        <v>243</v>
      </c>
      <c r="E3873" s="4" t="s">
        <v>9</v>
      </c>
      <c r="F3873" s="4">
        <v>1983</v>
      </c>
      <c r="G3873" s="8">
        <v>-1.2</v>
      </c>
      <c r="H3873" s="4" t="s">
        <v>9</v>
      </c>
      <c r="I3873" s="8">
        <v>0.6</v>
      </c>
      <c r="J3873" s="3">
        <f>1157</f>
        <v>1157</v>
      </c>
      <c r="K3873" s="3">
        <v>50807</v>
      </c>
      <c r="L3873" s="17" t="str" cm="1">
        <f t="array" ref="L3873">_xlfn.IFS(MID(K3873,2,2)="01", "서울", MID(K3873,2,2)="02","경기",MID(K3873,2,2)="03","충청",MID(K3873,2,2)="04","충청",MID(K3873,2,2)="05","전라",MID(K3873,2,2)="06","전라",MID(K3873,2,2)="07","경북",MID(K3873,2,2)="08","경남",MID(K3873,2,2)="09","강원",MID(K3873,2,2)="10","제주",TRUE,"국외")</f>
        <v>경남</v>
      </c>
    </row>
    <row r="3874" spans="1:12" ht="17.25" thickBot="1">
      <c r="A3874" s="3" t="s">
        <v>3703</v>
      </c>
      <c r="B3874" s="3" t="s">
        <v>11</v>
      </c>
      <c r="C3874" s="3" t="s">
        <v>211</v>
      </c>
      <c r="D3874" s="4" t="s">
        <v>243</v>
      </c>
      <c r="E3874" s="4" t="s">
        <v>9</v>
      </c>
      <c r="F3874" s="4">
        <v>1983</v>
      </c>
      <c r="G3874" s="8">
        <v>0</v>
      </c>
      <c r="H3874" s="4" t="s">
        <v>9</v>
      </c>
      <c r="I3874" s="8">
        <v>0</v>
      </c>
      <c r="J3874" s="3">
        <f>1154</f>
        <v>1154</v>
      </c>
      <c r="K3874" s="3">
        <v>50802</v>
      </c>
      <c r="L3874" s="17" t="str" cm="1">
        <f t="array" ref="L3874">_xlfn.IFS(MID(K3874,2,2)="01", "서울", MID(K3874,2,2)="02","경기",MID(K3874,2,2)="03","충청",MID(K3874,2,2)="04","충청",MID(K3874,2,2)="05","전라",MID(K3874,2,2)="06","전라",MID(K3874,2,2)="07","경북",MID(K3874,2,2)="08","경남",MID(K3874,2,2)="09","강원",MID(K3874,2,2)="10","제주",TRUE,"국외")</f>
        <v>경남</v>
      </c>
    </row>
    <row r="3875" spans="1:12" ht="17.25" thickBot="1">
      <c r="A3875" s="3" t="s">
        <v>3704</v>
      </c>
      <c r="B3875" s="3" t="s">
        <v>93</v>
      </c>
      <c r="C3875" s="3" t="s">
        <v>99</v>
      </c>
      <c r="D3875" s="4" t="s">
        <v>243</v>
      </c>
      <c r="E3875" s="4" t="s">
        <v>9</v>
      </c>
      <c r="F3875" s="4">
        <v>1983</v>
      </c>
      <c r="G3875" s="8">
        <v>0.8</v>
      </c>
      <c r="H3875" s="4" t="s">
        <v>3387</v>
      </c>
      <c r="I3875" s="8">
        <v>2.2999999999999998</v>
      </c>
      <c r="J3875" s="3">
        <f>1160</f>
        <v>1160</v>
      </c>
      <c r="K3875" s="3">
        <v>50805</v>
      </c>
      <c r="L3875" s="17" t="str" cm="1">
        <f t="array" ref="L3875">_xlfn.IFS(MID(K3875,2,2)="01", "서울", MID(K3875,2,2)="02","경기",MID(K3875,2,2)="03","충청",MID(K3875,2,2)="04","충청",MID(K3875,2,2)="05","전라",MID(K3875,2,2)="06","전라",MID(K3875,2,2)="07","경북",MID(K3875,2,2)="08","경남",MID(K3875,2,2)="09","강원",MID(K3875,2,2)="10","제주",TRUE,"국외")</f>
        <v>경남</v>
      </c>
    </row>
    <row r="3876" spans="1:12" ht="17.25" thickBot="1">
      <c r="A3876" s="3" t="s">
        <v>3705</v>
      </c>
      <c r="B3876" s="3"/>
      <c r="C3876" s="3" t="s">
        <v>211</v>
      </c>
      <c r="D3876" s="4" t="s">
        <v>243</v>
      </c>
      <c r="E3876" s="4" t="s">
        <v>3614</v>
      </c>
      <c r="F3876" s="4">
        <v>1985</v>
      </c>
      <c r="G3876" s="9"/>
      <c r="H3876" s="4" t="s">
        <v>3525</v>
      </c>
      <c r="I3876" s="8">
        <v>0</v>
      </c>
      <c r="J3876" s="3">
        <f>1241</f>
        <v>1241</v>
      </c>
      <c r="K3876" s="3"/>
      <c r="L3876" s="17" t="str" cm="1">
        <f t="array" ref="L3876">_xlfn.IFS(MID(K3876,2,2)="01", "서울", MID(K3876,2,2)="02","경기",MID(K3876,2,2)="03","충청",MID(K3876,2,2)="04","충청",MID(K3876,2,2)="05","전라",MID(K3876,2,2)="06","전라",MID(K3876,2,2)="07","경북",MID(K3876,2,2)="08","경남",MID(K3876,2,2)="09","강원",MID(K3876,2,2)="10","제주",TRUE,"국외")</f>
        <v>국외</v>
      </c>
    </row>
    <row r="3877" spans="1:12" ht="17.25" thickBot="1">
      <c r="A3877" s="3" t="s">
        <v>3706</v>
      </c>
      <c r="B3877" s="3" t="s">
        <v>22</v>
      </c>
      <c r="C3877" s="3" t="s">
        <v>221</v>
      </c>
      <c r="D3877" s="4" t="s">
        <v>243</v>
      </c>
      <c r="E3877" s="4" t="s">
        <v>3614</v>
      </c>
      <c r="F3877" s="4">
        <v>1983</v>
      </c>
      <c r="G3877" s="8">
        <v>-0.3</v>
      </c>
      <c r="H3877" s="4" t="s">
        <v>3614</v>
      </c>
      <c r="I3877" s="8">
        <v>-0.6</v>
      </c>
      <c r="J3877" s="3">
        <f>1180</f>
        <v>1180</v>
      </c>
      <c r="K3877" s="3">
        <v>50209</v>
      </c>
      <c r="L3877" s="17" t="str" cm="1">
        <f t="array" ref="L3877">_xlfn.IFS(MID(K3877,2,2)="01", "서울", MID(K3877,2,2)="02","경기",MID(K3877,2,2)="03","충청",MID(K3877,2,2)="04","충청",MID(K3877,2,2)="05","전라",MID(K3877,2,2)="06","전라",MID(K3877,2,2)="07","경북",MID(K3877,2,2)="08","경남",MID(K3877,2,2)="09","강원",MID(K3877,2,2)="10","제주",TRUE,"국외")</f>
        <v>경기</v>
      </c>
    </row>
    <row r="3878" spans="1:12" ht="17.25" thickBot="1">
      <c r="A3878" s="3" t="s">
        <v>550</v>
      </c>
      <c r="B3878" s="3" t="s">
        <v>22</v>
      </c>
      <c r="C3878" s="3" t="s">
        <v>221</v>
      </c>
      <c r="D3878" s="4" t="s">
        <v>243</v>
      </c>
      <c r="E3878" s="4" t="s">
        <v>3614</v>
      </c>
      <c r="F3878" s="4">
        <v>1983</v>
      </c>
      <c r="G3878" s="8">
        <v>3.7</v>
      </c>
      <c r="H3878" s="4" t="s">
        <v>3614</v>
      </c>
      <c r="I3878" s="8">
        <v>12.8</v>
      </c>
      <c r="J3878" s="3">
        <f>1138</f>
        <v>1138</v>
      </c>
      <c r="K3878" s="3">
        <v>50209</v>
      </c>
      <c r="L3878" s="17" t="str" cm="1">
        <f t="array" ref="L3878">_xlfn.IFS(MID(K3878,2,2)="01", "서울", MID(K3878,2,2)="02","경기",MID(K3878,2,2)="03","충청",MID(K3878,2,2)="04","충청",MID(K3878,2,2)="05","전라",MID(K3878,2,2)="06","전라",MID(K3878,2,2)="07","경북",MID(K3878,2,2)="08","경남",MID(K3878,2,2)="09","강원",MID(K3878,2,2)="10","제주",TRUE,"국외")</f>
        <v>경기</v>
      </c>
    </row>
    <row r="3879" spans="1:12" ht="17.25" thickBot="1">
      <c r="A3879" s="3" t="s">
        <v>3707</v>
      </c>
      <c r="B3879" s="3" t="s">
        <v>22</v>
      </c>
      <c r="C3879" s="3" t="s">
        <v>119</v>
      </c>
      <c r="D3879" s="4" t="s">
        <v>243</v>
      </c>
      <c r="E3879" s="4" t="s">
        <v>3614</v>
      </c>
      <c r="F3879" s="4">
        <v>1983</v>
      </c>
      <c r="G3879" s="8">
        <v>3.3</v>
      </c>
      <c r="H3879" s="4" t="s">
        <v>9</v>
      </c>
      <c r="I3879" s="8">
        <v>10.4</v>
      </c>
      <c r="J3879" s="3">
        <f>1175</f>
        <v>1175</v>
      </c>
      <c r="K3879" s="3">
        <v>50209</v>
      </c>
      <c r="L3879" s="17" t="str" cm="1">
        <f t="array" ref="L3879">_xlfn.IFS(MID(K3879,2,2)="01", "서울", MID(K3879,2,2)="02","경기",MID(K3879,2,2)="03","충청",MID(K3879,2,2)="04","충청",MID(K3879,2,2)="05","전라",MID(K3879,2,2)="06","전라",MID(K3879,2,2)="07","경북",MID(K3879,2,2)="08","경남",MID(K3879,2,2)="09","강원",MID(K3879,2,2)="10","제주",TRUE,"국외")</f>
        <v>경기</v>
      </c>
    </row>
    <row r="3880" spans="1:12" ht="17.25" thickBot="1">
      <c r="A3880" s="3" t="s">
        <v>3708</v>
      </c>
      <c r="B3880" s="3" t="s">
        <v>2524</v>
      </c>
      <c r="C3880" s="3" t="s">
        <v>739</v>
      </c>
      <c r="D3880" s="4" t="s">
        <v>243</v>
      </c>
      <c r="E3880" s="4" t="s">
        <v>23</v>
      </c>
      <c r="F3880" s="4">
        <v>1983</v>
      </c>
      <c r="G3880" s="8">
        <v>6.5</v>
      </c>
      <c r="H3880" s="4" t="s">
        <v>23</v>
      </c>
      <c r="I3880" s="8">
        <v>39.5</v>
      </c>
      <c r="J3880" s="3">
        <f>1173</f>
        <v>1173</v>
      </c>
      <c r="K3880" s="3">
        <v>50711</v>
      </c>
      <c r="L3880" s="17" t="str" cm="1">
        <f t="array" ref="L3880">_xlfn.IFS(MID(K3880,2,2)="01", "서울", MID(K3880,2,2)="02","경기",MID(K3880,2,2)="03","충청",MID(K3880,2,2)="04","충청",MID(K3880,2,2)="05","전라",MID(K3880,2,2)="06","전라",MID(K3880,2,2)="07","경북",MID(K3880,2,2)="08","경남",MID(K3880,2,2)="09","강원",MID(K3880,2,2)="10","제주",TRUE,"국외")</f>
        <v>경북</v>
      </c>
    </row>
    <row r="3881" spans="1:12" ht="17.25" thickBot="1">
      <c r="A3881" s="3" t="s">
        <v>3709</v>
      </c>
      <c r="B3881" s="3" t="s">
        <v>2524</v>
      </c>
      <c r="C3881" s="3" t="s">
        <v>99</v>
      </c>
      <c r="D3881" s="4" t="s">
        <v>243</v>
      </c>
      <c r="E3881" s="4" t="s">
        <v>23</v>
      </c>
      <c r="F3881" s="4">
        <v>1983</v>
      </c>
      <c r="G3881" s="8">
        <v>0.2</v>
      </c>
      <c r="H3881" s="4" t="s">
        <v>23</v>
      </c>
      <c r="I3881" s="8">
        <v>2.9</v>
      </c>
      <c r="J3881" s="3">
        <f>1171</f>
        <v>1171</v>
      </c>
      <c r="K3881" s="3">
        <v>50711</v>
      </c>
      <c r="L3881" s="17" t="str" cm="1">
        <f t="array" ref="L3881">_xlfn.IFS(MID(K3881,2,2)="01", "서울", MID(K3881,2,2)="02","경기",MID(K3881,2,2)="03","충청",MID(K3881,2,2)="04","충청",MID(K3881,2,2)="05","전라",MID(K3881,2,2)="06","전라",MID(K3881,2,2)="07","경북",MID(K3881,2,2)="08","경남",MID(K3881,2,2)="09","강원",MID(K3881,2,2)="10","제주",TRUE,"국외")</f>
        <v>경북</v>
      </c>
    </row>
    <row r="3882" spans="1:12" ht="17.25" thickBot="1">
      <c r="A3882" s="3" t="s">
        <v>3710</v>
      </c>
      <c r="B3882" s="3"/>
      <c r="C3882" s="3" t="s">
        <v>208</v>
      </c>
      <c r="D3882" s="4" t="s">
        <v>243</v>
      </c>
      <c r="E3882" s="4" t="s">
        <v>23</v>
      </c>
      <c r="F3882" s="4">
        <v>1983</v>
      </c>
      <c r="G3882" s="8">
        <v>0.6</v>
      </c>
      <c r="H3882" s="4" t="s">
        <v>23</v>
      </c>
      <c r="I3882" s="8">
        <v>15.4</v>
      </c>
      <c r="J3882" s="3">
        <f>1156</f>
        <v>1156</v>
      </c>
      <c r="K3882" s="3"/>
      <c r="L3882" s="17" t="str" cm="1">
        <f t="array" ref="L3882">_xlfn.IFS(MID(K3882,2,2)="01", "서울", MID(K3882,2,2)="02","경기",MID(K3882,2,2)="03","충청",MID(K3882,2,2)="04","충청",MID(K3882,2,2)="05","전라",MID(K3882,2,2)="06","전라",MID(K3882,2,2)="07","경북",MID(K3882,2,2)="08","경남",MID(K3882,2,2)="09","강원",MID(K3882,2,2)="10","제주",TRUE,"국외")</f>
        <v>국외</v>
      </c>
    </row>
    <row r="3883" spans="1:12" ht="17.25" thickBot="1">
      <c r="A3883" s="3" t="s">
        <v>3711</v>
      </c>
      <c r="B3883" s="3" t="s">
        <v>34</v>
      </c>
      <c r="C3883" s="3" t="s">
        <v>208</v>
      </c>
      <c r="D3883" s="4" t="s">
        <v>243</v>
      </c>
      <c r="E3883" s="4" t="s">
        <v>23</v>
      </c>
      <c r="F3883" s="4">
        <v>1983</v>
      </c>
      <c r="G3883" s="8">
        <v>0.5</v>
      </c>
      <c r="H3883" s="4" t="s">
        <v>3101</v>
      </c>
      <c r="I3883" s="8">
        <v>-0.1</v>
      </c>
      <c r="J3883" s="3">
        <f>1172</f>
        <v>1172</v>
      </c>
      <c r="K3883" s="3">
        <v>50701</v>
      </c>
      <c r="L3883" s="17" t="str" cm="1">
        <f t="array" ref="L3883">_xlfn.IFS(MID(K3883,2,2)="01", "서울", MID(K3883,2,2)="02","경기",MID(K3883,2,2)="03","충청",MID(K3883,2,2)="04","충청",MID(K3883,2,2)="05","전라",MID(K3883,2,2)="06","전라",MID(K3883,2,2)="07","경북",MID(K3883,2,2)="08","경남",MID(K3883,2,2)="09","강원",MID(K3883,2,2)="10","제주",TRUE,"국외")</f>
        <v>경북</v>
      </c>
    </row>
    <row r="3884" spans="1:12" ht="17.25" thickBot="1">
      <c r="A3884" s="3" t="s">
        <v>3712</v>
      </c>
      <c r="B3884" s="3" t="s">
        <v>34</v>
      </c>
      <c r="C3884" s="3" t="s">
        <v>45</v>
      </c>
      <c r="D3884" s="4" t="s">
        <v>243</v>
      </c>
      <c r="E3884" s="4" t="s">
        <v>23</v>
      </c>
      <c r="F3884" s="4">
        <v>1983</v>
      </c>
      <c r="G3884" s="8">
        <v>1.5</v>
      </c>
      <c r="H3884" s="4" t="s">
        <v>23</v>
      </c>
      <c r="I3884" s="8">
        <v>1.6</v>
      </c>
      <c r="J3884" s="3">
        <f>1149</f>
        <v>1149</v>
      </c>
      <c r="K3884" s="3">
        <v>50701</v>
      </c>
      <c r="L3884" s="17" t="str" cm="1">
        <f t="array" ref="L3884">_xlfn.IFS(MID(K3884,2,2)="01", "서울", MID(K3884,2,2)="02","경기",MID(K3884,2,2)="03","충청",MID(K3884,2,2)="04","충청",MID(K3884,2,2)="05","전라",MID(K3884,2,2)="06","전라",MID(K3884,2,2)="07","경북",MID(K3884,2,2)="08","경남",MID(K3884,2,2)="09","강원",MID(K3884,2,2)="10","제주",TRUE,"국외")</f>
        <v>경북</v>
      </c>
    </row>
    <row r="3885" spans="1:12" ht="17.25" thickBot="1">
      <c r="A3885" s="3" t="s">
        <v>3713</v>
      </c>
      <c r="B3885" s="3" t="s">
        <v>2524</v>
      </c>
      <c r="C3885" s="3" t="s">
        <v>739</v>
      </c>
      <c r="D3885" s="4" t="s">
        <v>243</v>
      </c>
      <c r="E3885" s="4" t="s">
        <v>23</v>
      </c>
      <c r="F3885" s="4">
        <v>1983</v>
      </c>
      <c r="G3885" s="8">
        <v>7.5</v>
      </c>
      <c r="H3885" s="4" t="s">
        <v>23</v>
      </c>
      <c r="I3885" s="8">
        <v>43.9</v>
      </c>
      <c r="J3885" s="3">
        <f>1142</f>
        <v>1142</v>
      </c>
      <c r="K3885" s="3">
        <v>50711</v>
      </c>
      <c r="L3885" s="17" t="str" cm="1">
        <f t="array" ref="L3885">_xlfn.IFS(MID(K3885,2,2)="01", "서울", MID(K3885,2,2)="02","경기",MID(K3885,2,2)="03","충청",MID(K3885,2,2)="04","충청",MID(K3885,2,2)="05","전라",MID(K3885,2,2)="06","전라",MID(K3885,2,2)="07","경북",MID(K3885,2,2)="08","경남",MID(K3885,2,2)="09","강원",MID(K3885,2,2)="10","제주",TRUE,"국외")</f>
        <v>경북</v>
      </c>
    </row>
    <row r="3886" spans="1:12" ht="17.25" thickBot="1">
      <c r="A3886" s="3" t="s">
        <v>151</v>
      </c>
      <c r="B3886" s="3" t="s">
        <v>34</v>
      </c>
      <c r="C3886" s="3" t="s">
        <v>83</v>
      </c>
      <c r="D3886" s="4" t="s">
        <v>243</v>
      </c>
      <c r="E3886" s="4" t="s">
        <v>23</v>
      </c>
      <c r="F3886" s="4">
        <v>1983</v>
      </c>
      <c r="G3886" s="8">
        <v>0.1</v>
      </c>
      <c r="H3886" s="4" t="s">
        <v>2968</v>
      </c>
      <c r="I3886" s="8">
        <v>3.4</v>
      </c>
      <c r="J3886" s="3">
        <f>1168</f>
        <v>1168</v>
      </c>
      <c r="K3886" s="3">
        <v>50701</v>
      </c>
      <c r="L3886" s="17" t="str" cm="1">
        <f t="array" ref="L3886">_xlfn.IFS(MID(K3886,2,2)="01", "서울", MID(K3886,2,2)="02","경기",MID(K3886,2,2)="03","충청",MID(K3886,2,2)="04","충청",MID(K3886,2,2)="05","전라",MID(K3886,2,2)="06","전라",MID(K3886,2,2)="07","경북",MID(K3886,2,2)="08","경남",MID(K3886,2,2)="09","강원",MID(K3886,2,2)="10","제주",TRUE,"국외")</f>
        <v>경북</v>
      </c>
    </row>
    <row r="3887" spans="1:12" ht="17.25" thickBot="1">
      <c r="A3887" s="3" t="s">
        <v>3714</v>
      </c>
      <c r="B3887" s="3" t="s">
        <v>2524</v>
      </c>
      <c r="C3887" s="3" t="s">
        <v>208</v>
      </c>
      <c r="D3887" s="4" t="s">
        <v>243</v>
      </c>
      <c r="E3887" s="4" t="s">
        <v>23</v>
      </c>
      <c r="F3887" s="4">
        <v>1983</v>
      </c>
      <c r="G3887" s="8">
        <v>2.5</v>
      </c>
      <c r="H3887" s="4" t="s">
        <v>23</v>
      </c>
      <c r="I3887" s="8">
        <v>7.1</v>
      </c>
      <c r="J3887" s="3">
        <f>1186</f>
        <v>1186</v>
      </c>
      <c r="K3887" s="3">
        <v>50711</v>
      </c>
      <c r="L3887" s="17" t="str" cm="1">
        <f t="array" ref="L3887">_xlfn.IFS(MID(K3887,2,2)="01", "서울", MID(K3887,2,2)="02","경기",MID(K3887,2,2)="03","충청",MID(K3887,2,2)="04","충청",MID(K3887,2,2)="05","전라",MID(K3887,2,2)="06","전라",MID(K3887,2,2)="07","경북",MID(K3887,2,2)="08","경남",MID(K3887,2,2)="09","강원",MID(K3887,2,2)="10","제주",TRUE,"국외")</f>
        <v>경북</v>
      </c>
    </row>
    <row r="3888" spans="1:12" ht="17.25" thickBot="1">
      <c r="A3888" s="3" t="s">
        <v>3715</v>
      </c>
      <c r="B3888" s="3" t="s">
        <v>34</v>
      </c>
      <c r="C3888" s="3" t="s">
        <v>83</v>
      </c>
      <c r="D3888" s="4" t="s">
        <v>243</v>
      </c>
      <c r="E3888" s="4" t="s">
        <v>23</v>
      </c>
      <c r="F3888" s="4">
        <v>1983</v>
      </c>
      <c r="G3888" s="8">
        <v>-0.3</v>
      </c>
      <c r="H3888" s="4" t="s">
        <v>23</v>
      </c>
      <c r="I3888" s="8">
        <v>5.9</v>
      </c>
      <c r="J3888" s="3">
        <f>1150</f>
        <v>1150</v>
      </c>
      <c r="K3888" s="3">
        <v>50701</v>
      </c>
      <c r="L3888" s="17" t="str" cm="1">
        <f t="array" ref="L3888">_xlfn.IFS(MID(K3888,2,2)="01", "서울", MID(K3888,2,2)="02","경기",MID(K3888,2,2)="03","충청",MID(K3888,2,2)="04","충청",MID(K3888,2,2)="05","전라",MID(K3888,2,2)="06","전라",MID(K3888,2,2)="07","경북",MID(K3888,2,2)="08","경남",MID(K3888,2,2)="09","강원",MID(K3888,2,2)="10","제주",TRUE,"국외")</f>
        <v>경북</v>
      </c>
    </row>
    <row r="3889" spans="1:12" ht="17.25" thickBot="1">
      <c r="A3889" s="3" t="s">
        <v>3716</v>
      </c>
      <c r="B3889" s="3" t="s">
        <v>121</v>
      </c>
      <c r="C3889" s="3" t="s">
        <v>538</v>
      </c>
      <c r="D3889" s="4" t="s">
        <v>243</v>
      </c>
      <c r="E3889" s="4" t="s">
        <v>2523</v>
      </c>
      <c r="F3889" s="4">
        <v>1983</v>
      </c>
      <c r="G3889" s="8">
        <v>-0.2</v>
      </c>
      <c r="H3889" s="4" t="s">
        <v>2523</v>
      </c>
      <c r="I3889" s="8">
        <v>-1.6</v>
      </c>
      <c r="J3889" s="3">
        <f>1167</f>
        <v>1167</v>
      </c>
      <c r="K3889" s="3">
        <v>50604</v>
      </c>
      <c r="L3889" s="17" t="str" cm="1">
        <f t="array" ref="L3889">_xlfn.IFS(MID(K3889,2,2)="01", "서울", MID(K3889,2,2)="02","경기",MID(K3889,2,2)="03","충청",MID(K3889,2,2)="04","충청",MID(K3889,2,2)="05","전라",MID(K3889,2,2)="06","전라",MID(K3889,2,2)="07","경북",MID(K3889,2,2)="08","경남",MID(K3889,2,2)="09","강원",MID(K3889,2,2)="10","제주",TRUE,"국외")</f>
        <v>전라</v>
      </c>
    </row>
    <row r="3890" spans="1:12" ht="17.25" thickBot="1">
      <c r="A3890" s="3" t="s">
        <v>3717</v>
      </c>
      <c r="B3890" s="3" t="s">
        <v>158</v>
      </c>
      <c r="C3890" s="3" t="s">
        <v>208</v>
      </c>
      <c r="D3890" s="4" t="s">
        <v>243</v>
      </c>
      <c r="E3890" s="4" t="s">
        <v>2523</v>
      </c>
      <c r="F3890" s="4">
        <v>1983</v>
      </c>
      <c r="G3890" s="8">
        <v>-0.4</v>
      </c>
      <c r="H3890" s="4" t="s">
        <v>2725</v>
      </c>
      <c r="I3890" s="8">
        <v>-0.6</v>
      </c>
      <c r="J3890" s="3">
        <f>1169</f>
        <v>1169</v>
      </c>
      <c r="K3890" s="3">
        <v>50501</v>
      </c>
      <c r="L3890" s="17" t="str" cm="1">
        <f t="array" ref="L3890">_xlfn.IFS(MID(K3890,2,2)="01", "서울", MID(K3890,2,2)="02","경기",MID(K3890,2,2)="03","충청",MID(K3890,2,2)="04","충청",MID(K3890,2,2)="05","전라",MID(K3890,2,2)="06","전라",MID(K3890,2,2)="07","경북",MID(K3890,2,2)="08","경남",MID(K3890,2,2)="09","강원",MID(K3890,2,2)="10","제주",TRUE,"국외")</f>
        <v>전라</v>
      </c>
    </row>
    <row r="3891" spans="1:12" ht="17.25" thickBot="1">
      <c r="A3891" s="3" t="s">
        <v>3718</v>
      </c>
      <c r="B3891" s="3" t="s">
        <v>34</v>
      </c>
      <c r="C3891" s="3" t="s">
        <v>83</v>
      </c>
      <c r="D3891" s="4" t="s">
        <v>254</v>
      </c>
      <c r="E3891" s="4" t="s">
        <v>3614</v>
      </c>
      <c r="F3891" s="4">
        <v>1983</v>
      </c>
      <c r="G3891" s="8">
        <v>2.2999999999999998</v>
      </c>
      <c r="H3891" s="4" t="s">
        <v>2725</v>
      </c>
      <c r="I3891" s="8">
        <v>2.1</v>
      </c>
      <c r="J3891" s="3">
        <f>1136</f>
        <v>1136</v>
      </c>
      <c r="K3891" s="3">
        <v>50701</v>
      </c>
      <c r="L3891" s="17" t="str" cm="1">
        <f t="array" ref="L3891">_xlfn.IFS(MID(K3891,2,2)="01", "서울", MID(K3891,2,2)="02","경기",MID(K3891,2,2)="03","충청",MID(K3891,2,2)="04","충청",MID(K3891,2,2)="05","전라",MID(K3891,2,2)="06","전라",MID(K3891,2,2)="07","경북",MID(K3891,2,2)="08","경남",MID(K3891,2,2)="09","강원",MID(K3891,2,2)="10","제주",TRUE,"국외")</f>
        <v>경북</v>
      </c>
    </row>
    <row r="3892" spans="1:12" ht="17.25" thickBot="1">
      <c r="A3892" s="3" t="s">
        <v>3719</v>
      </c>
      <c r="B3892" s="3" t="s">
        <v>8</v>
      </c>
      <c r="C3892" s="3" t="s">
        <v>45</v>
      </c>
      <c r="D3892" s="4" t="s">
        <v>254</v>
      </c>
      <c r="E3892" s="4" t="s">
        <v>2523</v>
      </c>
      <c r="F3892" s="4">
        <v>1983</v>
      </c>
      <c r="G3892" s="8">
        <v>0</v>
      </c>
      <c r="H3892" s="4" t="s">
        <v>2523</v>
      </c>
      <c r="I3892" s="8">
        <v>-0.9</v>
      </c>
      <c r="J3892" s="3">
        <f>1181</f>
        <v>1181</v>
      </c>
      <c r="K3892" s="3">
        <v>50116</v>
      </c>
      <c r="L3892" s="17" t="str" cm="1">
        <f t="array" ref="L3892">_xlfn.IFS(MID(K3892,2,2)="01", "서울", MID(K3892,2,2)="02","경기",MID(K3892,2,2)="03","충청",MID(K3892,2,2)="04","충청",MID(K3892,2,2)="05","전라",MID(K3892,2,2)="06","전라",MID(K3892,2,2)="07","경북",MID(K3892,2,2)="08","경남",MID(K3892,2,2)="09","강원",MID(K3892,2,2)="10","제주",TRUE,"국외")</f>
        <v>서울</v>
      </c>
    </row>
    <row r="3893" spans="1:12" ht="17.25" thickBot="1">
      <c r="A3893" s="3" t="s">
        <v>3720</v>
      </c>
      <c r="B3893" s="3" t="s">
        <v>1</v>
      </c>
      <c r="C3893" s="3"/>
      <c r="D3893" s="4" t="s">
        <v>254</v>
      </c>
      <c r="E3893" s="4" t="s">
        <v>2523</v>
      </c>
      <c r="F3893" s="4">
        <v>1983</v>
      </c>
      <c r="G3893" s="8">
        <v>0.1</v>
      </c>
      <c r="H3893" s="4" t="s">
        <v>23</v>
      </c>
      <c r="I3893" s="8">
        <v>0.5</v>
      </c>
      <c r="J3893" s="3">
        <f>1182</f>
        <v>1182</v>
      </c>
      <c r="K3893" s="3">
        <v>50107</v>
      </c>
      <c r="L3893" s="17" t="str" cm="1">
        <f t="array" ref="L3893">_xlfn.IFS(MID(K3893,2,2)="01", "서울", MID(K3893,2,2)="02","경기",MID(K3893,2,2)="03","충청",MID(K3893,2,2)="04","충청",MID(K3893,2,2)="05","전라",MID(K3893,2,2)="06","전라",MID(K3893,2,2)="07","경북",MID(K3893,2,2)="08","경남",MID(K3893,2,2)="09","강원",MID(K3893,2,2)="10","제주",TRUE,"국외")</f>
        <v>서울</v>
      </c>
    </row>
    <row r="3894" spans="1:12" ht="17.25" thickBot="1">
      <c r="A3894" s="3" t="s">
        <v>3721</v>
      </c>
      <c r="B3894" s="3"/>
      <c r="C3894" s="3" t="s">
        <v>99</v>
      </c>
      <c r="D3894" s="4" t="s">
        <v>254</v>
      </c>
      <c r="E3894" s="4" t="s">
        <v>3614</v>
      </c>
      <c r="F3894" s="4">
        <v>1983</v>
      </c>
      <c r="G3894" s="8">
        <v>-0.4</v>
      </c>
      <c r="H3894" s="4" t="s">
        <v>3614</v>
      </c>
      <c r="I3894" s="8">
        <v>-0.4</v>
      </c>
      <c r="J3894" s="3">
        <f>1188</f>
        <v>1188</v>
      </c>
      <c r="K3894" s="3"/>
      <c r="L3894" s="17" t="str" cm="1">
        <f t="array" ref="L3894">_xlfn.IFS(MID(K3894,2,2)="01", "서울", MID(K3894,2,2)="02","경기",MID(K3894,2,2)="03","충청",MID(K3894,2,2)="04","충청",MID(K3894,2,2)="05","전라",MID(K3894,2,2)="06","전라",MID(K3894,2,2)="07","경북",MID(K3894,2,2)="08","경남",MID(K3894,2,2)="09","강원",MID(K3894,2,2)="10","제주",TRUE,"국외")</f>
        <v>국외</v>
      </c>
    </row>
    <row r="3895" spans="1:12" ht="17.25" thickBot="1">
      <c r="A3895" s="3" t="s">
        <v>3722</v>
      </c>
      <c r="B3895" s="3" t="s">
        <v>36</v>
      </c>
      <c r="C3895" s="3" t="s">
        <v>221</v>
      </c>
      <c r="D3895" s="4" t="s">
        <v>254</v>
      </c>
      <c r="E3895" s="4" t="s">
        <v>3614</v>
      </c>
      <c r="F3895" s="4">
        <v>1983</v>
      </c>
      <c r="G3895" s="8">
        <v>0.5</v>
      </c>
      <c r="H3895" s="4" t="s">
        <v>3101</v>
      </c>
      <c r="I3895" s="8">
        <v>4.2</v>
      </c>
      <c r="J3895" s="3">
        <f>1163</f>
        <v>1163</v>
      </c>
      <c r="K3895" s="3">
        <v>50402</v>
      </c>
      <c r="L3895" s="17" t="str" cm="1">
        <f t="array" ref="L3895">_xlfn.IFS(MID(K3895,2,2)="01", "서울", MID(K3895,2,2)="02","경기",MID(K3895,2,2)="03","충청",MID(K3895,2,2)="04","충청",MID(K3895,2,2)="05","전라",MID(K3895,2,2)="06","전라",MID(K3895,2,2)="07","경북",MID(K3895,2,2)="08","경남",MID(K3895,2,2)="09","강원",MID(K3895,2,2)="10","제주",TRUE,"국외")</f>
        <v>충청</v>
      </c>
    </row>
    <row r="3896" spans="1:12" ht="17.25" thickBot="1">
      <c r="A3896" s="3" t="s">
        <v>3723</v>
      </c>
      <c r="B3896" s="3" t="s">
        <v>66</v>
      </c>
      <c r="C3896" s="3" t="s">
        <v>45</v>
      </c>
      <c r="D3896" s="4" t="s">
        <v>254</v>
      </c>
      <c r="E3896" s="4" t="s">
        <v>2523</v>
      </c>
      <c r="F3896" s="4">
        <v>1983</v>
      </c>
      <c r="G3896" s="8">
        <v>0</v>
      </c>
      <c r="H3896" s="4" t="s">
        <v>2523</v>
      </c>
      <c r="I3896" s="8">
        <v>-0.9</v>
      </c>
      <c r="J3896" s="3">
        <f>1147</f>
        <v>1147</v>
      </c>
      <c r="K3896" s="3">
        <v>50110</v>
      </c>
      <c r="L3896" s="17" t="str" cm="1">
        <f t="array" ref="L3896">_xlfn.IFS(MID(K3896,2,2)="01", "서울", MID(K3896,2,2)="02","경기",MID(K3896,2,2)="03","충청",MID(K3896,2,2)="04","충청",MID(K3896,2,2)="05","전라",MID(K3896,2,2)="06","전라",MID(K3896,2,2)="07","경북",MID(K3896,2,2)="08","경남",MID(K3896,2,2)="09","강원",MID(K3896,2,2)="10","제주",TRUE,"국외")</f>
        <v>서울</v>
      </c>
    </row>
    <row r="3897" spans="1:12" ht="17.25" thickBot="1">
      <c r="A3897" s="3" t="s">
        <v>3724</v>
      </c>
      <c r="B3897" s="3" t="s">
        <v>1497</v>
      </c>
      <c r="C3897" s="3" t="s">
        <v>45</v>
      </c>
      <c r="D3897" s="4" t="s">
        <v>181</v>
      </c>
      <c r="E3897" s="4" t="s">
        <v>3387</v>
      </c>
      <c r="F3897" s="4">
        <v>1983</v>
      </c>
      <c r="G3897" s="8">
        <v>-0.4</v>
      </c>
      <c r="H3897" s="4" t="s">
        <v>3387</v>
      </c>
      <c r="I3897" s="8">
        <v>-0.4</v>
      </c>
      <c r="J3897" s="3">
        <f>1179</f>
        <v>1179</v>
      </c>
      <c r="K3897" s="3">
        <v>50112</v>
      </c>
      <c r="L3897" s="17" t="str" cm="1">
        <f t="array" ref="L3897">_xlfn.IFS(MID(K3897,2,2)="01", "서울", MID(K3897,2,2)="02","경기",MID(K3897,2,2)="03","충청",MID(K3897,2,2)="04","충청",MID(K3897,2,2)="05","전라",MID(K3897,2,2)="06","전라",MID(K3897,2,2)="07","경북",MID(K3897,2,2)="08","경남",MID(K3897,2,2)="09","강원",MID(K3897,2,2)="10","제주",TRUE,"국외")</f>
        <v>서울</v>
      </c>
    </row>
    <row r="3898" spans="1:12" ht="17.25" thickBot="1">
      <c r="A3898" s="3" t="s">
        <v>3725</v>
      </c>
      <c r="B3898" s="3"/>
      <c r="C3898" s="3"/>
      <c r="D3898" s="4" t="s">
        <v>181</v>
      </c>
      <c r="E3898" s="4" t="s">
        <v>3614</v>
      </c>
      <c r="F3898" s="4">
        <v>1983</v>
      </c>
      <c r="G3898" s="8">
        <v>2.8</v>
      </c>
      <c r="H3898" s="4" t="s">
        <v>3614</v>
      </c>
      <c r="I3898" s="8">
        <v>7.1</v>
      </c>
      <c r="J3898" s="3">
        <f>1166</f>
        <v>1166</v>
      </c>
      <c r="K3898" s="3"/>
      <c r="L3898" s="17" t="str" cm="1">
        <f t="array" ref="L3898">_xlfn.IFS(MID(K3898,2,2)="01", "서울", MID(K3898,2,2)="02","경기",MID(K3898,2,2)="03","충청",MID(K3898,2,2)="04","충청",MID(K3898,2,2)="05","전라",MID(K3898,2,2)="06","전라",MID(K3898,2,2)="07","경북",MID(K3898,2,2)="08","경남",MID(K3898,2,2)="09","강원",MID(K3898,2,2)="10","제주",TRUE,"국외")</f>
        <v>국외</v>
      </c>
    </row>
    <row r="3899" spans="1:12" ht="17.25" thickBot="1">
      <c r="A3899" s="3" t="s">
        <v>3726</v>
      </c>
      <c r="B3899" s="3"/>
      <c r="C3899" s="3"/>
      <c r="D3899" s="4" t="s">
        <v>181</v>
      </c>
      <c r="E3899" s="4" t="s">
        <v>3614</v>
      </c>
      <c r="F3899" s="4">
        <v>1983</v>
      </c>
      <c r="G3899" s="8">
        <v>9.6999999999999993</v>
      </c>
      <c r="H3899" s="4" t="s">
        <v>3614</v>
      </c>
      <c r="I3899" s="8">
        <v>9</v>
      </c>
      <c r="J3899" s="3">
        <f>1176</f>
        <v>1176</v>
      </c>
      <c r="K3899" s="3"/>
      <c r="L3899" s="17" t="str" cm="1">
        <f t="array" ref="L3899">_xlfn.IFS(MID(K3899,2,2)="01", "서울", MID(K3899,2,2)="02","경기",MID(K3899,2,2)="03","충청",MID(K3899,2,2)="04","충청",MID(K3899,2,2)="05","전라",MID(K3899,2,2)="06","전라",MID(K3899,2,2)="07","경북",MID(K3899,2,2)="08","경남",MID(K3899,2,2)="09","강원",MID(K3899,2,2)="10","제주",TRUE,"국외")</f>
        <v>국외</v>
      </c>
    </row>
    <row r="3900" spans="1:12" ht="17.25" thickBot="1">
      <c r="A3900" s="3" t="s">
        <v>3727</v>
      </c>
      <c r="B3900" s="3"/>
      <c r="C3900" s="3"/>
      <c r="D3900" s="4" t="s">
        <v>181</v>
      </c>
      <c r="E3900" s="4" t="s">
        <v>2523</v>
      </c>
      <c r="F3900" s="4">
        <v>1983</v>
      </c>
      <c r="G3900" s="8">
        <v>1.8</v>
      </c>
      <c r="H3900" s="4" t="s">
        <v>2523</v>
      </c>
      <c r="I3900" s="8">
        <v>0.2</v>
      </c>
      <c r="J3900" s="3">
        <f>1192</f>
        <v>1192</v>
      </c>
      <c r="K3900" s="3"/>
      <c r="L3900" s="17" t="str" cm="1">
        <f t="array" ref="L3900">_xlfn.IFS(MID(K3900,2,2)="01", "서울", MID(K3900,2,2)="02","경기",MID(K3900,2,2)="03","충청",MID(K3900,2,2)="04","충청",MID(K3900,2,2)="05","전라",MID(K3900,2,2)="06","전라",MID(K3900,2,2)="07","경북",MID(K3900,2,2)="08","경남",MID(K3900,2,2)="09","강원",MID(K3900,2,2)="10","제주",TRUE,"국외")</f>
        <v>국외</v>
      </c>
    </row>
    <row r="3901" spans="1:12" ht="17.25" thickBot="1">
      <c r="A3901" s="3" t="s">
        <v>3728</v>
      </c>
      <c r="B3901" s="3"/>
      <c r="C3901" s="3"/>
      <c r="D3901" s="4" t="s">
        <v>181</v>
      </c>
      <c r="E3901" s="4" t="s">
        <v>2523</v>
      </c>
      <c r="F3901" s="4">
        <v>1983</v>
      </c>
      <c r="G3901" s="8">
        <v>3.3</v>
      </c>
      <c r="H3901" s="4" t="s">
        <v>2523</v>
      </c>
      <c r="I3901" s="8">
        <v>6.3</v>
      </c>
      <c r="J3901" s="3">
        <f>1178</f>
        <v>1178</v>
      </c>
      <c r="K3901" s="3"/>
      <c r="L3901" s="17" t="str" cm="1">
        <f t="array" ref="L3901">_xlfn.IFS(MID(K3901,2,2)="01", "서울", MID(K3901,2,2)="02","경기",MID(K3901,2,2)="03","충청",MID(K3901,2,2)="04","충청",MID(K3901,2,2)="05","전라",MID(K3901,2,2)="06","전라",MID(K3901,2,2)="07","경북",MID(K3901,2,2)="08","경남",MID(K3901,2,2)="09","강원",MID(K3901,2,2)="10","제주",TRUE,"국외")</f>
        <v>국외</v>
      </c>
    </row>
    <row r="3902" spans="1:12" ht="17.25" thickBot="1">
      <c r="A3902" s="3" t="s">
        <v>3729</v>
      </c>
      <c r="B3902" s="3"/>
      <c r="C3902" s="3"/>
      <c r="D3902" s="4" t="s">
        <v>181</v>
      </c>
      <c r="E3902" s="4" t="s">
        <v>2523</v>
      </c>
      <c r="F3902" s="4">
        <v>1983</v>
      </c>
      <c r="G3902" s="8">
        <v>2.7</v>
      </c>
      <c r="H3902" s="4" t="s">
        <v>2523</v>
      </c>
      <c r="I3902" s="8">
        <v>9.1</v>
      </c>
      <c r="J3902" s="3">
        <f>1137</f>
        <v>1137</v>
      </c>
      <c r="K3902" s="3"/>
      <c r="L3902" s="17" t="str" cm="1">
        <f t="array" ref="L3902">_xlfn.IFS(MID(K3902,2,2)="01", "서울", MID(K3902,2,2)="02","경기",MID(K3902,2,2)="03","충청",MID(K3902,2,2)="04","충청",MID(K3902,2,2)="05","전라",MID(K3902,2,2)="06","전라",MID(K3902,2,2)="07","경북",MID(K3902,2,2)="08","경남",MID(K3902,2,2)="09","강원",MID(K3902,2,2)="10","제주",TRUE,"국외")</f>
        <v>국외</v>
      </c>
    </row>
    <row r="3903" spans="1:12" ht="17.25" thickBot="1">
      <c r="A3903" s="3" t="s">
        <v>3730</v>
      </c>
      <c r="B3903" s="3" t="s">
        <v>68</v>
      </c>
      <c r="C3903" s="3"/>
      <c r="D3903" s="4" t="s">
        <v>1777</v>
      </c>
      <c r="E3903" s="4" t="s">
        <v>2725</v>
      </c>
      <c r="F3903" s="4">
        <v>1986</v>
      </c>
      <c r="G3903" s="9"/>
      <c r="H3903" s="4" t="s">
        <v>3101</v>
      </c>
      <c r="I3903" s="8">
        <v>0.1</v>
      </c>
      <c r="J3903" s="3">
        <f>1304</f>
        <v>1304</v>
      </c>
      <c r="K3903" s="3">
        <v>50101</v>
      </c>
      <c r="L3903" s="17" t="str" cm="1">
        <f t="array" ref="L3903">_xlfn.IFS(MID(K3903,2,2)="01", "서울", MID(K3903,2,2)="02","경기",MID(K3903,2,2)="03","충청",MID(K3903,2,2)="04","충청",MID(K3903,2,2)="05","전라",MID(K3903,2,2)="06","전라",MID(K3903,2,2)="07","경북",MID(K3903,2,2)="08","경남",MID(K3903,2,2)="09","강원",MID(K3903,2,2)="10","제주",TRUE,"국외")</f>
        <v>서울</v>
      </c>
    </row>
    <row r="3904" spans="1:12" ht="17.25" thickBot="1">
      <c r="A3904" s="3" t="s">
        <v>3731</v>
      </c>
      <c r="B3904" s="3"/>
      <c r="C3904" s="3"/>
      <c r="D3904" s="4" t="s">
        <v>1777</v>
      </c>
      <c r="E3904" s="4" t="s">
        <v>2523</v>
      </c>
      <c r="F3904" s="4">
        <v>1983</v>
      </c>
      <c r="G3904" s="8">
        <v>-0.7</v>
      </c>
      <c r="H3904" s="4" t="s">
        <v>2523</v>
      </c>
      <c r="I3904" s="8">
        <v>-0.7</v>
      </c>
      <c r="J3904" s="3">
        <f>1187</f>
        <v>1187</v>
      </c>
      <c r="K3904" s="3"/>
      <c r="L3904" s="17" t="str" cm="1">
        <f t="array" ref="L3904">_xlfn.IFS(MID(K3904,2,2)="01", "서울", MID(K3904,2,2)="02","경기",MID(K3904,2,2)="03","충청",MID(K3904,2,2)="04","충청",MID(K3904,2,2)="05","전라",MID(K3904,2,2)="06","전라",MID(K3904,2,2)="07","경북",MID(K3904,2,2)="08","경남",MID(K3904,2,2)="09","강원",MID(K3904,2,2)="10","제주",TRUE,"국외")</f>
        <v>국외</v>
      </c>
    </row>
    <row r="3905" spans="1:12" ht="17.25" thickBot="1">
      <c r="A3905" s="3" t="s">
        <v>3732</v>
      </c>
      <c r="B3905" s="3" t="s">
        <v>2524</v>
      </c>
      <c r="C3905" s="3"/>
      <c r="D3905" s="4" t="s">
        <v>254</v>
      </c>
      <c r="E3905" s="4" t="s">
        <v>3387</v>
      </c>
      <c r="F3905" s="4">
        <v>1982</v>
      </c>
      <c r="G3905" s="8">
        <v>-0.3</v>
      </c>
      <c r="H3905" s="4" t="s">
        <v>3387</v>
      </c>
      <c r="I3905" s="8">
        <v>-0.2</v>
      </c>
      <c r="J3905" s="3">
        <f>1096</f>
        <v>1096</v>
      </c>
      <c r="K3905" s="3">
        <v>50711</v>
      </c>
      <c r="L3905" s="17" t="str" cm="1">
        <f t="array" ref="L3905">_xlfn.IFS(MID(K3905,2,2)="01", "서울", MID(K3905,2,2)="02","경기",MID(K3905,2,2)="03","충청",MID(K3905,2,2)="04","충청",MID(K3905,2,2)="05","전라",MID(K3905,2,2)="06","전라",MID(K3905,2,2)="07","경북",MID(K3905,2,2)="08","경남",MID(K3905,2,2)="09","강원",MID(K3905,2,2)="10","제주",TRUE,"국외")</f>
        <v>경북</v>
      </c>
    </row>
    <row r="3906" spans="1:12" ht="17.25" thickBot="1">
      <c r="A3906" s="3" t="s">
        <v>3733</v>
      </c>
      <c r="B3906" s="3"/>
      <c r="C3906" s="3" t="s">
        <v>208</v>
      </c>
      <c r="D3906" s="4" t="s">
        <v>254</v>
      </c>
      <c r="E3906" s="4" t="s">
        <v>2523</v>
      </c>
      <c r="F3906" s="4">
        <v>1982</v>
      </c>
      <c r="G3906" s="8">
        <v>-0.8</v>
      </c>
      <c r="H3906" s="4" t="s">
        <v>2523</v>
      </c>
      <c r="I3906" s="8">
        <v>-0.8</v>
      </c>
      <c r="J3906" s="3">
        <f>1060</f>
        <v>1060</v>
      </c>
      <c r="K3906" s="3"/>
      <c r="L3906" s="17" t="str" cm="1">
        <f t="array" ref="L3906">_xlfn.IFS(MID(K3906,2,2)="01", "서울", MID(K3906,2,2)="02","경기",MID(K3906,2,2)="03","충청",MID(K3906,2,2)="04","충청",MID(K3906,2,2)="05","전라",MID(K3906,2,2)="06","전라",MID(K3906,2,2)="07","경북",MID(K3906,2,2)="08","경남",MID(K3906,2,2)="09","강원",MID(K3906,2,2)="10","제주",TRUE,"국외")</f>
        <v>국외</v>
      </c>
    </row>
    <row r="3907" spans="1:12" ht="17.25" thickBot="1">
      <c r="A3907" s="3" t="s">
        <v>3734</v>
      </c>
      <c r="B3907" s="3" t="s">
        <v>40</v>
      </c>
      <c r="C3907" s="3" t="s">
        <v>208</v>
      </c>
      <c r="D3907" s="4" t="s">
        <v>254</v>
      </c>
      <c r="E3907" s="4" t="s">
        <v>9</v>
      </c>
      <c r="F3907" s="4">
        <v>1982</v>
      </c>
      <c r="G3907" s="8">
        <v>-0.5</v>
      </c>
      <c r="H3907" s="4" t="s">
        <v>9</v>
      </c>
      <c r="I3907" s="8">
        <v>-0.5</v>
      </c>
      <c r="J3907" s="3">
        <f>1128</f>
        <v>1128</v>
      </c>
      <c r="K3907" s="3">
        <v>50108</v>
      </c>
      <c r="L3907" s="17" t="str" cm="1">
        <f t="array" ref="L3907">_xlfn.IFS(MID(K3907,2,2)="01", "서울", MID(K3907,2,2)="02","경기",MID(K3907,2,2)="03","충청",MID(K3907,2,2)="04","충청",MID(K3907,2,2)="05","전라",MID(K3907,2,2)="06","전라",MID(K3907,2,2)="07","경북",MID(K3907,2,2)="08","경남",MID(K3907,2,2)="09","강원",MID(K3907,2,2)="10","제주",TRUE,"국외")</f>
        <v>서울</v>
      </c>
    </row>
    <row r="3908" spans="1:12" ht="17.25" thickBot="1">
      <c r="A3908" s="3" t="s">
        <v>3735</v>
      </c>
      <c r="B3908" s="3" t="s">
        <v>3736</v>
      </c>
      <c r="C3908" s="3"/>
      <c r="D3908" s="4" t="s">
        <v>254</v>
      </c>
      <c r="E3908" s="4" t="s">
        <v>9</v>
      </c>
      <c r="F3908" s="4">
        <v>1982</v>
      </c>
      <c r="G3908" s="8">
        <v>-0.2</v>
      </c>
      <c r="H3908" s="4" t="s">
        <v>9</v>
      </c>
      <c r="I3908" s="8">
        <v>-1.4</v>
      </c>
      <c r="J3908" s="3">
        <f>1131</f>
        <v>1131</v>
      </c>
      <c r="K3908" s="3">
        <v>50124</v>
      </c>
      <c r="L3908" s="17" t="str" cm="1">
        <f t="array" ref="L3908">_xlfn.IFS(MID(K3908,2,2)="01", "서울", MID(K3908,2,2)="02","경기",MID(K3908,2,2)="03","충청",MID(K3908,2,2)="04","충청",MID(K3908,2,2)="05","전라",MID(K3908,2,2)="06","전라",MID(K3908,2,2)="07","경북",MID(K3908,2,2)="08","경남",MID(K3908,2,2)="09","강원",MID(K3908,2,2)="10","제주",TRUE,"국외")</f>
        <v>서울</v>
      </c>
    </row>
    <row r="3909" spans="1:12" ht="17.25" thickBot="1">
      <c r="A3909" s="3" t="s">
        <v>3737</v>
      </c>
      <c r="B3909" s="3" t="s">
        <v>361</v>
      </c>
      <c r="C3909" s="3"/>
      <c r="D3909" s="4" t="s">
        <v>254</v>
      </c>
      <c r="E3909" s="4" t="s">
        <v>9</v>
      </c>
      <c r="F3909" s="4">
        <v>1982</v>
      </c>
      <c r="G3909" s="8">
        <v>0.2</v>
      </c>
      <c r="H3909" s="4" t="s">
        <v>9</v>
      </c>
      <c r="I3909" s="8">
        <v>-0.1</v>
      </c>
      <c r="J3909" s="3">
        <f>1094</f>
        <v>1094</v>
      </c>
      <c r="K3909" s="3">
        <v>50121</v>
      </c>
      <c r="L3909" s="17" t="str" cm="1">
        <f t="array" ref="L3909">_xlfn.IFS(MID(K3909,2,2)="01", "서울", MID(K3909,2,2)="02","경기",MID(K3909,2,2)="03","충청",MID(K3909,2,2)="04","충청",MID(K3909,2,2)="05","전라",MID(K3909,2,2)="06","전라",MID(K3909,2,2)="07","경북",MID(K3909,2,2)="08","경남",MID(K3909,2,2)="09","강원",MID(K3909,2,2)="10","제주",TRUE,"국외")</f>
        <v>서울</v>
      </c>
    </row>
    <row r="3910" spans="1:12" ht="17.25" thickBot="1">
      <c r="A3910" s="3" t="s">
        <v>3522</v>
      </c>
      <c r="B3910" s="3" t="s">
        <v>14</v>
      </c>
      <c r="C3910" s="3"/>
      <c r="D3910" s="4" t="s">
        <v>254</v>
      </c>
      <c r="E3910" s="4" t="s">
        <v>23</v>
      </c>
      <c r="F3910" s="4">
        <v>1982</v>
      </c>
      <c r="G3910" s="8">
        <v>3.5</v>
      </c>
      <c r="H3910" s="4" t="s">
        <v>23</v>
      </c>
      <c r="I3910" s="8">
        <v>17.5</v>
      </c>
      <c r="J3910" s="3">
        <f>1027</f>
        <v>1027</v>
      </c>
      <c r="K3910" s="3">
        <v>50703</v>
      </c>
      <c r="L3910" s="17" t="str" cm="1">
        <f t="array" ref="L3910">_xlfn.IFS(MID(K3910,2,2)="01", "서울", MID(K3910,2,2)="02","경기",MID(K3910,2,2)="03","충청",MID(K3910,2,2)="04","충청",MID(K3910,2,2)="05","전라",MID(K3910,2,2)="06","전라",MID(K3910,2,2)="07","경북",MID(K3910,2,2)="08","경남",MID(K3910,2,2)="09","강원",MID(K3910,2,2)="10","제주",TRUE,"국외")</f>
        <v>경북</v>
      </c>
    </row>
    <row r="3911" spans="1:12" ht="17.25" thickBot="1">
      <c r="A3911" s="3" t="s">
        <v>1945</v>
      </c>
      <c r="B3911" s="3" t="s">
        <v>38</v>
      </c>
      <c r="C3911" s="3" t="s">
        <v>208</v>
      </c>
      <c r="D3911" s="4" t="s">
        <v>181</v>
      </c>
      <c r="E3911" s="4" t="s">
        <v>3387</v>
      </c>
      <c r="F3911" s="4">
        <v>1983</v>
      </c>
      <c r="G3911" s="9"/>
      <c r="H3911" s="4" t="s">
        <v>23</v>
      </c>
      <c r="I3911" s="8">
        <v>15.9</v>
      </c>
      <c r="J3911" s="3">
        <f>1141</f>
        <v>1141</v>
      </c>
      <c r="K3911" s="3">
        <v>50109</v>
      </c>
      <c r="L3911" s="17" t="str" cm="1">
        <f t="array" ref="L3911">_xlfn.IFS(MID(K3911,2,2)="01", "서울", MID(K3911,2,2)="02","경기",MID(K3911,2,2)="03","충청",MID(K3911,2,2)="04","충청",MID(K3911,2,2)="05","전라",MID(K3911,2,2)="06","전라",MID(K3911,2,2)="07","경북",MID(K3911,2,2)="08","경남",MID(K3911,2,2)="09","강원",MID(K3911,2,2)="10","제주",TRUE,"국외")</f>
        <v>서울</v>
      </c>
    </row>
    <row r="3912" spans="1:12" ht="17.25" thickBot="1">
      <c r="A3912" s="3" t="s">
        <v>3738</v>
      </c>
      <c r="B3912" s="3" t="s">
        <v>3512</v>
      </c>
      <c r="C3912" s="3" t="s">
        <v>538</v>
      </c>
      <c r="D3912" s="4" t="s">
        <v>181</v>
      </c>
      <c r="E3912" s="4" t="s">
        <v>3387</v>
      </c>
      <c r="F3912" s="4">
        <v>1982</v>
      </c>
      <c r="G3912" s="8">
        <v>-0.3</v>
      </c>
      <c r="H3912" s="4" t="s">
        <v>3387</v>
      </c>
      <c r="I3912" s="8">
        <v>32.9</v>
      </c>
      <c r="J3912" s="3">
        <f>1062</f>
        <v>1062</v>
      </c>
      <c r="K3912" s="3">
        <v>50122</v>
      </c>
      <c r="L3912" s="17" t="str" cm="1">
        <f t="array" ref="L3912">_xlfn.IFS(MID(K3912,2,2)="01", "서울", MID(K3912,2,2)="02","경기",MID(K3912,2,2)="03","충청",MID(K3912,2,2)="04","충청",MID(K3912,2,2)="05","전라",MID(K3912,2,2)="06","전라",MID(K3912,2,2)="07","경북",MID(K3912,2,2)="08","경남",MID(K3912,2,2)="09","강원",MID(K3912,2,2)="10","제주",TRUE,"국외")</f>
        <v>서울</v>
      </c>
    </row>
    <row r="3913" spans="1:12" ht="17.25" thickBot="1">
      <c r="A3913" s="3" t="s">
        <v>3739</v>
      </c>
      <c r="B3913" s="3" t="s">
        <v>5</v>
      </c>
      <c r="C3913" s="3" t="s">
        <v>133</v>
      </c>
      <c r="D3913" s="4" t="s">
        <v>3595</v>
      </c>
      <c r="E3913" s="4" t="s">
        <v>3387</v>
      </c>
      <c r="F3913" s="4">
        <v>1982</v>
      </c>
      <c r="G3913" s="8">
        <v>0.3</v>
      </c>
      <c r="H3913" s="4" t="s">
        <v>3387</v>
      </c>
      <c r="I3913" s="8">
        <v>0.2</v>
      </c>
      <c r="J3913" s="3">
        <f>1100</f>
        <v>1100</v>
      </c>
      <c r="K3913" s="3">
        <v>50114</v>
      </c>
      <c r="L3913" s="17" t="str" cm="1">
        <f t="array" ref="L3913">_xlfn.IFS(MID(K3913,2,2)="01", "서울", MID(K3913,2,2)="02","경기",MID(K3913,2,2)="03","충청",MID(K3913,2,2)="04","충청",MID(K3913,2,2)="05","전라",MID(K3913,2,2)="06","전라",MID(K3913,2,2)="07","경북",MID(K3913,2,2)="08","경남",MID(K3913,2,2)="09","강원",MID(K3913,2,2)="10","제주",TRUE,"국외")</f>
        <v>서울</v>
      </c>
    </row>
    <row r="3914" spans="1:12" ht="17.25" thickBot="1">
      <c r="A3914" s="3" t="s">
        <v>3740</v>
      </c>
      <c r="B3914" s="3"/>
      <c r="C3914" s="3"/>
      <c r="D3914" s="4" t="s">
        <v>3595</v>
      </c>
      <c r="E3914" s="4" t="s">
        <v>3387</v>
      </c>
      <c r="F3914" s="4">
        <v>1982</v>
      </c>
      <c r="G3914" s="8">
        <v>-0.3</v>
      </c>
      <c r="H3914" s="4" t="s">
        <v>3387</v>
      </c>
      <c r="I3914" s="8">
        <v>-1.1000000000000001</v>
      </c>
      <c r="J3914" s="3">
        <f>1101</f>
        <v>1101</v>
      </c>
      <c r="K3914" s="3"/>
      <c r="L3914" s="17" t="str" cm="1">
        <f t="array" ref="L3914">_xlfn.IFS(MID(K3914,2,2)="01", "서울", MID(K3914,2,2)="02","경기",MID(K3914,2,2)="03","충청",MID(K3914,2,2)="04","충청",MID(K3914,2,2)="05","전라",MID(K3914,2,2)="06","전라",MID(K3914,2,2)="07","경북",MID(K3914,2,2)="08","경남",MID(K3914,2,2)="09","강원",MID(K3914,2,2)="10","제주",TRUE,"국외")</f>
        <v>국외</v>
      </c>
    </row>
    <row r="3915" spans="1:12" ht="17.25" thickBot="1">
      <c r="A3915" s="3" t="s">
        <v>3741</v>
      </c>
      <c r="B3915" s="3" t="s">
        <v>32</v>
      </c>
      <c r="C3915" s="3"/>
      <c r="D3915" s="4" t="s">
        <v>3595</v>
      </c>
      <c r="E3915" s="4" t="s">
        <v>3387</v>
      </c>
      <c r="F3915" s="4">
        <v>1982</v>
      </c>
      <c r="G3915" s="8">
        <v>0</v>
      </c>
      <c r="H3915" s="4" t="s">
        <v>3387</v>
      </c>
      <c r="I3915" s="8">
        <v>3.1</v>
      </c>
      <c r="J3915" s="3">
        <f>1078</f>
        <v>1078</v>
      </c>
      <c r="K3915" s="3">
        <v>50111</v>
      </c>
      <c r="L3915" s="17" t="str" cm="1">
        <f t="array" ref="L3915">_xlfn.IFS(MID(K3915,2,2)="01", "서울", MID(K3915,2,2)="02","경기",MID(K3915,2,2)="03","충청",MID(K3915,2,2)="04","충청",MID(K3915,2,2)="05","전라",MID(K3915,2,2)="06","전라",MID(K3915,2,2)="07","경북",MID(K3915,2,2)="08","경남",MID(K3915,2,2)="09","강원",MID(K3915,2,2)="10","제주",TRUE,"국외")</f>
        <v>서울</v>
      </c>
    </row>
    <row r="3916" spans="1:12" ht="17.25" thickBot="1">
      <c r="A3916" s="3" t="s">
        <v>3742</v>
      </c>
      <c r="B3916" s="3" t="s">
        <v>1497</v>
      </c>
      <c r="C3916" s="3" t="s">
        <v>45</v>
      </c>
      <c r="D3916" s="4" t="s">
        <v>3595</v>
      </c>
      <c r="E3916" s="4" t="s">
        <v>3387</v>
      </c>
      <c r="F3916" s="4">
        <v>1982</v>
      </c>
      <c r="G3916" s="8">
        <v>3.1</v>
      </c>
      <c r="H3916" s="4" t="s">
        <v>2725</v>
      </c>
      <c r="I3916" s="8">
        <v>8.3000000000000007</v>
      </c>
      <c r="J3916" s="3">
        <f>1026</f>
        <v>1026</v>
      </c>
      <c r="K3916" s="3">
        <v>50112</v>
      </c>
      <c r="L3916" s="17" t="str" cm="1">
        <f t="array" ref="L3916">_xlfn.IFS(MID(K3916,2,2)="01", "서울", MID(K3916,2,2)="02","경기",MID(K3916,2,2)="03","충청",MID(K3916,2,2)="04","충청",MID(K3916,2,2)="05","전라",MID(K3916,2,2)="06","전라",MID(K3916,2,2)="07","경북",MID(K3916,2,2)="08","경남",MID(K3916,2,2)="09","강원",MID(K3916,2,2)="10","제주",TRUE,"국외")</f>
        <v>서울</v>
      </c>
    </row>
    <row r="3917" spans="1:12" ht="17.25" thickBot="1">
      <c r="A3917" s="3" t="s">
        <v>3743</v>
      </c>
      <c r="B3917" s="3" t="s">
        <v>145</v>
      </c>
      <c r="C3917" s="3"/>
      <c r="D3917" s="4" t="s">
        <v>3595</v>
      </c>
      <c r="E3917" s="4" t="s">
        <v>3387</v>
      </c>
      <c r="F3917" s="4">
        <v>1982</v>
      </c>
      <c r="G3917" s="8">
        <v>7.9</v>
      </c>
      <c r="H3917" s="4" t="s">
        <v>3387</v>
      </c>
      <c r="I3917" s="8">
        <v>15.6</v>
      </c>
      <c r="J3917" s="3">
        <f>1111</f>
        <v>1111</v>
      </c>
      <c r="K3917" s="3">
        <v>50106</v>
      </c>
      <c r="L3917" s="17" t="str" cm="1">
        <f t="array" ref="L3917">_xlfn.IFS(MID(K3917,2,2)="01", "서울", MID(K3917,2,2)="02","경기",MID(K3917,2,2)="03","충청",MID(K3917,2,2)="04","충청",MID(K3917,2,2)="05","전라",MID(K3917,2,2)="06","전라",MID(K3917,2,2)="07","경북",MID(K3917,2,2)="08","경남",MID(K3917,2,2)="09","강원",MID(K3917,2,2)="10","제주",TRUE,"국외")</f>
        <v>서울</v>
      </c>
    </row>
    <row r="3918" spans="1:12" ht="17.25" thickBot="1">
      <c r="A3918" s="3" t="s">
        <v>3744</v>
      </c>
      <c r="B3918" s="3" t="s">
        <v>32</v>
      </c>
      <c r="C3918" s="3" t="s">
        <v>211</v>
      </c>
      <c r="D3918" s="4" t="s">
        <v>3595</v>
      </c>
      <c r="E3918" s="4" t="s">
        <v>3387</v>
      </c>
      <c r="F3918" s="4">
        <v>1982</v>
      </c>
      <c r="G3918" s="8">
        <v>3.9</v>
      </c>
      <c r="H3918" s="4" t="s">
        <v>3387</v>
      </c>
      <c r="I3918" s="8">
        <v>15.3</v>
      </c>
      <c r="J3918" s="3">
        <f>1107</f>
        <v>1107</v>
      </c>
      <c r="K3918" s="3">
        <v>50111</v>
      </c>
      <c r="L3918" s="17" t="str" cm="1">
        <f t="array" ref="L3918">_xlfn.IFS(MID(K3918,2,2)="01", "서울", MID(K3918,2,2)="02","경기",MID(K3918,2,2)="03","충청",MID(K3918,2,2)="04","충청",MID(K3918,2,2)="05","전라",MID(K3918,2,2)="06","전라",MID(K3918,2,2)="07","경북",MID(K3918,2,2)="08","경남",MID(K3918,2,2)="09","강원",MID(K3918,2,2)="10","제주",TRUE,"국외")</f>
        <v>서울</v>
      </c>
    </row>
    <row r="3919" spans="1:12" ht="17.25" thickBot="1">
      <c r="A3919" s="3" t="s">
        <v>3745</v>
      </c>
      <c r="B3919" s="3" t="s">
        <v>74</v>
      </c>
      <c r="C3919" s="3" t="s">
        <v>2956</v>
      </c>
      <c r="D3919" s="4" t="s">
        <v>3595</v>
      </c>
      <c r="E3919" s="4" t="s">
        <v>3387</v>
      </c>
      <c r="F3919" s="4">
        <v>1982</v>
      </c>
      <c r="G3919" s="8">
        <v>1.1000000000000001</v>
      </c>
      <c r="H3919" s="4" t="s">
        <v>3101</v>
      </c>
      <c r="I3919" s="8">
        <v>21.6</v>
      </c>
      <c r="J3919" s="3">
        <f>1083</f>
        <v>1083</v>
      </c>
      <c r="K3919" s="3">
        <v>50102</v>
      </c>
      <c r="L3919" s="17" t="str" cm="1">
        <f t="array" ref="L3919">_xlfn.IFS(MID(K3919,2,2)="01", "서울", MID(K3919,2,2)="02","경기",MID(K3919,2,2)="03","충청",MID(K3919,2,2)="04","충청",MID(K3919,2,2)="05","전라",MID(K3919,2,2)="06","전라",MID(K3919,2,2)="07","경북",MID(K3919,2,2)="08","경남",MID(K3919,2,2)="09","강원",MID(K3919,2,2)="10","제주",TRUE,"국외")</f>
        <v>서울</v>
      </c>
    </row>
    <row r="3920" spans="1:12" ht="17.25" thickBot="1">
      <c r="A3920" s="3" t="s">
        <v>3746</v>
      </c>
      <c r="B3920" s="3" t="s">
        <v>8</v>
      </c>
      <c r="C3920" s="3"/>
      <c r="D3920" s="4" t="s">
        <v>3595</v>
      </c>
      <c r="E3920" s="4" t="s">
        <v>3387</v>
      </c>
      <c r="F3920" s="4">
        <v>1982</v>
      </c>
      <c r="G3920" s="8">
        <v>-0.1</v>
      </c>
      <c r="H3920" s="4" t="s">
        <v>3387</v>
      </c>
      <c r="I3920" s="8">
        <v>-0.1</v>
      </c>
      <c r="J3920" s="3">
        <f>1073</f>
        <v>1073</v>
      </c>
      <c r="K3920" s="3">
        <v>50116</v>
      </c>
      <c r="L3920" s="17" t="str" cm="1">
        <f t="array" ref="L3920">_xlfn.IFS(MID(K3920,2,2)="01", "서울", MID(K3920,2,2)="02","경기",MID(K3920,2,2)="03","충청",MID(K3920,2,2)="04","충청",MID(K3920,2,2)="05","전라",MID(K3920,2,2)="06","전라",MID(K3920,2,2)="07","경북",MID(K3920,2,2)="08","경남",MID(K3920,2,2)="09","강원",MID(K3920,2,2)="10","제주",TRUE,"국외")</f>
        <v>서울</v>
      </c>
    </row>
    <row r="3921" spans="1:12" ht="17.25" thickBot="1">
      <c r="A3921" s="3" t="s">
        <v>3747</v>
      </c>
      <c r="B3921" s="3" t="s">
        <v>8</v>
      </c>
      <c r="C3921" s="3" t="s">
        <v>739</v>
      </c>
      <c r="D3921" s="4" t="s">
        <v>3595</v>
      </c>
      <c r="E3921" s="4" t="s">
        <v>3387</v>
      </c>
      <c r="F3921" s="4">
        <v>1982</v>
      </c>
      <c r="G3921" s="8">
        <v>0.3</v>
      </c>
      <c r="H3921" s="4" t="s">
        <v>3387</v>
      </c>
      <c r="I3921" s="8">
        <v>-0.4</v>
      </c>
      <c r="J3921" s="3">
        <f>1133</f>
        <v>1133</v>
      </c>
      <c r="K3921" s="3">
        <v>50116</v>
      </c>
      <c r="L3921" s="17" t="str" cm="1">
        <f t="array" ref="L3921">_xlfn.IFS(MID(K3921,2,2)="01", "서울", MID(K3921,2,2)="02","경기",MID(K3921,2,2)="03","충청",MID(K3921,2,2)="04","충청",MID(K3921,2,2)="05","전라",MID(K3921,2,2)="06","전라",MID(K3921,2,2)="07","경북",MID(K3921,2,2)="08","경남",MID(K3921,2,2)="09","강원",MID(K3921,2,2)="10","제주",TRUE,"국외")</f>
        <v>서울</v>
      </c>
    </row>
    <row r="3922" spans="1:12" ht="17.25" thickBot="1">
      <c r="A3922" s="3" t="s">
        <v>3748</v>
      </c>
      <c r="B3922" s="3" t="s">
        <v>58</v>
      </c>
      <c r="C3922" s="3"/>
      <c r="D3922" s="4" t="s">
        <v>3595</v>
      </c>
      <c r="E3922" s="4" t="s">
        <v>3387</v>
      </c>
      <c r="F3922" s="4">
        <v>1982</v>
      </c>
      <c r="G3922" s="8">
        <v>2.2999999999999998</v>
      </c>
      <c r="H3922" s="4" t="s">
        <v>3387</v>
      </c>
      <c r="I3922" s="8">
        <v>4.5999999999999996</v>
      </c>
      <c r="J3922" s="3">
        <f>1130</f>
        <v>1130</v>
      </c>
      <c r="K3922" s="3">
        <v>50119</v>
      </c>
      <c r="L3922" s="17" t="str" cm="1">
        <f t="array" ref="L3922">_xlfn.IFS(MID(K3922,2,2)="01", "서울", MID(K3922,2,2)="02","경기",MID(K3922,2,2)="03","충청",MID(K3922,2,2)="04","충청",MID(K3922,2,2)="05","전라",MID(K3922,2,2)="06","전라",MID(K3922,2,2)="07","경북",MID(K3922,2,2)="08","경남",MID(K3922,2,2)="09","강원",MID(K3922,2,2)="10","제주",TRUE,"국외")</f>
        <v>서울</v>
      </c>
    </row>
    <row r="3923" spans="1:12" ht="17.25" thickBot="1">
      <c r="A3923" s="3" t="s">
        <v>3749</v>
      </c>
      <c r="B3923" s="3" t="s">
        <v>5</v>
      </c>
      <c r="C3923" s="3" t="s">
        <v>739</v>
      </c>
      <c r="D3923" s="4" t="s">
        <v>3595</v>
      </c>
      <c r="E3923" s="4" t="s">
        <v>3387</v>
      </c>
      <c r="F3923" s="4">
        <v>1982</v>
      </c>
      <c r="G3923" s="8">
        <v>0.7</v>
      </c>
      <c r="H3923" s="4" t="s">
        <v>3387</v>
      </c>
      <c r="I3923" s="8">
        <v>-0.2</v>
      </c>
      <c r="J3923" s="3">
        <f>1109</f>
        <v>1109</v>
      </c>
      <c r="K3923" s="3">
        <v>50114</v>
      </c>
      <c r="L3923" s="17" t="str" cm="1">
        <f t="array" ref="L3923">_xlfn.IFS(MID(K3923,2,2)="01", "서울", MID(K3923,2,2)="02","경기",MID(K3923,2,2)="03","충청",MID(K3923,2,2)="04","충청",MID(K3923,2,2)="05","전라",MID(K3923,2,2)="06","전라",MID(K3923,2,2)="07","경북",MID(K3923,2,2)="08","경남",MID(K3923,2,2)="09","강원",MID(K3923,2,2)="10","제주",TRUE,"국외")</f>
        <v>서울</v>
      </c>
    </row>
    <row r="3924" spans="1:12" ht="17.25" thickBot="1">
      <c r="A3924" s="3" t="s">
        <v>3750</v>
      </c>
      <c r="B3924" s="3"/>
      <c r="C3924" s="3"/>
      <c r="D3924" s="4" t="s">
        <v>3595</v>
      </c>
      <c r="E3924" s="4" t="s">
        <v>3387</v>
      </c>
      <c r="F3924" s="4">
        <v>1982</v>
      </c>
      <c r="G3924" s="8">
        <v>0.2</v>
      </c>
      <c r="H3924" s="4" t="s">
        <v>3387</v>
      </c>
      <c r="I3924" s="8">
        <v>0.2</v>
      </c>
      <c r="J3924" s="3">
        <f>1122</f>
        <v>1122</v>
      </c>
      <c r="K3924" s="3"/>
      <c r="L3924" s="17" t="str" cm="1">
        <f t="array" ref="L3924">_xlfn.IFS(MID(K3924,2,2)="01", "서울", MID(K3924,2,2)="02","경기",MID(K3924,2,2)="03","충청",MID(K3924,2,2)="04","충청",MID(K3924,2,2)="05","전라",MID(K3924,2,2)="06","전라",MID(K3924,2,2)="07","경북",MID(K3924,2,2)="08","경남",MID(K3924,2,2)="09","강원",MID(K3924,2,2)="10","제주",TRUE,"국외")</f>
        <v>국외</v>
      </c>
    </row>
    <row r="3925" spans="1:12" ht="17.25" thickBot="1">
      <c r="A3925" s="3" t="s">
        <v>3751</v>
      </c>
      <c r="B3925" s="3"/>
      <c r="C3925" s="3"/>
      <c r="D3925" s="4" t="s">
        <v>3595</v>
      </c>
      <c r="E3925" s="4" t="s">
        <v>3387</v>
      </c>
      <c r="F3925" s="4">
        <v>1982</v>
      </c>
      <c r="G3925" s="8">
        <v>0</v>
      </c>
      <c r="H3925" s="4" t="s">
        <v>3387</v>
      </c>
      <c r="I3925" s="8">
        <v>0.2</v>
      </c>
      <c r="J3925" s="3">
        <f>1127</f>
        <v>1127</v>
      </c>
      <c r="K3925" s="3"/>
      <c r="L3925" s="17" t="str" cm="1">
        <f t="array" ref="L3925">_xlfn.IFS(MID(K3925,2,2)="01", "서울", MID(K3925,2,2)="02","경기",MID(K3925,2,2)="03","충청",MID(K3925,2,2)="04","충청",MID(K3925,2,2)="05","전라",MID(K3925,2,2)="06","전라",MID(K3925,2,2)="07","경북",MID(K3925,2,2)="08","경남",MID(K3925,2,2)="09","강원",MID(K3925,2,2)="10","제주",TRUE,"국외")</f>
        <v>국외</v>
      </c>
    </row>
    <row r="3926" spans="1:12" ht="17.25" thickBot="1">
      <c r="A3926" s="3" t="s">
        <v>3752</v>
      </c>
      <c r="B3926" s="3" t="s">
        <v>74</v>
      </c>
      <c r="C3926" s="3"/>
      <c r="D3926" s="4" t="s">
        <v>3595</v>
      </c>
      <c r="E3926" s="4" t="s">
        <v>3387</v>
      </c>
      <c r="F3926" s="4">
        <v>1982</v>
      </c>
      <c r="G3926" s="8">
        <v>0.3</v>
      </c>
      <c r="H3926" s="4" t="s">
        <v>3387</v>
      </c>
      <c r="I3926" s="8">
        <v>0.3</v>
      </c>
      <c r="J3926" s="3">
        <f>1077</f>
        <v>1077</v>
      </c>
      <c r="K3926" s="3">
        <v>50102</v>
      </c>
      <c r="L3926" s="17" t="str" cm="1">
        <f t="array" ref="L3926">_xlfn.IFS(MID(K3926,2,2)="01", "서울", MID(K3926,2,2)="02","경기",MID(K3926,2,2)="03","충청",MID(K3926,2,2)="04","충청",MID(K3926,2,2)="05","전라",MID(K3926,2,2)="06","전라",MID(K3926,2,2)="07","경북",MID(K3926,2,2)="08","경남",MID(K3926,2,2)="09","강원",MID(K3926,2,2)="10","제주",TRUE,"국외")</f>
        <v>서울</v>
      </c>
    </row>
    <row r="3927" spans="1:12" ht="17.25" thickBot="1">
      <c r="A3927" s="3" t="s">
        <v>3753</v>
      </c>
      <c r="B3927" s="3" t="s">
        <v>81</v>
      </c>
      <c r="C3927" s="3"/>
      <c r="D3927" s="4" t="s">
        <v>3595</v>
      </c>
      <c r="E3927" s="4" t="s">
        <v>3387</v>
      </c>
      <c r="F3927" s="4">
        <v>1982</v>
      </c>
      <c r="G3927" s="8">
        <v>0.6</v>
      </c>
      <c r="H3927" s="4" t="s">
        <v>3525</v>
      </c>
      <c r="I3927" s="8">
        <v>11.8</v>
      </c>
      <c r="J3927" s="3">
        <v>15155</v>
      </c>
      <c r="K3927" s="3">
        <v>50105</v>
      </c>
      <c r="L3927" s="17" t="str" cm="1">
        <f t="array" ref="L3927">_xlfn.IFS(MID(K3927,2,2)="01", "서울", MID(K3927,2,2)="02","경기",MID(K3927,2,2)="03","충청",MID(K3927,2,2)="04","충청",MID(K3927,2,2)="05","전라",MID(K3927,2,2)="06","전라",MID(K3927,2,2)="07","경북",MID(K3927,2,2)="08","경남",MID(K3927,2,2)="09","강원",MID(K3927,2,2)="10","제주",TRUE,"국외")</f>
        <v>서울</v>
      </c>
    </row>
    <row r="3928" spans="1:12" ht="17.25" thickBot="1">
      <c r="A3928" s="3" t="s">
        <v>3754</v>
      </c>
      <c r="B3928" s="3" t="s">
        <v>5</v>
      </c>
      <c r="C3928" s="3" t="s">
        <v>538</v>
      </c>
      <c r="D3928" s="4" t="s">
        <v>3595</v>
      </c>
      <c r="E3928" s="4" t="s">
        <v>3387</v>
      </c>
      <c r="F3928" s="4">
        <v>1982</v>
      </c>
      <c r="G3928" s="8">
        <v>-0.4</v>
      </c>
      <c r="H3928" s="4" t="s">
        <v>9</v>
      </c>
      <c r="I3928" s="8">
        <v>3</v>
      </c>
      <c r="J3928" s="3">
        <f>1029</f>
        <v>1029</v>
      </c>
      <c r="K3928" s="3">
        <v>50114</v>
      </c>
      <c r="L3928" s="17" t="str" cm="1">
        <f t="array" ref="L3928">_xlfn.IFS(MID(K3928,2,2)="01", "서울", MID(K3928,2,2)="02","경기",MID(K3928,2,2)="03","충청",MID(K3928,2,2)="04","충청",MID(K3928,2,2)="05","전라",MID(K3928,2,2)="06","전라",MID(K3928,2,2)="07","경북",MID(K3928,2,2)="08","경남",MID(K3928,2,2)="09","강원",MID(K3928,2,2)="10","제주",TRUE,"국외")</f>
        <v>서울</v>
      </c>
    </row>
    <row r="3929" spans="1:12" ht="17.25" thickBot="1">
      <c r="A3929" s="3" t="s">
        <v>3755</v>
      </c>
      <c r="B3929" s="3" t="s">
        <v>3638</v>
      </c>
      <c r="C3929" s="3"/>
      <c r="D3929" s="4" t="s">
        <v>3595</v>
      </c>
      <c r="E3929" s="4" t="s">
        <v>3387</v>
      </c>
      <c r="F3929" s="4">
        <v>1982</v>
      </c>
      <c r="G3929" s="8">
        <v>0.3</v>
      </c>
      <c r="H3929" s="4" t="s">
        <v>9</v>
      </c>
      <c r="I3929" s="8">
        <v>2.4</v>
      </c>
      <c r="J3929" s="3">
        <f>1008</f>
        <v>1008</v>
      </c>
      <c r="K3929" s="3">
        <v>50123</v>
      </c>
      <c r="L3929" s="17" t="str" cm="1">
        <f t="array" ref="L3929">_xlfn.IFS(MID(K3929,2,2)="01", "서울", MID(K3929,2,2)="02","경기",MID(K3929,2,2)="03","충청",MID(K3929,2,2)="04","충청",MID(K3929,2,2)="05","전라",MID(K3929,2,2)="06","전라",MID(K3929,2,2)="07","경북",MID(K3929,2,2)="08","경남",MID(K3929,2,2)="09","강원",MID(K3929,2,2)="10","제주",TRUE,"국외")</f>
        <v>서울</v>
      </c>
    </row>
    <row r="3930" spans="1:12" ht="17.25" thickBot="1">
      <c r="A3930" s="3" t="s">
        <v>3756</v>
      </c>
      <c r="B3930" s="3" t="s">
        <v>145</v>
      </c>
      <c r="C3930" s="3" t="s">
        <v>83</v>
      </c>
      <c r="D3930" s="4" t="s">
        <v>3595</v>
      </c>
      <c r="E3930" s="4" t="s">
        <v>3387</v>
      </c>
      <c r="F3930" s="4">
        <v>1982</v>
      </c>
      <c r="G3930" s="8">
        <v>-0.4</v>
      </c>
      <c r="H3930" s="4" t="s">
        <v>3387</v>
      </c>
      <c r="I3930" s="8">
        <v>-1.5</v>
      </c>
      <c r="J3930" s="3">
        <f>1080</f>
        <v>1080</v>
      </c>
      <c r="K3930" s="3">
        <v>50106</v>
      </c>
      <c r="L3930" s="17" t="str" cm="1">
        <f t="array" ref="L3930">_xlfn.IFS(MID(K3930,2,2)="01", "서울", MID(K3930,2,2)="02","경기",MID(K3930,2,2)="03","충청",MID(K3930,2,2)="04","충청",MID(K3930,2,2)="05","전라",MID(K3930,2,2)="06","전라",MID(K3930,2,2)="07","경북",MID(K3930,2,2)="08","경남",MID(K3930,2,2)="09","강원",MID(K3930,2,2)="10","제주",TRUE,"국외")</f>
        <v>서울</v>
      </c>
    </row>
    <row r="3931" spans="1:12" ht="17.25" thickBot="1">
      <c r="A3931" s="3" t="s">
        <v>3757</v>
      </c>
      <c r="B3931" s="3" t="s">
        <v>3512</v>
      </c>
      <c r="C3931" s="3" t="s">
        <v>211</v>
      </c>
      <c r="D3931" s="4" t="s">
        <v>3595</v>
      </c>
      <c r="E3931" s="4" t="s">
        <v>3387</v>
      </c>
      <c r="F3931" s="4">
        <v>1982</v>
      </c>
      <c r="G3931" s="8">
        <v>1.1000000000000001</v>
      </c>
      <c r="H3931" s="4" t="s">
        <v>3387</v>
      </c>
      <c r="I3931" s="8">
        <v>2.2000000000000002</v>
      </c>
      <c r="J3931" s="3">
        <f>1007</f>
        <v>1007</v>
      </c>
      <c r="K3931" s="3">
        <v>50122</v>
      </c>
      <c r="L3931" s="17" t="str" cm="1">
        <f t="array" ref="L3931">_xlfn.IFS(MID(K3931,2,2)="01", "서울", MID(K3931,2,2)="02","경기",MID(K3931,2,2)="03","충청",MID(K3931,2,2)="04","충청",MID(K3931,2,2)="05","전라",MID(K3931,2,2)="06","전라",MID(K3931,2,2)="07","경북",MID(K3931,2,2)="08","경남",MID(K3931,2,2)="09","강원",MID(K3931,2,2)="10","제주",TRUE,"국외")</f>
        <v>서울</v>
      </c>
    </row>
    <row r="3932" spans="1:12" ht="17.25" thickBot="1">
      <c r="A3932" s="3" t="s">
        <v>3758</v>
      </c>
      <c r="B3932" s="3" t="s">
        <v>145</v>
      </c>
      <c r="C3932" s="3" t="s">
        <v>83</v>
      </c>
      <c r="D3932" s="4" t="s">
        <v>3595</v>
      </c>
      <c r="E3932" s="4" t="s">
        <v>3387</v>
      </c>
      <c r="F3932" s="4">
        <v>1982</v>
      </c>
      <c r="G3932" s="8">
        <v>1.5</v>
      </c>
      <c r="H3932" s="4" t="s">
        <v>3387</v>
      </c>
      <c r="I3932" s="8">
        <v>22.7</v>
      </c>
      <c r="J3932" s="3">
        <f>1024</f>
        <v>1024</v>
      </c>
      <c r="K3932" s="3">
        <v>50106</v>
      </c>
      <c r="L3932" s="17" t="str" cm="1">
        <f t="array" ref="L3932">_xlfn.IFS(MID(K3932,2,2)="01", "서울", MID(K3932,2,2)="02","경기",MID(K3932,2,2)="03","충청",MID(K3932,2,2)="04","충청",MID(K3932,2,2)="05","전라",MID(K3932,2,2)="06","전라",MID(K3932,2,2)="07","경북",MID(K3932,2,2)="08","경남",MID(K3932,2,2)="09","강원",MID(K3932,2,2)="10","제주",TRUE,"국외")</f>
        <v>서울</v>
      </c>
    </row>
    <row r="3933" spans="1:12" ht="17.25" thickBot="1">
      <c r="A3933" s="3" t="s">
        <v>3759</v>
      </c>
      <c r="B3933" s="3" t="s">
        <v>112</v>
      </c>
      <c r="C3933" s="3" t="s">
        <v>99</v>
      </c>
      <c r="D3933" s="4" t="s">
        <v>3595</v>
      </c>
      <c r="E3933" s="4" t="s">
        <v>3387</v>
      </c>
      <c r="F3933" s="4">
        <v>1982</v>
      </c>
      <c r="G3933" s="8">
        <v>0.4</v>
      </c>
      <c r="H3933" s="4" t="s">
        <v>3387</v>
      </c>
      <c r="I3933" s="8">
        <v>3.4</v>
      </c>
      <c r="J3933" s="3">
        <f>1012</f>
        <v>1012</v>
      </c>
      <c r="K3933" s="3">
        <v>50113</v>
      </c>
      <c r="L3933" s="17" t="str" cm="1">
        <f t="array" ref="L3933">_xlfn.IFS(MID(K3933,2,2)="01", "서울", MID(K3933,2,2)="02","경기",MID(K3933,2,2)="03","충청",MID(K3933,2,2)="04","충청",MID(K3933,2,2)="05","전라",MID(K3933,2,2)="06","전라",MID(K3933,2,2)="07","경북",MID(K3933,2,2)="08","경남",MID(K3933,2,2)="09","강원",MID(K3933,2,2)="10","제주",TRUE,"국외")</f>
        <v>서울</v>
      </c>
    </row>
    <row r="3934" spans="1:12" ht="17.25" thickBot="1">
      <c r="A3934" s="3" t="s">
        <v>3760</v>
      </c>
      <c r="B3934" s="3" t="s">
        <v>38</v>
      </c>
      <c r="C3934" s="3"/>
      <c r="D3934" s="4" t="s">
        <v>3595</v>
      </c>
      <c r="E3934" s="4" t="s">
        <v>3387</v>
      </c>
      <c r="F3934" s="4">
        <v>1982</v>
      </c>
      <c r="G3934" s="8">
        <v>2.7</v>
      </c>
      <c r="H3934" s="4" t="s">
        <v>3387</v>
      </c>
      <c r="I3934" s="8">
        <v>6.3</v>
      </c>
      <c r="J3934" s="3">
        <f>1108</f>
        <v>1108</v>
      </c>
      <c r="K3934" s="3">
        <v>50109</v>
      </c>
      <c r="L3934" s="17" t="str" cm="1">
        <f t="array" ref="L3934">_xlfn.IFS(MID(K3934,2,2)="01", "서울", MID(K3934,2,2)="02","경기",MID(K3934,2,2)="03","충청",MID(K3934,2,2)="04","충청",MID(K3934,2,2)="05","전라",MID(K3934,2,2)="06","전라",MID(K3934,2,2)="07","경북",MID(K3934,2,2)="08","경남",MID(K3934,2,2)="09","강원",MID(K3934,2,2)="10","제주",TRUE,"국외")</f>
        <v>서울</v>
      </c>
    </row>
    <row r="3935" spans="1:12" ht="17.25" thickBot="1">
      <c r="A3935" s="3" t="s">
        <v>3761</v>
      </c>
      <c r="B3935" s="3" t="s">
        <v>8</v>
      </c>
      <c r="C3935" s="3" t="s">
        <v>99</v>
      </c>
      <c r="D3935" s="4" t="s">
        <v>3595</v>
      </c>
      <c r="E3935" s="4" t="s">
        <v>3387</v>
      </c>
      <c r="F3935" s="4">
        <v>1982</v>
      </c>
      <c r="G3935" s="8">
        <v>0.2</v>
      </c>
      <c r="H3935" s="4" t="s">
        <v>3387</v>
      </c>
      <c r="I3935" s="8">
        <v>-0.2</v>
      </c>
      <c r="J3935" s="3">
        <f>1058</f>
        <v>1058</v>
      </c>
      <c r="K3935" s="3">
        <v>50116</v>
      </c>
      <c r="L3935" s="17" t="str" cm="1">
        <f t="array" ref="L3935">_xlfn.IFS(MID(K3935,2,2)="01", "서울", MID(K3935,2,2)="02","경기",MID(K3935,2,2)="03","충청",MID(K3935,2,2)="04","충청",MID(K3935,2,2)="05","전라",MID(K3935,2,2)="06","전라",MID(K3935,2,2)="07","경북",MID(K3935,2,2)="08","경남",MID(K3935,2,2)="09","강원",MID(K3935,2,2)="10","제주",TRUE,"국외")</f>
        <v>서울</v>
      </c>
    </row>
    <row r="3936" spans="1:12" ht="17.25" thickBot="1">
      <c r="A3936" s="3" t="s">
        <v>3762</v>
      </c>
      <c r="B3936" s="3" t="s">
        <v>74</v>
      </c>
      <c r="C3936" s="3"/>
      <c r="D3936" s="4" t="s">
        <v>3595</v>
      </c>
      <c r="E3936" s="4" t="s">
        <v>3387</v>
      </c>
      <c r="F3936" s="4">
        <v>1982</v>
      </c>
      <c r="G3936" s="8">
        <v>5.8</v>
      </c>
      <c r="H3936" s="4" t="s">
        <v>3387</v>
      </c>
      <c r="I3936" s="8">
        <v>5.8</v>
      </c>
      <c r="J3936" s="3">
        <f>1017</f>
        <v>1017</v>
      </c>
      <c r="K3936" s="3">
        <v>50102</v>
      </c>
      <c r="L3936" s="17" t="str" cm="1">
        <f t="array" ref="L3936">_xlfn.IFS(MID(K3936,2,2)="01", "서울", MID(K3936,2,2)="02","경기",MID(K3936,2,2)="03","충청",MID(K3936,2,2)="04","충청",MID(K3936,2,2)="05","전라",MID(K3936,2,2)="06","전라",MID(K3936,2,2)="07","경북",MID(K3936,2,2)="08","경남",MID(K3936,2,2)="09","강원",MID(K3936,2,2)="10","제주",TRUE,"국외")</f>
        <v>서울</v>
      </c>
    </row>
    <row r="3937" spans="1:12" ht="17.25" thickBot="1">
      <c r="A3937" s="3" t="s">
        <v>3763</v>
      </c>
      <c r="B3937" s="3" t="s">
        <v>1834</v>
      </c>
      <c r="C3937" s="3"/>
      <c r="D3937" s="4" t="s">
        <v>3595</v>
      </c>
      <c r="E3937" s="4" t="s">
        <v>2725</v>
      </c>
      <c r="F3937" s="4">
        <v>1982</v>
      </c>
      <c r="G3937" s="8">
        <v>-0.2</v>
      </c>
      <c r="H3937" s="4" t="s">
        <v>3614</v>
      </c>
      <c r="I3937" s="8">
        <v>-0.2</v>
      </c>
      <c r="J3937" s="3">
        <f>1135</f>
        <v>1135</v>
      </c>
      <c r="K3937" s="3">
        <v>50904</v>
      </c>
      <c r="L3937" s="17" t="str" cm="1">
        <f t="array" ref="L3937">_xlfn.IFS(MID(K3937,2,2)="01", "서울", MID(K3937,2,2)="02","경기",MID(K3937,2,2)="03","충청",MID(K3937,2,2)="04","충청",MID(K3937,2,2)="05","전라",MID(K3937,2,2)="06","전라",MID(K3937,2,2)="07","경북",MID(K3937,2,2)="08","경남",MID(K3937,2,2)="09","강원",MID(K3937,2,2)="10","제주",TRUE,"국외")</f>
        <v>강원</v>
      </c>
    </row>
    <row r="3938" spans="1:12" ht="17.25" thickBot="1">
      <c r="A3938" s="3" t="s">
        <v>3764</v>
      </c>
      <c r="B3938" s="3" t="s">
        <v>38</v>
      </c>
      <c r="C3938" s="3"/>
      <c r="D3938" s="4" t="s">
        <v>3595</v>
      </c>
      <c r="E3938" s="4" t="s">
        <v>2725</v>
      </c>
      <c r="F3938" s="4">
        <v>1982</v>
      </c>
      <c r="G3938" s="8">
        <v>3.3</v>
      </c>
      <c r="H3938" s="4" t="s">
        <v>2725</v>
      </c>
      <c r="I3938" s="8">
        <v>11.1</v>
      </c>
      <c r="J3938" s="3">
        <f>1011</f>
        <v>1011</v>
      </c>
      <c r="K3938" s="3">
        <v>50109</v>
      </c>
      <c r="L3938" s="17" t="str" cm="1">
        <f t="array" ref="L3938">_xlfn.IFS(MID(K3938,2,2)="01", "서울", MID(K3938,2,2)="02","경기",MID(K3938,2,2)="03","충청",MID(K3938,2,2)="04","충청",MID(K3938,2,2)="05","전라",MID(K3938,2,2)="06","전라",MID(K3938,2,2)="07","경북",MID(K3938,2,2)="08","경남",MID(K3938,2,2)="09","강원",MID(K3938,2,2)="10","제주",TRUE,"국외")</f>
        <v>서울</v>
      </c>
    </row>
    <row r="3939" spans="1:12" ht="17.25" thickBot="1">
      <c r="A3939" s="3" t="s">
        <v>3765</v>
      </c>
      <c r="B3939" s="3" t="s">
        <v>361</v>
      </c>
      <c r="C3939" s="3"/>
      <c r="D3939" s="4" t="s">
        <v>3595</v>
      </c>
      <c r="E3939" s="4" t="s">
        <v>2725</v>
      </c>
      <c r="F3939" s="4">
        <v>1982</v>
      </c>
      <c r="G3939" s="8">
        <v>2.1</v>
      </c>
      <c r="H3939" s="4" t="s">
        <v>2725</v>
      </c>
      <c r="I3939" s="8">
        <v>1.2</v>
      </c>
      <c r="J3939" s="3">
        <f>1113</f>
        <v>1113</v>
      </c>
      <c r="K3939" s="3">
        <v>50121</v>
      </c>
      <c r="L3939" s="17" t="str" cm="1">
        <f t="array" ref="L3939">_xlfn.IFS(MID(K3939,2,2)="01", "서울", MID(K3939,2,2)="02","경기",MID(K3939,2,2)="03","충청",MID(K3939,2,2)="04","충청",MID(K3939,2,2)="05","전라",MID(K3939,2,2)="06","전라",MID(K3939,2,2)="07","경북",MID(K3939,2,2)="08","경남",MID(K3939,2,2)="09","강원",MID(K3939,2,2)="10","제주",TRUE,"국외")</f>
        <v>서울</v>
      </c>
    </row>
    <row r="3940" spans="1:12" ht="17.25" thickBot="1">
      <c r="A3940" s="3" t="s">
        <v>3766</v>
      </c>
      <c r="B3940" s="3" t="s">
        <v>361</v>
      </c>
      <c r="C3940" s="3" t="s">
        <v>739</v>
      </c>
      <c r="D3940" s="4" t="s">
        <v>3595</v>
      </c>
      <c r="E3940" s="4" t="s">
        <v>2725</v>
      </c>
      <c r="F3940" s="4">
        <v>1982</v>
      </c>
      <c r="G3940" s="8">
        <v>-0.2</v>
      </c>
      <c r="H3940" s="4" t="s">
        <v>2725</v>
      </c>
      <c r="I3940" s="8">
        <v>0.1</v>
      </c>
      <c r="J3940" s="3">
        <f>1036</f>
        <v>1036</v>
      </c>
      <c r="K3940" s="3">
        <v>50121</v>
      </c>
      <c r="L3940" s="17" t="str" cm="1">
        <f t="array" ref="L3940">_xlfn.IFS(MID(K3940,2,2)="01", "서울", MID(K3940,2,2)="02","경기",MID(K3940,2,2)="03","충청",MID(K3940,2,2)="04","충청",MID(K3940,2,2)="05","전라",MID(K3940,2,2)="06","전라",MID(K3940,2,2)="07","경북",MID(K3940,2,2)="08","경남",MID(K3940,2,2)="09","강원",MID(K3940,2,2)="10","제주",TRUE,"국외")</f>
        <v>서울</v>
      </c>
    </row>
    <row r="3941" spans="1:12" ht="17.25" thickBot="1">
      <c r="A3941" s="3" t="s">
        <v>3767</v>
      </c>
      <c r="B3941" s="3" t="s">
        <v>3512</v>
      </c>
      <c r="C3941" s="3"/>
      <c r="D3941" s="4" t="s">
        <v>3595</v>
      </c>
      <c r="E3941" s="4" t="s">
        <v>2725</v>
      </c>
      <c r="F3941" s="4">
        <v>1982</v>
      </c>
      <c r="G3941" s="8">
        <v>0.7</v>
      </c>
      <c r="H3941" s="4" t="s">
        <v>2725</v>
      </c>
      <c r="I3941" s="8">
        <v>0.5</v>
      </c>
      <c r="J3941" s="3">
        <f>1045</f>
        <v>1045</v>
      </c>
      <c r="K3941" s="3">
        <v>50122</v>
      </c>
      <c r="L3941" s="17" t="str" cm="1">
        <f t="array" ref="L3941">_xlfn.IFS(MID(K3941,2,2)="01", "서울", MID(K3941,2,2)="02","경기",MID(K3941,2,2)="03","충청",MID(K3941,2,2)="04","충청",MID(K3941,2,2)="05","전라",MID(K3941,2,2)="06","전라",MID(K3941,2,2)="07","경북",MID(K3941,2,2)="08","경남",MID(K3941,2,2)="09","강원",MID(K3941,2,2)="10","제주",TRUE,"국외")</f>
        <v>서울</v>
      </c>
    </row>
    <row r="3942" spans="1:12" ht="17.25" thickBot="1">
      <c r="A3942" s="3" t="s">
        <v>3768</v>
      </c>
      <c r="B3942" s="3" t="s">
        <v>78</v>
      </c>
      <c r="C3942" s="3"/>
      <c r="D3942" s="4" t="s">
        <v>3595</v>
      </c>
      <c r="E3942" s="4" t="s">
        <v>2725</v>
      </c>
      <c r="F3942" s="4">
        <v>1982</v>
      </c>
      <c r="G3942" s="8">
        <v>2.2000000000000002</v>
      </c>
      <c r="H3942" s="4" t="s">
        <v>2725</v>
      </c>
      <c r="I3942" s="8">
        <v>19.7</v>
      </c>
      <c r="J3942" s="3">
        <f>1019</f>
        <v>1019</v>
      </c>
      <c r="K3942" s="3">
        <v>50401</v>
      </c>
      <c r="L3942" s="17" t="str" cm="1">
        <f t="array" ref="L3942">_xlfn.IFS(MID(K3942,2,2)="01", "서울", MID(K3942,2,2)="02","경기",MID(K3942,2,2)="03","충청",MID(K3942,2,2)="04","충청",MID(K3942,2,2)="05","전라",MID(K3942,2,2)="06","전라",MID(K3942,2,2)="07","경북",MID(K3942,2,2)="08","경남",MID(K3942,2,2)="09","강원",MID(K3942,2,2)="10","제주",TRUE,"국외")</f>
        <v>충청</v>
      </c>
    </row>
    <row r="3943" spans="1:12" ht="17.25" thickBot="1">
      <c r="A3943" s="3" t="s">
        <v>3769</v>
      </c>
      <c r="B3943" s="3" t="s">
        <v>38</v>
      </c>
      <c r="C3943" s="3"/>
      <c r="D3943" s="4" t="s">
        <v>3595</v>
      </c>
      <c r="E3943" s="4" t="s">
        <v>2725</v>
      </c>
      <c r="F3943" s="4">
        <v>1982</v>
      </c>
      <c r="G3943" s="8">
        <v>1.3</v>
      </c>
      <c r="H3943" s="4" t="s">
        <v>2725</v>
      </c>
      <c r="I3943" s="8">
        <v>1.1000000000000001</v>
      </c>
      <c r="J3943" s="3">
        <f>1124</f>
        <v>1124</v>
      </c>
      <c r="K3943" s="3">
        <v>50109</v>
      </c>
      <c r="L3943" s="17" t="str" cm="1">
        <f t="array" ref="L3943">_xlfn.IFS(MID(K3943,2,2)="01", "서울", MID(K3943,2,2)="02","경기",MID(K3943,2,2)="03","충청",MID(K3943,2,2)="04","충청",MID(K3943,2,2)="05","전라",MID(K3943,2,2)="06","전라",MID(K3943,2,2)="07","경북",MID(K3943,2,2)="08","경남",MID(K3943,2,2)="09","강원",MID(K3943,2,2)="10","제주",TRUE,"국외")</f>
        <v>서울</v>
      </c>
    </row>
    <row r="3944" spans="1:12" ht="17.25" thickBot="1">
      <c r="A3944" s="3" t="s">
        <v>3770</v>
      </c>
      <c r="B3944" s="3"/>
      <c r="C3944" s="3" t="s">
        <v>739</v>
      </c>
      <c r="D3944" s="4" t="s">
        <v>3595</v>
      </c>
      <c r="E3944" s="4" t="s">
        <v>2725</v>
      </c>
      <c r="F3944" s="4">
        <v>1982</v>
      </c>
      <c r="G3944" s="8">
        <v>1.7</v>
      </c>
      <c r="H3944" s="4" t="s">
        <v>2725</v>
      </c>
      <c r="I3944" s="8">
        <v>6.3</v>
      </c>
      <c r="J3944" s="3">
        <f>1117</f>
        <v>1117</v>
      </c>
      <c r="K3944" s="3"/>
      <c r="L3944" s="17" t="str" cm="1">
        <f t="array" ref="L3944">_xlfn.IFS(MID(K3944,2,2)="01", "서울", MID(K3944,2,2)="02","경기",MID(K3944,2,2)="03","충청",MID(K3944,2,2)="04","충청",MID(K3944,2,2)="05","전라",MID(K3944,2,2)="06","전라",MID(K3944,2,2)="07","경북",MID(K3944,2,2)="08","경남",MID(K3944,2,2)="09","강원",MID(K3944,2,2)="10","제주",TRUE,"국외")</f>
        <v>국외</v>
      </c>
    </row>
    <row r="3945" spans="1:12" ht="17.25" thickBot="1">
      <c r="A3945" s="3" t="s">
        <v>3771</v>
      </c>
      <c r="B3945" s="3" t="s">
        <v>1497</v>
      </c>
      <c r="C3945" s="3" t="s">
        <v>211</v>
      </c>
      <c r="D3945" s="4" t="s">
        <v>3595</v>
      </c>
      <c r="E3945" s="4" t="s">
        <v>2725</v>
      </c>
      <c r="F3945" s="4">
        <v>1982</v>
      </c>
      <c r="G3945" s="8">
        <v>0.4</v>
      </c>
      <c r="H3945" s="4" t="s">
        <v>2725</v>
      </c>
      <c r="I3945" s="8">
        <v>16.899999999999999</v>
      </c>
      <c r="J3945" s="3">
        <f>1114</f>
        <v>1114</v>
      </c>
      <c r="K3945" s="3">
        <v>50112</v>
      </c>
      <c r="L3945" s="17" t="str" cm="1">
        <f t="array" ref="L3945">_xlfn.IFS(MID(K3945,2,2)="01", "서울", MID(K3945,2,2)="02","경기",MID(K3945,2,2)="03","충청",MID(K3945,2,2)="04","충청",MID(K3945,2,2)="05","전라",MID(K3945,2,2)="06","전라",MID(K3945,2,2)="07","경북",MID(K3945,2,2)="08","경남",MID(K3945,2,2)="09","강원",MID(K3945,2,2)="10","제주",TRUE,"국외")</f>
        <v>서울</v>
      </c>
    </row>
    <row r="3946" spans="1:12" ht="17.25" thickBot="1">
      <c r="A3946" s="3" t="s">
        <v>3772</v>
      </c>
      <c r="B3946" s="3" t="s">
        <v>1</v>
      </c>
      <c r="C3946" s="3" t="s">
        <v>211</v>
      </c>
      <c r="D3946" s="4" t="s">
        <v>3595</v>
      </c>
      <c r="E3946" s="4" t="s">
        <v>2725</v>
      </c>
      <c r="F3946" s="4">
        <v>1982</v>
      </c>
      <c r="G3946" s="8">
        <v>3.1</v>
      </c>
      <c r="H3946" s="4" t="s">
        <v>2725</v>
      </c>
      <c r="I3946" s="8">
        <v>4.3</v>
      </c>
      <c r="J3946" s="3">
        <f>1106</f>
        <v>1106</v>
      </c>
      <c r="K3946" s="3">
        <v>50107</v>
      </c>
      <c r="L3946" s="17" t="str" cm="1">
        <f t="array" ref="L3946">_xlfn.IFS(MID(K3946,2,2)="01", "서울", MID(K3946,2,2)="02","경기",MID(K3946,2,2)="03","충청",MID(K3946,2,2)="04","충청",MID(K3946,2,2)="05","전라",MID(K3946,2,2)="06","전라",MID(K3946,2,2)="07","경북",MID(K3946,2,2)="08","경남",MID(K3946,2,2)="09","강원",MID(K3946,2,2)="10","제주",TRUE,"국외")</f>
        <v>서울</v>
      </c>
    </row>
    <row r="3947" spans="1:12" ht="17.25" thickBot="1">
      <c r="A3947" s="3" t="s">
        <v>3773</v>
      </c>
      <c r="B3947" s="3" t="s">
        <v>81</v>
      </c>
      <c r="C3947" s="3" t="s">
        <v>83</v>
      </c>
      <c r="D3947" s="4" t="s">
        <v>3595</v>
      </c>
      <c r="E3947" s="4" t="s">
        <v>2725</v>
      </c>
      <c r="F3947" s="4">
        <v>1982</v>
      </c>
      <c r="G3947" s="8">
        <v>10.4</v>
      </c>
      <c r="H3947" s="4" t="s">
        <v>2725</v>
      </c>
      <c r="I3947" s="8">
        <v>25</v>
      </c>
      <c r="J3947" s="3">
        <f>1105</f>
        <v>1105</v>
      </c>
      <c r="K3947" s="3">
        <v>50105</v>
      </c>
      <c r="L3947" s="17" t="str" cm="1">
        <f t="array" ref="L3947">_xlfn.IFS(MID(K3947,2,2)="01", "서울", MID(K3947,2,2)="02","경기",MID(K3947,2,2)="03","충청",MID(K3947,2,2)="04","충청",MID(K3947,2,2)="05","전라",MID(K3947,2,2)="06","전라",MID(K3947,2,2)="07","경북",MID(K3947,2,2)="08","경남",MID(K3947,2,2)="09","강원",MID(K3947,2,2)="10","제주",TRUE,"국외")</f>
        <v>서울</v>
      </c>
    </row>
    <row r="3948" spans="1:12" ht="17.25" thickBot="1">
      <c r="A3948" s="3" t="s">
        <v>3774</v>
      </c>
      <c r="B3948" s="3" t="s">
        <v>361</v>
      </c>
      <c r="C3948" s="3"/>
      <c r="D3948" s="4" t="s">
        <v>3595</v>
      </c>
      <c r="E3948" s="4" t="s">
        <v>2725</v>
      </c>
      <c r="F3948" s="4">
        <v>1982</v>
      </c>
      <c r="G3948" s="8">
        <v>0.6</v>
      </c>
      <c r="H3948" s="4" t="s">
        <v>2725</v>
      </c>
      <c r="I3948" s="8">
        <v>9.5</v>
      </c>
      <c r="J3948" s="3">
        <f>1071</f>
        <v>1071</v>
      </c>
      <c r="K3948" s="3">
        <v>50121</v>
      </c>
      <c r="L3948" s="17" t="str" cm="1">
        <f t="array" ref="L3948">_xlfn.IFS(MID(K3948,2,2)="01", "서울", MID(K3948,2,2)="02","경기",MID(K3948,2,2)="03","충청",MID(K3948,2,2)="04","충청",MID(K3948,2,2)="05","전라",MID(K3948,2,2)="06","전라",MID(K3948,2,2)="07","경북",MID(K3948,2,2)="08","경남",MID(K3948,2,2)="09","강원",MID(K3948,2,2)="10","제주",TRUE,"국외")</f>
        <v>서울</v>
      </c>
    </row>
    <row r="3949" spans="1:12" ht="17.25" thickBot="1">
      <c r="A3949" s="3" t="s">
        <v>3775</v>
      </c>
      <c r="B3949" s="3" t="s">
        <v>36</v>
      </c>
      <c r="C3949" s="3" t="s">
        <v>221</v>
      </c>
      <c r="D3949" s="4" t="s">
        <v>3595</v>
      </c>
      <c r="E3949" s="4" t="s">
        <v>2725</v>
      </c>
      <c r="F3949" s="4">
        <v>1982</v>
      </c>
      <c r="G3949" s="8">
        <v>-0.1</v>
      </c>
      <c r="H3949" s="4" t="s">
        <v>2725</v>
      </c>
      <c r="I3949" s="8">
        <v>0.2</v>
      </c>
      <c r="J3949" s="3">
        <f>1067</f>
        <v>1067</v>
      </c>
      <c r="K3949" s="3">
        <v>50402</v>
      </c>
      <c r="L3949" s="17" t="str" cm="1">
        <f t="array" ref="L3949">_xlfn.IFS(MID(K3949,2,2)="01", "서울", MID(K3949,2,2)="02","경기",MID(K3949,2,2)="03","충청",MID(K3949,2,2)="04","충청",MID(K3949,2,2)="05","전라",MID(K3949,2,2)="06","전라",MID(K3949,2,2)="07","경북",MID(K3949,2,2)="08","경남",MID(K3949,2,2)="09","강원",MID(K3949,2,2)="10","제주",TRUE,"국외")</f>
        <v>충청</v>
      </c>
    </row>
    <row r="3950" spans="1:12" ht="17.25" thickBot="1">
      <c r="A3950" s="3" t="s">
        <v>3776</v>
      </c>
      <c r="B3950" s="3" t="s">
        <v>66</v>
      </c>
      <c r="C3950" s="3"/>
      <c r="D3950" s="4" t="s">
        <v>3595</v>
      </c>
      <c r="E3950" s="4" t="s">
        <v>2725</v>
      </c>
      <c r="F3950" s="4">
        <v>1982</v>
      </c>
      <c r="G3950" s="8">
        <v>0</v>
      </c>
      <c r="H3950" s="4" t="s">
        <v>2725</v>
      </c>
      <c r="I3950" s="8">
        <v>-0.8</v>
      </c>
      <c r="J3950" s="3">
        <f>1054</f>
        <v>1054</v>
      </c>
      <c r="K3950" s="3">
        <v>50110</v>
      </c>
      <c r="L3950" s="17" t="str" cm="1">
        <f t="array" ref="L3950">_xlfn.IFS(MID(K3950,2,2)="01", "서울", MID(K3950,2,2)="02","경기",MID(K3950,2,2)="03","충청",MID(K3950,2,2)="04","충청",MID(K3950,2,2)="05","전라",MID(K3950,2,2)="06","전라",MID(K3950,2,2)="07","경북",MID(K3950,2,2)="08","경남",MID(K3950,2,2)="09","강원",MID(K3950,2,2)="10","제주",TRUE,"국외")</f>
        <v>서울</v>
      </c>
    </row>
    <row r="3951" spans="1:12" ht="17.25" thickBot="1">
      <c r="A3951" s="3" t="s">
        <v>1599</v>
      </c>
      <c r="B3951" s="3"/>
      <c r="C3951" s="3" t="s">
        <v>45</v>
      </c>
      <c r="D3951" s="4" t="s">
        <v>3595</v>
      </c>
      <c r="E3951" s="4" t="s">
        <v>2725</v>
      </c>
      <c r="F3951" s="4">
        <v>1982</v>
      </c>
      <c r="G3951" s="8">
        <v>0.6</v>
      </c>
      <c r="H3951" s="4" t="s">
        <v>2725</v>
      </c>
      <c r="I3951" s="8">
        <v>-0.4</v>
      </c>
      <c r="J3951" s="3">
        <f>1050</f>
        <v>1050</v>
      </c>
      <c r="K3951" s="3"/>
      <c r="L3951" s="17" t="str" cm="1">
        <f t="array" ref="L3951">_xlfn.IFS(MID(K3951,2,2)="01", "서울", MID(K3951,2,2)="02","경기",MID(K3951,2,2)="03","충청",MID(K3951,2,2)="04","충청",MID(K3951,2,2)="05","전라",MID(K3951,2,2)="06","전라",MID(K3951,2,2)="07","경북",MID(K3951,2,2)="08","경남",MID(K3951,2,2)="09","강원",MID(K3951,2,2)="10","제주",TRUE,"국외")</f>
        <v>국외</v>
      </c>
    </row>
    <row r="3952" spans="1:12" ht="17.25" thickBot="1">
      <c r="A3952" s="3" t="s">
        <v>3777</v>
      </c>
      <c r="B3952" s="3"/>
      <c r="C3952" s="3" t="s">
        <v>739</v>
      </c>
      <c r="D3952" s="4" t="s">
        <v>3595</v>
      </c>
      <c r="E3952" s="4" t="s">
        <v>2725</v>
      </c>
      <c r="F3952" s="4">
        <v>1982</v>
      </c>
      <c r="G3952" s="8">
        <v>0.4</v>
      </c>
      <c r="H3952" s="4" t="s">
        <v>2725</v>
      </c>
      <c r="I3952" s="8">
        <v>0.9</v>
      </c>
      <c r="J3952" s="3">
        <f>1049</f>
        <v>1049</v>
      </c>
      <c r="K3952" s="3"/>
      <c r="L3952" s="17" t="str" cm="1">
        <f t="array" ref="L3952">_xlfn.IFS(MID(K3952,2,2)="01", "서울", MID(K3952,2,2)="02","경기",MID(K3952,2,2)="03","충청",MID(K3952,2,2)="04","충청",MID(K3952,2,2)="05","전라",MID(K3952,2,2)="06","전라",MID(K3952,2,2)="07","경북",MID(K3952,2,2)="08","경남",MID(K3952,2,2)="09","강원",MID(K3952,2,2)="10","제주",TRUE,"국외")</f>
        <v>국외</v>
      </c>
    </row>
    <row r="3953" spans="1:12" ht="17.25" thickBot="1">
      <c r="A3953" s="3" t="s">
        <v>3778</v>
      </c>
      <c r="B3953" s="3" t="s">
        <v>32</v>
      </c>
      <c r="C3953" s="3"/>
      <c r="D3953" s="4" t="s">
        <v>3595</v>
      </c>
      <c r="E3953" s="4" t="s">
        <v>2725</v>
      </c>
      <c r="F3953" s="4">
        <v>1982</v>
      </c>
      <c r="G3953" s="8">
        <v>0.4</v>
      </c>
      <c r="H3953" s="4" t="s">
        <v>2725</v>
      </c>
      <c r="I3953" s="8">
        <v>1.2</v>
      </c>
      <c r="J3953" s="3">
        <f>1048</f>
        <v>1048</v>
      </c>
      <c r="K3953" s="3">
        <v>50111</v>
      </c>
      <c r="L3953" s="17" t="str" cm="1">
        <f t="array" ref="L3953">_xlfn.IFS(MID(K3953,2,2)="01", "서울", MID(K3953,2,2)="02","경기",MID(K3953,2,2)="03","충청",MID(K3953,2,2)="04","충청",MID(K3953,2,2)="05","전라",MID(K3953,2,2)="06","전라",MID(K3953,2,2)="07","경북",MID(K3953,2,2)="08","경남",MID(K3953,2,2)="09","강원",MID(K3953,2,2)="10","제주",TRUE,"국외")</f>
        <v>서울</v>
      </c>
    </row>
    <row r="3954" spans="1:12" ht="17.25" thickBot="1">
      <c r="A3954" s="3" t="s">
        <v>3779</v>
      </c>
      <c r="B3954" s="3" t="s">
        <v>78</v>
      </c>
      <c r="C3954" s="3"/>
      <c r="D3954" s="4" t="s">
        <v>3595</v>
      </c>
      <c r="E3954" s="4" t="s">
        <v>2725</v>
      </c>
      <c r="F3954" s="4">
        <v>1982</v>
      </c>
      <c r="G3954" s="8">
        <v>-0.2</v>
      </c>
      <c r="H3954" s="4" t="s">
        <v>2725</v>
      </c>
      <c r="I3954" s="8">
        <v>-0.2</v>
      </c>
      <c r="J3954" s="3">
        <f>1047</f>
        <v>1047</v>
      </c>
      <c r="K3954" s="3">
        <v>50401</v>
      </c>
      <c r="L3954" s="17" t="str" cm="1">
        <f t="array" ref="L3954">_xlfn.IFS(MID(K3954,2,2)="01", "서울", MID(K3954,2,2)="02","경기",MID(K3954,2,2)="03","충청",MID(K3954,2,2)="04","충청",MID(K3954,2,2)="05","전라",MID(K3954,2,2)="06","전라",MID(K3954,2,2)="07","경북",MID(K3954,2,2)="08","경남",MID(K3954,2,2)="09","강원",MID(K3954,2,2)="10","제주",TRUE,"국외")</f>
        <v>충청</v>
      </c>
    </row>
    <row r="3955" spans="1:12" ht="17.25" thickBot="1">
      <c r="A3955" s="3" t="s">
        <v>3087</v>
      </c>
      <c r="B3955" s="3" t="s">
        <v>36</v>
      </c>
      <c r="C3955" s="3"/>
      <c r="D3955" s="4" t="s">
        <v>3595</v>
      </c>
      <c r="E3955" s="4" t="s">
        <v>2725</v>
      </c>
      <c r="F3955" s="4">
        <v>1982</v>
      </c>
      <c r="G3955" s="8">
        <v>0</v>
      </c>
      <c r="H3955" s="4" t="s">
        <v>2725</v>
      </c>
      <c r="I3955" s="8">
        <v>0</v>
      </c>
      <c r="J3955" s="3">
        <f>1040</f>
        <v>1040</v>
      </c>
      <c r="K3955" s="3">
        <v>50402</v>
      </c>
      <c r="L3955" s="17" t="str" cm="1">
        <f t="array" ref="L3955">_xlfn.IFS(MID(K3955,2,2)="01", "서울", MID(K3955,2,2)="02","경기",MID(K3955,2,2)="03","충청",MID(K3955,2,2)="04","충청",MID(K3955,2,2)="05","전라",MID(K3955,2,2)="06","전라",MID(K3955,2,2)="07","경북",MID(K3955,2,2)="08","경남",MID(K3955,2,2)="09","강원",MID(K3955,2,2)="10","제주",TRUE,"국외")</f>
        <v>충청</v>
      </c>
    </row>
    <row r="3956" spans="1:12" ht="17.25" thickBot="1">
      <c r="A3956" s="3" t="s">
        <v>1119</v>
      </c>
      <c r="B3956" s="3" t="s">
        <v>38</v>
      </c>
      <c r="C3956" s="3" t="s">
        <v>208</v>
      </c>
      <c r="D3956" s="4" t="s">
        <v>3595</v>
      </c>
      <c r="E3956" s="4" t="s">
        <v>2725</v>
      </c>
      <c r="F3956" s="4">
        <v>1982</v>
      </c>
      <c r="G3956" s="8">
        <v>0.5</v>
      </c>
      <c r="H3956" s="4" t="s">
        <v>2725</v>
      </c>
      <c r="I3956" s="8">
        <v>16.8</v>
      </c>
      <c r="J3956" s="3">
        <f>1035</f>
        <v>1035</v>
      </c>
      <c r="K3956" s="3">
        <v>50109</v>
      </c>
      <c r="L3956" s="17" t="str" cm="1">
        <f t="array" ref="L3956">_xlfn.IFS(MID(K3956,2,2)="01", "서울", MID(K3956,2,2)="02","경기",MID(K3956,2,2)="03","충청",MID(K3956,2,2)="04","충청",MID(K3956,2,2)="05","전라",MID(K3956,2,2)="06","전라",MID(K3956,2,2)="07","경북",MID(K3956,2,2)="08","경남",MID(K3956,2,2)="09","강원",MID(K3956,2,2)="10","제주",TRUE,"국외")</f>
        <v>서울</v>
      </c>
    </row>
    <row r="3957" spans="1:12" ht="17.25" thickBot="1">
      <c r="A3957" s="3" t="s">
        <v>3780</v>
      </c>
      <c r="B3957" s="3" t="s">
        <v>361</v>
      </c>
      <c r="C3957" s="3"/>
      <c r="D3957" s="4" t="s">
        <v>3595</v>
      </c>
      <c r="E3957" s="4" t="s">
        <v>2725</v>
      </c>
      <c r="F3957" s="4">
        <v>1982</v>
      </c>
      <c r="G3957" s="8">
        <v>4.4000000000000004</v>
      </c>
      <c r="H3957" s="4" t="s">
        <v>2725</v>
      </c>
      <c r="I3957" s="8">
        <v>17.8</v>
      </c>
      <c r="J3957" s="3">
        <f>1023</f>
        <v>1023</v>
      </c>
      <c r="K3957" s="3">
        <v>50121</v>
      </c>
      <c r="L3957" s="17" t="str" cm="1">
        <f t="array" ref="L3957">_xlfn.IFS(MID(K3957,2,2)="01", "서울", MID(K3957,2,2)="02","경기",MID(K3957,2,2)="03","충청",MID(K3957,2,2)="04","충청",MID(K3957,2,2)="05","전라",MID(K3957,2,2)="06","전라",MID(K3957,2,2)="07","경북",MID(K3957,2,2)="08","경남",MID(K3957,2,2)="09","강원",MID(K3957,2,2)="10","제주",TRUE,"국외")</f>
        <v>서울</v>
      </c>
    </row>
    <row r="3958" spans="1:12" ht="17.25" thickBot="1">
      <c r="A3958" s="3" t="s">
        <v>3781</v>
      </c>
      <c r="B3958" s="3" t="s">
        <v>32</v>
      </c>
      <c r="C3958" s="3" t="s">
        <v>83</v>
      </c>
      <c r="D3958" s="4" t="s">
        <v>3595</v>
      </c>
      <c r="E3958" s="4" t="s">
        <v>2725</v>
      </c>
      <c r="F3958" s="4">
        <v>1982</v>
      </c>
      <c r="G3958" s="8">
        <v>0.6</v>
      </c>
      <c r="H3958" s="4" t="s">
        <v>2725</v>
      </c>
      <c r="I3958" s="8">
        <v>5.4</v>
      </c>
      <c r="J3958" s="3">
        <f>1020</f>
        <v>1020</v>
      </c>
      <c r="K3958" s="3">
        <v>50111</v>
      </c>
      <c r="L3958" s="17" t="str" cm="1">
        <f t="array" ref="L3958">_xlfn.IFS(MID(K3958,2,2)="01", "서울", MID(K3958,2,2)="02","경기",MID(K3958,2,2)="03","충청",MID(K3958,2,2)="04","충청",MID(K3958,2,2)="05","전라",MID(K3958,2,2)="06","전라",MID(K3958,2,2)="07","경북",MID(K3958,2,2)="08","경남",MID(K3958,2,2)="09","강원",MID(K3958,2,2)="10","제주",TRUE,"국외")</f>
        <v>서울</v>
      </c>
    </row>
    <row r="3959" spans="1:12" ht="17.25" thickBot="1">
      <c r="A3959" s="3" t="s">
        <v>3779</v>
      </c>
      <c r="B3959" s="3" t="s">
        <v>5</v>
      </c>
      <c r="C3959" s="3" t="s">
        <v>739</v>
      </c>
      <c r="D3959" s="4" t="s">
        <v>3595</v>
      </c>
      <c r="E3959" s="4" t="s">
        <v>2725</v>
      </c>
      <c r="F3959" s="4">
        <v>1982</v>
      </c>
      <c r="G3959" s="8">
        <v>0.1</v>
      </c>
      <c r="H3959" s="4" t="s">
        <v>2725</v>
      </c>
      <c r="I3959" s="8">
        <v>-1</v>
      </c>
      <c r="J3959" s="3">
        <f>1046</f>
        <v>1046</v>
      </c>
      <c r="K3959" s="3">
        <v>50114</v>
      </c>
      <c r="L3959" s="17" t="str" cm="1">
        <f t="array" ref="L3959">_xlfn.IFS(MID(K3959,2,2)="01", "서울", MID(K3959,2,2)="02","경기",MID(K3959,2,2)="03","충청",MID(K3959,2,2)="04","충청",MID(K3959,2,2)="05","전라",MID(K3959,2,2)="06","전라",MID(K3959,2,2)="07","경북",MID(K3959,2,2)="08","경남",MID(K3959,2,2)="09","강원",MID(K3959,2,2)="10","제주",TRUE,"국외")</f>
        <v>서울</v>
      </c>
    </row>
    <row r="3960" spans="1:12" ht="17.25" thickBot="1">
      <c r="A3960" s="3" t="s">
        <v>3782</v>
      </c>
      <c r="B3960" s="3" t="s">
        <v>66</v>
      </c>
      <c r="C3960" s="3"/>
      <c r="D3960" s="4" t="s">
        <v>3595</v>
      </c>
      <c r="E3960" s="4" t="s">
        <v>2725</v>
      </c>
      <c r="F3960" s="4">
        <v>1982</v>
      </c>
      <c r="G3960" s="8">
        <v>2.9</v>
      </c>
      <c r="H3960" s="4" t="s">
        <v>2725</v>
      </c>
      <c r="I3960" s="8">
        <v>11.4</v>
      </c>
      <c r="J3960" s="3">
        <f>1001</f>
        <v>1001</v>
      </c>
      <c r="K3960" s="3">
        <v>50110</v>
      </c>
      <c r="L3960" s="17" t="str" cm="1">
        <f t="array" ref="L3960">_xlfn.IFS(MID(K3960,2,2)="01", "서울", MID(K3960,2,2)="02","경기",MID(K3960,2,2)="03","충청",MID(K3960,2,2)="04","충청",MID(K3960,2,2)="05","전라",MID(K3960,2,2)="06","전라",MID(K3960,2,2)="07","경북",MID(K3960,2,2)="08","경남",MID(K3960,2,2)="09","강원",MID(K3960,2,2)="10","제주",TRUE,"국외")</f>
        <v>서울</v>
      </c>
    </row>
    <row r="3961" spans="1:12" ht="17.25" thickBot="1">
      <c r="A3961" s="3" t="s">
        <v>3783</v>
      </c>
      <c r="B3961" s="3" t="s">
        <v>78</v>
      </c>
      <c r="C3961" s="3" t="s">
        <v>45</v>
      </c>
      <c r="D3961" s="4" t="s">
        <v>3595</v>
      </c>
      <c r="E3961" s="4" t="s">
        <v>2725</v>
      </c>
      <c r="F3961" s="4">
        <v>1982</v>
      </c>
      <c r="G3961" s="8">
        <v>-0.2</v>
      </c>
      <c r="H3961" s="4" t="s">
        <v>2725</v>
      </c>
      <c r="I3961" s="8">
        <v>1.8</v>
      </c>
      <c r="J3961" s="3">
        <v>11469</v>
      </c>
      <c r="K3961" s="3">
        <v>50401</v>
      </c>
      <c r="L3961" s="17" t="str" cm="1">
        <f t="array" ref="L3961">_xlfn.IFS(MID(K3961,2,2)="01", "서울", MID(K3961,2,2)="02","경기",MID(K3961,2,2)="03","충청",MID(K3961,2,2)="04","충청",MID(K3961,2,2)="05","전라",MID(K3961,2,2)="06","전라",MID(K3961,2,2)="07","경북",MID(K3961,2,2)="08","경남",MID(K3961,2,2)="09","강원",MID(K3961,2,2)="10","제주",TRUE,"국외")</f>
        <v>충청</v>
      </c>
    </row>
    <row r="3962" spans="1:12" ht="17.25" thickBot="1">
      <c r="A3962" s="3" t="s">
        <v>57</v>
      </c>
      <c r="B3962" s="3" t="s">
        <v>335</v>
      </c>
      <c r="C3962" s="3" t="s">
        <v>538</v>
      </c>
      <c r="D3962" s="4" t="s">
        <v>3595</v>
      </c>
      <c r="E3962" s="4" t="s">
        <v>9</v>
      </c>
      <c r="F3962" s="4">
        <v>1982</v>
      </c>
      <c r="G3962" s="8">
        <v>0.5</v>
      </c>
      <c r="H3962" s="4" t="s">
        <v>9</v>
      </c>
      <c r="I3962" s="8">
        <v>1.2</v>
      </c>
      <c r="J3962" s="3">
        <f>1063</f>
        <v>1063</v>
      </c>
      <c r="K3962" s="3">
        <v>50804</v>
      </c>
      <c r="L3962" s="17" t="str" cm="1">
        <f t="array" ref="L3962">_xlfn.IFS(MID(K3962,2,2)="01", "서울", MID(K3962,2,2)="02","경기",MID(K3962,2,2)="03","충청",MID(K3962,2,2)="04","충청",MID(K3962,2,2)="05","전라",MID(K3962,2,2)="06","전라",MID(K3962,2,2)="07","경북",MID(K3962,2,2)="08","경남",MID(K3962,2,2)="09","강원",MID(K3962,2,2)="10","제주",TRUE,"국외")</f>
        <v>경남</v>
      </c>
    </row>
    <row r="3963" spans="1:12" ht="17.25" thickBot="1">
      <c r="A3963" s="3" t="s">
        <v>3784</v>
      </c>
      <c r="B3963" s="3" t="s">
        <v>63</v>
      </c>
      <c r="C3963" s="3"/>
      <c r="D3963" s="4" t="s">
        <v>3595</v>
      </c>
      <c r="E3963" s="4" t="s">
        <v>9</v>
      </c>
      <c r="F3963" s="4">
        <v>1982</v>
      </c>
      <c r="G3963" s="8">
        <v>0.9</v>
      </c>
      <c r="H3963" s="4" t="s">
        <v>9</v>
      </c>
      <c r="I3963" s="8">
        <v>-0.1</v>
      </c>
      <c r="J3963" s="3">
        <f>1120</f>
        <v>1120</v>
      </c>
      <c r="K3963" s="3">
        <v>50807</v>
      </c>
      <c r="L3963" s="17" t="str" cm="1">
        <f t="array" ref="L3963">_xlfn.IFS(MID(K3963,2,2)="01", "서울", MID(K3963,2,2)="02","경기",MID(K3963,2,2)="03","충청",MID(K3963,2,2)="04","충청",MID(K3963,2,2)="05","전라",MID(K3963,2,2)="06","전라",MID(K3963,2,2)="07","경북",MID(K3963,2,2)="08","경남",MID(K3963,2,2)="09","강원",MID(K3963,2,2)="10","제주",TRUE,"국외")</f>
        <v>경남</v>
      </c>
    </row>
    <row r="3964" spans="1:12" ht="17.25" thickBot="1">
      <c r="A3964" s="3" t="s">
        <v>3785</v>
      </c>
      <c r="B3964" s="3" t="s">
        <v>1784</v>
      </c>
      <c r="C3964" s="3" t="s">
        <v>45</v>
      </c>
      <c r="D3964" s="4" t="s">
        <v>3595</v>
      </c>
      <c r="E3964" s="4" t="s">
        <v>9</v>
      </c>
      <c r="F3964" s="4">
        <v>1982</v>
      </c>
      <c r="G3964" s="8">
        <v>-0.5</v>
      </c>
      <c r="H3964" s="4" t="s">
        <v>9</v>
      </c>
      <c r="I3964" s="8">
        <v>-0.5</v>
      </c>
      <c r="J3964" s="3">
        <f>1134</f>
        <v>1134</v>
      </c>
      <c r="K3964" s="3">
        <v>50812</v>
      </c>
      <c r="L3964" s="17" t="str" cm="1">
        <f t="array" ref="L3964">_xlfn.IFS(MID(K3964,2,2)="01", "서울", MID(K3964,2,2)="02","경기",MID(K3964,2,2)="03","충청",MID(K3964,2,2)="04","충청",MID(K3964,2,2)="05","전라",MID(K3964,2,2)="06","전라",MID(K3964,2,2)="07","경북",MID(K3964,2,2)="08","경남",MID(K3964,2,2)="09","강원",MID(K3964,2,2)="10","제주",TRUE,"국외")</f>
        <v>경남</v>
      </c>
    </row>
    <row r="3965" spans="1:12" ht="17.25" thickBot="1">
      <c r="A3965" s="3" t="s">
        <v>3786</v>
      </c>
      <c r="B3965" s="3" t="s">
        <v>63</v>
      </c>
      <c r="C3965" s="3" t="s">
        <v>119</v>
      </c>
      <c r="D3965" s="4" t="s">
        <v>3595</v>
      </c>
      <c r="E3965" s="4" t="s">
        <v>9</v>
      </c>
      <c r="F3965" s="4">
        <v>1982</v>
      </c>
      <c r="G3965" s="8">
        <v>1.1000000000000001</v>
      </c>
      <c r="H3965" s="4" t="s">
        <v>9</v>
      </c>
      <c r="I3965" s="8">
        <v>4.9000000000000004</v>
      </c>
      <c r="J3965" s="3">
        <f>1072</f>
        <v>1072</v>
      </c>
      <c r="K3965" s="3">
        <v>50807</v>
      </c>
      <c r="L3965" s="17" t="str" cm="1">
        <f t="array" ref="L3965">_xlfn.IFS(MID(K3965,2,2)="01", "서울", MID(K3965,2,2)="02","경기",MID(K3965,2,2)="03","충청",MID(K3965,2,2)="04","충청",MID(K3965,2,2)="05","전라",MID(K3965,2,2)="06","전라",MID(K3965,2,2)="07","경북",MID(K3965,2,2)="08","경남",MID(K3965,2,2)="09","강원",MID(K3965,2,2)="10","제주",TRUE,"국외")</f>
        <v>경남</v>
      </c>
    </row>
    <row r="3966" spans="1:12" ht="17.25" thickBot="1">
      <c r="A3966" s="3" t="s">
        <v>3787</v>
      </c>
      <c r="B3966" s="3" t="s">
        <v>11</v>
      </c>
      <c r="C3966" s="3" t="s">
        <v>218</v>
      </c>
      <c r="D3966" s="4" t="s">
        <v>3595</v>
      </c>
      <c r="E3966" s="4" t="s">
        <v>9</v>
      </c>
      <c r="F3966" s="4">
        <v>1982</v>
      </c>
      <c r="G3966" s="8">
        <v>2.5</v>
      </c>
      <c r="H3966" s="4" t="s">
        <v>9</v>
      </c>
      <c r="I3966" s="8">
        <v>4.4000000000000004</v>
      </c>
      <c r="J3966" s="3">
        <f>1110</f>
        <v>1110</v>
      </c>
      <c r="K3966" s="3">
        <v>50802</v>
      </c>
      <c r="L3966" s="17" t="str" cm="1">
        <f t="array" ref="L3966">_xlfn.IFS(MID(K3966,2,2)="01", "서울", MID(K3966,2,2)="02","경기",MID(K3966,2,2)="03","충청",MID(K3966,2,2)="04","충청",MID(K3966,2,2)="05","전라",MID(K3966,2,2)="06","전라",MID(K3966,2,2)="07","경북",MID(K3966,2,2)="08","경남",MID(K3966,2,2)="09","강원",MID(K3966,2,2)="10","제주",TRUE,"국외")</f>
        <v>경남</v>
      </c>
    </row>
    <row r="3967" spans="1:12" ht="17.25" thickBot="1">
      <c r="A3967" s="3" t="s">
        <v>3788</v>
      </c>
      <c r="B3967" s="3" t="s">
        <v>11</v>
      </c>
      <c r="C3967" s="3" t="s">
        <v>45</v>
      </c>
      <c r="D3967" s="4" t="s">
        <v>3595</v>
      </c>
      <c r="E3967" s="4" t="s">
        <v>9</v>
      </c>
      <c r="F3967" s="4">
        <v>1982</v>
      </c>
      <c r="G3967" s="8">
        <v>-0.6</v>
      </c>
      <c r="H3967" s="4" t="s">
        <v>9</v>
      </c>
      <c r="I3967" s="8">
        <v>-0.6</v>
      </c>
      <c r="J3967" s="3">
        <f>1086</f>
        <v>1086</v>
      </c>
      <c r="K3967" s="3">
        <v>50802</v>
      </c>
      <c r="L3967" s="17" t="str" cm="1">
        <f t="array" ref="L3967">_xlfn.IFS(MID(K3967,2,2)="01", "서울", MID(K3967,2,2)="02","경기",MID(K3967,2,2)="03","충청",MID(K3967,2,2)="04","충청",MID(K3967,2,2)="05","전라",MID(K3967,2,2)="06","전라",MID(K3967,2,2)="07","경북",MID(K3967,2,2)="08","경남",MID(K3967,2,2)="09","강원",MID(K3967,2,2)="10","제주",TRUE,"국외")</f>
        <v>경남</v>
      </c>
    </row>
    <row r="3968" spans="1:12" ht="17.25" thickBot="1">
      <c r="A3968" s="3" t="s">
        <v>3789</v>
      </c>
      <c r="B3968" s="3" t="s">
        <v>335</v>
      </c>
      <c r="C3968" s="3" t="s">
        <v>119</v>
      </c>
      <c r="D3968" s="4" t="s">
        <v>3595</v>
      </c>
      <c r="E3968" s="4" t="s">
        <v>9</v>
      </c>
      <c r="F3968" s="4">
        <v>1982</v>
      </c>
      <c r="G3968" s="8">
        <v>0.2</v>
      </c>
      <c r="H3968" s="4" t="s">
        <v>9</v>
      </c>
      <c r="I3968" s="8">
        <v>0.2</v>
      </c>
      <c r="J3968" s="3">
        <f>1097</f>
        <v>1097</v>
      </c>
      <c r="K3968" s="3">
        <v>50804</v>
      </c>
      <c r="L3968" s="17" t="str" cm="1">
        <f t="array" ref="L3968">_xlfn.IFS(MID(K3968,2,2)="01", "서울", MID(K3968,2,2)="02","경기",MID(K3968,2,2)="03","충청",MID(K3968,2,2)="04","충청",MID(K3968,2,2)="05","전라",MID(K3968,2,2)="06","전라",MID(K3968,2,2)="07","경북",MID(K3968,2,2)="08","경남",MID(K3968,2,2)="09","강원",MID(K3968,2,2)="10","제주",TRUE,"국외")</f>
        <v>경남</v>
      </c>
    </row>
    <row r="3969" spans="1:12" ht="17.25" thickBot="1">
      <c r="A3969" s="3" t="s">
        <v>3790</v>
      </c>
      <c r="B3969" s="3" t="s">
        <v>63</v>
      </c>
      <c r="C3969" s="3" t="s">
        <v>119</v>
      </c>
      <c r="D3969" s="4" t="s">
        <v>3595</v>
      </c>
      <c r="E3969" s="4" t="s">
        <v>9</v>
      </c>
      <c r="F3969" s="4">
        <v>1982</v>
      </c>
      <c r="G3969" s="8">
        <v>-0.1</v>
      </c>
      <c r="H3969" s="4" t="s">
        <v>9</v>
      </c>
      <c r="I3969" s="8">
        <v>-0.3</v>
      </c>
      <c r="J3969" s="3">
        <f>1082</f>
        <v>1082</v>
      </c>
      <c r="K3969" s="3">
        <v>50807</v>
      </c>
      <c r="L3969" s="17" t="str" cm="1">
        <f t="array" ref="L3969">_xlfn.IFS(MID(K3969,2,2)="01", "서울", MID(K3969,2,2)="02","경기",MID(K3969,2,2)="03","충청",MID(K3969,2,2)="04","충청",MID(K3969,2,2)="05","전라",MID(K3969,2,2)="06","전라",MID(K3969,2,2)="07","경북",MID(K3969,2,2)="08","경남",MID(K3969,2,2)="09","강원",MID(K3969,2,2)="10","제주",TRUE,"국외")</f>
        <v>경남</v>
      </c>
    </row>
    <row r="3970" spans="1:12" ht="17.25" thickBot="1">
      <c r="A3970" s="3" t="s">
        <v>2297</v>
      </c>
      <c r="B3970" s="3" t="s">
        <v>93</v>
      </c>
      <c r="C3970" s="3" t="s">
        <v>739</v>
      </c>
      <c r="D3970" s="4" t="s">
        <v>3595</v>
      </c>
      <c r="E3970" s="4" t="s">
        <v>9</v>
      </c>
      <c r="F3970" s="4">
        <v>1982</v>
      </c>
      <c r="G3970" s="8">
        <v>2.6</v>
      </c>
      <c r="H3970" s="4" t="s">
        <v>9</v>
      </c>
      <c r="I3970" s="8">
        <v>5.3</v>
      </c>
      <c r="J3970" s="3">
        <f>1014</f>
        <v>1014</v>
      </c>
      <c r="K3970" s="3">
        <v>50805</v>
      </c>
      <c r="L3970" s="17" t="str" cm="1">
        <f t="array" ref="L3970">_xlfn.IFS(MID(K3970,2,2)="01", "서울", MID(K3970,2,2)="02","경기",MID(K3970,2,2)="03","충청",MID(K3970,2,2)="04","충청",MID(K3970,2,2)="05","전라",MID(K3970,2,2)="06","전라",MID(K3970,2,2)="07","경북",MID(K3970,2,2)="08","경남",MID(K3970,2,2)="09","강원",MID(K3970,2,2)="10","제주",TRUE,"국외")</f>
        <v>경남</v>
      </c>
    </row>
    <row r="3971" spans="1:12" ht="17.25" thickBot="1">
      <c r="A3971" s="3" t="s">
        <v>2893</v>
      </c>
      <c r="B3971" s="3" t="s">
        <v>63</v>
      </c>
      <c r="C3971" s="3" t="s">
        <v>119</v>
      </c>
      <c r="D3971" s="4" t="s">
        <v>3595</v>
      </c>
      <c r="E3971" s="4" t="s">
        <v>9</v>
      </c>
      <c r="F3971" s="4">
        <v>1982</v>
      </c>
      <c r="G3971" s="8">
        <v>3.7</v>
      </c>
      <c r="H3971" s="4" t="s">
        <v>9</v>
      </c>
      <c r="I3971" s="8">
        <v>9.1</v>
      </c>
      <c r="J3971" s="3">
        <f>1095</f>
        <v>1095</v>
      </c>
      <c r="K3971" s="3">
        <v>50807</v>
      </c>
      <c r="L3971" s="17" t="str" cm="1">
        <f t="array" ref="L3971">_xlfn.IFS(MID(K3971,2,2)="01", "서울", MID(K3971,2,2)="02","경기",MID(K3971,2,2)="03","충청",MID(K3971,2,2)="04","충청",MID(K3971,2,2)="05","전라",MID(K3971,2,2)="06","전라",MID(K3971,2,2)="07","경북",MID(K3971,2,2)="08","경남",MID(K3971,2,2)="09","강원",MID(K3971,2,2)="10","제주",TRUE,"국외")</f>
        <v>경남</v>
      </c>
    </row>
    <row r="3972" spans="1:12" ht="17.25" thickBot="1">
      <c r="A3972" s="3" t="s">
        <v>3791</v>
      </c>
      <c r="B3972" s="3" t="s">
        <v>93</v>
      </c>
      <c r="C3972" s="3" t="s">
        <v>119</v>
      </c>
      <c r="D3972" s="4" t="s">
        <v>3595</v>
      </c>
      <c r="E3972" s="4" t="s">
        <v>9</v>
      </c>
      <c r="F3972" s="4">
        <v>1982</v>
      </c>
      <c r="G3972" s="8">
        <v>0.4</v>
      </c>
      <c r="H3972" s="4" t="s">
        <v>9</v>
      </c>
      <c r="I3972" s="8">
        <v>1.6</v>
      </c>
      <c r="J3972" s="3">
        <f>1121</f>
        <v>1121</v>
      </c>
      <c r="K3972" s="3">
        <v>50805</v>
      </c>
      <c r="L3972" s="17" t="str" cm="1">
        <f t="array" ref="L3972">_xlfn.IFS(MID(K3972,2,2)="01", "서울", MID(K3972,2,2)="02","경기",MID(K3972,2,2)="03","충청",MID(K3972,2,2)="04","충청",MID(K3972,2,2)="05","전라",MID(K3972,2,2)="06","전라",MID(K3972,2,2)="07","경북",MID(K3972,2,2)="08","경남",MID(K3972,2,2)="09","강원",MID(K3972,2,2)="10","제주",TRUE,"국외")</f>
        <v>경남</v>
      </c>
    </row>
    <row r="3973" spans="1:12" ht="17.25" thickBot="1">
      <c r="A3973" s="3" t="s">
        <v>3792</v>
      </c>
      <c r="B3973" s="3" t="s">
        <v>335</v>
      </c>
      <c r="C3973" s="3" t="s">
        <v>211</v>
      </c>
      <c r="D3973" s="4" t="s">
        <v>3595</v>
      </c>
      <c r="E3973" s="4" t="s">
        <v>9</v>
      </c>
      <c r="F3973" s="4">
        <v>1982</v>
      </c>
      <c r="G3973" s="8">
        <v>0.6</v>
      </c>
      <c r="H3973" s="4" t="s">
        <v>3525</v>
      </c>
      <c r="I3973" s="8">
        <v>1.6</v>
      </c>
      <c r="J3973" s="3">
        <f>1002</f>
        <v>1002</v>
      </c>
      <c r="K3973" s="3">
        <v>50804</v>
      </c>
      <c r="L3973" s="17" t="str" cm="1">
        <f t="array" ref="L3973">_xlfn.IFS(MID(K3973,2,2)="01", "서울", MID(K3973,2,2)="02","경기",MID(K3973,2,2)="03","충청",MID(K3973,2,2)="04","충청",MID(K3973,2,2)="05","전라",MID(K3973,2,2)="06","전라",MID(K3973,2,2)="07","경북",MID(K3973,2,2)="08","경남",MID(K3973,2,2)="09","강원",MID(K3973,2,2)="10","제주",TRUE,"국외")</f>
        <v>경남</v>
      </c>
    </row>
    <row r="3974" spans="1:12" ht="17.25" thickBot="1">
      <c r="A3974" s="3" t="s">
        <v>3793</v>
      </c>
      <c r="B3974" s="3" t="s">
        <v>93</v>
      </c>
      <c r="C3974" s="3" t="s">
        <v>99</v>
      </c>
      <c r="D3974" s="4" t="s">
        <v>3595</v>
      </c>
      <c r="E3974" s="4" t="s">
        <v>9</v>
      </c>
      <c r="F3974" s="4">
        <v>1982</v>
      </c>
      <c r="G3974" s="8">
        <v>0</v>
      </c>
      <c r="H3974" s="4" t="s">
        <v>2523</v>
      </c>
      <c r="I3974" s="8">
        <v>0.3</v>
      </c>
      <c r="J3974" s="3">
        <f>1061</f>
        <v>1061</v>
      </c>
      <c r="K3974" s="3">
        <v>50805</v>
      </c>
      <c r="L3974" s="17" t="str" cm="1">
        <f t="array" ref="L3974">_xlfn.IFS(MID(K3974,2,2)="01", "서울", MID(K3974,2,2)="02","경기",MID(K3974,2,2)="03","충청",MID(K3974,2,2)="04","충청",MID(K3974,2,2)="05","전라",MID(K3974,2,2)="06","전라",MID(K3974,2,2)="07","경북",MID(K3974,2,2)="08","경남",MID(K3974,2,2)="09","강원",MID(K3974,2,2)="10","제주",TRUE,"국외")</f>
        <v>경남</v>
      </c>
    </row>
    <row r="3975" spans="1:12" ht="17.25" thickBot="1">
      <c r="A3975" s="3" t="s">
        <v>3794</v>
      </c>
      <c r="B3975" s="3" t="s">
        <v>11</v>
      </c>
      <c r="C3975" s="3" t="s">
        <v>45</v>
      </c>
      <c r="D3975" s="4" t="s">
        <v>3595</v>
      </c>
      <c r="E3975" s="4" t="s">
        <v>9</v>
      </c>
      <c r="F3975" s="4">
        <v>1982</v>
      </c>
      <c r="G3975" s="8">
        <v>1.2</v>
      </c>
      <c r="H3975" s="4" t="s">
        <v>9</v>
      </c>
      <c r="I3975" s="8">
        <v>1</v>
      </c>
      <c r="J3975" s="3">
        <f>1006</f>
        <v>1006</v>
      </c>
      <c r="K3975" s="3">
        <v>50802</v>
      </c>
      <c r="L3975" s="17" t="str" cm="1">
        <f t="array" ref="L3975">_xlfn.IFS(MID(K3975,2,2)="01", "서울", MID(K3975,2,2)="02","경기",MID(K3975,2,2)="03","충청",MID(K3975,2,2)="04","충청",MID(K3975,2,2)="05","전라",MID(K3975,2,2)="06","전라",MID(K3975,2,2)="07","경북",MID(K3975,2,2)="08","경남",MID(K3975,2,2)="09","강원",MID(K3975,2,2)="10","제주",TRUE,"국외")</f>
        <v>경남</v>
      </c>
    </row>
    <row r="3976" spans="1:12" ht="17.25" thickBot="1">
      <c r="A3976" s="3" t="s">
        <v>3795</v>
      </c>
      <c r="B3976" s="3" t="s">
        <v>11</v>
      </c>
      <c r="C3976" s="3"/>
      <c r="D3976" s="4" t="s">
        <v>3595</v>
      </c>
      <c r="E3976" s="4" t="s">
        <v>9</v>
      </c>
      <c r="F3976" s="4">
        <v>1982</v>
      </c>
      <c r="G3976" s="8">
        <v>1.2</v>
      </c>
      <c r="H3976" s="4" t="s">
        <v>3387</v>
      </c>
      <c r="I3976" s="8">
        <v>0.3</v>
      </c>
      <c r="J3976" s="3">
        <f>1032</f>
        <v>1032</v>
      </c>
      <c r="K3976" s="3">
        <v>50802</v>
      </c>
      <c r="L3976" s="17" t="str" cm="1">
        <f t="array" ref="L3976">_xlfn.IFS(MID(K3976,2,2)="01", "서울", MID(K3976,2,2)="02","경기",MID(K3976,2,2)="03","충청",MID(K3976,2,2)="04","충청",MID(K3976,2,2)="05","전라",MID(K3976,2,2)="06","전라",MID(K3976,2,2)="07","경북",MID(K3976,2,2)="08","경남",MID(K3976,2,2)="09","강원",MID(K3976,2,2)="10","제주",TRUE,"국외")</f>
        <v>경남</v>
      </c>
    </row>
    <row r="3977" spans="1:12" ht="17.25" thickBot="1">
      <c r="A3977" s="3" t="s">
        <v>3796</v>
      </c>
      <c r="B3977" s="3" t="s">
        <v>1784</v>
      </c>
      <c r="C3977" s="3" t="s">
        <v>45</v>
      </c>
      <c r="D3977" s="4" t="s">
        <v>3595</v>
      </c>
      <c r="E3977" s="4" t="s">
        <v>9</v>
      </c>
      <c r="F3977" s="4">
        <v>1982</v>
      </c>
      <c r="G3977" s="8">
        <v>5.2</v>
      </c>
      <c r="H3977" s="4" t="s">
        <v>9</v>
      </c>
      <c r="I3977" s="8">
        <v>4.9000000000000004</v>
      </c>
      <c r="J3977" s="3">
        <f>1125</f>
        <v>1125</v>
      </c>
      <c r="K3977" s="3">
        <v>50812</v>
      </c>
      <c r="L3977" s="17" t="str" cm="1">
        <f t="array" ref="L3977">_xlfn.IFS(MID(K3977,2,2)="01", "서울", MID(K3977,2,2)="02","경기",MID(K3977,2,2)="03","충청",MID(K3977,2,2)="04","충청",MID(K3977,2,2)="05","전라",MID(K3977,2,2)="06","전라",MID(K3977,2,2)="07","경북",MID(K3977,2,2)="08","경남",MID(K3977,2,2)="09","강원",MID(K3977,2,2)="10","제주",TRUE,"국외")</f>
        <v>경남</v>
      </c>
    </row>
    <row r="3978" spans="1:12" ht="17.25" thickBot="1">
      <c r="A3978" s="3" t="s">
        <v>3797</v>
      </c>
      <c r="B3978" s="3" t="s">
        <v>1784</v>
      </c>
      <c r="C3978" s="3" t="s">
        <v>45</v>
      </c>
      <c r="D3978" s="4" t="s">
        <v>3595</v>
      </c>
      <c r="E3978" s="4" t="s">
        <v>9</v>
      </c>
      <c r="F3978" s="4">
        <v>1982</v>
      </c>
      <c r="G3978" s="8">
        <v>-0.4</v>
      </c>
      <c r="H3978" s="4" t="s">
        <v>9</v>
      </c>
      <c r="I3978" s="8">
        <v>-1.5</v>
      </c>
      <c r="J3978" s="3">
        <f>1087</f>
        <v>1087</v>
      </c>
      <c r="K3978" s="3">
        <v>50812</v>
      </c>
      <c r="L3978" s="17" t="str" cm="1">
        <f t="array" ref="L3978">_xlfn.IFS(MID(K3978,2,2)="01", "서울", MID(K3978,2,2)="02","경기",MID(K3978,2,2)="03","충청",MID(K3978,2,2)="04","충청",MID(K3978,2,2)="05","전라",MID(K3978,2,2)="06","전라",MID(K3978,2,2)="07","경북",MID(K3978,2,2)="08","경남",MID(K3978,2,2)="09","강원",MID(K3978,2,2)="10","제주",TRUE,"국외")</f>
        <v>경남</v>
      </c>
    </row>
    <row r="3979" spans="1:12" ht="17.25" thickBot="1">
      <c r="A3979" s="3" t="s">
        <v>3480</v>
      </c>
      <c r="B3979" s="3" t="s">
        <v>11</v>
      </c>
      <c r="C3979" s="3" t="s">
        <v>45</v>
      </c>
      <c r="D3979" s="4" t="s">
        <v>3595</v>
      </c>
      <c r="E3979" s="4" t="s">
        <v>9</v>
      </c>
      <c r="F3979" s="4">
        <v>1982</v>
      </c>
      <c r="G3979" s="8">
        <v>1.2</v>
      </c>
      <c r="H3979" s="4" t="s">
        <v>9</v>
      </c>
      <c r="I3979" s="8">
        <v>10.7</v>
      </c>
      <c r="J3979" s="3">
        <v>11471</v>
      </c>
      <c r="K3979" s="3">
        <v>50802</v>
      </c>
      <c r="L3979" s="17" t="str" cm="1">
        <f t="array" ref="L3979">_xlfn.IFS(MID(K3979,2,2)="01", "서울", MID(K3979,2,2)="02","경기",MID(K3979,2,2)="03","충청",MID(K3979,2,2)="04","충청",MID(K3979,2,2)="05","전라",MID(K3979,2,2)="06","전라",MID(K3979,2,2)="07","경북",MID(K3979,2,2)="08","경남",MID(K3979,2,2)="09","강원",MID(K3979,2,2)="10","제주",TRUE,"국외")</f>
        <v>경남</v>
      </c>
    </row>
    <row r="3980" spans="1:12" ht="17.25" thickBot="1">
      <c r="A3980" s="3" t="s">
        <v>3798</v>
      </c>
      <c r="B3980" s="3" t="s">
        <v>1784</v>
      </c>
      <c r="C3980" s="3"/>
      <c r="D3980" s="4" t="s">
        <v>3595</v>
      </c>
      <c r="E3980" s="4" t="s">
        <v>9</v>
      </c>
      <c r="F3980" s="4">
        <v>1982</v>
      </c>
      <c r="G3980" s="8">
        <v>2.8</v>
      </c>
      <c r="H3980" s="4" t="s">
        <v>9</v>
      </c>
      <c r="I3980" s="8">
        <v>27.3</v>
      </c>
      <c r="J3980" s="3">
        <f>1009</f>
        <v>1009</v>
      </c>
      <c r="K3980" s="3">
        <v>50812</v>
      </c>
      <c r="L3980" s="17" t="str" cm="1">
        <f t="array" ref="L3980">_xlfn.IFS(MID(K3980,2,2)="01", "서울", MID(K3980,2,2)="02","경기",MID(K3980,2,2)="03","충청",MID(K3980,2,2)="04","충청",MID(K3980,2,2)="05","전라",MID(K3980,2,2)="06","전라",MID(K3980,2,2)="07","경북",MID(K3980,2,2)="08","경남",MID(K3980,2,2)="09","강원",MID(K3980,2,2)="10","제주",TRUE,"국외")</f>
        <v>경남</v>
      </c>
    </row>
    <row r="3981" spans="1:12" ht="17.25" thickBot="1">
      <c r="A3981" s="3" t="s">
        <v>3799</v>
      </c>
      <c r="B3981" s="3" t="s">
        <v>3800</v>
      </c>
      <c r="C3981" s="3" t="s">
        <v>538</v>
      </c>
      <c r="D3981" s="4" t="s">
        <v>3595</v>
      </c>
      <c r="E3981" s="4" t="s">
        <v>3614</v>
      </c>
      <c r="F3981" s="4">
        <v>1982</v>
      </c>
      <c r="G3981" s="8">
        <v>-0.2</v>
      </c>
      <c r="H3981" s="4" t="s">
        <v>3614</v>
      </c>
      <c r="I3981" s="8">
        <v>-2.5</v>
      </c>
      <c r="J3981" s="3">
        <f>1129</f>
        <v>1129</v>
      </c>
      <c r="K3981" s="3">
        <v>50712</v>
      </c>
      <c r="L3981" s="17" t="str" cm="1">
        <f t="array" ref="L3981">_xlfn.IFS(MID(K3981,2,2)="01", "서울", MID(K3981,2,2)="02","경기",MID(K3981,2,2)="03","충청",MID(K3981,2,2)="04","충청",MID(K3981,2,2)="05","전라",MID(K3981,2,2)="06","전라",MID(K3981,2,2)="07","경북",MID(K3981,2,2)="08","경남",MID(K3981,2,2)="09","강원",MID(K3981,2,2)="10","제주",TRUE,"국외")</f>
        <v>경북</v>
      </c>
    </row>
    <row r="3982" spans="1:12" ht="17.25" thickBot="1">
      <c r="A3982" s="3" t="s">
        <v>3801</v>
      </c>
      <c r="B3982" s="3"/>
      <c r="C3982" s="3" t="s">
        <v>99</v>
      </c>
      <c r="D3982" s="4" t="s">
        <v>3595</v>
      </c>
      <c r="E3982" s="4" t="s">
        <v>3614</v>
      </c>
      <c r="F3982" s="4">
        <v>1983</v>
      </c>
      <c r="G3982" s="9"/>
      <c r="H3982" s="4" t="s">
        <v>3525</v>
      </c>
      <c r="I3982" s="8">
        <v>0</v>
      </c>
      <c r="J3982" s="3">
        <f>1190</f>
        <v>1190</v>
      </c>
      <c r="K3982" s="3"/>
      <c r="L3982" s="17" t="str" cm="1">
        <f t="array" ref="L3982">_xlfn.IFS(MID(K3982,2,2)="01", "서울", MID(K3982,2,2)="02","경기",MID(K3982,2,2)="03","충청",MID(K3982,2,2)="04","충청",MID(K3982,2,2)="05","전라",MID(K3982,2,2)="06","전라",MID(K3982,2,2)="07","경북",MID(K3982,2,2)="08","경남",MID(K3982,2,2)="09","강원",MID(K3982,2,2)="10","제주",TRUE,"국외")</f>
        <v>국외</v>
      </c>
    </row>
    <row r="3983" spans="1:12" ht="17.25" thickBot="1">
      <c r="A3983" s="3" t="s">
        <v>3802</v>
      </c>
      <c r="B3983" s="3" t="s">
        <v>22</v>
      </c>
      <c r="C3983" s="3" t="s">
        <v>208</v>
      </c>
      <c r="D3983" s="4" t="s">
        <v>3595</v>
      </c>
      <c r="E3983" s="4" t="s">
        <v>3614</v>
      </c>
      <c r="F3983" s="4">
        <v>1982</v>
      </c>
      <c r="G3983" s="8">
        <v>2.9</v>
      </c>
      <c r="H3983" s="4" t="s">
        <v>3614</v>
      </c>
      <c r="I3983" s="8">
        <v>4.2</v>
      </c>
      <c r="J3983" s="3">
        <f>1031</f>
        <v>1031</v>
      </c>
      <c r="K3983" s="3">
        <v>50209</v>
      </c>
      <c r="L3983" s="17" t="str" cm="1">
        <f t="array" ref="L3983">_xlfn.IFS(MID(K3983,2,2)="01", "서울", MID(K3983,2,2)="02","경기",MID(K3983,2,2)="03","충청",MID(K3983,2,2)="04","충청",MID(K3983,2,2)="05","전라",MID(K3983,2,2)="06","전라",MID(K3983,2,2)="07","경북",MID(K3983,2,2)="08","경남",MID(K3983,2,2)="09","강원",MID(K3983,2,2)="10","제주",TRUE,"국외")</f>
        <v>경기</v>
      </c>
    </row>
    <row r="3984" spans="1:12" ht="17.25" thickBot="1">
      <c r="A3984" s="3" t="s">
        <v>3803</v>
      </c>
      <c r="B3984" s="3" t="s">
        <v>22</v>
      </c>
      <c r="C3984" s="3" t="s">
        <v>221</v>
      </c>
      <c r="D3984" s="4" t="s">
        <v>3595</v>
      </c>
      <c r="E3984" s="4" t="s">
        <v>3614</v>
      </c>
      <c r="F3984" s="4">
        <v>1982</v>
      </c>
      <c r="G3984" s="8">
        <v>0.8</v>
      </c>
      <c r="H3984" s="4" t="s">
        <v>3614</v>
      </c>
      <c r="I3984" s="8">
        <v>1.1000000000000001</v>
      </c>
      <c r="J3984" s="3">
        <f>1093</f>
        <v>1093</v>
      </c>
      <c r="K3984" s="3">
        <v>50209</v>
      </c>
      <c r="L3984" s="17" t="str" cm="1">
        <f t="array" ref="L3984">_xlfn.IFS(MID(K3984,2,2)="01", "서울", MID(K3984,2,2)="02","경기",MID(K3984,2,2)="03","충청",MID(K3984,2,2)="04","충청",MID(K3984,2,2)="05","전라",MID(K3984,2,2)="06","전라",MID(K3984,2,2)="07","경북",MID(K3984,2,2)="08","경남",MID(K3984,2,2)="09","강원",MID(K3984,2,2)="10","제주",TRUE,"국외")</f>
        <v>경기</v>
      </c>
    </row>
    <row r="3985" spans="1:12" ht="17.25" thickBot="1">
      <c r="A3985" s="3" t="s">
        <v>3804</v>
      </c>
      <c r="B3985" s="3" t="s">
        <v>22</v>
      </c>
      <c r="C3985" s="3" t="s">
        <v>208</v>
      </c>
      <c r="D3985" s="4" t="s">
        <v>3595</v>
      </c>
      <c r="E3985" s="4" t="s">
        <v>3614</v>
      </c>
      <c r="F3985" s="4">
        <v>1982</v>
      </c>
      <c r="G3985" s="8">
        <v>-1</v>
      </c>
      <c r="H3985" s="4" t="s">
        <v>3614</v>
      </c>
      <c r="I3985" s="8">
        <v>-1.9</v>
      </c>
      <c r="J3985" s="3">
        <v>12714</v>
      </c>
      <c r="K3985" s="3">
        <v>50209</v>
      </c>
      <c r="L3985" s="17" t="str" cm="1">
        <f t="array" ref="L3985">_xlfn.IFS(MID(K3985,2,2)="01", "서울", MID(K3985,2,2)="02","경기",MID(K3985,2,2)="03","충청",MID(K3985,2,2)="04","충청",MID(K3985,2,2)="05","전라",MID(K3985,2,2)="06","전라",MID(K3985,2,2)="07","경북",MID(K3985,2,2)="08","경남",MID(K3985,2,2)="09","강원",MID(K3985,2,2)="10","제주",TRUE,"국외")</f>
        <v>경기</v>
      </c>
    </row>
    <row r="3986" spans="1:12" ht="17.25" thickBot="1">
      <c r="A3986" s="3" t="s">
        <v>3805</v>
      </c>
      <c r="B3986" s="3" t="s">
        <v>52</v>
      </c>
      <c r="C3986" s="3"/>
      <c r="D3986" s="4" t="s">
        <v>3595</v>
      </c>
      <c r="E3986" s="4" t="s">
        <v>3614</v>
      </c>
      <c r="F3986" s="4">
        <v>1982</v>
      </c>
      <c r="G3986" s="8">
        <v>-1.5</v>
      </c>
      <c r="H3986" s="4" t="s">
        <v>3614</v>
      </c>
      <c r="I3986" s="8">
        <v>-3.3</v>
      </c>
      <c r="J3986" s="3">
        <f>1118</f>
        <v>1118</v>
      </c>
      <c r="K3986" s="3">
        <v>50803</v>
      </c>
      <c r="L3986" s="17" t="str" cm="1">
        <f t="array" ref="L3986">_xlfn.IFS(MID(K3986,2,2)="01", "서울", MID(K3986,2,2)="02","경기",MID(K3986,2,2)="03","충청",MID(K3986,2,2)="04","충청",MID(K3986,2,2)="05","전라",MID(K3986,2,2)="06","전라",MID(K3986,2,2)="07","경북",MID(K3986,2,2)="08","경남",MID(K3986,2,2)="09","강원",MID(K3986,2,2)="10","제주",TRUE,"국외")</f>
        <v>경남</v>
      </c>
    </row>
    <row r="3987" spans="1:12" ht="17.25" thickBot="1">
      <c r="A3987" s="3" t="s">
        <v>3806</v>
      </c>
      <c r="B3987" s="3" t="s">
        <v>22</v>
      </c>
      <c r="C3987" s="3" t="s">
        <v>221</v>
      </c>
      <c r="D3987" s="4" t="s">
        <v>3595</v>
      </c>
      <c r="E3987" s="4" t="s">
        <v>3614</v>
      </c>
      <c r="F3987" s="4">
        <v>1982</v>
      </c>
      <c r="G3987" s="8">
        <v>-0.4</v>
      </c>
      <c r="H3987" s="4" t="s">
        <v>3614</v>
      </c>
      <c r="I3987" s="8">
        <v>-0.4</v>
      </c>
      <c r="J3987" s="3">
        <f>1018</f>
        <v>1018</v>
      </c>
      <c r="K3987" s="3">
        <v>50209</v>
      </c>
      <c r="L3987" s="17" t="str" cm="1">
        <f t="array" ref="L3987">_xlfn.IFS(MID(K3987,2,2)="01", "서울", MID(K3987,2,2)="02","경기",MID(K3987,2,2)="03","충청",MID(K3987,2,2)="04","충청",MID(K3987,2,2)="05","전라",MID(K3987,2,2)="06","전라",MID(K3987,2,2)="07","경북",MID(K3987,2,2)="08","경남",MID(K3987,2,2)="09","강원",MID(K3987,2,2)="10","제주",TRUE,"국외")</f>
        <v>경기</v>
      </c>
    </row>
    <row r="3988" spans="1:12" ht="17.25" thickBot="1">
      <c r="A3988" s="3" t="s">
        <v>3807</v>
      </c>
      <c r="B3988" s="3" t="s">
        <v>22</v>
      </c>
      <c r="C3988" s="3" t="s">
        <v>221</v>
      </c>
      <c r="D3988" s="4" t="s">
        <v>3595</v>
      </c>
      <c r="E3988" s="4" t="s">
        <v>3614</v>
      </c>
      <c r="F3988" s="4">
        <v>1982</v>
      </c>
      <c r="G3988" s="8">
        <v>-3.3</v>
      </c>
      <c r="H3988" s="4" t="s">
        <v>3614</v>
      </c>
      <c r="I3988" s="8">
        <v>-4.5999999999999996</v>
      </c>
      <c r="J3988" s="3">
        <f>1132</f>
        <v>1132</v>
      </c>
      <c r="K3988" s="3">
        <v>50209</v>
      </c>
      <c r="L3988" s="17" t="str" cm="1">
        <f t="array" ref="L3988">_xlfn.IFS(MID(K3988,2,2)="01", "서울", MID(K3988,2,2)="02","경기",MID(K3988,2,2)="03","충청",MID(K3988,2,2)="04","충청",MID(K3988,2,2)="05","전라",MID(K3988,2,2)="06","전라",MID(K3988,2,2)="07","경북",MID(K3988,2,2)="08","경남",MID(K3988,2,2)="09","강원",MID(K3988,2,2)="10","제주",TRUE,"국외")</f>
        <v>경기</v>
      </c>
    </row>
    <row r="3989" spans="1:12" ht="17.25" thickBot="1">
      <c r="A3989" s="3" t="s">
        <v>3808</v>
      </c>
      <c r="B3989" s="3" t="s">
        <v>22</v>
      </c>
      <c r="C3989" s="3" t="s">
        <v>221</v>
      </c>
      <c r="D3989" s="4" t="s">
        <v>3595</v>
      </c>
      <c r="E3989" s="4" t="s">
        <v>3614</v>
      </c>
      <c r="F3989" s="4">
        <v>1982</v>
      </c>
      <c r="G3989" s="8">
        <v>0.4</v>
      </c>
      <c r="H3989" s="4" t="s">
        <v>3525</v>
      </c>
      <c r="I3989" s="8">
        <v>0.2</v>
      </c>
      <c r="J3989" s="3">
        <f>1089</f>
        <v>1089</v>
      </c>
      <c r="K3989" s="3">
        <v>50209</v>
      </c>
      <c r="L3989" s="17" t="str" cm="1">
        <f t="array" ref="L3989">_xlfn.IFS(MID(K3989,2,2)="01", "서울", MID(K3989,2,2)="02","경기",MID(K3989,2,2)="03","충청",MID(K3989,2,2)="04","충청",MID(K3989,2,2)="05","전라",MID(K3989,2,2)="06","전라",MID(K3989,2,2)="07","경북",MID(K3989,2,2)="08","경남",MID(K3989,2,2)="09","강원",MID(K3989,2,2)="10","제주",TRUE,"국외")</f>
        <v>경기</v>
      </c>
    </row>
    <row r="3990" spans="1:12" ht="17.25" thickBot="1">
      <c r="A3990" s="3" t="s">
        <v>3809</v>
      </c>
      <c r="B3990" s="3" t="s">
        <v>22</v>
      </c>
      <c r="C3990" s="3" t="s">
        <v>221</v>
      </c>
      <c r="D3990" s="4" t="s">
        <v>3595</v>
      </c>
      <c r="E3990" s="4" t="s">
        <v>3614</v>
      </c>
      <c r="F3990" s="4">
        <v>1982</v>
      </c>
      <c r="G3990" s="8">
        <v>0.6</v>
      </c>
      <c r="H3990" s="4" t="s">
        <v>3614</v>
      </c>
      <c r="I3990" s="8">
        <v>5.3</v>
      </c>
      <c r="J3990" s="3">
        <f>1021</f>
        <v>1021</v>
      </c>
      <c r="K3990" s="3">
        <v>50209</v>
      </c>
      <c r="L3990" s="17" t="str" cm="1">
        <f t="array" ref="L3990">_xlfn.IFS(MID(K3990,2,2)="01", "서울", MID(K3990,2,2)="02","경기",MID(K3990,2,2)="03","충청",MID(K3990,2,2)="04","충청",MID(K3990,2,2)="05","전라",MID(K3990,2,2)="06","전라",MID(K3990,2,2)="07","경북",MID(K3990,2,2)="08","경남",MID(K3990,2,2)="09","강원",MID(K3990,2,2)="10","제주",TRUE,"국외")</f>
        <v>경기</v>
      </c>
    </row>
    <row r="3991" spans="1:12" ht="17.25" thickBot="1">
      <c r="A3991" s="3" t="s">
        <v>2941</v>
      </c>
      <c r="B3991" s="3" t="s">
        <v>241</v>
      </c>
      <c r="C3991" s="3" t="s">
        <v>221</v>
      </c>
      <c r="D3991" s="4" t="s">
        <v>3595</v>
      </c>
      <c r="E3991" s="4" t="s">
        <v>3614</v>
      </c>
      <c r="F3991" s="4">
        <v>1982</v>
      </c>
      <c r="G3991" s="8">
        <v>-0.4</v>
      </c>
      <c r="H3991" s="4" t="s">
        <v>3614</v>
      </c>
      <c r="I3991" s="8">
        <v>-0.4</v>
      </c>
      <c r="J3991" s="3">
        <f>1126</f>
        <v>1126</v>
      </c>
      <c r="K3991" s="3">
        <v>50202</v>
      </c>
      <c r="L3991" s="17" t="str" cm="1">
        <f t="array" ref="L3991">_xlfn.IFS(MID(K3991,2,2)="01", "서울", MID(K3991,2,2)="02","경기",MID(K3991,2,2)="03","충청",MID(K3991,2,2)="04","충청",MID(K3991,2,2)="05","전라",MID(K3991,2,2)="06","전라",MID(K3991,2,2)="07","경북",MID(K3991,2,2)="08","경남",MID(K3991,2,2)="09","강원",MID(K3991,2,2)="10","제주",TRUE,"국외")</f>
        <v>경기</v>
      </c>
    </row>
    <row r="3992" spans="1:12" ht="17.25" thickBot="1">
      <c r="A3992" s="3" t="s">
        <v>155</v>
      </c>
      <c r="B3992" s="3" t="s">
        <v>241</v>
      </c>
      <c r="C3992" s="3"/>
      <c r="D3992" s="4" t="s">
        <v>3595</v>
      </c>
      <c r="E3992" s="4" t="s">
        <v>3614</v>
      </c>
      <c r="F3992" s="4">
        <v>1982</v>
      </c>
      <c r="G3992" s="8">
        <v>-2.2000000000000002</v>
      </c>
      <c r="H3992" s="4" t="s">
        <v>3614</v>
      </c>
      <c r="I3992" s="8">
        <v>-2.7</v>
      </c>
      <c r="J3992" s="3">
        <f>1123</f>
        <v>1123</v>
      </c>
      <c r="K3992" s="3">
        <v>50202</v>
      </c>
      <c r="L3992" s="17" t="str" cm="1">
        <f t="array" ref="L3992">_xlfn.IFS(MID(K3992,2,2)="01", "서울", MID(K3992,2,2)="02","경기",MID(K3992,2,2)="03","충청",MID(K3992,2,2)="04","충청",MID(K3992,2,2)="05","전라",MID(K3992,2,2)="06","전라",MID(K3992,2,2)="07","경북",MID(K3992,2,2)="08","경남",MID(K3992,2,2)="09","강원",MID(K3992,2,2)="10","제주",TRUE,"국외")</f>
        <v>경기</v>
      </c>
    </row>
    <row r="3993" spans="1:12" ht="17.25" thickBot="1">
      <c r="A3993" s="3" t="s">
        <v>3515</v>
      </c>
      <c r="B3993" s="3" t="s">
        <v>22</v>
      </c>
      <c r="C3993" s="3" t="s">
        <v>221</v>
      </c>
      <c r="D3993" s="4" t="s">
        <v>3595</v>
      </c>
      <c r="E3993" s="4" t="s">
        <v>3614</v>
      </c>
      <c r="F3993" s="4">
        <v>1982</v>
      </c>
      <c r="G3993" s="8">
        <v>0.9</v>
      </c>
      <c r="H3993" s="4" t="s">
        <v>3614</v>
      </c>
      <c r="I3993" s="8">
        <v>0</v>
      </c>
      <c r="J3993" s="3">
        <f>1004</f>
        <v>1004</v>
      </c>
      <c r="K3993" s="3">
        <v>50209</v>
      </c>
      <c r="L3993" s="17" t="str" cm="1">
        <f t="array" ref="L3993">_xlfn.IFS(MID(K3993,2,2)="01", "서울", MID(K3993,2,2)="02","경기",MID(K3993,2,2)="03","충청",MID(K3993,2,2)="04","충청",MID(K3993,2,2)="05","전라",MID(K3993,2,2)="06","전라",MID(K3993,2,2)="07","경북",MID(K3993,2,2)="08","경남",MID(K3993,2,2)="09","강원",MID(K3993,2,2)="10","제주",TRUE,"국외")</f>
        <v>경기</v>
      </c>
    </row>
    <row r="3994" spans="1:12" ht="17.25" thickBot="1">
      <c r="A3994" s="3" t="s">
        <v>3810</v>
      </c>
      <c r="B3994" s="3" t="s">
        <v>241</v>
      </c>
      <c r="C3994" s="3"/>
      <c r="D3994" s="4" t="s">
        <v>3595</v>
      </c>
      <c r="E3994" s="4" t="s">
        <v>3614</v>
      </c>
      <c r="F3994" s="4">
        <v>1982</v>
      </c>
      <c r="G3994" s="8">
        <v>-0.3</v>
      </c>
      <c r="H3994" s="4" t="s">
        <v>3614</v>
      </c>
      <c r="I3994" s="8">
        <v>-0.3</v>
      </c>
      <c r="J3994" s="3">
        <f>1070</f>
        <v>1070</v>
      </c>
      <c r="K3994" s="3">
        <v>50202</v>
      </c>
      <c r="L3994" s="17" t="str" cm="1">
        <f t="array" ref="L3994">_xlfn.IFS(MID(K3994,2,2)="01", "서울", MID(K3994,2,2)="02","경기",MID(K3994,2,2)="03","충청",MID(K3994,2,2)="04","충청",MID(K3994,2,2)="05","전라",MID(K3994,2,2)="06","전라",MID(K3994,2,2)="07","경북",MID(K3994,2,2)="08","경남",MID(K3994,2,2)="09","강원",MID(K3994,2,2)="10","제주",TRUE,"국외")</f>
        <v>경기</v>
      </c>
    </row>
    <row r="3995" spans="1:12" ht="17.25" thickBot="1">
      <c r="A3995" s="3" t="s">
        <v>1468</v>
      </c>
      <c r="B3995" s="3" t="s">
        <v>241</v>
      </c>
      <c r="C3995" s="3" t="s">
        <v>538</v>
      </c>
      <c r="D3995" s="4" t="s">
        <v>3595</v>
      </c>
      <c r="E3995" s="4" t="s">
        <v>3614</v>
      </c>
      <c r="F3995" s="4">
        <v>1982</v>
      </c>
      <c r="G3995" s="8">
        <v>-0.2</v>
      </c>
      <c r="H3995" s="4" t="s">
        <v>3614</v>
      </c>
      <c r="I3995" s="8">
        <v>-0.6</v>
      </c>
      <c r="J3995" s="3">
        <f>1099</f>
        <v>1099</v>
      </c>
      <c r="K3995" s="3">
        <v>50202</v>
      </c>
      <c r="L3995" s="17" t="str" cm="1">
        <f t="array" ref="L3995">_xlfn.IFS(MID(K3995,2,2)="01", "서울", MID(K3995,2,2)="02","경기",MID(K3995,2,2)="03","충청",MID(K3995,2,2)="04","충청",MID(K3995,2,2)="05","전라",MID(K3995,2,2)="06","전라",MID(K3995,2,2)="07","경북",MID(K3995,2,2)="08","경남",MID(K3995,2,2)="09","강원",MID(K3995,2,2)="10","제주",TRUE,"국외")</f>
        <v>경기</v>
      </c>
    </row>
    <row r="3996" spans="1:12" ht="17.25" thickBot="1">
      <c r="A3996" s="3" t="s">
        <v>3811</v>
      </c>
      <c r="B3996" s="3" t="s">
        <v>22</v>
      </c>
      <c r="C3996" s="3"/>
      <c r="D3996" s="4" t="s">
        <v>3595</v>
      </c>
      <c r="E3996" s="4" t="s">
        <v>3614</v>
      </c>
      <c r="F3996" s="4">
        <v>1982</v>
      </c>
      <c r="G3996" s="8">
        <v>-0.3</v>
      </c>
      <c r="H3996" s="4" t="s">
        <v>3614</v>
      </c>
      <c r="I3996" s="8">
        <v>-0.3</v>
      </c>
      <c r="J3996" s="3">
        <f>1056</f>
        <v>1056</v>
      </c>
      <c r="K3996" s="3">
        <v>50209</v>
      </c>
      <c r="L3996" s="17" t="str" cm="1">
        <f t="array" ref="L3996">_xlfn.IFS(MID(K3996,2,2)="01", "서울", MID(K3996,2,2)="02","경기",MID(K3996,2,2)="03","충청",MID(K3996,2,2)="04","충청",MID(K3996,2,2)="05","전라",MID(K3996,2,2)="06","전라",MID(K3996,2,2)="07","경북",MID(K3996,2,2)="08","경남",MID(K3996,2,2)="09","강원",MID(K3996,2,2)="10","제주",TRUE,"국외")</f>
        <v>경기</v>
      </c>
    </row>
    <row r="3997" spans="1:12" ht="17.25" thickBot="1">
      <c r="A3997" s="3" t="s">
        <v>3812</v>
      </c>
      <c r="B3997" s="3" t="s">
        <v>241</v>
      </c>
      <c r="C3997" s="3"/>
      <c r="D3997" s="4" t="s">
        <v>3595</v>
      </c>
      <c r="E3997" s="4" t="s">
        <v>3614</v>
      </c>
      <c r="F3997" s="4">
        <v>1982</v>
      </c>
      <c r="G3997" s="8">
        <v>-1.6</v>
      </c>
      <c r="H3997" s="4" t="s">
        <v>3614</v>
      </c>
      <c r="I3997" s="8">
        <v>-1.6</v>
      </c>
      <c r="J3997" s="3">
        <f>1057</f>
        <v>1057</v>
      </c>
      <c r="K3997" s="3">
        <v>50202</v>
      </c>
      <c r="L3997" s="17" t="str" cm="1">
        <f t="array" ref="L3997">_xlfn.IFS(MID(K3997,2,2)="01", "서울", MID(K3997,2,2)="02","경기",MID(K3997,2,2)="03","충청",MID(K3997,2,2)="04","충청",MID(K3997,2,2)="05","전라",MID(K3997,2,2)="06","전라",MID(K3997,2,2)="07","경북",MID(K3997,2,2)="08","경남",MID(K3997,2,2)="09","강원",MID(K3997,2,2)="10","제주",TRUE,"국외")</f>
        <v>경기</v>
      </c>
    </row>
    <row r="3998" spans="1:12" ht="17.25" thickBot="1">
      <c r="A3998" s="3" t="s">
        <v>2981</v>
      </c>
      <c r="B3998" s="3" t="s">
        <v>22</v>
      </c>
      <c r="C3998" s="3" t="s">
        <v>221</v>
      </c>
      <c r="D3998" s="4" t="s">
        <v>3595</v>
      </c>
      <c r="E3998" s="4" t="s">
        <v>3614</v>
      </c>
      <c r="F3998" s="4">
        <v>1982</v>
      </c>
      <c r="G3998" s="8">
        <v>-0.5</v>
      </c>
      <c r="H3998" s="4" t="s">
        <v>3614</v>
      </c>
      <c r="I3998" s="8">
        <v>-0.5</v>
      </c>
      <c r="J3998" s="3">
        <f>1066</f>
        <v>1066</v>
      </c>
      <c r="K3998" s="3">
        <v>50209</v>
      </c>
      <c r="L3998" s="17" t="str" cm="1">
        <f t="array" ref="L3998">_xlfn.IFS(MID(K3998,2,2)="01", "서울", MID(K3998,2,2)="02","경기",MID(K3998,2,2)="03","충청",MID(K3998,2,2)="04","충청",MID(K3998,2,2)="05","전라",MID(K3998,2,2)="06","전라",MID(K3998,2,2)="07","경북",MID(K3998,2,2)="08","경남",MID(K3998,2,2)="09","강원",MID(K3998,2,2)="10","제주",TRUE,"국외")</f>
        <v>경기</v>
      </c>
    </row>
    <row r="3999" spans="1:12" ht="17.25" thickBot="1">
      <c r="A3999" s="3" t="s">
        <v>3813</v>
      </c>
      <c r="B3999" s="3" t="s">
        <v>22</v>
      </c>
      <c r="C3999" s="3" t="s">
        <v>122</v>
      </c>
      <c r="D3999" s="4" t="s">
        <v>3595</v>
      </c>
      <c r="E3999" s="4" t="s">
        <v>3614</v>
      </c>
      <c r="F3999" s="4">
        <v>1982</v>
      </c>
      <c r="G3999" s="8">
        <v>1.5</v>
      </c>
      <c r="H3999" s="4" t="s">
        <v>3614</v>
      </c>
      <c r="I3999" s="8">
        <v>1.5</v>
      </c>
      <c r="J3999" s="3">
        <f>1068</f>
        <v>1068</v>
      </c>
      <c r="K3999" s="3">
        <v>50209</v>
      </c>
      <c r="L3999" s="17" t="str" cm="1">
        <f t="array" ref="L3999">_xlfn.IFS(MID(K3999,2,2)="01", "서울", MID(K3999,2,2)="02","경기",MID(K3999,2,2)="03","충청",MID(K3999,2,2)="04","충청",MID(K3999,2,2)="05","전라",MID(K3999,2,2)="06","전라",MID(K3999,2,2)="07","경북",MID(K3999,2,2)="08","경남",MID(K3999,2,2)="09","강원",MID(K3999,2,2)="10","제주",TRUE,"국외")</f>
        <v>경기</v>
      </c>
    </row>
    <row r="4000" spans="1:12" ht="17.25" thickBot="1">
      <c r="A4000" s="3" t="s">
        <v>264</v>
      </c>
      <c r="B4000" s="3" t="s">
        <v>38</v>
      </c>
      <c r="C4000" s="3"/>
      <c r="D4000" s="4" t="s">
        <v>3595</v>
      </c>
      <c r="E4000" s="4" t="s">
        <v>3614</v>
      </c>
      <c r="F4000" s="4">
        <v>1982</v>
      </c>
      <c r="G4000" s="8">
        <v>0.2</v>
      </c>
      <c r="H4000" s="4" t="s">
        <v>3614</v>
      </c>
      <c r="I4000" s="8">
        <v>1.5</v>
      </c>
      <c r="J4000" s="3">
        <f>1075</f>
        <v>1075</v>
      </c>
      <c r="K4000" s="3">
        <v>50109</v>
      </c>
      <c r="L4000" s="17" t="str" cm="1">
        <f t="array" ref="L4000">_xlfn.IFS(MID(K4000,2,2)="01", "서울", MID(K4000,2,2)="02","경기",MID(K4000,2,2)="03","충청",MID(K4000,2,2)="04","충청",MID(K4000,2,2)="05","전라",MID(K4000,2,2)="06","전라",MID(K4000,2,2)="07","경북",MID(K4000,2,2)="08","경남",MID(K4000,2,2)="09","강원",MID(K4000,2,2)="10","제주",TRUE,"국외")</f>
        <v>서울</v>
      </c>
    </row>
    <row r="4001" spans="1:12" ht="17.25" thickBot="1">
      <c r="A4001" s="3" t="s">
        <v>3814</v>
      </c>
      <c r="B4001" s="3" t="s">
        <v>241</v>
      </c>
      <c r="C4001" s="3"/>
      <c r="D4001" s="4" t="s">
        <v>3595</v>
      </c>
      <c r="E4001" s="4" t="s">
        <v>3614</v>
      </c>
      <c r="F4001" s="4">
        <v>1982</v>
      </c>
      <c r="G4001" s="8">
        <v>3</v>
      </c>
      <c r="H4001" s="4" t="s">
        <v>3614</v>
      </c>
      <c r="I4001" s="8">
        <v>6.3</v>
      </c>
      <c r="J4001" s="3">
        <f>1003</f>
        <v>1003</v>
      </c>
      <c r="K4001" s="3">
        <v>50202</v>
      </c>
      <c r="L4001" s="17" t="str" cm="1">
        <f t="array" ref="L4001">_xlfn.IFS(MID(K4001,2,2)="01", "서울", MID(K4001,2,2)="02","경기",MID(K4001,2,2)="03","충청",MID(K4001,2,2)="04","충청",MID(K4001,2,2)="05","전라",MID(K4001,2,2)="06","전라",MID(K4001,2,2)="07","경북",MID(K4001,2,2)="08","경남",MID(K4001,2,2)="09","강원",MID(K4001,2,2)="10","제주",TRUE,"국외")</f>
        <v>경기</v>
      </c>
    </row>
    <row r="4002" spans="1:12" ht="17.25" thickBot="1">
      <c r="A4002" s="3" t="s">
        <v>3815</v>
      </c>
      <c r="B4002" s="3" t="s">
        <v>241</v>
      </c>
      <c r="C4002" s="3" t="s">
        <v>211</v>
      </c>
      <c r="D4002" s="4" t="s">
        <v>3595</v>
      </c>
      <c r="E4002" s="4" t="s">
        <v>3614</v>
      </c>
      <c r="F4002" s="4">
        <v>1982</v>
      </c>
      <c r="G4002" s="8">
        <v>-0.1</v>
      </c>
      <c r="H4002" s="4" t="s">
        <v>3614</v>
      </c>
      <c r="I4002" s="8">
        <v>0.1</v>
      </c>
      <c r="J4002" s="3">
        <f>1102</f>
        <v>1102</v>
      </c>
      <c r="K4002" s="3">
        <v>50202</v>
      </c>
      <c r="L4002" s="17" t="str" cm="1">
        <f t="array" ref="L4002">_xlfn.IFS(MID(K4002,2,2)="01", "서울", MID(K4002,2,2)="02","경기",MID(K4002,2,2)="03","충청",MID(K4002,2,2)="04","충청",MID(K4002,2,2)="05","전라",MID(K4002,2,2)="06","전라",MID(K4002,2,2)="07","경북",MID(K4002,2,2)="08","경남",MID(K4002,2,2)="09","강원",MID(K4002,2,2)="10","제주",TRUE,"국외")</f>
        <v>경기</v>
      </c>
    </row>
    <row r="4003" spans="1:12" ht="17.25" thickBot="1">
      <c r="A4003" s="3" t="s">
        <v>3816</v>
      </c>
      <c r="B4003" s="3" t="s">
        <v>241</v>
      </c>
      <c r="C4003" s="3"/>
      <c r="D4003" s="4" t="s">
        <v>3595</v>
      </c>
      <c r="E4003" s="4" t="s">
        <v>3614</v>
      </c>
      <c r="F4003" s="4">
        <v>1982</v>
      </c>
      <c r="G4003" s="8">
        <v>-0.1</v>
      </c>
      <c r="H4003" s="4" t="s">
        <v>3614</v>
      </c>
      <c r="I4003" s="8">
        <v>-0.1</v>
      </c>
      <c r="J4003" s="3">
        <f>1090</f>
        <v>1090</v>
      </c>
      <c r="K4003" s="3">
        <v>50202</v>
      </c>
      <c r="L4003" s="17" t="str" cm="1">
        <f t="array" ref="L4003">_xlfn.IFS(MID(K4003,2,2)="01", "서울", MID(K4003,2,2)="02","경기",MID(K4003,2,2)="03","충청",MID(K4003,2,2)="04","충청",MID(K4003,2,2)="05","전라",MID(K4003,2,2)="06","전라",MID(K4003,2,2)="07","경북",MID(K4003,2,2)="08","경남",MID(K4003,2,2)="09","강원",MID(K4003,2,2)="10","제주",TRUE,"국외")</f>
        <v>경기</v>
      </c>
    </row>
    <row r="4004" spans="1:12" ht="17.25" thickBot="1">
      <c r="A4004" s="3" t="s">
        <v>3817</v>
      </c>
      <c r="B4004" s="3" t="s">
        <v>241</v>
      </c>
      <c r="C4004" s="3"/>
      <c r="D4004" s="4" t="s">
        <v>3595</v>
      </c>
      <c r="E4004" s="4" t="s">
        <v>3614</v>
      </c>
      <c r="F4004" s="4">
        <v>1982</v>
      </c>
      <c r="G4004" s="8">
        <v>-1.2</v>
      </c>
      <c r="H4004" s="4" t="s">
        <v>3614</v>
      </c>
      <c r="I4004" s="8">
        <v>-1.2</v>
      </c>
      <c r="J4004" s="3">
        <f>1088</f>
        <v>1088</v>
      </c>
      <c r="K4004" s="3">
        <v>50202</v>
      </c>
      <c r="L4004" s="17" t="str" cm="1">
        <f t="array" ref="L4004">_xlfn.IFS(MID(K4004,2,2)="01", "서울", MID(K4004,2,2)="02","경기",MID(K4004,2,2)="03","충청",MID(K4004,2,2)="04","충청",MID(K4004,2,2)="05","전라",MID(K4004,2,2)="06","전라",MID(K4004,2,2)="07","경북",MID(K4004,2,2)="08","경남",MID(K4004,2,2)="09","강원",MID(K4004,2,2)="10","제주",TRUE,"국외")</f>
        <v>경기</v>
      </c>
    </row>
    <row r="4005" spans="1:12" ht="17.25" thickBot="1">
      <c r="A4005" s="3" t="s">
        <v>2780</v>
      </c>
      <c r="B4005" s="3" t="s">
        <v>1</v>
      </c>
      <c r="C4005" s="3" t="s">
        <v>739</v>
      </c>
      <c r="D4005" s="4" t="s">
        <v>3595</v>
      </c>
      <c r="E4005" s="4" t="s">
        <v>3614</v>
      </c>
      <c r="F4005" s="4">
        <v>1982</v>
      </c>
      <c r="G4005" s="8">
        <v>-0.3</v>
      </c>
      <c r="H4005" s="4" t="s">
        <v>3614</v>
      </c>
      <c r="I4005" s="8">
        <v>-0.3</v>
      </c>
      <c r="J4005" s="3">
        <f>1084</f>
        <v>1084</v>
      </c>
      <c r="K4005" s="3">
        <v>50107</v>
      </c>
      <c r="L4005" s="17" t="str" cm="1">
        <f t="array" ref="L4005">_xlfn.IFS(MID(K4005,2,2)="01", "서울", MID(K4005,2,2)="02","경기",MID(K4005,2,2)="03","충청",MID(K4005,2,2)="04","충청",MID(K4005,2,2)="05","전라",MID(K4005,2,2)="06","전라",MID(K4005,2,2)="07","경북",MID(K4005,2,2)="08","경남",MID(K4005,2,2)="09","강원",MID(K4005,2,2)="10","제주",TRUE,"국외")</f>
        <v>서울</v>
      </c>
    </row>
    <row r="4006" spans="1:12" ht="17.25" thickBot="1">
      <c r="A4006" s="3" t="s">
        <v>3818</v>
      </c>
      <c r="B4006" s="3" t="s">
        <v>3800</v>
      </c>
      <c r="C4006" s="3" t="s">
        <v>739</v>
      </c>
      <c r="D4006" s="4" t="s">
        <v>3595</v>
      </c>
      <c r="E4006" s="4" t="s">
        <v>23</v>
      </c>
      <c r="F4006" s="4">
        <v>1982</v>
      </c>
      <c r="G4006" s="8">
        <v>2.2000000000000002</v>
      </c>
      <c r="H4006" s="4" t="s">
        <v>23</v>
      </c>
      <c r="I4006" s="8">
        <v>14.2</v>
      </c>
      <c r="J4006" s="3">
        <f>1034</f>
        <v>1034</v>
      </c>
      <c r="K4006" s="3">
        <v>50712</v>
      </c>
      <c r="L4006" s="17" t="str" cm="1">
        <f t="array" ref="L4006">_xlfn.IFS(MID(K4006,2,2)="01", "서울", MID(K4006,2,2)="02","경기",MID(K4006,2,2)="03","충청",MID(K4006,2,2)="04","충청",MID(K4006,2,2)="05","전라",MID(K4006,2,2)="06","전라",MID(K4006,2,2)="07","경북",MID(K4006,2,2)="08","경남",MID(K4006,2,2)="09","강원",MID(K4006,2,2)="10","제주",TRUE,"국외")</f>
        <v>경북</v>
      </c>
    </row>
    <row r="4007" spans="1:12" ht="17.25" thickBot="1">
      <c r="A4007" s="3" t="s">
        <v>3819</v>
      </c>
      <c r="B4007" s="3" t="s">
        <v>34</v>
      </c>
      <c r="C4007" s="3"/>
      <c r="D4007" s="4" t="s">
        <v>3595</v>
      </c>
      <c r="E4007" s="4" t="s">
        <v>23</v>
      </c>
      <c r="F4007" s="4">
        <v>1982</v>
      </c>
      <c r="G4007" s="8">
        <v>0.5</v>
      </c>
      <c r="H4007" s="4" t="s">
        <v>23</v>
      </c>
      <c r="I4007" s="8">
        <v>5.6</v>
      </c>
      <c r="J4007" s="3">
        <f>1053</f>
        <v>1053</v>
      </c>
      <c r="K4007" s="3">
        <v>50701</v>
      </c>
      <c r="L4007" s="17" t="str" cm="1">
        <f t="array" ref="L4007">_xlfn.IFS(MID(K4007,2,2)="01", "서울", MID(K4007,2,2)="02","경기",MID(K4007,2,2)="03","충청",MID(K4007,2,2)="04","충청",MID(K4007,2,2)="05","전라",MID(K4007,2,2)="06","전라",MID(K4007,2,2)="07","경북",MID(K4007,2,2)="08","경남",MID(K4007,2,2)="09","강원",MID(K4007,2,2)="10","제주",TRUE,"국외")</f>
        <v>경북</v>
      </c>
    </row>
    <row r="4008" spans="1:12" ht="17.25" thickBot="1">
      <c r="A4008" s="3" t="s">
        <v>3820</v>
      </c>
      <c r="B4008" s="3" t="s">
        <v>34</v>
      </c>
      <c r="C4008" s="3" t="s">
        <v>739</v>
      </c>
      <c r="D4008" s="4" t="s">
        <v>3595</v>
      </c>
      <c r="E4008" s="4" t="s">
        <v>23</v>
      </c>
      <c r="F4008" s="4">
        <v>1982</v>
      </c>
      <c r="G4008" s="8">
        <v>0.5</v>
      </c>
      <c r="H4008" s="4" t="s">
        <v>23</v>
      </c>
      <c r="I4008" s="8">
        <v>2.7</v>
      </c>
      <c r="J4008" s="3">
        <f>1052</f>
        <v>1052</v>
      </c>
      <c r="K4008" s="3">
        <v>50701</v>
      </c>
      <c r="L4008" s="17" t="str" cm="1">
        <f t="array" ref="L4008">_xlfn.IFS(MID(K4008,2,2)="01", "서울", MID(K4008,2,2)="02","경기",MID(K4008,2,2)="03","충청",MID(K4008,2,2)="04","충청",MID(K4008,2,2)="05","전라",MID(K4008,2,2)="06","전라",MID(K4008,2,2)="07","경북",MID(K4008,2,2)="08","경남",MID(K4008,2,2)="09","강원",MID(K4008,2,2)="10","제주",TRUE,"국외")</f>
        <v>경북</v>
      </c>
    </row>
    <row r="4009" spans="1:12" ht="17.25" thickBot="1">
      <c r="A4009" s="3" t="s">
        <v>3821</v>
      </c>
      <c r="B4009" s="3" t="s">
        <v>34</v>
      </c>
      <c r="C4009" s="3" t="s">
        <v>45</v>
      </c>
      <c r="D4009" s="4" t="s">
        <v>3595</v>
      </c>
      <c r="E4009" s="4" t="s">
        <v>23</v>
      </c>
      <c r="F4009" s="4">
        <v>1982</v>
      </c>
      <c r="G4009" s="8">
        <v>0.6</v>
      </c>
      <c r="H4009" s="4" t="s">
        <v>23</v>
      </c>
      <c r="I4009" s="8">
        <v>0.7</v>
      </c>
      <c r="J4009" s="3">
        <f>1044</f>
        <v>1044</v>
      </c>
      <c r="K4009" s="3">
        <v>50701</v>
      </c>
      <c r="L4009" s="17" t="str" cm="1">
        <f t="array" ref="L4009">_xlfn.IFS(MID(K4009,2,2)="01", "서울", MID(K4009,2,2)="02","경기",MID(K4009,2,2)="03","충청",MID(K4009,2,2)="04","충청",MID(K4009,2,2)="05","전라",MID(K4009,2,2)="06","전라",MID(K4009,2,2)="07","경북",MID(K4009,2,2)="08","경남",MID(K4009,2,2)="09","강원",MID(K4009,2,2)="10","제주",TRUE,"국외")</f>
        <v>경북</v>
      </c>
    </row>
    <row r="4010" spans="1:12" ht="17.25" thickBot="1">
      <c r="A4010" s="3" t="s">
        <v>3822</v>
      </c>
      <c r="B4010" s="3" t="s">
        <v>34</v>
      </c>
      <c r="C4010" s="3" t="s">
        <v>739</v>
      </c>
      <c r="D4010" s="4" t="s">
        <v>3595</v>
      </c>
      <c r="E4010" s="4" t="s">
        <v>23</v>
      </c>
      <c r="F4010" s="4">
        <v>1982</v>
      </c>
      <c r="G4010" s="8">
        <v>0</v>
      </c>
      <c r="H4010" s="4" t="s">
        <v>23</v>
      </c>
      <c r="I4010" s="8">
        <v>0</v>
      </c>
      <c r="J4010" s="3">
        <f>1043</f>
        <v>1043</v>
      </c>
      <c r="K4010" s="3">
        <v>50701</v>
      </c>
      <c r="L4010" s="17" t="str" cm="1">
        <f t="array" ref="L4010">_xlfn.IFS(MID(K4010,2,2)="01", "서울", MID(K4010,2,2)="02","경기",MID(K4010,2,2)="03","충청",MID(K4010,2,2)="04","충청",MID(K4010,2,2)="05","전라",MID(K4010,2,2)="06","전라",MID(K4010,2,2)="07","경북",MID(K4010,2,2)="08","경남",MID(K4010,2,2)="09","강원",MID(K4010,2,2)="10","제주",TRUE,"국외")</f>
        <v>경북</v>
      </c>
    </row>
    <row r="4011" spans="1:12" ht="17.25" thickBot="1">
      <c r="A4011" s="3" t="s">
        <v>2915</v>
      </c>
      <c r="B4011" s="3" t="s">
        <v>34</v>
      </c>
      <c r="C4011" s="3" t="s">
        <v>739</v>
      </c>
      <c r="D4011" s="4" t="s">
        <v>3595</v>
      </c>
      <c r="E4011" s="4" t="s">
        <v>23</v>
      </c>
      <c r="F4011" s="4">
        <v>1982</v>
      </c>
      <c r="G4011" s="8">
        <v>0.8</v>
      </c>
      <c r="H4011" s="4" t="s">
        <v>23</v>
      </c>
      <c r="I4011" s="8">
        <v>0.6</v>
      </c>
      <c r="J4011" s="3">
        <f>1039</f>
        <v>1039</v>
      </c>
      <c r="K4011" s="3">
        <v>50701</v>
      </c>
      <c r="L4011" s="17" t="str" cm="1">
        <f t="array" ref="L4011">_xlfn.IFS(MID(K4011,2,2)="01", "서울", MID(K4011,2,2)="02","경기",MID(K4011,2,2)="03","충청",MID(K4011,2,2)="04","충청",MID(K4011,2,2)="05","전라",MID(K4011,2,2)="06","전라",MID(K4011,2,2)="07","경북",MID(K4011,2,2)="08","경남",MID(K4011,2,2)="09","강원",MID(K4011,2,2)="10","제주",TRUE,"국외")</f>
        <v>경북</v>
      </c>
    </row>
    <row r="4012" spans="1:12" ht="17.25" thickBot="1">
      <c r="A4012" s="3" t="s">
        <v>2741</v>
      </c>
      <c r="B4012" s="3" t="s">
        <v>2524</v>
      </c>
      <c r="C4012" s="3" t="s">
        <v>99</v>
      </c>
      <c r="D4012" s="4" t="s">
        <v>3595</v>
      </c>
      <c r="E4012" s="4" t="s">
        <v>23</v>
      </c>
      <c r="F4012" s="4">
        <v>1982</v>
      </c>
      <c r="G4012" s="8">
        <v>-0.3</v>
      </c>
      <c r="H4012" s="4" t="s">
        <v>23</v>
      </c>
      <c r="I4012" s="8">
        <v>-0.4</v>
      </c>
      <c r="J4012" s="3">
        <f>1038</f>
        <v>1038</v>
      </c>
      <c r="K4012" s="3">
        <v>50711</v>
      </c>
      <c r="L4012" s="17" t="str" cm="1">
        <f t="array" ref="L4012">_xlfn.IFS(MID(K4012,2,2)="01", "서울", MID(K4012,2,2)="02","경기",MID(K4012,2,2)="03","충청",MID(K4012,2,2)="04","충청",MID(K4012,2,2)="05","전라",MID(K4012,2,2)="06","전라",MID(K4012,2,2)="07","경북",MID(K4012,2,2)="08","경남",MID(K4012,2,2)="09","강원",MID(K4012,2,2)="10","제주",TRUE,"국외")</f>
        <v>경북</v>
      </c>
    </row>
    <row r="4013" spans="1:12" ht="17.25" thickBot="1">
      <c r="A4013" s="3" t="s">
        <v>3823</v>
      </c>
      <c r="B4013" s="3" t="s">
        <v>34</v>
      </c>
      <c r="C4013" s="3"/>
      <c r="D4013" s="4" t="s">
        <v>3595</v>
      </c>
      <c r="E4013" s="4" t="s">
        <v>23</v>
      </c>
      <c r="F4013" s="4">
        <v>1982</v>
      </c>
      <c r="G4013" s="8">
        <v>1.3</v>
      </c>
      <c r="H4013" s="4" t="s">
        <v>23</v>
      </c>
      <c r="I4013" s="8">
        <v>3.7</v>
      </c>
      <c r="J4013" s="3">
        <f>1016</f>
        <v>1016</v>
      </c>
      <c r="K4013" s="3">
        <v>50701</v>
      </c>
      <c r="L4013" s="17" t="str" cm="1">
        <f t="array" ref="L4013">_xlfn.IFS(MID(K4013,2,2)="01", "서울", MID(K4013,2,2)="02","경기",MID(K4013,2,2)="03","충청",MID(K4013,2,2)="04","충청",MID(K4013,2,2)="05","전라",MID(K4013,2,2)="06","전라",MID(K4013,2,2)="07","경북",MID(K4013,2,2)="08","경남",MID(K4013,2,2)="09","강원",MID(K4013,2,2)="10","제주",TRUE,"국외")</f>
        <v>경북</v>
      </c>
    </row>
    <row r="4014" spans="1:12" ht="17.25" thickBot="1">
      <c r="A4014" s="3" t="s">
        <v>3824</v>
      </c>
      <c r="B4014" s="3" t="s">
        <v>2524</v>
      </c>
      <c r="C4014" s="3" t="s">
        <v>739</v>
      </c>
      <c r="D4014" s="4" t="s">
        <v>3595</v>
      </c>
      <c r="E4014" s="4" t="s">
        <v>23</v>
      </c>
      <c r="F4014" s="4">
        <v>1982</v>
      </c>
      <c r="G4014" s="8">
        <v>3.4</v>
      </c>
      <c r="H4014" s="4" t="s">
        <v>23</v>
      </c>
      <c r="I4014" s="8">
        <v>58.1</v>
      </c>
      <c r="J4014" s="3">
        <f>1025</f>
        <v>1025</v>
      </c>
      <c r="K4014" s="3">
        <v>50711</v>
      </c>
      <c r="L4014" s="17" t="str" cm="1">
        <f t="array" ref="L4014">_xlfn.IFS(MID(K4014,2,2)="01", "서울", MID(K4014,2,2)="02","경기",MID(K4014,2,2)="03","충청",MID(K4014,2,2)="04","충청",MID(K4014,2,2)="05","전라",MID(K4014,2,2)="06","전라",MID(K4014,2,2)="07","경북",MID(K4014,2,2)="08","경남",MID(K4014,2,2)="09","강원",MID(K4014,2,2)="10","제주",TRUE,"국외")</f>
        <v>경북</v>
      </c>
    </row>
    <row r="4015" spans="1:12" ht="17.25" thickBot="1">
      <c r="A4015" s="3" t="s">
        <v>3825</v>
      </c>
      <c r="B4015" s="3" t="s">
        <v>34</v>
      </c>
      <c r="C4015" s="3" t="s">
        <v>739</v>
      </c>
      <c r="D4015" s="4" t="s">
        <v>3595</v>
      </c>
      <c r="E4015" s="4" t="s">
        <v>23</v>
      </c>
      <c r="F4015" s="4">
        <v>1982</v>
      </c>
      <c r="G4015" s="8">
        <v>1.6</v>
      </c>
      <c r="H4015" s="4" t="s">
        <v>23</v>
      </c>
      <c r="I4015" s="8">
        <v>9.3000000000000007</v>
      </c>
      <c r="J4015" s="3">
        <f>1051</f>
        <v>1051</v>
      </c>
      <c r="K4015" s="3">
        <v>50701</v>
      </c>
      <c r="L4015" s="17" t="str" cm="1">
        <f t="array" ref="L4015">_xlfn.IFS(MID(K4015,2,2)="01", "서울", MID(K4015,2,2)="02","경기",MID(K4015,2,2)="03","충청",MID(K4015,2,2)="04","충청",MID(K4015,2,2)="05","전라",MID(K4015,2,2)="06","전라",MID(K4015,2,2)="07","경북",MID(K4015,2,2)="08","경남",MID(K4015,2,2)="09","강원",MID(K4015,2,2)="10","제주",TRUE,"국외")</f>
        <v>경북</v>
      </c>
    </row>
    <row r="4016" spans="1:12" ht="17.25" thickBot="1">
      <c r="A4016" s="3" t="s">
        <v>3826</v>
      </c>
      <c r="B4016" s="3" t="s">
        <v>2524</v>
      </c>
      <c r="C4016" s="3" t="s">
        <v>739</v>
      </c>
      <c r="D4016" s="4" t="s">
        <v>3595</v>
      </c>
      <c r="E4016" s="4" t="s">
        <v>23</v>
      </c>
      <c r="F4016" s="4">
        <v>1982</v>
      </c>
      <c r="G4016" s="8">
        <v>3.1</v>
      </c>
      <c r="H4016" s="4" t="s">
        <v>23</v>
      </c>
      <c r="I4016" s="8">
        <v>8.6999999999999993</v>
      </c>
      <c r="J4016" s="3">
        <f>1022</f>
        <v>1022</v>
      </c>
      <c r="K4016" s="3">
        <v>50711</v>
      </c>
      <c r="L4016" s="17" t="str" cm="1">
        <f t="array" ref="L4016">_xlfn.IFS(MID(K4016,2,2)="01", "서울", MID(K4016,2,2)="02","경기",MID(K4016,2,2)="03","충청",MID(K4016,2,2)="04","충청",MID(K4016,2,2)="05","전라",MID(K4016,2,2)="06","전라",MID(K4016,2,2)="07","경북",MID(K4016,2,2)="08","경남",MID(K4016,2,2)="09","강원",MID(K4016,2,2)="10","제주",TRUE,"국외")</f>
        <v>경북</v>
      </c>
    </row>
    <row r="4017" spans="1:12" ht="17.25" thickBot="1">
      <c r="A4017" s="3" t="s">
        <v>3827</v>
      </c>
      <c r="B4017" s="3"/>
      <c r="C4017" s="3" t="s">
        <v>739</v>
      </c>
      <c r="D4017" s="4" t="s">
        <v>3595</v>
      </c>
      <c r="E4017" s="4" t="s">
        <v>23</v>
      </c>
      <c r="F4017" s="4">
        <v>1982</v>
      </c>
      <c r="G4017" s="8">
        <v>-0.6</v>
      </c>
      <c r="H4017" s="4" t="s">
        <v>23</v>
      </c>
      <c r="I4017" s="8">
        <v>-0.6</v>
      </c>
      <c r="J4017" s="3">
        <f>1069</f>
        <v>1069</v>
      </c>
      <c r="K4017" s="3"/>
      <c r="L4017" s="17" t="str" cm="1">
        <f t="array" ref="L4017">_xlfn.IFS(MID(K4017,2,2)="01", "서울", MID(K4017,2,2)="02","경기",MID(K4017,2,2)="03","충청",MID(K4017,2,2)="04","충청",MID(K4017,2,2)="05","전라",MID(K4017,2,2)="06","전라",MID(K4017,2,2)="07","경북",MID(K4017,2,2)="08","경남",MID(K4017,2,2)="09","강원",MID(K4017,2,2)="10","제주",TRUE,"국외")</f>
        <v>국외</v>
      </c>
    </row>
    <row r="4018" spans="1:12" ht="17.25" thickBot="1">
      <c r="A4018" s="3" t="s">
        <v>3828</v>
      </c>
      <c r="B4018" s="3" t="s">
        <v>2524</v>
      </c>
      <c r="C4018" s="3" t="s">
        <v>208</v>
      </c>
      <c r="D4018" s="4" t="s">
        <v>3595</v>
      </c>
      <c r="E4018" s="4" t="s">
        <v>23</v>
      </c>
      <c r="F4018" s="4">
        <v>1982</v>
      </c>
      <c r="G4018" s="8">
        <v>-0.1</v>
      </c>
      <c r="H4018" s="4" t="s">
        <v>23</v>
      </c>
      <c r="I4018" s="8">
        <v>-0.6</v>
      </c>
      <c r="J4018" s="3">
        <f>1079</f>
        <v>1079</v>
      </c>
      <c r="K4018" s="3">
        <v>50711</v>
      </c>
      <c r="L4018" s="17" t="str" cm="1">
        <f t="array" ref="L4018">_xlfn.IFS(MID(K4018,2,2)="01", "서울", MID(K4018,2,2)="02","경기",MID(K4018,2,2)="03","충청",MID(K4018,2,2)="04","충청",MID(K4018,2,2)="05","전라",MID(K4018,2,2)="06","전라",MID(K4018,2,2)="07","경북",MID(K4018,2,2)="08","경남",MID(K4018,2,2)="09","강원",MID(K4018,2,2)="10","제주",TRUE,"국외")</f>
        <v>경북</v>
      </c>
    </row>
    <row r="4019" spans="1:12" ht="17.25" thickBot="1">
      <c r="A4019" s="3" t="s">
        <v>3829</v>
      </c>
      <c r="B4019" s="3" t="s">
        <v>34</v>
      </c>
      <c r="C4019" s="3" t="s">
        <v>208</v>
      </c>
      <c r="D4019" s="4" t="s">
        <v>3595</v>
      </c>
      <c r="E4019" s="4" t="s">
        <v>23</v>
      </c>
      <c r="F4019" s="4">
        <v>1982</v>
      </c>
      <c r="G4019" s="8">
        <v>-0.3</v>
      </c>
      <c r="H4019" s="4" t="s">
        <v>2523</v>
      </c>
      <c r="I4019" s="8">
        <v>14.1</v>
      </c>
      <c r="J4019" s="3">
        <f>1042</f>
        <v>1042</v>
      </c>
      <c r="K4019" s="3">
        <v>50701</v>
      </c>
      <c r="L4019" s="17" t="str" cm="1">
        <f t="array" ref="L4019">_xlfn.IFS(MID(K4019,2,2)="01", "서울", MID(K4019,2,2)="02","경기",MID(K4019,2,2)="03","충청",MID(K4019,2,2)="04","충청",MID(K4019,2,2)="05","전라",MID(K4019,2,2)="06","전라",MID(K4019,2,2)="07","경북",MID(K4019,2,2)="08","경남",MID(K4019,2,2)="09","강원",MID(K4019,2,2)="10","제주",TRUE,"국외")</f>
        <v>경북</v>
      </c>
    </row>
    <row r="4020" spans="1:12" ht="17.25" thickBot="1">
      <c r="A4020" s="3" t="s">
        <v>3830</v>
      </c>
      <c r="B4020" s="3" t="s">
        <v>34</v>
      </c>
      <c r="C4020" s="3" t="s">
        <v>211</v>
      </c>
      <c r="D4020" s="4" t="s">
        <v>3595</v>
      </c>
      <c r="E4020" s="4" t="s">
        <v>23</v>
      </c>
      <c r="F4020" s="4">
        <v>1982</v>
      </c>
      <c r="G4020" s="8">
        <v>0.2</v>
      </c>
      <c r="H4020" s="4" t="s">
        <v>3614</v>
      </c>
      <c r="I4020" s="8">
        <v>0.2</v>
      </c>
      <c r="J4020" s="3">
        <f>1028</f>
        <v>1028</v>
      </c>
      <c r="K4020" s="3">
        <v>50701</v>
      </c>
      <c r="L4020" s="17" t="str" cm="1">
        <f t="array" ref="L4020">_xlfn.IFS(MID(K4020,2,2)="01", "서울", MID(K4020,2,2)="02","경기",MID(K4020,2,2)="03","충청",MID(K4020,2,2)="04","충청",MID(K4020,2,2)="05","전라",MID(K4020,2,2)="06","전라",MID(K4020,2,2)="07","경북",MID(K4020,2,2)="08","경남",MID(K4020,2,2)="09","강원",MID(K4020,2,2)="10","제주",TRUE,"국외")</f>
        <v>경북</v>
      </c>
    </row>
    <row r="4021" spans="1:12" ht="17.25" thickBot="1">
      <c r="A4021" s="3" t="s">
        <v>1640</v>
      </c>
      <c r="B4021" s="3" t="s">
        <v>34</v>
      </c>
      <c r="C4021" s="3"/>
      <c r="D4021" s="4" t="s">
        <v>3595</v>
      </c>
      <c r="E4021" s="4" t="s">
        <v>23</v>
      </c>
      <c r="F4021" s="4">
        <v>1982</v>
      </c>
      <c r="G4021" s="8">
        <v>0.4</v>
      </c>
      <c r="H4021" s="4" t="s">
        <v>23</v>
      </c>
      <c r="I4021" s="8">
        <v>0.3</v>
      </c>
      <c r="J4021" s="3">
        <f>1041</f>
        <v>1041</v>
      </c>
      <c r="K4021" s="3">
        <v>50701</v>
      </c>
      <c r="L4021" s="17" t="str" cm="1">
        <f t="array" ref="L4021">_xlfn.IFS(MID(K4021,2,2)="01", "서울", MID(K4021,2,2)="02","경기",MID(K4021,2,2)="03","충청",MID(K4021,2,2)="04","충청",MID(K4021,2,2)="05","전라",MID(K4021,2,2)="06","전라",MID(K4021,2,2)="07","경북",MID(K4021,2,2)="08","경남",MID(K4021,2,2)="09","강원",MID(K4021,2,2)="10","제주",TRUE,"국외")</f>
        <v>경북</v>
      </c>
    </row>
    <row r="4022" spans="1:12" ht="17.25" thickBot="1">
      <c r="A4022" s="3" t="s">
        <v>3831</v>
      </c>
      <c r="B4022" s="3"/>
      <c r="C4022" s="3" t="s">
        <v>538</v>
      </c>
      <c r="D4022" s="4" t="s">
        <v>3595</v>
      </c>
      <c r="E4022" s="4" t="s">
        <v>23</v>
      </c>
      <c r="F4022" s="4">
        <v>1982</v>
      </c>
      <c r="G4022" s="8">
        <v>6.6</v>
      </c>
      <c r="H4022" s="4" t="s">
        <v>23</v>
      </c>
      <c r="I4022" s="8">
        <v>30.5</v>
      </c>
      <c r="J4022" s="3">
        <f>1104</f>
        <v>1104</v>
      </c>
      <c r="K4022" s="3"/>
      <c r="L4022" s="17" t="str" cm="1">
        <f t="array" ref="L4022">_xlfn.IFS(MID(K4022,2,2)="01", "서울", MID(K4022,2,2)="02","경기",MID(K4022,2,2)="03","충청",MID(K4022,2,2)="04","충청",MID(K4022,2,2)="05","전라",MID(K4022,2,2)="06","전라",MID(K4022,2,2)="07","경북",MID(K4022,2,2)="08","경남",MID(K4022,2,2)="09","강원",MID(K4022,2,2)="10","제주",TRUE,"국외")</f>
        <v>국외</v>
      </c>
    </row>
    <row r="4023" spans="1:12" ht="17.25" thickBot="1">
      <c r="A4023" s="3" t="s">
        <v>3832</v>
      </c>
      <c r="B4023" s="3" t="s">
        <v>34</v>
      </c>
      <c r="C4023" s="3"/>
      <c r="D4023" s="4" t="s">
        <v>3595</v>
      </c>
      <c r="E4023" s="4" t="s">
        <v>23</v>
      </c>
      <c r="F4023" s="4">
        <v>1982</v>
      </c>
      <c r="G4023" s="8">
        <v>4.7</v>
      </c>
      <c r="H4023" s="4" t="s">
        <v>23</v>
      </c>
      <c r="I4023" s="8">
        <v>8.6999999999999993</v>
      </c>
      <c r="J4023" s="3">
        <f>1116</f>
        <v>1116</v>
      </c>
      <c r="K4023" s="3">
        <v>50701</v>
      </c>
      <c r="L4023" s="17" t="str" cm="1">
        <f t="array" ref="L4023">_xlfn.IFS(MID(K4023,2,2)="01", "서울", MID(K4023,2,2)="02","경기",MID(K4023,2,2)="03","충청",MID(K4023,2,2)="04","충청",MID(K4023,2,2)="05","전라",MID(K4023,2,2)="06","전라",MID(K4023,2,2)="07","경북",MID(K4023,2,2)="08","경남",MID(K4023,2,2)="09","강원",MID(K4023,2,2)="10","제주",TRUE,"국외")</f>
        <v>경북</v>
      </c>
    </row>
    <row r="4024" spans="1:12" ht="17.25" thickBot="1">
      <c r="A4024" s="3" t="s">
        <v>3833</v>
      </c>
      <c r="B4024" s="3" t="s">
        <v>2524</v>
      </c>
      <c r="C4024" s="3" t="s">
        <v>739</v>
      </c>
      <c r="D4024" s="4" t="s">
        <v>3595</v>
      </c>
      <c r="E4024" s="4" t="s">
        <v>23</v>
      </c>
      <c r="F4024" s="4">
        <v>1982</v>
      </c>
      <c r="G4024" s="8">
        <v>1.6</v>
      </c>
      <c r="H4024" s="4" t="s">
        <v>23</v>
      </c>
      <c r="I4024" s="8">
        <v>7</v>
      </c>
      <c r="J4024" s="3">
        <f>1037</f>
        <v>1037</v>
      </c>
      <c r="K4024" s="3">
        <v>50711</v>
      </c>
      <c r="L4024" s="17" t="str" cm="1">
        <f t="array" ref="L4024">_xlfn.IFS(MID(K4024,2,2)="01", "서울", MID(K4024,2,2)="02","경기",MID(K4024,2,2)="03","충청",MID(K4024,2,2)="04","충청",MID(K4024,2,2)="05","전라",MID(K4024,2,2)="06","전라",MID(K4024,2,2)="07","경북",MID(K4024,2,2)="08","경남",MID(K4024,2,2)="09","강원",MID(K4024,2,2)="10","제주",TRUE,"국외")</f>
        <v>경북</v>
      </c>
    </row>
    <row r="4025" spans="1:12" ht="17.25" thickBot="1">
      <c r="A4025" s="3" t="s">
        <v>3834</v>
      </c>
      <c r="B4025" s="3" t="s">
        <v>34</v>
      </c>
      <c r="C4025" s="3" t="s">
        <v>45</v>
      </c>
      <c r="D4025" s="4" t="s">
        <v>3595</v>
      </c>
      <c r="E4025" s="4" t="s">
        <v>23</v>
      </c>
      <c r="F4025" s="4">
        <v>1982</v>
      </c>
      <c r="G4025" s="8">
        <v>7.9</v>
      </c>
      <c r="H4025" s="4" t="s">
        <v>23</v>
      </c>
      <c r="I4025" s="8">
        <v>15.9</v>
      </c>
      <c r="J4025" s="3">
        <f>1112</f>
        <v>1112</v>
      </c>
      <c r="K4025" s="3">
        <v>50701</v>
      </c>
      <c r="L4025" s="17" t="str" cm="1">
        <f t="array" ref="L4025">_xlfn.IFS(MID(K4025,2,2)="01", "서울", MID(K4025,2,2)="02","경기",MID(K4025,2,2)="03","충청",MID(K4025,2,2)="04","충청",MID(K4025,2,2)="05","전라",MID(K4025,2,2)="06","전라",MID(K4025,2,2)="07","경북",MID(K4025,2,2)="08","경남",MID(K4025,2,2)="09","강원",MID(K4025,2,2)="10","제주",TRUE,"국외")</f>
        <v>경북</v>
      </c>
    </row>
    <row r="4026" spans="1:12" ht="17.25" thickBot="1">
      <c r="A4026" s="3" t="s">
        <v>3835</v>
      </c>
      <c r="B4026" s="3" t="s">
        <v>34</v>
      </c>
      <c r="C4026" s="3" t="s">
        <v>218</v>
      </c>
      <c r="D4026" s="4" t="s">
        <v>3595</v>
      </c>
      <c r="E4026" s="4" t="s">
        <v>23</v>
      </c>
      <c r="F4026" s="4">
        <v>1982</v>
      </c>
      <c r="G4026" s="8">
        <v>4.0999999999999996</v>
      </c>
      <c r="H4026" s="4" t="s">
        <v>23</v>
      </c>
      <c r="I4026" s="8">
        <v>3.8</v>
      </c>
      <c r="J4026" s="3">
        <f>1115</f>
        <v>1115</v>
      </c>
      <c r="K4026" s="3">
        <v>50701</v>
      </c>
      <c r="L4026" s="17" t="str" cm="1">
        <f t="array" ref="L4026">_xlfn.IFS(MID(K4026,2,2)="01", "서울", MID(K4026,2,2)="02","경기",MID(K4026,2,2)="03","충청",MID(K4026,2,2)="04","충청",MID(K4026,2,2)="05","전라",MID(K4026,2,2)="06","전라",MID(K4026,2,2)="07","경북",MID(K4026,2,2)="08","경남",MID(K4026,2,2)="09","강원",MID(K4026,2,2)="10","제주",TRUE,"국외")</f>
        <v>경북</v>
      </c>
    </row>
    <row r="4027" spans="1:12" ht="17.25" thickBot="1">
      <c r="A4027" s="3" t="s">
        <v>3836</v>
      </c>
      <c r="B4027" s="3" t="s">
        <v>34</v>
      </c>
      <c r="C4027" s="3"/>
      <c r="D4027" s="4" t="s">
        <v>3595</v>
      </c>
      <c r="E4027" s="4" t="s">
        <v>23</v>
      </c>
      <c r="F4027" s="4">
        <v>1982</v>
      </c>
      <c r="G4027" s="8">
        <v>0</v>
      </c>
      <c r="H4027" s="4" t="s">
        <v>23</v>
      </c>
      <c r="I4027" s="8">
        <v>0</v>
      </c>
      <c r="J4027" s="3">
        <f>1091</f>
        <v>1091</v>
      </c>
      <c r="K4027" s="3">
        <v>50701</v>
      </c>
      <c r="L4027" s="17" t="str" cm="1">
        <f t="array" ref="L4027">_xlfn.IFS(MID(K4027,2,2)="01", "서울", MID(K4027,2,2)="02","경기",MID(K4027,2,2)="03","충청",MID(K4027,2,2)="04","충청",MID(K4027,2,2)="05","전라",MID(K4027,2,2)="06","전라",MID(K4027,2,2)="07","경북",MID(K4027,2,2)="08","경남",MID(K4027,2,2)="09","강원",MID(K4027,2,2)="10","제주",TRUE,"국외")</f>
        <v>경북</v>
      </c>
    </row>
    <row r="4028" spans="1:12" ht="17.25" thickBot="1">
      <c r="A4028" s="3" t="s">
        <v>3837</v>
      </c>
      <c r="B4028" s="3" t="s">
        <v>2524</v>
      </c>
      <c r="C4028" s="3"/>
      <c r="D4028" s="4" t="s">
        <v>3595</v>
      </c>
      <c r="E4028" s="4" t="s">
        <v>23</v>
      </c>
      <c r="F4028" s="4">
        <v>1983</v>
      </c>
      <c r="G4028" s="9"/>
      <c r="H4028" s="4" t="s">
        <v>23</v>
      </c>
      <c r="I4028" s="8">
        <v>-0.1</v>
      </c>
      <c r="J4028" s="3">
        <f>1162</f>
        <v>1162</v>
      </c>
      <c r="K4028" s="3">
        <v>50711</v>
      </c>
      <c r="L4028" s="17" t="str" cm="1">
        <f t="array" ref="L4028">_xlfn.IFS(MID(K4028,2,2)="01", "서울", MID(K4028,2,2)="02","경기",MID(K4028,2,2)="03","충청",MID(K4028,2,2)="04","충청",MID(K4028,2,2)="05","전라",MID(K4028,2,2)="06","전라",MID(K4028,2,2)="07","경북",MID(K4028,2,2)="08","경남",MID(K4028,2,2)="09","강원",MID(K4028,2,2)="10","제주",TRUE,"국외")</f>
        <v>경북</v>
      </c>
    </row>
    <row r="4029" spans="1:12" ht="17.25" thickBot="1">
      <c r="A4029" s="3" t="s">
        <v>3838</v>
      </c>
      <c r="B4029" s="3" t="s">
        <v>107</v>
      </c>
      <c r="C4029" s="3" t="s">
        <v>538</v>
      </c>
      <c r="D4029" s="4" t="s">
        <v>3595</v>
      </c>
      <c r="E4029" s="4" t="s">
        <v>2523</v>
      </c>
      <c r="F4029" s="4">
        <v>1982</v>
      </c>
      <c r="G4029" s="8">
        <v>1.6</v>
      </c>
      <c r="H4029" s="4" t="s">
        <v>2523</v>
      </c>
      <c r="I4029" s="8">
        <v>4.7</v>
      </c>
      <c r="J4029" s="3">
        <f>1076</f>
        <v>1076</v>
      </c>
      <c r="K4029" s="3">
        <v>50602</v>
      </c>
      <c r="L4029" s="17" t="str" cm="1">
        <f t="array" ref="L4029">_xlfn.IFS(MID(K4029,2,2)="01", "서울", MID(K4029,2,2)="02","경기",MID(K4029,2,2)="03","충청",MID(K4029,2,2)="04","충청",MID(K4029,2,2)="05","전라",MID(K4029,2,2)="06","전라",MID(K4029,2,2)="07","경북",MID(K4029,2,2)="08","경남",MID(K4029,2,2)="09","강원",MID(K4029,2,2)="10","제주",TRUE,"국외")</f>
        <v>전라</v>
      </c>
    </row>
    <row r="4030" spans="1:12" ht="17.25" thickBot="1">
      <c r="A4030" s="3" t="s">
        <v>3839</v>
      </c>
      <c r="B4030" s="3"/>
      <c r="C4030" s="3" t="s">
        <v>45</v>
      </c>
      <c r="D4030" s="4" t="s">
        <v>3595</v>
      </c>
      <c r="E4030" s="4" t="s">
        <v>2523</v>
      </c>
      <c r="F4030" s="4">
        <v>1982</v>
      </c>
      <c r="G4030" s="8">
        <v>-0.8</v>
      </c>
      <c r="H4030" s="4" t="s">
        <v>3525</v>
      </c>
      <c r="I4030" s="8">
        <v>-4.9000000000000004</v>
      </c>
      <c r="J4030" s="3">
        <f>1081</f>
        <v>1081</v>
      </c>
      <c r="K4030" s="3"/>
      <c r="L4030" s="17" t="str" cm="1">
        <f t="array" ref="L4030">_xlfn.IFS(MID(K4030,2,2)="01", "서울", MID(K4030,2,2)="02","경기",MID(K4030,2,2)="03","충청",MID(K4030,2,2)="04","충청",MID(K4030,2,2)="05","전라",MID(K4030,2,2)="06","전라",MID(K4030,2,2)="07","경북",MID(K4030,2,2)="08","경남",MID(K4030,2,2)="09","강원",MID(K4030,2,2)="10","제주",TRUE,"국외")</f>
        <v>국외</v>
      </c>
    </row>
    <row r="4031" spans="1:12" ht="17.25" thickBot="1">
      <c r="A4031" s="3" t="s">
        <v>1575</v>
      </c>
      <c r="B4031" s="3" t="s">
        <v>158</v>
      </c>
      <c r="C4031" s="3" t="s">
        <v>133</v>
      </c>
      <c r="D4031" s="4" t="s">
        <v>3595</v>
      </c>
      <c r="E4031" s="4" t="s">
        <v>2523</v>
      </c>
      <c r="F4031" s="4">
        <v>1982</v>
      </c>
      <c r="G4031" s="8">
        <v>1.7</v>
      </c>
      <c r="H4031" s="4" t="s">
        <v>2523</v>
      </c>
      <c r="I4031" s="8">
        <v>38.299999999999997</v>
      </c>
      <c r="J4031" s="3">
        <v>12726</v>
      </c>
      <c r="K4031" s="3">
        <v>50501</v>
      </c>
      <c r="L4031" s="17" t="str" cm="1">
        <f t="array" ref="L4031">_xlfn.IFS(MID(K4031,2,2)="01", "서울", MID(K4031,2,2)="02","경기",MID(K4031,2,2)="03","충청",MID(K4031,2,2)="04","충청",MID(K4031,2,2)="05","전라",MID(K4031,2,2)="06","전라",MID(K4031,2,2)="07","경북",MID(K4031,2,2)="08","경남",MID(K4031,2,2)="09","강원",MID(K4031,2,2)="10","제주",TRUE,"국외")</f>
        <v>전라</v>
      </c>
    </row>
    <row r="4032" spans="1:12" ht="17.25" thickBot="1">
      <c r="A4032" s="3" t="s">
        <v>3840</v>
      </c>
      <c r="B4032" s="3" t="s">
        <v>107</v>
      </c>
      <c r="C4032" s="3"/>
      <c r="D4032" s="4" t="s">
        <v>3595</v>
      </c>
      <c r="E4032" s="4" t="s">
        <v>2523</v>
      </c>
      <c r="F4032" s="4">
        <v>1982</v>
      </c>
      <c r="G4032" s="8">
        <v>1.5</v>
      </c>
      <c r="H4032" s="4" t="s">
        <v>2523</v>
      </c>
      <c r="I4032" s="8">
        <v>18.100000000000001</v>
      </c>
      <c r="J4032" s="3">
        <f>1085</f>
        <v>1085</v>
      </c>
      <c r="K4032" s="3">
        <v>50602</v>
      </c>
      <c r="L4032" s="17" t="str" cm="1">
        <f t="array" ref="L4032">_xlfn.IFS(MID(K4032,2,2)="01", "서울", MID(K4032,2,2)="02","경기",MID(K4032,2,2)="03","충청",MID(K4032,2,2)="04","충청",MID(K4032,2,2)="05","전라",MID(K4032,2,2)="06","전라",MID(K4032,2,2)="07","경북",MID(K4032,2,2)="08","경남",MID(K4032,2,2)="09","강원",MID(K4032,2,2)="10","제주",TRUE,"국외")</f>
        <v>전라</v>
      </c>
    </row>
    <row r="4033" spans="1:12" ht="17.25" thickBot="1">
      <c r="A4033" s="3" t="s">
        <v>3841</v>
      </c>
      <c r="B4033" s="3" t="s">
        <v>2491</v>
      </c>
      <c r="C4033" s="3"/>
      <c r="D4033" s="4" t="s">
        <v>3595</v>
      </c>
      <c r="E4033" s="4" t="s">
        <v>2523</v>
      </c>
      <c r="F4033" s="4">
        <v>1982</v>
      </c>
      <c r="G4033" s="8">
        <v>0.2</v>
      </c>
      <c r="H4033" s="4" t="s">
        <v>2523</v>
      </c>
      <c r="I4033" s="8">
        <v>0.2</v>
      </c>
      <c r="J4033" s="3">
        <f>1098</f>
        <v>1098</v>
      </c>
      <c r="K4033" s="3">
        <v>50608</v>
      </c>
      <c r="L4033" s="17" t="str" cm="1">
        <f t="array" ref="L4033">_xlfn.IFS(MID(K4033,2,2)="01", "서울", MID(K4033,2,2)="02","경기",MID(K4033,2,2)="03","충청",MID(K4033,2,2)="04","충청",MID(K4033,2,2)="05","전라",MID(K4033,2,2)="06","전라",MID(K4033,2,2)="07","경북",MID(K4033,2,2)="08","경남",MID(K4033,2,2)="09","강원",MID(K4033,2,2)="10","제주",TRUE,"국외")</f>
        <v>전라</v>
      </c>
    </row>
    <row r="4034" spans="1:12" ht="17.25" thickBot="1">
      <c r="A4034" s="3" t="s">
        <v>3842</v>
      </c>
      <c r="B4034" s="3" t="s">
        <v>107</v>
      </c>
      <c r="C4034" s="3" t="s">
        <v>45</v>
      </c>
      <c r="D4034" s="4" t="s">
        <v>3595</v>
      </c>
      <c r="E4034" s="4" t="s">
        <v>2523</v>
      </c>
      <c r="F4034" s="4">
        <v>1982</v>
      </c>
      <c r="G4034" s="8">
        <v>0.3</v>
      </c>
      <c r="H4034" s="4" t="s">
        <v>2523</v>
      </c>
      <c r="I4034" s="8">
        <v>8.4</v>
      </c>
      <c r="J4034" s="3">
        <f>1119</f>
        <v>1119</v>
      </c>
      <c r="K4034" s="3">
        <v>50602</v>
      </c>
      <c r="L4034" s="17" t="str" cm="1">
        <f t="array" ref="L4034">_xlfn.IFS(MID(K4034,2,2)="01", "서울", MID(K4034,2,2)="02","경기",MID(K4034,2,2)="03","충청",MID(K4034,2,2)="04","충청",MID(K4034,2,2)="05","전라",MID(K4034,2,2)="06","전라",MID(K4034,2,2)="07","경북",MID(K4034,2,2)="08","경남",MID(K4034,2,2)="09","강원",MID(K4034,2,2)="10","제주",TRUE,"국외")</f>
        <v>전라</v>
      </c>
    </row>
    <row r="4035" spans="1:12" ht="17.25" thickBot="1">
      <c r="A4035" s="3" t="s">
        <v>3843</v>
      </c>
      <c r="B4035" s="3" t="s">
        <v>63</v>
      </c>
      <c r="C4035" s="3" t="s">
        <v>208</v>
      </c>
      <c r="D4035" s="4" t="s">
        <v>3595</v>
      </c>
      <c r="E4035" s="4" t="s">
        <v>2523</v>
      </c>
      <c r="F4035" s="4">
        <v>1982</v>
      </c>
      <c r="G4035" s="8">
        <v>0.7</v>
      </c>
      <c r="H4035" s="4" t="s">
        <v>2523</v>
      </c>
      <c r="I4035" s="8">
        <v>0.1</v>
      </c>
      <c r="J4035" s="3">
        <f>1092</f>
        <v>1092</v>
      </c>
      <c r="K4035" s="3">
        <v>50807</v>
      </c>
      <c r="L4035" s="17" t="str" cm="1">
        <f t="array" ref="L4035">_xlfn.IFS(MID(K4035,2,2)="01", "서울", MID(K4035,2,2)="02","경기",MID(K4035,2,2)="03","충청",MID(K4035,2,2)="04","충청",MID(K4035,2,2)="05","전라",MID(K4035,2,2)="06","전라",MID(K4035,2,2)="07","경북",MID(K4035,2,2)="08","경남",MID(K4035,2,2)="09","강원",MID(K4035,2,2)="10","제주",TRUE,"국외")</f>
        <v>경남</v>
      </c>
    </row>
    <row r="4036" spans="1:12" ht="17.25" thickBot="1">
      <c r="A4036" s="3" t="s">
        <v>3844</v>
      </c>
      <c r="B4036" s="3" t="s">
        <v>158</v>
      </c>
      <c r="C4036" s="3" t="s">
        <v>739</v>
      </c>
      <c r="D4036" s="4" t="s">
        <v>3595</v>
      </c>
      <c r="E4036" s="4" t="s">
        <v>2523</v>
      </c>
      <c r="F4036" s="4">
        <v>1982</v>
      </c>
      <c r="G4036" s="8">
        <v>3.1</v>
      </c>
      <c r="H4036" s="4" t="s">
        <v>2523</v>
      </c>
      <c r="I4036" s="8">
        <v>12.3</v>
      </c>
      <c r="J4036" s="3">
        <f>1059</f>
        <v>1059</v>
      </c>
      <c r="K4036" s="3">
        <v>50501</v>
      </c>
      <c r="L4036" s="17" t="str" cm="1">
        <f t="array" ref="L4036">_xlfn.IFS(MID(K4036,2,2)="01", "서울", MID(K4036,2,2)="02","경기",MID(K4036,2,2)="03","충청",MID(K4036,2,2)="04","충청",MID(K4036,2,2)="05","전라",MID(K4036,2,2)="06","전라",MID(K4036,2,2)="07","경북",MID(K4036,2,2)="08","경남",MID(K4036,2,2)="09","강원",MID(K4036,2,2)="10","제주",TRUE,"국외")</f>
        <v>전라</v>
      </c>
    </row>
    <row r="4037" spans="1:12" ht="17.25" thickBot="1">
      <c r="A4037" s="3" t="s">
        <v>3845</v>
      </c>
      <c r="B4037" s="3" t="s">
        <v>36</v>
      </c>
      <c r="C4037" s="3" t="s">
        <v>133</v>
      </c>
      <c r="D4037" s="4" t="s">
        <v>3595</v>
      </c>
      <c r="E4037" s="4" t="s">
        <v>2523</v>
      </c>
      <c r="F4037" s="4">
        <v>1982</v>
      </c>
      <c r="G4037" s="8">
        <v>-0.4</v>
      </c>
      <c r="H4037" s="4" t="s">
        <v>2523</v>
      </c>
      <c r="I4037" s="8">
        <v>-0.5</v>
      </c>
      <c r="J4037" s="3">
        <f>1103</f>
        <v>1103</v>
      </c>
      <c r="K4037" s="3">
        <v>50402</v>
      </c>
      <c r="L4037" s="17" t="str" cm="1">
        <f t="array" ref="L4037">_xlfn.IFS(MID(K4037,2,2)="01", "서울", MID(K4037,2,2)="02","경기",MID(K4037,2,2)="03","충청",MID(K4037,2,2)="04","충청",MID(K4037,2,2)="05","전라",MID(K4037,2,2)="06","전라",MID(K4037,2,2)="07","경북",MID(K4037,2,2)="08","경남",MID(K4037,2,2)="09","강원",MID(K4037,2,2)="10","제주",TRUE,"국외")</f>
        <v>충청</v>
      </c>
    </row>
    <row r="4038" spans="1:12" ht="17.25" thickBot="1">
      <c r="A4038" s="3" t="s">
        <v>3846</v>
      </c>
      <c r="B4038" s="3" t="s">
        <v>66</v>
      </c>
      <c r="C4038" s="3"/>
      <c r="D4038" s="4" t="s">
        <v>3595</v>
      </c>
      <c r="E4038" s="4" t="s">
        <v>2523</v>
      </c>
      <c r="F4038" s="4">
        <v>1982</v>
      </c>
      <c r="G4038" s="8">
        <v>-0.3</v>
      </c>
      <c r="H4038" s="4" t="s">
        <v>2523</v>
      </c>
      <c r="I4038" s="8">
        <v>-0.3</v>
      </c>
      <c r="J4038" s="3">
        <f>1055</f>
        <v>1055</v>
      </c>
      <c r="K4038" s="3">
        <v>50110</v>
      </c>
      <c r="L4038" s="17" t="str" cm="1">
        <f t="array" ref="L4038">_xlfn.IFS(MID(K4038,2,2)="01", "서울", MID(K4038,2,2)="02","경기",MID(K4038,2,2)="03","충청",MID(K4038,2,2)="04","충청",MID(K4038,2,2)="05","전라",MID(K4038,2,2)="06","전라",MID(K4038,2,2)="07","경북",MID(K4038,2,2)="08","경남",MID(K4038,2,2)="09","강원",MID(K4038,2,2)="10","제주",TRUE,"국외")</f>
        <v>서울</v>
      </c>
    </row>
    <row r="4039" spans="1:12" ht="17.25" thickBot="1">
      <c r="A4039" s="3" t="s">
        <v>3847</v>
      </c>
      <c r="B4039" s="3" t="s">
        <v>158</v>
      </c>
      <c r="C4039" s="3" t="s">
        <v>211</v>
      </c>
      <c r="D4039" s="4" t="s">
        <v>3595</v>
      </c>
      <c r="E4039" s="4" t="s">
        <v>2523</v>
      </c>
      <c r="F4039" s="4">
        <v>1982</v>
      </c>
      <c r="G4039" s="8">
        <v>0.5</v>
      </c>
      <c r="H4039" s="4" t="s">
        <v>2523</v>
      </c>
      <c r="I4039" s="8">
        <v>0.3</v>
      </c>
      <c r="J4039" s="3">
        <f>1065</f>
        <v>1065</v>
      </c>
      <c r="K4039" s="3">
        <v>50501</v>
      </c>
      <c r="L4039" s="17" t="str" cm="1">
        <f t="array" ref="L4039">_xlfn.IFS(MID(K4039,2,2)="01", "서울", MID(K4039,2,2)="02","경기",MID(K4039,2,2)="03","충청",MID(K4039,2,2)="04","충청",MID(K4039,2,2)="05","전라",MID(K4039,2,2)="06","전라",MID(K4039,2,2)="07","경북",MID(K4039,2,2)="08","경남",MID(K4039,2,2)="09","강원",MID(K4039,2,2)="10","제주",TRUE,"국외")</f>
        <v>전라</v>
      </c>
    </row>
    <row r="4040" spans="1:12" ht="17.25" thickBot="1">
      <c r="A4040" s="3" t="s">
        <v>3848</v>
      </c>
      <c r="B4040" s="3" t="s">
        <v>158</v>
      </c>
      <c r="C4040" s="3" t="s">
        <v>739</v>
      </c>
      <c r="D4040" s="4" t="s">
        <v>3595</v>
      </c>
      <c r="E4040" s="4" t="s">
        <v>2523</v>
      </c>
      <c r="F4040" s="4">
        <v>1982</v>
      </c>
      <c r="G4040" s="8">
        <v>2.7</v>
      </c>
      <c r="H4040" s="4" t="s">
        <v>2523</v>
      </c>
      <c r="I4040" s="8">
        <v>8.9</v>
      </c>
      <c r="J4040" s="3">
        <f>1013</f>
        <v>1013</v>
      </c>
      <c r="K4040" s="3">
        <v>50501</v>
      </c>
      <c r="L4040" s="17" t="str" cm="1">
        <f t="array" ref="L4040">_xlfn.IFS(MID(K4040,2,2)="01", "서울", MID(K4040,2,2)="02","경기",MID(K4040,2,2)="03","충청",MID(K4040,2,2)="04","충청",MID(K4040,2,2)="05","전라",MID(K4040,2,2)="06","전라",MID(K4040,2,2)="07","경북",MID(K4040,2,2)="08","경남",MID(K4040,2,2)="09","강원",MID(K4040,2,2)="10","제주",TRUE,"국외")</f>
        <v>전라</v>
      </c>
    </row>
    <row r="4041" spans="1:12" ht="17.25" thickBot="1">
      <c r="A4041" s="3" t="s">
        <v>3849</v>
      </c>
      <c r="B4041" s="3" t="s">
        <v>158</v>
      </c>
      <c r="C4041" s="3" t="s">
        <v>208</v>
      </c>
      <c r="D4041" s="4" t="s">
        <v>3595</v>
      </c>
      <c r="E4041" s="4" t="s">
        <v>2523</v>
      </c>
      <c r="F4041" s="4">
        <v>1982</v>
      </c>
      <c r="G4041" s="8">
        <v>-0.1</v>
      </c>
      <c r="H4041" s="4" t="s">
        <v>3614</v>
      </c>
      <c r="I4041" s="8">
        <v>5</v>
      </c>
      <c r="J4041" s="3">
        <f>1010</f>
        <v>1010</v>
      </c>
      <c r="K4041" s="3">
        <v>50501</v>
      </c>
      <c r="L4041" s="17" t="str" cm="1">
        <f t="array" ref="L4041">_xlfn.IFS(MID(K4041,2,2)="01", "서울", MID(K4041,2,2)="02","경기",MID(K4041,2,2)="03","충청",MID(K4041,2,2)="04","충청",MID(K4041,2,2)="05","전라",MID(K4041,2,2)="06","전라",MID(K4041,2,2)="07","경북",MID(K4041,2,2)="08","경남",MID(K4041,2,2)="09","강원",MID(K4041,2,2)="10","제주",TRUE,"국외")</f>
        <v>전라</v>
      </c>
    </row>
    <row r="4042" spans="1:12" ht="17.25" thickBot="1">
      <c r="A4042" s="3" t="s">
        <v>3850</v>
      </c>
      <c r="B4042" s="3" t="s">
        <v>158</v>
      </c>
      <c r="C4042" s="3" t="s">
        <v>83</v>
      </c>
      <c r="D4042" s="4" t="s">
        <v>3595</v>
      </c>
      <c r="E4042" s="4" t="s">
        <v>2523</v>
      </c>
      <c r="F4042" s="4">
        <v>1982</v>
      </c>
      <c r="G4042" s="8">
        <v>3.2</v>
      </c>
      <c r="H4042" s="4" t="s">
        <v>2523</v>
      </c>
      <c r="I4042" s="8">
        <v>14.9</v>
      </c>
      <c r="J4042" s="3">
        <f>1005</f>
        <v>1005</v>
      </c>
      <c r="K4042" s="3">
        <v>50501</v>
      </c>
      <c r="L4042" s="17" t="str" cm="1">
        <f t="array" ref="L4042">_xlfn.IFS(MID(K4042,2,2)="01", "서울", MID(K4042,2,2)="02","경기",MID(K4042,2,2)="03","충청",MID(K4042,2,2)="04","충청",MID(K4042,2,2)="05","전라",MID(K4042,2,2)="06","전라",MID(K4042,2,2)="07","경북",MID(K4042,2,2)="08","경남",MID(K4042,2,2)="09","강원",MID(K4042,2,2)="10","제주",TRUE,"국외")</f>
        <v>전라</v>
      </c>
    </row>
    <row r="4043" spans="1:12" ht="17.25" thickBot="1">
      <c r="A4043" s="3" t="s">
        <v>3851</v>
      </c>
      <c r="B4043" s="3" t="s">
        <v>158</v>
      </c>
      <c r="C4043" s="3"/>
      <c r="D4043" s="4" t="s">
        <v>3595</v>
      </c>
      <c r="E4043" s="4" t="s">
        <v>2523</v>
      </c>
      <c r="F4043" s="4">
        <v>1982</v>
      </c>
      <c r="G4043" s="8">
        <v>2.9</v>
      </c>
      <c r="H4043" s="4" t="s">
        <v>2523</v>
      </c>
      <c r="I4043" s="8">
        <v>6.8</v>
      </c>
      <c r="J4043" s="3">
        <f>1015</f>
        <v>1015</v>
      </c>
      <c r="K4043" s="3">
        <v>50501</v>
      </c>
      <c r="L4043" s="17" t="str" cm="1">
        <f t="array" ref="L4043">_xlfn.IFS(MID(K4043,2,2)="01", "서울", MID(K4043,2,2)="02","경기",MID(K4043,2,2)="03","충청",MID(K4043,2,2)="04","충청",MID(K4043,2,2)="05","전라",MID(K4043,2,2)="06","전라",MID(K4043,2,2)="07","경북",MID(K4043,2,2)="08","경남",MID(K4043,2,2)="09","강원",MID(K4043,2,2)="10","제주",TRUE,"국외")</f>
        <v>전라</v>
      </c>
    </row>
    <row r="4044" spans="1:12" ht="17.25" thickBot="1">
      <c r="A4044" s="3" t="s">
        <v>3852</v>
      </c>
      <c r="B4044" s="3" t="s">
        <v>38</v>
      </c>
      <c r="C4044" s="3" t="s">
        <v>83</v>
      </c>
      <c r="D4044" s="4" t="s">
        <v>3595</v>
      </c>
      <c r="E4044" s="4" t="s">
        <v>2523</v>
      </c>
      <c r="F4044" s="4">
        <v>1982</v>
      </c>
      <c r="G4044" s="8">
        <v>-0.2</v>
      </c>
      <c r="H4044" s="4" t="s">
        <v>2523</v>
      </c>
      <c r="I4044" s="8">
        <v>-3.1</v>
      </c>
      <c r="J4044" s="3">
        <f>1030</f>
        <v>1030</v>
      </c>
      <c r="K4044" s="3">
        <v>50109</v>
      </c>
      <c r="L4044" s="17" t="str" cm="1">
        <f t="array" ref="L4044">_xlfn.IFS(MID(K4044,2,2)="01", "서울", MID(K4044,2,2)="02","경기",MID(K4044,2,2)="03","충청",MID(K4044,2,2)="04","충청",MID(K4044,2,2)="05","전라",MID(K4044,2,2)="06","전라",MID(K4044,2,2)="07","경북",MID(K4044,2,2)="08","경남",MID(K4044,2,2)="09","강원",MID(K4044,2,2)="10","제주",TRUE,"국외")</f>
        <v>서울</v>
      </c>
    </row>
    <row r="4045" spans="1:12" ht="17.25" thickBot="1">
      <c r="A4045" s="3" t="s">
        <v>3853</v>
      </c>
      <c r="B4045" s="3" t="s">
        <v>2491</v>
      </c>
      <c r="C4045" s="3" t="s">
        <v>538</v>
      </c>
      <c r="D4045" s="4" t="s">
        <v>3595</v>
      </c>
      <c r="E4045" s="4" t="s">
        <v>2523</v>
      </c>
      <c r="F4045" s="4">
        <v>1982</v>
      </c>
      <c r="G4045" s="8">
        <v>1.3</v>
      </c>
      <c r="H4045" s="4" t="s">
        <v>2523</v>
      </c>
      <c r="I4045" s="8">
        <v>16.100000000000001</v>
      </c>
      <c r="J4045" s="3">
        <f>1064</f>
        <v>1064</v>
      </c>
      <c r="K4045" s="3">
        <v>50608</v>
      </c>
      <c r="L4045" s="17" t="str" cm="1">
        <f t="array" ref="L4045">_xlfn.IFS(MID(K4045,2,2)="01", "서울", MID(K4045,2,2)="02","경기",MID(K4045,2,2)="03","충청",MID(K4045,2,2)="04","충청",MID(K4045,2,2)="05","전라",MID(K4045,2,2)="06","전라",MID(K4045,2,2)="07","경북",MID(K4045,2,2)="08","경남",MID(K4045,2,2)="09","강원",MID(K4045,2,2)="10","제주",TRUE,"국외")</f>
        <v>전라</v>
      </c>
    </row>
    <row r="4046" spans="1:12" ht="17.25" thickBot="1">
      <c r="A4046" s="3" t="s">
        <v>3854</v>
      </c>
      <c r="B4046" s="3" t="s">
        <v>107</v>
      </c>
      <c r="C4046" s="3"/>
      <c r="D4046" s="4" t="s">
        <v>3595</v>
      </c>
      <c r="E4046" s="4" t="s">
        <v>2523</v>
      </c>
      <c r="F4046" s="4">
        <v>1982</v>
      </c>
      <c r="G4046" s="8">
        <v>2</v>
      </c>
      <c r="H4046" s="4" t="s">
        <v>2523</v>
      </c>
      <c r="I4046" s="8">
        <v>1.4</v>
      </c>
      <c r="J4046" s="3">
        <f>1033</f>
        <v>1033</v>
      </c>
      <c r="K4046" s="3">
        <v>50602</v>
      </c>
      <c r="L4046" s="17" t="str" cm="1">
        <f t="array" ref="L4046">_xlfn.IFS(MID(K4046,2,2)="01", "서울", MID(K4046,2,2)="02","경기",MID(K4046,2,2)="03","충청",MID(K4046,2,2)="04","충청",MID(K4046,2,2)="05","전라",MID(K4046,2,2)="06","전라",MID(K4046,2,2)="07","경북",MID(K4046,2,2)="08","경남",MID(K4046,2,2)="09","강원",MID(K4046,2,2)="10","제주",TRUE,"국외")</f>
        <v>전라</v>
      </c>
    </row>
    <row r="4047" spans="1:12" ht="17.25" thickBot="1">
      <c r="A4047" s="3" t="s">
        <v>3855</v>
      </c>
      <c r="B4047" s="3"/>
      <c r="C4047" s="3" t="s">
        <v>133</v>
      </c>
      <c r="D4047" s="4" t="s">
        <v>3595</v>
      </c>
      <c r="E4047" s="4" t="s">
        <v>2523</v>
      </c>
      <c r="F4047" s="4">
        <v>1982</v>
      </c>
      <c r="G4047" s="8">
        <v>0.1</v>
      </c>
      <c r="H4047" s="4" t="s">
        <v>2523</v>
      </c>
      <c r="I4047" s="8">
        <v>-0.4</v>
      </c>
      <c r="J4047" s="3">
        <f>1074</f>
        <v>1074</v>
      </c>
      <c r="K4047" s="3"/>
      <c r="L4047" s="17" t="str" cm="1">
        <f t="array" ref="L4047">_xlfn.IFS(MID(K4047,2,2)="01", "서울", MID(K4047,2,2)="02","경기",MID(K4047,2,2)="03","충청",MID(K4047,2,2)="04","충청",MID(K4047,2,2)="05","전라",MID(K4047,2,2)="06","전라",MID(K4047,2,2)="07","경북",MID(K4047,2,2)="08","경남",MID(K4047,2,2)="09","강원",MID(K4047,2,2)="10","제주",TRUE,"국외")</f>
        <v>국외</v>
      </c>
    </row>
    <row r="4048" spans="1:12" ht="17.25" thickBot="1">
      <c r="A4048" s="3" t="s">
        <v>3856</v>
      </c>
      <c r="B4048" s="3" t="s">
        <v>5</v>
      </c>
      <c r="C4048" s="3" t="s">
        <v>221</v>
      </c>
      <c r="D4048" s="4" t="s">
        <v>3595</v>
      </c>
      <c r="E4048" s="4" t="s">
        <v>2725</v>
      </c>
      <c r="F4048" s="4">
        <v>1982</v>
      </c>
      <c r="G4048" s="8">
        <v>0.7</v>
      </c>
      <c r="H4048" s="4" t="s">
        <v>2725</v>
      </c>
      <c r="I4048" s="8">
        <v>-0.2</v>
      </c>
      <c r="J4048" s="3">
        <v>11476</v>
      </c>
      <c r="K4048" s="3">
        <v>50114</v>
      </c>
      <c r="L4048" s="17" t="str" cm="1">
        <f t="array" ref="L4048">_xlfn.IFS(MID(K4048,2,2)="01", "서울", MID(K4048,2,2)="02","경기",MID(K4048,2,2)="03","충청",MID(K4048,2,2)="04","충청",MID(K4048,2,2)="05","전라",MID(K4048,2,2)="06","전라",MID(K4048,2,2)="07","경북",MID(K4048,2,2)="08","경남",MID(K4048,2,2)="09","강원",MID(K4048,2,2)="10","제주",TRUE,"국외")</f>
        <v>서울</v>
      </c>
    </row>
  </sheetData>
  <phoneticPr fontId="4" type="noConversion"/>
  <hyperlinks>
    <hyperlink ref="A2" r:id="rId1" display="https://statiz.sporki.com/player/?m=playerinfo&amp;p_no=15421" xr:uid="{F8A84BB4-D63C-456B-B5AD-81747677C10F}"/>
    <hyperlink ref="B2" r:id="rId2" display="https://statiz.sporki.com/add/?m=draft_school01&amp;ps_school=50107" xr:uid="{24A8DA83-1F60-41B4-AFE3-BCACD601CA0B}"/>
    <hyperlink ref="C2" r:id="rId3" display="https://statiz.sporki.com/add/?m=draft_school02&amp;ps_school=" xr:uid="{3C93C92F-3DDE-4D58-9BD8-08A34C838C04}"/>
    <hyperlink ref="A3" r:id="rId4" display="https://statiz.sporki.com/player/?m=playerinfo&amp;p_no=15432" xr:uid="{006AE749-EF53-4E44-B58E-872438B21342}"/>
    <hyperlink ref="B3" r:id="rId5" display="https://statiz.sporki.com/add/?m=draft_school01&amp;ps_school=50114" xr:uid="{A52CF53E-737C-4AE3-AA48-B4662D99346B}"/>
    <hyperlink ref="C3" r:id="rId6" display="https://statiz.sporki.com/add/?m=draft_school02&amp;ps_school=" xr:uid="{7F26BB74-6249-403A-AB48-06CCA0FDAE70}"/>
    <hyperlink ref="A4" r:id="rId7" display="https://statiz.sporki.com/player/?m=playerinfo&amp;p_no=15253" xr:uid="{16503633-6146-41F4-AD09-20293306AEC6}"/>
    <hyperlink ref="B4" r:id="rId8" display="https://statiz.sporki.com/add/?m=draft_school01&amp;ps_school=50116" xr:uid="{5ED18FD8-C40F-46C0-A585-3A11CA9FC49D}"/>
    <hyperlink ref="C4" r:id="rId9" display="https://statiz.sporki.com/add/?m=draft_school02&amp;ps_school=" xr:uid="{9EA90EA4-9F9D-4735-B23E-904B8296621D}"/>
    <hyperlink ref="A5" r:id="rId10" display="https://statiz.sporki.com/player/?m=playerinfo&amp;p_no=15450" xr:uid="{FC4D15AB-3682-47E1-89EF-75C0EA264692}"/>
    <hyperlink ref="B5" r:id="rId11" display="https://statiz.sporki.com/add/?m=draft_school01&amp;ps_school=50802" xr:uid="{AC3691AD-EED3-44E5-85C6-6353D63EC1C6}"/>
    <hyperlink ref="C5" r:id="rId12" display="https://statiz.sporki.com/add/?m=draft_school02&amp;ps_school=" xr:uid="{FAC7A695-B2DA-4E1B-8060-B40895EA9015}"/>
    <hyperlink ref="A6" r:id="rId13" display="https://statiz.sporki.com/player/?m=playerinfo&amp;p_no=15461" xr:uid="{177D1D76-0A3D-471C-9503-59E75EF5D2E7}"/>
    <hyperlink ref="B6" r:id="rId14" display="https://statiz.sporki.com/add/?m=draft_school01&amp;ps_school=50703" xr:uid="{5AA1882D-B914-479E-ADAC-490844EE4251}"/>
    <hyperlink ref="C6" r:id="rId15" display="https://statiz.sporki.com/add/?m=draft_school02&amp;ps_school=" xr:uid="{9CEA0C6A-3FF4-455A-B9AE-769E82D6FD63}"/>
    <hyperlink ref="A7" r:id="rId16" display="https://statiz.sporki.com/player/?m=playerinfo&amp;p_no=15472" xr:uid="{3136EE99-CE77-4979-B64C-70ADDDAB07CE}"/>
    <hyperlink ref="B7" r:id="rId17" display="https://statiz.sporki.com/add/?m=draft_school01&amp;ps_school=50903" xr:uid="{11EDD071-BA0E-4E54-A477-FEA4078551F0}"/>
    <hyperlink ref="C7" r:id="rId18" display="https://statiz.sporki.com/add/?m=draft_school02&amp;ps_school=" xr:uid="{3D937C15-62C5-45DC-8B8B-D3AE346BD811}"/>
    <hyperlink ref="A8" r:id="rId19" display="https://statiz.sporki.com/player/?m=playerinfo&amp;p_no=15484" xr:uid="{267D5877-F26A-4653-B6D7-3D7136A9D70B}"/>
    <hyperlink ref="B8" r:id="rId20" display="https://statiz.sporki.com/add/?m=draft_school01&amp;ps_school=50802" xr:uid="{4AB43F3F-9699-413E-8D5D-B5801596F562}"/>
    <hyperlink ref="C8" r:id="rId21" display="https://statiz.sporki.com/add/?m=draft_school02&amp;ps_school=" xr:uid="{1D4BF36F-F4E2-4C73-ADFC-5C266F7CB153}"/>
    <hyperlink ref="A9" r:id="rId22" display="https://statiz.sporki.com/player/?m=playerinfo&amp;p_no=15496" xr:uid="{036BC989-9DBD-4B74-98F9-6CA6B1278A94}"/>
    <hyperlink ref="B9" r:id="rId23" display="https://statiz.sporki.com/add/?m=draft_school01&amp;ps_school=50209" xr:uid="{B061B9FE-7308-4B08-A053-014D8DD3E59F}"/>
    <hyperlink ref="C9" r:id="rId24" display="https://statiz.sporki.com/add/?m=draft_school02&amp;ps_school=" xr:uid="{0BA887B2-BB70-4857-B3DD-ADC2ED2E35C4}"/>
    <hyperlink ref="A10" r:id="rId25" display="https://statiz.sporki.com/player/?m=playerinfo&amp;p_no=15508" xr:uid="{717DC5BF-515F-43F0-A433-F92549A2C991}"/>
    <hyperlink ref="B10" r:id="rId26" display="https://statiz.sporki.com/add/?m=draft_school01&amp;ps_school=50403" xr:uid="{B1FAEA72-DB77-4F51-A1AB-577D002D5565}"/>
    <hyperlink ref="C10" r:id="rId27" display="https://statiz.sporki.com/add/?m=draft_school02&amp;ps_school=" xr:uid="{6572099A-796C-42CF-8186-ECBB398B07EB}"/>
    <hyperlink ref="A11" r:id="rId28" display="https://statiz.sporki.com/player/?m=playerinfo&amp;p_no=15518" xr:uid="{B5F77EB2-8410-4A01-B4FD-98CE02DBB244}"/>
    <hyperlink ref="B11" r:id="rId29" display="https://statiz.sporki.com/add/?m=draft_school01&amp;ps_school=50703" xr:uid="{FDC66CB6-BFD9-423F-BDDD-FAEC276650C4}"/>
    <hyperlink ref="C11" r:id="rId30" display="https://statiz.sporki.com/add/?m=draft_school02&amp;ps_school=" xr:uid="{29A08EFA-1D2B-4DB9-9E84-DB0711CBCE83}"/>
    <hyperlink ref="A12" r:id="rId31" display="https://statiz.sporki.com/player/?m=playerinfo&amp;p_no=15422" xr:uid="{B40807CA-AF01-4372-97B9-5BC0BA6ED148}"/>
    <hyperlink ref="B12" r:id="rId32" display="https://statiz.sporki.com/add/?m=draft_school01&amp;ps_school=50403" xr:uid="{EFAF4207-D6F3-40E0-91BB-E810B54AFC3A}"/>
    <hyperlink ref="C12" r:id="rId33" display="https://statiz.sporki.com/add/?m=draft_school02&amp;ps_school=" xr:uid="{DC399845-859D-4920-9A41-CCE9796F5ED2}"/>
    <hyperlink ref="A13" r:id="rId34" display="https://statiz.sporki.com/player/?m=playerinfo&amp;p_no=15473" xr:uid="{8B1547A2-4E76-4852-B17E-CD0EF3A9FEA1}"/>
    <hyperlink ref="B13" r:id="rId35" display="https://statiz.sporki.com/add/?m=draft_school01&amp;ps_school=50114" xr:uid="{B327F354-86CA-4945-92B4-26262CDB1913}"/>
    <hyperlink ref="C13" r:id="rId36" display="https://statiz.sporki.com/add/?m=draft_school02&amp;ps_school=" xr:uid="{CD8C5BF8-C6AD-4986-A13A-F9EFAA4815DB}"/>
    <hyperlink ref="A14" r:id="rId37" display="https://statiz.sporki.com/player/?m=playerinfo&amp;p_no=15441" xr:uid="{AEF6CDF5-EAC1-4880-9575-B60C9FABA77B}"/>
    <hyperlink ref="B14" r:id="rId38" display="https://statiz.sporki.com/add/?m=draft_school01&amp;ps_school=50111" xr:uid="{A2183754-264A-4255-BB61-D812931085EB}"/>
    <hyperlink ref="C14" r:id="rId39" display="https://statiz.sporki.com/add/?m=draft_school02&amp;ps_school=" xr:uid="{8E0B678A-4101-4FCC-A264-1D9F080FE98B}"/>
    <hyperlink ref="A15" r:id="rId40" display="https://statiz.sporki.com/player/?m=playerinfo&amp;p_no=15451" xr:uid="{7C7E62D2-2698-4236-8BD3-AD32562B7D6B}"/>
    <hyperlink ref="B15" r:id="rId41" display="https://statiz.sporki.com/add/?m=draft_school01&amp;ps_school=50701" xr:uid="{6E84317B-2C41-4415-A849-D12AA92D8FC2}"/>
    <hyperlink ref="C15" r:id="rId42" display="https://statiz.sporki.com/add/?m=draft_school02&amp;ps_school=" xr:uid="{38508AFD-3F9E-4E15-9DD9-7252C79ED3F8}"/>
    <hyperlink ref="A16" r:id="rId43" display="https://statiz.sporki.com/player/?m=playerinfo&amp;p_no=15462" xr:uid="{74C3D203-A936-44A5-B6EF-CC7888ECA09E}"/>
    <hyperlink ref="B16" r:id="rId44" display="https://statiz.sporki.com/add/?m=draft_school01&amp;ps_school=50402" xr:uid="{A539896E-A72C-47A1-B1D5-DBE9597A3B6E}"/>
    <hyperlink ref="C16" r:id="rId45" display="https://statiz.sporki.com/add/?m=draft_school02&amp;ps_school=" xr:uid="{227C5097-5E47-452F-847E-C2074E850123}"/>
    <hyperlink ref="A17" r:id="rId46" display="https://statiz.sporki.com/player/?m=playerinfo&amp;p_no=15474" xr:uid="{3F33ABFB-8394-4568-9ACF-D6A74C151E76}"/>
    <hyperlink ref="B17" r:id="rId47" display="https://statiz.sporki.com/add/?m=draft_school01&amp;ps_school=50109" xr:uid="{FAF6BF9A-8FE1-4EBE-9C4E-24CAC6743407}"/>
    <hyperlink ref="C17" r:id="rId48" display="https://statiz.sporki.com/add/?m=draft_school02&amp;ps_school=" xr:uid="{C26B70A1-045C-4D22-B857-55845314FF11}"/>
    <hyperlink ref="A18" r:id="rId49" display="https://statiz.sporki.com/player/?m=playerinfo&amp;p_no=15485" xr:uid="{F78E26C0-5612-44AC-9E4F-7932676355CA}"/>
    <hyperlink ref="B18" r:id="rId50" display="https://statiz.sporki.com/add/?m=draft_school01&amp;ps_school=50108" xr:uid="{4946F60C-35FC-4377-8ECB-33E62167E81F}"/>
    <hyperlink ref="C18" r:id="rId51" display="https://statiz.sporki.com/add/?m=draft_school02&amp;ps_school=" xr:uid="{7EE74346-372B-4C3C-9D74-09E3B4A8F194}"/>
    <hyperlink ref="A19" r:id="rId52" display="https://statiz.sporki.com/player/?m=playerinfo&amp;p_no=15497" xr:uid="{7F5E17A1-F11F-4948-B1A5-922CCF56D8B6}"/>
    <hyperlink ref="B19" r:id="rId53" display="https://statiz.sporki.com/add/?m=draft_school01&amp;ps_school=50502" xr:uid="{87BDB61F-4950-448E-969C-F28F3538537F}"/>
    <hyperlink ref="C19" r:id="rId54" display="https://statiz.sporki.com/add/?m=draft_school02&amp;ps_school=" xr:uid="{E45E11CE-5024-4241-BC29-868CAA2D6CFD}"/>
    <hyperlink ref="A20" r:id="rId55" display="https://statiz.sporki.com/player/?m=playerinfo&amp;p_no=15509" xr:uid="{4E0620B9-9AFA-4323-81F1-D3591C7E7F2B}"/>
    <hyperlink ref="B20" r:id="rId56" display="https://statiz.sporki.com/add/?m=draft_school01&amp;ps_school=50809" xr:uid="{35032850-B60A-4683-A724-60875A9D11AE}"/>
    <hyperlink ref="C20" r:id="rId57" display="https://statiz.sporki.com/add/?m=draft_school02&amp;ps_school=60103" xr:uid="{B874623F-7202-44E2-87AF-181A06AC1F5B}"/>
    <hyperlink ref="A21" r:id="rId58" display="https://statiz.sporki.com/player/?m=playerinfo&amp;p_no=15519" xr:uid="{3F74EB13-99D1-4790-87E0-A394B2955335}"/>
    <hyperlink ref="B21" r:id="rId59" display="https://statiz.sporki.com/add/?m=draft_school01&amp;ps_school=50111" xr:uid="{DFFBCA0B-13B1-452F-85CE-3B7EEA866EDD}"/>
    <hyperlink ref="C21" r:id="rId60" display="https://statiz.sporki.com/add/?m=draft_school02&amp;ps_school=" xr:uid="{AED54908-264E-42F4-9B90-F0AE50BCAB6A}"/>
    <hyperlink ref="A22" r:id="rId61" display="https://statiz.sporki.com/player/?m=playerinfo&amp;p_no=15423" xr:uid="{E8FF059B-560D-4D59-ABFE-85C54C7DF918}"/>
    <hyperlink ref="B22" r:id="rId62" display="https://statiz.sporki.com/add/?m=draft_school01&amp;ps_school=50111" xr:uid="{0AC6CCD5-EEDB-4419-97D2-371E8C93B99E}"/>
    <hyperlink ref="C22" r:id="rId63" display="https://statiz.sporki.com/add/?m=draft_school02&amp;ps_school=" xr:uid="{501B14C1-C5D2-41C4-BC6B-AEE323E05504}"/>
    <hyperlink ref="A23" r:id="rId64" display="https://statiz.sporki.com/player/?m=playerinfo&amp;p_no=15433" xr:uid="{C3660AC6-1635-43C8-BAF6-902286255CFE}"/>
    <hyperlink ref="B23" r:id="rId65" display="https://statiz.sporki.com/add/?m=draft_school01&amp;ps_school=50116" xr:uid="{F3C5CB47-0010-491D-9276-13E41D37AD65}"/>
    <hyperlink ref="C23" r:id="rId66" display="https://statiz.sporki.com/add/?m=draft_school02&amp;ps_school=" xr:uid="{A4E1F098-3F03-48A3-940D-BE6753AE8ECB}"/>
    <hyperlink ref="A24" r:id="rId67" display="https://statiz.sporki.com/player/?m=playerinfo&amp;p_no=15498" xr:uid="{7EF72958-C966-4A72-8F53-E1C28F42EE15}"/>
    <hyperlink ref="B24" r:id="rId68" display="https://statiz.sporki.com/add/?m=draft_school01&amp;ps_school=50301" xr:uid="{7012035B-F82A-4221-876D-E92E88050BFF}"/>
    <hyperlink ref="C24" r:id="rId69" display="https://statiz.sporki.com/add/?m=draft_school02&amp;ps_school=" xr:uid="{0272CB59-DC4A-403F-B79D-10483E51F323}"/>
    <hyperlink ref="A25" r:id="rId70" display="https://statiz.sporki.com/player/?m=playerinfo&amp;p_no=15452" xr:uid="{37EFE081-5DDA-4F8D-8284-1F6B4C8EEB45}"/>
    <hyperlink ref="B25" r:id="rId71" display="https://statiz.sporki.com/add/?m=draft_school01&amp;ps_school=50803" xr:uid="{90636177-41CB-4762-BCA6-E9618897B71E}"/>
    <hyperlink ref="C25" r:id="rId72" display="https://statiz.sporki.com/add/?m=draft_school02&amp;ps_school=" xr:uid="{5CBD1CB1-5117-4F9F-8255-3129143FE525}"/>
    <hyperlink ref="A26" r:id="rId73" display="https://statiz.sporki.com/player/?m=playerinfo&amp;p_no=15463" xr:uid="{97DA5499-5AC5-4C7D-BA90-1BE466AC869A}"/>
    <hyperlink ref="B26" r:id="rId74" display="https://statiz.sporki.com/add/?m=draft_school01&amp;ps_school=50802" xr:uid="{AE6CC106-F70F-4D3E-944E-8C43F4B8C191}"/>
    <hyperlink ref="C26" r:id="rId75" display="https://statiz.sporki.com/add/?m=draft_school02&amp;ps_school=" xr:uid="{4574A401-019B-4DA3-86C0-2B3DEC3AA2F2}"/>
    <hyperlink ref="A27" r:id="rId76" display="https://statiz.sporki.com/player/?m=playerinfo&amp;p_no=15475" xr:uid="{6A2333AB-9609-4F77-8BC8-E24996C4C36F}"/>
    <hyperlink ref="B27" r:id="rId77" display="https://statiz.sporki.com/add/?m=draft_school01&amp;ps_school=50802" xr:uid="{1C2489D3-2A0C-4ABE-BE6E-A6E472BDBB64}"/>
    <hyperlink ref="C27" r:id="rId78" display="https://statiz.sporki.com/add/?m=draft_school02&amp;ps_school=" xr:uid="{3973A655-7064-42F6-8D6C-C60B1AD3FB41}"/>
    <hyperlink ref="A28" r:id="rId79" display="https://statiz.sporki.com/player/?m=playerinfo&amp;p_no=15486" xr:uid="{A1AE63DD-C053-49CD-BD7E-E5B0CF90EEB6}"/>
    <hyperlink ref="B28" r:id="rId80" display="https://statiz.sporki.com/add/?m=draft_school01&amp;ps_school=50215" xr:uid="{4A4BF3DC-4465-4FE0-9639-D186C7719491}"/>
    <hyperlink ref="C28" r:id="rId81" display="https://statiz.sporki.com/add/?m=draft_school02&amp;ps_school=" xr:uid="{B0006CFF-877A-494A-866D-40C895C5D721}"/>
    <hyperlink ref="A29" r:id="rId82" display="https://statiz.sporki.com/player/?m=playerinfo&amp;p_no=15499" xr:uid="{BF0BBE16-040E-4783-8C08-BBCE8FD5E411}"/>
    <hyperlink ref="B29" r:id="rId83" display="https://statiz.sporki.com/add/?m=draft_school01&amp;ps_school=50119" xr:uid="{9B612DB2-9F24-4EB2-B1FC-F517A28539FD}"/>
    <hyperlink ref="C29" r:id="rId84" display="https://statiz.sporki.com/add/?m=draft_school02&amp;ps_school=" xr:uid="{1336B948-D50B-45A2-8362-2DDF1A815437}"/>
    <hyperlink ref="A30" r:id="rId85" display="https://statiz.sporki.com/player/?m=playerinfo&amp;p_no=15510" xr:uid="{57E7CD18-BE50-406B-BC33-53755E20A956}"/>
    <hyperlink ref="B30" r:id="rId86" display="https://statiz.sporki.com/add/?m=draft_school01&amp;ps_school=50403" xr:uid="{1D5B220C-F81C-40BC-83D3-F1C03E1F8143}"/>
    <hyperlink ref="C30" r:id="rId87" display="https://statiz.sporki.com/add/?m=draft_school02&amp;ps_school=" xr:uid="{E304130C-2DBD-4D4F-9EA8-E6AE025977D4}"/>
    <hyperlink ref="A31" r:id="rId88" display="https://statiz.sporki.com/player/?m=playerinfo&amp;p_no=15520" xr:uid="{99AA3E29-911C-42A5-BA24-BBCFFD78F9E9}"/>
    <hyperlink ref="B31" r:id="rId89" display="https://statiz.sporki.com/add/?m=draft_school01&amp;ps_school=50802" xr:uid="{60AA6C9A-7FEA-4A21-A9C2-F89E7E8E787F}"/>
    <hyperlink ref="C31" r:id="rId90" display="https://statiz.sporki.com/add/?m=draft_school02&amp;ps_school=" xr:uid="{88C26B6C-ABAD-42A5-9B11-7315E08F2D2F}"/>
    <hyperlink ref="A32" r:id="rId91" display="https://statiz.sporki.com/player/?m=playerinfo&amp;p_no=15424" xr:uid="{DBB59FA9-AFCC-49D1-996E-5D8E8EA3B356}"/>
    <hyperlink ref="B32" r:id="rId92" display="https://statiz.sporki.com/add/?m=draft_school01&amp;ps_school=50803" xr:uid="{06158DD8-C9E6-4039-903C-35F04BAF0C4B}"/>
    <hyperlink ref="C32" r:id="rId93" display="https://statiz.sporki.com/add/?m=draft_school02&amp;ps_school=" xr:uid="{2483AA4A-CFB9-454F-B7D9-96F80993F827}"/>
    <hyperlink ref="A33" r:id="rId94" display="https://statiz.sporki.com/player/?m=playerinfo&amp;p_no=15434" xr:uid="{F0F3E405-0C6E-4F76-A337-AAA6BDCF2652}"/>
    <hyperlink ref="B33" r:id="rId95" display="https://statiz.sporki.com/add/?m=draft_school01&amp;ps_school=50807" xr:uid="{F589DF6D-9839-4264-8401-BB195895791B}"/>
    <hyperlink ref="C33" r:id="rId96" display="https://statiz.sporki.com/add/?m=draft_school02&amp;ps_school=" xr:uid="{2F8565C5-8271-40DE-9678-10AB703E3D56}"/>
    <hyperlink ref="A34" r:id="rId97" display="https://statiz.sporki.com/player/?m=playerinfo&amp;p_no=15442" xr:uid="{44CD81AA-C860-4C54-A6E6-E1C6E1D419A2}"/>
    <hyperlink ref="B34" r:id="rId98" display="https://statiz.sporki.com/add/?m=draft_school01&amp;ps_school=50701" xr:uid="{28FEDE14-129D-4B9D-AA01-B35214863F55}"/>
    <hyperlink ref="C34" r:id="rId99" display="https://statiz.sporki.com/add/?m=draft_school02&amp;ps_school=" xr:uid="{9527B862-0407-4B18-A62D-FA56C46883D8}"/>
    <hyperlink ref="A35" r:id="rId100" display="https://statiz.sporki.com/player/?m=playerinfo&amp;p_no=15453" xr:uid="{8B15A0AC-221C-4C0F-B17D-147279F925E0}"/>
    <hyperlink ref="B35" r:id="rId101" display="https://statiz.sporki.com/add/?m=draft_school01&amp;ps_school=50110" xr:uid="{A0A9D66F-48F0-4554-8A65-A13E41284018}"/>
    <hyperlink ref="C35" r:id="rId102" display="https://statiz.sporki.com/add/?m=draft_school02&amp;ps_school=" xr:uid="{45EEF3FB-72B1-4003-ABAB-B3CAE7918D6D}"/>
    <hyperlink ref="A36" r:id="rId103" display="https://statiz.sporki.com/player/?m=playerinfo&amp;p_no=15464" xr:uid="{5045CB24-66E7-4E9C-9247-7CF6492E2ADB}"/>
    <hyperlink ref="B36" r:id="rId104" display="https://statiz.sporki.com/add/?m=draft_school01&amp;ps_school=50101" xr:uid="{CC46AD2C-60ED-4373-9FD8-E7929B771BCF}"/>
    <hyperlink ref="C36" r:id="rId105" display="https://statiz.sporki.com/add/?m=draft_school02&amp;ps_school=" xr:uid="{5C187582-174E-4AF7-AACB-5CE544B20543}"/>
    <hyperlink ref="A37" r:id="rId106" display="https://statiz.sporki.com/player/?m=playerinfo&amp;p_no=15476" xr:uid="{D08692B3-53D1-41FE-833C-AA921B63C865}"/>
    <hyperlink ref="B37" r:id="rId107" display="https://statiz.sporki.com/add/?m=draft_school01&amp;ps_school=50103" xr:uid="{39C9A3FF-1039-4906-B075-541D7026F7A5}"/>
    <hyperlink ref="C37" r:id="rId108" display="https://statiz.sporki.com/add/?m=draft_school02&amp;ps_school=" xr:uid="{CD84147B-709C-4F5A-9144-25608199E5BB}"/>
    <hyperlink ref="A38" r:id="rId109" display="https://statiz.sporki.com/player/?m=playerinfo&amp;p_no=15487" xr:uid="{EEAFBFBA-7EA6-4966-A90D-DFE44C2638E7}"/>
    <hyperlink ref="B38" r:id="rId110" display="https://statiz.sporki.com/add/?m=draft_school01&amp;ps_school=50107" xr:uid="{78AA6650-5164-4D04-BEE5-C9AE4E3A5DFD}"/>
    <hyperlink ref="C38" r:id="rId111" display="https://statiz.sporki.com/add/?m=draft_school02&amp;ps_school=" xr:uid="{C7B0FC44-52F9-42B8-AB1D-1229F40A7518}"/>
    <hyperlink ref="A39" r:id="rId112" display="https://statiz.sporki.com/player/?m=playerinfo&amp;p_no=15500" xr:uid="{81448ADA-CAAD-4E97-9222-C87941F0CC29}"/>
    <hyperlink ref="B39" r:id="rId113" display="https://statiz.sporki.com/add/?m=draft_school01&amp;ps_school=50111" xr:uid="{277936EA-E64E-455B-A355-CCAA3F79C693}"/>
    <hyperlink ref="C39" r:id="rId114" display="https://statiz.sporki.com/add/?m=draft_school02&amp;ps_school=" xr:uid="{D65351E7-4986-4E19-9434-756F6D524E5E}"/>
    <hyperlink ref="A40" r:id="rId115" display="https://statiz.sporki.com/player/?m=playerinfo&amp;p_no=15511" xr:uid="{D0DB36A2-BEDF-4071-8797-CEB00EF46C3A}"/>
    <hyperlink ref="B40" r:id="rId116" display="https://statiz.sporki.com/add/?m=draft_school01&amp;ps_school=50102" xr:uid="{27AFB1A3-F13E-4DF2-A58A-1402186FCB0D}"/>
    <hyperlink ref="C40" r:id="rId117" display="https://statiz.sporki.com/add/?m=draft_school02&amp;ps_school=" xr:uid="{2D0F38C3-5EDD-434D-B66B-072D7A805D90}"/>
    <hyperlink ref="A41" r:id="rId118" display="https://statiz.sporki.com/player/?m=playerinfo&amp;p_no=15521" xr:uid="{CB6977BA-D4FC-434B-924B-9E3AE0135CA2}"/>
    <hyperlink ref="B41" r:id="rId119" display="https://statiz.sporki.com/add/?m=draft_school01&amp;ps_school=50108" xr:uid="{C30F7A5C-30E9-4460-87EA-E941B41D90FD}"/>
    <hyperlink ref="C41" r:id="rId120" display="https://statiz.sporki.com/add/?m=draft_school02&amp;ps_school=" xr:uid="{67447237-1448-46BA-8C49-9DBE64059A88}"/>
    <hyperlink ref="A42" r:id="rId121" display="https://statiz.sporki.com/player/?m=playerinfo&amp;p_no=15425" xr:uid="{ECDB3439-972F-4EDC-A139-D53EEFF4D5F0}"/>
    <hyperlink ref="B42" r:id="rId122" display="https://statiz.sporki.com/add/?m=draft_school01&amp;ps_school=50402" xr:uid="{D842E291-9F7B-41DE-AAED-BC9DA9B39CE3}"/>
    <hyperlink ref="C42" r:id="rId123" display="https://statiz.sporki.com/add/?m=draft_school02&amp;ps_school=" xr:uid="{567DEF3C-DC40-4E67-95A0-2A232DB6FB4D}"/>
    <hyperlink ref="A43" r:id="rId124" display="https://statiz.sporki.com/player/?m=playerinfo&amp;p_no=15435" xr:uid="{C1A03C81-7C43-4962-A1BB-727279B12F83}"/>
    <hyperlink ref="B43" r:id="rId125" display="https://statiz.sporki.com/add/?m=draft_school01&amp;ps_school=50401" xr:uid="{9491B04C-5CA8-4793-846D-62F3A2D4B0AE}"/>
    <hyperlink ref="C43" r:id="rId126" display="https://statiz.sporki.com/add/?m=draft_school02&amp;ps_school=" xr:uid="{028A5D8C-C0A8-49CA-8D37-7801AFEBD09C}"/>
    <hyperlink ref="A44" r:id="rId127" display="https://statiz.sporki.com/player/?m=playerinfo&amp;p_no=15443" xr:uid="{6F5C2E3A-5D16-412E-A9A8-7E81F7081F12}"/>
    <hyperlink ref="B44" r:id="rId128" display="https://statiz.sporki.com/add/?m=draft_school01&amp;ps_school=50301" xr:uid="{891102EF-E5A2-4577-8524-6623C75937FE}"/>
    <hyperlink ref="C44" r:id="rId129" display="https://statiz.sporki.com/add/?m=draft_school02&amp;ps_school=" xr:uid="{77C0277F-D17F-47F3-BB07-B61999525C86}"/>
    <hyperlink ref="A45" r:id="rId130" display="https://statiz.sporki.com/player/?m=playerinfo&amp;p_no=15454" xr:uid="{C20ECF98-9BB7-4929-AD90-7DAACA7A725E}"/>
    <hyperlink ref="B45" r:id="rId131" display="https://statiz.sporki.com/add/?m=draft_school01&amp;ps_school=50105" xr:uid="{E213C864-2914-4865-A826-BC0286E977F3}"/>
    <hyperlink ref="C45" r:id="rId132" display="https://statiz.sporki.com/add/?m=draft_school02&amp;ps_school=" xr:uid="{44FBDF0D-1175-456A-B46F-D6118DF620C1}"/>
    <hyperlink ref="A46" r:id="rId133" display="https://statiz.sporki.com/player/?m=playerinfo&amp;p_no=15465" xr:uid="{FA40846D-85AC-4D85-B15C-00D1FBEF2061}"/>
    <hyperlink ref="B46" r:id="rId134" display="https://statiz.sporki.com/add/?m=draft_school01&amp;ps_school=50605" xr:uid="{14A415F8-FE60-4529-95F2-DDB164AB5FF1}"/>
    <hyperlink ref="C46" r:id="rId135" display="https://statiz.sporki.com/add/?m=draft_school02&amp;ps_school=60109" xr:uid="{0E5EB0F9-8DF0-4661-900E-EF9125345BFB}"/>
    <hyperlink ref="A47" r:id="rId136" display="https://statiz.sporki.com/player/?m=playerinfo&amp;p_no=15477" xr:uid="{FB5CAB0D-A776-452E-A450-F321BA64FA8B}"/>
    <hyperlink ref="B47" r:id="rId137" display="https://statiz.sporki.com/add/?m=draft_school01&amp;ps_school=50110" xr:uid="{421F2BEA-3490-4FD9-960F-E3109CA1EDD8}"/>
    <hyperlink ref="C47" r:id="rId138" display="https://statiz.sporki.com/add/?m=draft_school02&amp;ps_school=60502" xr:uid="{B5F22644-618A-4D5A-A912-E430B62A82CA}"/>
    <hyperlink ref="A48" r:id="rId139" display="https://statiz.sporki.com/player/?m=playerinfo&amp;p_no=15488" xr:uid="{19653404-3222-4625-B5A0-25CAD29DB310}"/>
    <hyperlink ref="B48" r:id="rId140" display="https://statiz.sporki.com/add/?m=draft_school01&amp;ps_school=50404" xr:uid="{33DD70E3-1B5E-4338-A843-1F0234B9315A}"/>
    <hyperlink ref="C48" r:id="rId141" display="https://statiz.sporki.com/add/?m=draft_school02&amp;ps_school=" xr:uid="{60F2410C-C7A7-4CA0-8E5E-190B4289B94E}"/>
    <hyperlink ref="A49" r:id="rId142" display="https://statiz.sporki.com/player/?m=playerinfo&amp;p_no=15501" xr:uid="{2D71B90F-BCFA-4493-8379-761C7214FE38}"/>
    <hyperlink ref="B49" r:id="rId143" display="https://statiz.sporki.com/add/?m=draft_school01&amp;ps_school=50806" xr:uid="{D291C215-9352-449A-95DC-492938BF81F9}"/>
    <hyperlink ref="C49" r:id="rId144" display="https://statiz.sporki.com/add/?m=draft_school02&amp;ps_school=60804" xr:uid="{CD13F847-E605-49AF-B421-9E58A1D631CD}"/>
    <hyperlink ref="A50" r:id="rId145" display="https://statiz.sporki.com/player/?m=playerinfo&amp;p_no=15512" xr:uid="{EE997B2A-7B6C-427B-93FF-F1BC86EB2CDA}"/>
    <hyperlink ref="B50" r:id="rId146" display="https://statiz.sporki.com/add/?m=draft_school01&amp;ps_school=50802" xr:uid="{EEAE12B9-8C62-4DFF-B32D-6D09F9D80327}"/>
    <hyperlink ref="C50" r:id="rId147" display="https://statiz.sporki.com/add/?m=draft_school02&amp;ps_school=60804" xr:uid="{829F967A-F4BD-4213-9D8C-7F57B470EECE}"/>
    <hyperlink ref="A51" r:id="rId148" display="https://statiz.sporki.com/player/?m=playerinfo&amp;p_no=15489" xr:uid="{CFE6F880-D742-4252-A539-D41D03DE3DB4}"/>
    <hyperlink ref="B51" r:id="rId149" display="https://statiz.sporki.com/add/?m=draft_school01&amp;ps_school=50805" xr:uid="{8D14DC6A-6EE1-432F-BD87-D1F684A57F0D}"/>
    <hyperlink ref="C51" r:id="rId150" display="https://statiz.sporki.com/add/?m=draft_school02&amp;ps_school=" xr:uid="{0E4B22CF-23BC-446F-926F-A834013F91EE}"/>
    <hyperlink ref="A52" r:id="rId151" display="https://statiz.sporki.com/player/?m=playerinfo&amp;p_no=15426" xr:uid="{3E33147D-58E4-4DE2-B7BB-EA039359A8B2}"/>
    <hyperlink ref="B52" r:id="rId152" display="https://statiz.sporki.com/add/?m=draft_school01&amp;ps_school=50402" xr:uid="{86491099-FC89-434C-B995-36ADEF4796FE}"/>
    <hyperlink ref="C52" r:id="rId153" display="https://statiz.sporki.com/add/?m=draft_school02&amp;ps_school=" xr:uid="{F63066DC-AF34-4073-AB11-94221A33D6EF}"/>
    <hyperlink ref="A53" r:id="rId154" display="https://statiz.sporki.com/player/?m=playerinfo&amp;p_no=15436" xr:uid="{10E4968F-9B5B-458C-82CA-623587C07FDD}"/>
    <hyperlink ref="B53" r:id="rId155" display="https://statiz.sporki.com/add/?m=draft_school01&amp;ps_school=50601" xr:uid="{83D6A93B-8699-442C-8094-DB24F5549A3C}"/>
    <hyperlink ref="C53" r:id="rId156" display="https://statiz.sporki.com/add/?m=draft_school02&amp;ps_school=" xr:uid="{A0C0B141-7C8E-47A9-BE02-71793A48E69B}"/>
    <hyperlink ref="A54" r:id="rId157" display="https://statiz.sporki.com/player/?m=playerinfo&amp;p_no=15444" xr:uid="{ABAACE06-B425-4866-A7C6-8589924678E0}"/>
    <hyperlink ref="B54" r:id="rId158" display="https://statiz.sporki.com/add/?m=draft_school01&amp;ps_school=50114" xr:uid="{63808EC1-5971-4CB8-A25C-FD0384B7C91A}"/>
    <hyperlink ref="C54" r:id="rId159" display="https://statiz.sporki.com/add/?m=draft_school02&amp;ps_school=" xr:uid="{B5AF3019-56BD-4F92-8B74-DF73E81E2B97}"/>
    <hyperlink ref="A55" r:id="rId160" display="https://statiz.sporki.com/player/?m=playerinfo&amp;p_no=15455" xr:uid="{56E40000-CAC7-48E9-B578-F856A45F8DB2}"/>
    <hyperlink ref="B55" r:id="rId161" display="https://statiz.sporki.com/add/?m=draft_school01&amp;ps_school=50802" xr:uid="{2E2FB37F-61E3-47F4-BECB-42F89461EFEE}"/>
    <hyperlink ref="C55" r:id="rId162" display="https://statiz.sporki.com/add/?m=draft_school02&amp;ps_school=60108" xr:uid="{E019A8F9-4069-499D-A617-533CC7905A0F}"/>
    <hyperlink ref="A56" r:id="rId163" display="https://statiz.sporki.com/player/?m=playerinfo&amp;p_no=15466" xr:uid="{3EB3E722-8075-40AF-B994-D63B2369E803}"/>
    <hyperlink ref="B56" r:id="rId164" display="https://statiz.sporki.com/add/?m=draft_school01&amp;ps_school=50207" xr:uid="{960A3CDD-1B89-4705-B82F-C3E9BFE9E32E}"/>
    <hyperlink ref="C56" r:id="rId165" display="https://statiz.sporki.com/add/?m=draft_school02&amp;ps_school=" xr:uid="{61A3B51E-35A2-49EA-9ABA-18E3CFF253CD}"/>
    <hyperlink ref="A57" r:id="rId166" display="https://statiz.sporki.com/player/?m=playerinfo&amp;p_no=15478" xr:uid="{CCB45883-0893-4D71-97D3-F9624A7A74BE}"/>
    <hyperlink ref="B57" r:id="rId167" display="https://statiz.sporki.com/add/?m=draft_school01&amp;ps_school=50114" xr:uid="{DADAD053-B836-4CA5-A3FF-CBE5632EF9BE}"/>
    <hyperlink ref="C57" r:id="rId168" display="https://statiz.sporki.com/add/?m=draft_school02&amp;ps_school=" xr:uid="{A3C3A959-1EB3-45CF-9B49-F6F8C8E2F548}"/>
    <hyperlink ref="A58" r:id="rId169" display="https://statiz.sporki.com/player/?m=playerinfo&amp;p_no=15490" xr:uid="{3B9F425D-C0F5-47EA-B2A7-4DB1B226A116}"/>
    <hyperlink ref="B58" r:id="rId170" display="https://statiz.sporki.com/add/?m=draft_school01&amp;ps_school=50215" xr:uid="{2FC26172-A730-4BD1-9CBC-5EF920329AE4}"/>
    <hyperlink ref="C58" r:id="rId171" display="https://statiz.sporki.com/add/?m=draft_school02&amp;ps_school=" xr:uid="{7313BEB6-0AD2-4A8D-B244-FE9B58C8230B}"/>
    <hyperlink ref="A59" r:id="rId172" display="https://statiz.sporki.com/player/?m=playerinfo&amp;p_no=15502" xr:uid="{965DA0D5-5E60-49A1-A688-C7FCB878D5D7}"/>
    <hyperlink ref="B59" r:id="rId173" display="https://statiz.sporki.com/add/?m=draft_school01&amp;ps_school=50212" xr:uid="{09C73F52-2816-421C-8887-10B7ACABCF32}"/>
    <hyperlink ref="C59" r:id="rId174" display="https://statiz.sporki.com/add/?m=draft_school02&amp;ps_school=" xr:uid="{A8985CE2-23D4-4FF0-99CD-255C9E448E87}"/>
    <hyperlink ref="A60" r:id="rId175" display="https://statiz.sporki.com/player/?m=playerinfo&amp;p_no=15513" xr:uid="{7EC3AC68-54DA-4CFB-9F3C-3AD019FDE97A}"/>
    <hyperlink ref="B60" r:id="rId176" display="https://statiz.sporki.com/add/?m=draft_school01&amp;ps_school=50602" xr:uid="{E58D26E1-E5AF-44DA-9E76-ED5C24DEB245}"/>
    <hyperlink ref="C60" r:id="rId177" display="https://statiz.sporki.com/add/?m=draft_school02&amp;ps_school=" xr:uid="{BA5A9D88-C70D-458F-823E-FF7C02E183E7}"/>
    <hyperlink ref="A61" r:id="rId178" display="https://statiz.sporki.com/player/?m=playerinfo&amp;p_no=15522" xr:uid="{AFC92E98-9CCF-4C1A-BDA4-6E81BFB3B12F}"/>
    <hyperlink ref="B61" r:id="rId179" display="https://statiz.sporki.com/add/?m=draft_school01&amp;ps_school=50116" xr:uid="{96B8EB1B-1039-43C1-846E-2B203A6D01BC}"/>
    <hyperlink ref="C61" r:id="rId180" display="https://statiz.sporki.com/add/?m=draft_school02&amp;ps_school=" xr:uid="{A9CF7708-AEE7-4563-BF86-A9182926E84D}"/>
    <hyperlink ref="A62" r:id="rId181" display="https://statiz.sporki.com/player/?m=playerinfo&amp;p_no=15427" xr:uid="{1F15631A-4C70-424D-8E81-DF96AECA8BBA}"/>
    <hyperlink ref="B62" r:id="rId182" display="https://statiz.sporki.com/add/?m=draft_school01&amp;ps_school=50402" xr:uid="{89B5CC15-E1E3-45AC-B715-98DF2B9AED21}"/>
    <hyperlink ref="C62" r:id="rId183" display="https://statiz.sporki.com/add/?m=draft_school02&amp;ps_school=" xr:uid="{C445BECB-88A6-4ED9-A9DF-F02BB507B1A3}"/>
    <hyperlink ref="A63" r:id="rId184" display="https://statiz.sporki.com/player/?m=playerinfo&amp;p_no=15437" xr:uid="{894D9D7E-683A-47F4-86B5-8A88733C5ECF}"/>
    <hyperlink ref="B63" r:id="rId185" display="https://statiz.sporki.com/add/?m=draft_school01&amp;ps_school=50116" xr:uid="{794ED32C-46D9-4CE0-ABCF-C7915147B257}"/>
    <hyperlink ref="C63" r:id="rId186" display="https://statiz.sporki.com/add/?m=draft_school02&amp;ps_school=" xr:uid="{AAF17727-C619-4601-96FD-416B04040E2F}"/>
    <hyperlink ref="A64" r:id="rId187" display="https://statiz.sporki.com/player/?m=playerinfo&amp;p_no=15445" xr:uid="{E657E796-FEFF-4AC2-A497-1DC2ABF63993}"/>
    <hyperlink ref="B64" r:id="rId188" display="https://statiz.sporki.com/add/?m=draft_school01&amp;ps_school=50113" xr:uid="{300D676A-7A27-482E-86A3-AF23FF306F8E}"/>
    <hyperlink ref="C64" r:id="rId189" display="https://statiz.sporki.com/add/?m=draft_school02&amp;ps_school=60103" xr:uid="{30AF7D64-6F02-472B-BCE7-0D9422D68D10}"/>
    <hyperlink ref="A65" r:id="rId190" display="https://statiz.sporki.com/player/?m=playerinfo&amp;p_no=15456" xr:uid="{E6168CDD-3C10-48FA-8BAB-A99A222D91E8}"/>
    <hyperlink ref="B65" r:id="rId191" display="https://statiz.sporki.com/add/?m=draft_school01&amp;ps_school=50803" xr:uid="{D3DDCD30-F8E0-4071-BCBA-4B98E0F9829D}"/>
    <hyperlink ref="C65" r:id="rId192" display="https://statiz.sporki.com/add/?m=draft_school02&amp;ps_school=" xr:uid="{55885B47-CEFE-4355-B214-614D98FF55E3}"/>
    <hyperlink ref="A66" r:id="rId193" display="https://statiz.sporki.com/player/?m=playerinfo&amp;p_no=15467" xr:uid="{889A7656-2D5F-44E4-842B-D015FC3B58B2}"/>
    <hyperlink ref="B66" r:id="rId194" display="https://statiz.sporki.com/add/?m=draft_school01&amp;ps_school=50403" xr:uid="{58619426-61E7-4DAC-9A56-1B3C82841FA3}"/>
    <hyperlink ref="C66" r:id="rId195" display="https://statiz.sporki.com/add/?m=draft_school02&amp;ps_school=" xr:uid="{9D6D040F-B510-430E-8D2F-1BBAF2FB5FFB}"/>
    <hyperlink ref="A67" r:id="rId196" display="https://statiz.sporki.com/player/?m=playerinfo&amp;p_no=15479" xr:uid="{5DBD2A05-5D9F-46FD-B70E-6DB0F2A5D3B4}"/>
    <hyperlink ref="B67" r:id="rId197" display="https://statiz.sporki.com/add/?m=draft_school01&amp;ps_school=50402" xr:uid="{CEBEAC3D-6C9B-4FAA-B82B-3141A100836A}"/>
    <hyperlink ref="C67" r:id="rId198" display="https://statiz.sporki.com/add/?m=draft_school02&amp;ps_school=" xr:uid="{7833C063-2D5D-459E-A5DC-7E9DD61E42B3}"/>
    <hyperlink ref="A68" r:id="rId199" display="https://statiz.sporki.com/player/?m=playerinfo&amp;p_no=15491" xr:uid="{751DC544-436E-489F-BE4E-3F7A5D941928}"/>
    <hyperlink ref="B68" r:id="rId200" display="https://statiz.sporki.com/add/?m=draft_school01&amp;ps_school=50807" xr:uid="{675C9079-2D1D-4254-BA08-9FC37BDB9F94}"/>
    <hyperlink ref="C68" r:id="rId201" display="https://statiz.sporki.com/add/?m=draft_school02&amp;ps_school=" xr:uid="{8F433736-C701-469A-82E5-6CB09209C75C}"/>
    <hyperlink ref="A69" r:id="rId202" display="https://statiz.sporki.com/player/?m=playerinfo&amp;p_no=15503" xr:uid="{C73CC339-5A34-47BD-99F9-FEBA642D8EBE}"/>
    <hyperlink ref="B69" r:id="rId203" display="https://statiz.sporki.com/add/?m=draft_school01&amp;ps_school=50602" xr:uid="{4063352B-8A09-4DD3-AF36-815FCD3957B2}"/>
    <hyperlink ref="C69" r:id="rId204" display="https://statiz.sporki.com/add/?m=draft_school02&amp;ps_school=" xr:uid="{E2F56A2E-D7A7-406B-95F4-ED64A86DDE25}"/>
    <hyperlink ref="A70" r:id="rId205" display="https://statiz.sporki.com/player/?m=playerinfo&amp;p_no=15514" xr:uid="{F047B301-B279-44EE-8F25-4A02C1A9E951}"/>
    <hyperlink ref="B70" r:id="rId206" display="https://statiz.sporki.com/add/?m=draft_school01&amp;ps_school=50805" xr:uid="{BF9B8E0B-3A5C-4DD6-9539-D6579092C687}"/>
    <hyperlink ref="C70" r:id="rId207" display="https://statiz.sporki.com/add/?m=draft_school02&amp;ps_school=60803" xr:uid="{772325EE-019B-4FBB-8733-94F2146866A3}"/>
    <hyperlink ref="A71" r:id="rId208" display="https://statiz.sporki.com/player/?m=playerinfo&amp;p_no=15523" xr:uid="{9F4CC478-70E1-42E8-94E9-46CED01A4E31}"/>
    <hyperlink ref="B71" r:id="rId209" display="https://statiz.sporki.com/add/?m=draft_school01&amp;ps_school=50604" xr:uid="{F532CE39-8E6C-478E-9885-2DD8836B0E19}"/>
    <hyperlink ref="C71" r:id="rId210" display="https://statiz.sporki.com/add/?m=draft_school02&amp;ps_school=60203" xr:uid="{04D64994-09F3-446F-AEF4-3A9036FA7144}"/>
    <hyperlink ref="A72" r:id="rId211" display="https://statiz.sporki.com/player/?m=playerinfo&amp;p_no=15428" xr:uid="{7B8A00F6-6F21-4461-98EC-D16C344AFA7C}"/>
    <hyperlink ref="B72" r:id="rId212" display="https://statiz.sporki.com/add/?m=draft_school01&amp;ps_school=50219" xr:uid="{D890699D-471D-41D3-A67E-41459EC20EA9}"/>
    <hyperlink ref="C72" r:id="rId213" display="https://statiz.sporki.com/add/?m=draft_school02&amp;ps_school=" xr:uid="{F6972D6B-CDF5-42E8-9E94-9E81E18B5FC7}"/>
    <hyperlink ref="A73" r:id="rId214" display="https://statiz.sporki.com/player/?m=playerinfo&amp;p_no=15438" xr:uid="{1CF8079B-7EFB-4845-AD8F-70B2058B4B73}"/>
    <hyperlink ref="B73" r:id="rId215" display="https://statiz.sporki.com/add/?m=draft_school01&amp;ps_school=50206" xr:uid="{A524C2EF-B53E-455C-953A-2F441429BEBA}"/>
    <hyperlink ref="C73" r:id="rId216" display="https://statiz.sporki.com/add/?m=draft_school02&amp;ps_school=" xr:uid="{CB53A618-4A36-4275-998B-188F9EEAE822}"/>
    <hyperlink ref="A74" r:id="rId217" display="https://statiz.sporki.com/player/?m=playerinfo&amp;p_no=15446" xr:uid="{BF939239-519F-4BE9-8C77-2818335B271F}"/>
    <hyperlink ref="B74" r:id="rId218" display="https://statiz.sporki.com/add/?m=draft_school01&amp;ps_school=50901" xr:uid="{62AC6906-D4FA-4173-A02F-A68EDE18D513}"/>
    <hyperlink ref="C74" r:id="rId219" display="https://statiz.sporki.com/add/?m=draft_school02&amp;ps_school=" xr:uid="{A559028B-2264-43C4-89A8-5CA52B145C84}"/>
    <hyperlink ref="A75" r:id="rId220" display="https://statiz.sporki.com/player/?m=playerinfo&amp;p_no=15457" xr:uid="{22D433BE-1962-461D-B3CE-269DF38D9685}"/>
    <hyperlink ref="B75" r:id="rId221" display="https://statiz.sporki.com/add/?m=draft_school01&amp;ps_school=50701" xr:uid="{6E82B7FB-6540-4A44-A99C-6EBDD705C5D9}"/>
    <hyperlink ref="C75" r:id="rId222" display="https://statiz.sporki.com/add/?m=draft_school02&amp;ps_school=" xr:uid="{8B411466-A56C-4343-A1F0-C9D3CAFFE7CE}"/>
    <hyperlink ref="A76" r:id="rId223" display="https://statiz.sporki.com/player/?m=playerinfo&amp;p_no=15468" xr:uid="{EC5C72E0-263A-4221-B834-C6AFACF6E743}"/>
    <hyperlink ref="B76" r:id="rId224" display="https://statiz.sporki.com/add/?m=draft_school01&amp;ps_school=50219" xr:uid="{B9C533B9-21B0-4DEB-8C1E-20DC61DD0EEF}"/>
    <hyperlink ref="C76" r:id="rId225" display="https://statiz.sporki.com/add/?m=draft_school02&amp;ps_school=" xr:uid="{9B0DC4C1-0072-4D77-83DE-C32ABD458D39}"/>
    <hyperlink ref="A77" r:id="rId226" display="https://statiz.sporki.com/player/?m=playerinfo&amp;p_no=15480" xr:uid="{C845A78E-E011-45DC-839D-811A7593BDA6}"/>
    <hyperlink ref="B77" r:id="rId227" display="https://statiz.sporki.com/add/?m=draft_school01&amp;ps_school=50215" xr:uid="{5700EA3D-CD44-4EC9-8937-5956614F7BF8}"/>
    <hyperlink ref="C77" r:id="rId228" display="https://statiz.sporki.com/add/?m=draft_school02&amp;ps_school=" xr:uid="{764C5F20-6E0D-4BA3-B96F-74E9AD7800C6}"/>
    <hyperlink ref="A78" r:id="rId229" display="https://statiz.sporki.com/player/?m=playerinfo&amp;p_no=15492" xr:uid="{3F5A4427-EB88-4345-BE7B-04952361AD88}"/>
    <hyperlink ref="B78" r:id="rId230" display="https://statiz.sporki.com/add/?m=draft_school01&amp;ps_school=50110" xr:uid="{F2193C6C-6743-4A7B-99B8-1AB180CCA848}"/>
    <hyperlink ref="C78" r:id="rId231" display="https://statiz.sporki.com/add/?m=draft_school02&amp;ps_school=60104" xr:uid="{5A0E52DC-4FC1-409D-908A-4D8E544DFCF2}"/>
    <hyperlink ref="A79" r:id="rId232" display="https://statiz.sporki.com/player/?m=playerinfo&amp;p_no=15504" xr:uid="{7A1C6F9B-7E9A-4B76-B6E1-7F05D71A53AC}"/>
    <hyperlink ref="B79" r:id="rId233" display="https://statiz.sporki.com/add/?m=draft_school01&amp;ps_school=50219" xr:uid="{132C8A3C-D81C-4168-805C-A1E2FA30C67C}"/>
    <hyperlink ref="C79" r:id="rId234" display="https://statiz.sporki.com/add/?m=draft_school02&amp;ps_school=" xr:uid="{B12FB168-622A-47B3-BF06-A8E6659C8F0C}"/>
    <hyperlink ref="A80" r:id="rId235" display="https://statiz.sporki.com/player/?m=playerinfo&amp;p_no=15515" xr:uid="{2B76CB3D-D3CF-464A-B9C4-B9ED10D8CF6D}"/>
    <hyperlink ref="B80" r:id="rId236" display="https://statiz.sporki.com/add/?m=draft_school01&amp;ps_school=50807" xr:uid="{AFEE495F-083E-44EC-A0C7-6980AACDD37A}"/>
    <hyperlink ref="C80" r:id="rId237" display="https://statiz.sporki.com/add/?m=draft_school02&amp;ps_school=60603" xr:uid="{02349429-340E-4A2A-B8CE-2C9269F7C9E7}"/>
    <hyperlink ref="A81" r:id="rId238" display="https://statiz.sporki.com/player/?m=playerinfo&amp;p_no=15524" xr:uid="{0EF9AD63-0A9A-4725-8266-49385E0DEE5F}"/>
    <hyperlink ref="B81" r:id="rId239" display="https://statiz.sporki.com/add/?m=draft_school01&amp;ps_school=50701" xr:uid="{397A5F6A-2853-4B42-8E14-0936F2EEED6D}"/>
    <hyperlink ref="C81" r:id="rId240" display="https://statiz.sporki.com/add/?m=draft_school02&amp;ps_school=60707" xr:uid="{A50EB46B-37FB-41C9-A5B9-7C48C4A30A54}"/>
    <hyperlink ref="A82" r:id="rId241" display="https://statiz.sporki.com/player/?m=playerinfo&amp;p_no=15429" xr:uid="{8CAB861B-340A-4DA3-9233-B006D37AA8B2}"/>
    <hyperlink ref="B82" r:id="rId242" display="https://statiz.sporki.com/add/?m=draft_school01&amp;ps_school=50801" xr:uid="{ECD71DC4-2061-4A46-B4E6-A3D32AA82EEF}"/>
    <hyperlink ref="C82" r:id="rId243" display="https://statiz.sporki.com/add/?m=draft_school02&amp;ps_school=" xr:uid="{1DC83587-A346-45CE-84A4-7903646353A4}"/>
    <hyperlink ref="A83" r:id="rId244" display="https://statiz.sporki.com/player/?m=playerinfo&amp;p_no=15439" xr:uid="{61B45AD5-710D-46D2-950F-1E71ACBEF186}"/>
    <hyperlink ref="B83" r:id="rId245" display="https://statiz.sporki.com/add/?m=draft_school01&amp;ps_school=50107" xr:uid="{C0D4CC8B-331C-46DC-8C5A-AFA208D3A126}"/>
    <hyperlink ref="C83" r:id="rId246" display="https://statiz.sporki.com/add/?m=draft_school02&amp;ps_school=" xr:uid="{4E906EB8-94F1-4795-B00E-6E5EAF329EBE}"/>
    <hyperlink ref="A84" r:id="rId247" display="https://statiz.sporki.com/player/?m=playerinfo&amp;p_no=15447" xr:uid="{10A9DA1F-E69C-4A63-92D8-55F24A9144C3}"/>
    <hyperlink ref="B84" r:id="rId248" display="https://statiz.sporki.com/add/?m=draft_school01&amp;ps_school=50805" xr:uid="{93165D6F-9AD6-4AE0-ACEB-4BCA77574273}"/>
    <hyperlink ref="C84" r:id="rId249" display="https://statiz.sporki.com/add/?m=draft_school02&amp;ps_school=" xr:uid="{F1957C0F-9C4E-4654-B9BC-02DC61FB63FD}"/>
    <hyperlink ref="A85" r:id="rId250" display="https://statiz.sporki.com/player/?m=playerinfo&amp;p_no=15458" xr:uid="{B9DAA543-44B9-4182-9FE2-336002BFAA34}"/>
    <hyperlink ref="B85" r:id="rId251" display="https://statiz.sporki.com/add/?m=draft_school01&amp;ps_school=50110" xr:uid="{4AE422A3-2AA0-484A-A0F2-C09C680A0DAD}"/>
    <hyperlink ref="C85" r:id="rId252" display="https://statiz.sporki.com/add/?m=draft_school02&amp;ps_school=" xr:uid="{703DB8C2-FF82-4A4D-AC85-43BAC6269D97}"/>
    <hyperlink ref="A86" r:id="rId253" display="https://statiz.sporki.com/player/?m=playerinfo&amp;p_no=15469" xr:uid="{63453D4A-0723-42AF-8D87-765C1FA11CFE}"/>
    <hyperlink ref="B86" r:id="rId254" display="https://statiz.sporki.com/add/?m=draft_school01&amp;ps_school=50106" xr:uid="{47595F0B-50FD-480B-9667-0BD15AEBB3A2}"/>
    <hyperlink ref="C86" r:id="rId255" display="https://statiz.sporki.com/add/?m=draft_school02&amp;ps_school=" xr:uid="{5A56DBF8-E9FE-4879-AA85-1E4C1F113310}"/>
    <hyperlink ref="A87" r:id="rId256" display="https://statiz.sporki.com/player/?m=playerinfo&amp;p_no=15481" xr:uid="{5024A1E0-4A0E-4B12-8E88-8F7399B7CF13}"/>
    <hyperlink ref="B87" r:id="rId257" display="https://statiz.sporki.com/add/?m=draft_school01&amp;ps_school=50208" xr:uid="{A3648F80-A3ED-429C-9038-07AA61E02D46}"/>
    <hyperlink ref="C87" r:id="rId258" display="https://statiz.sporki.com/add/?m=draft_school02&amp;ps_school=" xr:uid="{A5C54BC0-0A17-4D02-9E95-60581F6CCF41}"/>
    <hyperlink ref="A88" r:id="rId259" display="https://statiz.sporki.com/player/?m=playerinfo&amp;p_no=15493" xr:uid="{2FA5A076-81CF-42CC-A1FA-5C9CE68C4EEA}"/>
    <hyperlink ref="B88" r:id="rId260" display="https://statiz.sporki.com/add/?m=draft_school01&amp;ps_school=50109" xr:uid="{CD5DD012-C9BD-422A-971D-34B9BEBD4F24}"/>
    <hyperlink ref="C88" r:id="rId261" display="https://statiz.sporki.com/add/?m=draft_school02&amp;ps_school=" xr:uid="{487EB202-7E36-4503-9077-8ED2EA59799C}"/>
    <hyperlink ref="A89" r:id="rId262" display="https://statiz.sporki.com/player/?m=playerinfo&amp;p_no=15505" xr:uid="{17AC09E3-5AF8-43E5-A2AB-3876B7AB2584}"/>
    <hyperlink ref="B89" r:id="rId263" display="https://statiz.sporki.com/add/?m=draft_school01&amp;ps_school=50208" xr:uid="{51DE5E04-DCEE-444C-8D52-C9F81544C17C}"/>
    <hyperlink ref="C89" r:id="rId264" display="https://statiz.sporki.com/add/?m=draft_school02&amp;ps_school=" xr:uid="{5A582AA4-B307-415A-8F0A-97AE3BD96C13}"/>
    <hyperlink ref="A90" r:id="rId265" display="https://statiz.sporki.com/player/?m=playerinfo&amp;p_no=15516" xr:uid="{455DC093-182A-4D6C-BAA9-72C7B67DD226}"/>
    <hyperlink ref="B90" r:id="rId266" display="https://statiz.sporki.com/add/?m=draft_school01&amp;ps_school=50101" xr:uid="{39414C3C-6EA7-43EB-AA41-DA71826C6984}"/>
    <hyperlink ref="C90" r:id="rId267" display="https://statiz.sporki.com/add/?m=draft_school02&amp;ps_school=" xr:uid="{5532F20F-2016-4E50-9490-F287782CF8D0}"/>
    <hyperlink ref="A91" r:id="rId268" display="https://statiz.sporki.com/player/?m=playerinfo&amp;p_no=15525" xr:uid="{421DCBA6-8659-49AC-9974-6C8C2ECB8E26}"/>
    <hyperlink ref="B91" r:id="rId269" display="https://statiz.sporki.com/add/?m=draft_school01&amp;ps_school=50219" xr:uid="{9727102E-DA6B-4850-96CB-EDA8E5DBC2B8}"/>
    <hyperlink ref="C91" r:id="rId270" display="https://statiz.sporki.com/add/?m=draft_school02&amp;ps_school=" xr:uid="{B977CB0C-97F1-4DF7-83F2-ED7C1EC3E7E3}"/>
    <hyperlink ref="A92" r:id="rId271" display="https://statiz.sporki.com/player/?m=playerinfo&amp;p_no=15430" xr:uid="{27D01F27-2CEC-4E83-A8E1-E30BF1BD71C8}"/>
    <hyperlink ref="B92" r:id="rId272" display="https://statiz.sporki.com/add/?m=draft_school01&amp;ps_school=50210" xr:uid="{AECE03D1-FDF3-47AC-861C-98A59D732BB0}"/>
    <hyperlink ref="C92" r:id="rId273" display="https://statiz.sporki.com/add/?m=draft_school02&amp;ps_school=60706" xr:uid="{B9E4AFFE-287A-4D31-9084-A4FFC34E5211}"/>
    <hyperlink ref="A93" r:id="rId274" display="https://statiz.sporki.com/player/?m=playerinfo&amp;p_no=15440" xr:uid="{27C2D7C7-C9C8-4F0C-A8AB-0DE11E06B38F}"/>
    <hyperlink ref="B93" r:id="rId275" display="https://statiz.sporki.com/add/?m=draft_school01&amp;ps_school=50101" xr:uid="{71860CD5-D820-44C0-884F-744B14599EA7}"/>
    <hyperlink ref="C93" r:id="rId276" display="https://statiz.sporki.com/add/?m=draft_school02&amp;ps_school=60607" xr:uid="{A31DF583-1FF6-4427-9235-46D5685564FA}"/>
    <hyperlink ref="A94" r:id="rId277" display="https://statiz.sporki.com/player/?m=playerinfo&amp;p_no=15448" xr:uid="{ED69C56B-E1CB-43A0-976F-C2A13B4977CD}"/>
    <hyperlink ref="B94" r:id="rId278" display="https://statiz.sporki.com/add/?m=draft_school01&amp;ps_school=50501" xr:uid="{5E9C5DBE-F70E-44A3-852C-C65457493D2B}"/>
    <hyperlink ref="C94" r:id="rId279" display="https://statiz.sporki.com/add/?m=draft_school02&amp;ps_school=" xr:uid="{593C793A-B884-42A7-983F-8643F6455D9D}"/>
    <hyperlink ref="A95" r:id="rId280" display="https://statiz.sporki.com/player/?m=playerinfo&amp;p_no=15459" xr:uid="{B69EF939-4E37-402A-A3B3-F0BCC2D66FB9}"/>
    <hyperlink ref="B95" r:id="rId281" display="https://statiz.sporki.com/add/?m=draft_school01&amp;ps_school=50701" xr:uid="{0A12EEB9-884B-4423-8A96-2425D40A3305}"/>
    <hyperlink ref="C95" r:id="rId282" display="https://statiz.sporki.com/add/?m=draft_school02&amp;ps_school=" xr:uid="{3D146E1A-403F-4246-B419-396183916858}"/>
    <hyperlink ref="A96" r:id="rId283" display="https://statiz.sporki.com/player/?m=playerinfo&amp;p_no=15470" xr:uid="{0DFC3125-60FC-4A6B-A6F1-2ED5F61EF359}"/>
    <hyperlink ref="B96" r:id="rId284" display="https://statiz.sporki.com/add/?m=draft_school01&amp;ps_school=50109" xr:uid="{44F5D3D4-FF3E-4C4D-BF08-2211F594223C}"/>
    <hyperlink ref="C96" r:id="rId285" display="https://statiz.sporki.com/add/?m=draft_school02&amp;ps_school=60902" xr:uid="{22D6666C-2059-4EAF-A2D7-553B252D8939}"/>
    <hyperlink ref="A97" r:id="rId286" display="https://statiz.sporki.com/player/?m=playerinfo&amp;p_no=15482" xr:uid="{5ADEC40B-C9D9-4708-AF4A-3F879D997B0D}"/>
    <hyperlink ref="B97" r:id="rId287" display="https://statiz.sporki.com/add/?m=draft_school01&amp;ps_school=50106" xr:uid="{84F932D2-152E-422C-9DDD-49CFDEEE7155}"/>
    <hyperlink ref="C97" r:id="rId288" display="https://statiz.sporki.com/add/?m=draft_school02&amp;ps_school=" xr:uid="{324AA57C-2097-4C71-9620-F81205F0D3EB}"/>
    <hyperlink ref="A98" r:id="rId289" display="https://statiz.sporki.com/player/?m=playerinfo&amp;p_no=15494" xr:uid="{B05B8114-92ED-49FD-B11F-B5BF968B100C}"/>
    <hyperlink ref="B98" r:id="rId290" display="https://statiz.sporki.com/add/?m=draft_school01&amp;ps_school=50105" xr:uid="{96E32703-CB6D-435B-8901-D5A609B8578A}"/>
    <hyperlink ref="C98" r:id="rId291" display="https://statiz.sporki.com/add/?m=draft_school02&amp;ps_school=" xr:uid="{A2EA6787-6CB0-42DF-81E9-1F62BE49A3EB}"/>
    <hyperlink ref="A99" r:id="rId292" display="https://statiz.sporki.com/player/?m=playerinfo&amp;p_no=15506" xr:uid="{9B4C704F-7E24-4FE9-9B55-F25B3B1E8F3A}"/>
    <hyperlink ref="B99" r:id="rId293" display="https://statiz.sporki.com/add/?m=draft_school01&amp;ps_school=50703" xr:uid="{3AF74ED5-A8B4-40B7-B33F-A0BE841D3C40}"/>
    <hyperlink ref="C99" r:id="rId294" display="https://statiz.sporki.com/add/?m=draft_school02&amp;ps_school=" xr:uid="{AA114997-E8F7-4F06-BF09-377C87794996}"/>
    <hyperlink ref="A100" r:id="rId295" display="https://statiz.sporki.com/player/?m=playerinfo&amp;p_no=15526" xr:uid="{5C55C732-5A3D-46F1-86FA-4227B2CBEF65}"/>
    <hyperlink ref="B100" r:id="rId296" display="https://statiz.sporki.com/add/?m=draft_school01&amp;ps_school=50108" xr:uid="{FC39A8C9-B6AD-4D96-A2F7-766BF571A98F}"/>
    <hyperlink ref="C100" r:id="rId297" display="https://statiz.sporki.com/add/?m=draft_school02&amp;ps_school=60804" xr:uid="{C49FA12E-DAA3-4434-8A46-DF519F1475F6}"/>
    <hyperlink ref="A101" r:id="rId298" display="https://statiz.sporki.com/player/?m=playerinfo&amp;p_no=15431" xr:uid="{1969366D-F80E-40B8-90AD-93AB98610D8C}"/>
    <hyperlink ref="B101" r:id="rId299" display="https://statiz.sporki.com/add/?m=draft_school01&amp;ps_school=50901" xr:uid="{75381732-BCB7-4675-9A95-282C4E19D8EC}"/>
    <hyperlink ref="C101" r:id="rId300" display="https://statiz.sporki.com/add/?m=draft_school02&amp;ps_school=" xr:uid="{61395976-E27A-4A64-BD42-3A143B98DE6C}"/>
    <hyperlink ref="A102" r:id="rId301" display="https://statiz.sporki.com/player/?m=playerinfo&amp;p_no=15449" xr:uid="{A8EFD896-401F-4719-8BF0-2BAF6511AF65}"/>
    <hyperlink ref="B102" r:id="rId302" display="https://statiz.sporki.com/add/?m=draft_school01&amp;ps_school=50209" xr:uid="{F13B7FF9-43A0-44DD-91E5-CA39C7118B28}"/>
    <hyperlink ref="C102" r:id="rId303" display="https://statiz.sporki.com/add/?m=draft_school02&amp;ps_school=" xr:uid="{8AE1D3FD-755D-4599-826F-974100158D73}"/>
    <hyperlink ref="A103" r:id="rId304" display="https://statiz.sporki.com/player/?m=playerinfo&amp;p_no=15460" xr:uid="{58B44CCA-E653-496E-AAA3-C2C69D6B9484}"/>
    <hyperlink ref="B103" r:id="rId305" display="https://statiz.sporki.com/add/?m=draft_school01&amp;ps_school=50606" xr:uid="{2DB9805E-5398-4CB1-9A49-ECE9964AEC2F}"/>
    <hyperlink ref="C103" r:id="rId306" display="https://statiz.sporki.com/add/?m=draft_school02&amp;ps_school=" xr:uid="{7645276D-6FFD-403F-8BE1-DDE1DD67F03B}"/>
    <hyperlink ref="A104" r:id="rId307" display="https://statiz.sporki.com/player/?m=playerinfo&amp;p_no=15471" xr:uid="{3EE6C35C-0C5D-4EFF-B1E6-1AF056924E6C}"/>
    <hyperlink ref="B104" r:id="rId308" display="https://statiz.sporki.com/add/?m=draft_school01&amp;ps_school=50301" xr:uid="{12BC7BDE-D0D6-4F96-A8BB-B1802B308E05}"/>
    <hyperlink ref="C104" r:id="rId309" display="https://statiz.sporki.com/add/?m=draft_school02&amp;ps_school=" xr:uid="{EDE8F45A-0B72-4908-8530-05431373246E}"/>
    <hyperlink ref="A105" r:id="rId310" display="https://statiz.sporki.com/player/?m=playerinfo&amp;p_no=15483" xr:uid="{6B14EC2B-6D28-49F7-A446-C07B1256A598}"/>
    <hyperlink ref="B105" r:id="rId311" display="https://statiz.sporki.com/add/?m=draft_school01&amp;ps_school=50605" xr:uid="{67C0D69F-0731-4CA0-81FF-086516278180}"/>
    <hyperlink ref="C105" r:id="rId312" display="https://statiz.sporki.com/add/?m=draft_school02&amp;ps_school=60501" xr:uid="{5E7C671F-C090-46C1-AE6C-F7C92152D8C0}"/>
    <hyperlink ref="A106" r:id="rId313" display="https://statiz.sporki.com/player/?m=playerinfo&amp;p_no=15495" xr:uid="{87C36D95-4EAE-4D67-A19A-E1DCE2FDC6C2}"/>
    <hyperlink ref="B106" r:id="rId314" display="https://statiz.sporki.com/add/?m=draft_school01&amp;ps_school=50103" xr:uid="{3CF5BE96-7AC9-4717-B418-8492287B448E}"/>
    <hyperlink ref="C106" r:id="rId315" display="https://statiz.sporki.com/add/?m=draft_school02&amp;ps_school=60114" xr:uid="{3D9BAFE0-ECA0-413F-A0F4-78D52E43EAB8}"/>
    <hyperlink ref="A107" r:id="rId316" display="https://statiz.sporki.com/player/?m=playerinfo&amp;p_no=15507" xr:uid="{CA122A7F-734D-4ED4-9FFE-474527328389}"/>
    <hyperlink ref="B107" r:id="rId317" display="https://statiz.sporki.com/add/?m=draft_school01&amp;ps_school=50302" xr:uid="{7D46D2A4-FDE4-4785-BC86-EFD14CE72886}"/>
    <hyperlink ref="C107" r:id="rId318" display="https://statiz.sporki.com/add/?m=draft_school02&amp;ps_school=" xr:uid="{5C69B333-7720-4FB5-8BBD-EB3A5DAA3FB0}"/>
    <hyperlink ref="A108" r:id="rId319" display="https://statiz.sporki.com/player/?m=playerinfo&amp;p_no=15517" xr:uid="{057156D0-AB91-437A-82CA-DAC65F2351F1}"/>
    <hyperlink ref="B108" r:id="rId320" display="https://statiz.sporki.com/add/?m=draft_school01&amp;ps_school=50116" xr:uid="{60111E8B-1BDB-41F7-ADB6-A80C615FEDEC}"/>
    <hyperlink ref="C108" r:id="rId321" display="https://statiz.sporki.com/add/?m=draft_school02&amp;ps_school=" xr:uid="{B008C582-BF30-486A-879F-FD2EB569DB7D}"/>
    <hyperlink ref="A109" r:id="rId322" display="https://statiz.sporki.com/player/?m=playerinfo&amp;p_no=15527" xr:uid="{F4EEF0AC-1A94-4CF1-996E-5F8A8F8EB050}"/>
    <hyperlink ref="B109" r:id="rId323" display="https://statiz.sporki.com/add/?m=draft_school01&amp;ps_school=50211" xr:uid="{8508C4F9-E3A1-4C7F-AE6A-18B26E2212B2}"/>
    <hyperlink ref="C109" r:id="rId324" display="https://statiz.sporki.com/add/?m=draft_school02&amp;ps_school=" xr:uid="{289987DD-EC9C-4EC4-BD44-B52705332087}"/>
    <hyperlink ref="A110" r:id="rId325" display="https://statiz.sporki.com/player/?m=playerinfo&amp;p_no=15648" xr:uid="{0B0C0276-8AA7-4A35-BCA6-FBC0C5207C67}"/>
    <hyperlink ref="B110" r:id="rId326" display="https://statiz.sporki.com/add/?m=draft_school01&amp;ps_school=" xr:uid="{B656A9A2-F1BA-4884-9AB3-258E57A8F767}"/>
    <hyperlink ref="C110" r:id="rId327" display="https://statiz.sporki.com/add/?m=draft_school02&amp;ps_school=" xr:uid="{68FB6A87-FBC2-4B25-A5C1-16121FA9120C}"/>
    <hyperlink ref="A111" r:id="rId328" display="https://statiz.sporki.com/player/?m=playerinfo&amp;p_no=15533" xr:uid="{AA182126-2BAB-4FFA-A632-10D5C9E7CDF0}"/>
    <hyperlink ref="B111" r:id="rId329" display="https://statiz.sporki.com/add/?m=draft_school01&amp;ps_school=" xr:uid="{9A7224F6-9640-48FD-B35A-EF7417F37069}"/>
    <hyperlink ref="C111" r:id="rId330" display="https://statiz.sporki.com/add/?m=draft_school02&amp;ps_school=" xr:uid="{7B2A08B7-30AF-47FF-9857-ACA3F55E8088}"/>
    <hyperlink ref="A112" r:id="rId331" display="https://statiz.sporki.com/player/?m=playerinfo&amp;p_no=15534" xr:uid="{B1B017E2-B2F3-41C5-B82C-DF193C9F25CA}"/>
    <hyperlink ref="B112" r:id="rId332" display="https://statiz.sporki.com/add/?m=draft_school01&amp;ps_school=" xr:uid="{087AFF2A-9745-4C61-B2B2-542C15F269E6}"/>
    <hyperlink ref="C112" r:id="rId333" display="https://statiz.sporki.com/add/?m=draft_school02&amp;ps_school=" xr:uid="{CA01F81A-9418-4D15-9D5A-E1D36EA2CA04}"/>
    <hyperlink ref="A113" r:id="rId334" display="https://statiz.sporki.com/player/?m=playerinfo&amp;p_no=15542" xr:uid="{5BC809D7-4F9D-4FCE-AB9C-DE59CF023036}"/>
    <hyperlink ref="B113" r:id="rId335" display="https://statiz.sporki.com/add/?m=draft_school01&amp;ps_school=" xr:uid="{418049D9-0AD2-4E0D-A7C7-0D724EC3CA91}"/>
    <hyperlink ref="C113" r:id="rId336" display="https://statiz.sporki.com/add/?m=draft_school02&amp;ps_school=" xr:uid="{73AFCBA3-C8DD-470C-A55B-F64C36E1EE3C}"/>
    <hyperlink ref="A114" r:id="rId337" display="https://statiz.sporki.com/player/?m=playerinfo&amp;p_no=15532" xr:uid="{C613AEA8-0AC6-40F4-BC3F-B4E0B764F18C}"/>
    <hyperlink ref="B114" r:id="rId338" display="https://statiz.sporki.com/add/?m=draft_school01&amp;ps_school=" xr:uid="{0CAFA581-0470-4149-B734-AD2BFB443296}"/>
    <hyperlink ref="C114" r:id="rId339" display="https://statiz.sporki.com/add/?m=draft_school02&amp;ps_school=" xr:uid="{891EFF55-1404-45C0-9399-588B012C1052}"/>
    <hyperlink ref="A115" r:id="rId340" display="https://statiz.sporki.com/player/?m=playerinfo&amp;p_no=15653" xr:uid="{790FE3B6-0069-4B3C-8F17-4B92245ED065}"/>
    <hyperlink ref="B115" r:id="rId341" display="https://statiz.sporki.com/add/?m=draft_school01&amp;ps_school=" xr:uid="{7418B50C-3F79-41C5-9D08-E280186C6DF8}"/>
    <hyperlink ref="C115" r:id="rId342" display="https://statiz.sporki.com/add/?m=draft_school02&amp;ps_school=" xr:uid="{5E5206ED-F1EC-4C5E-8015-65EE763C1575}"/>
    <hyperlink ref="A116" r:id="rId343" display="https://statiz.sporki.com/player/?m=playerinfo&amp;p_no=15537" xr:uid="{E6F0B58E-9281-4966-88E9-0838EE12AE85}"/>
    <hyperlink ref="B116" r:id="rId344" display="https://statiz.sporki.com/add/?m=draft_school01&amp;ps_school=" xr:uid="{28EDCC69-FDE5-4683-A5B0-077B4FC48FC0}"/>
    <hyperlink ref="C116" r:id="rId345" display="https://statiz.sporki.com/add/?m=draft_school02&amp;ps_school=" xr:uid="{59EC2597-B636-40FE-A8A1-474949F02AE3}"/>
    <hyperlink ref="A117" r:id="rId346" display="https://statiz.sporki.com/player/?m=playerinfo&amp;p_no=15535" xr:uid="{D3377429-5FB3-4619-B15D-9911D01599EE}"/>
    <hyperlink ref="B117" r:id="rId347" display="https://statiz.sporki.com/add/?m=draft_school01&amp;ps_school=" xr:uid="{E91201CF-5885-4E92-BAD6-B4BFE946132E}"/>
    <hyperlink ref="C117" r:id="rId348" display="https://statiz.sporki.com/add/?m=draft_school02&amp;ps_school=" xr:uid="{2508B9B6-35D6-457F-9C62-6B2BD0EC0557}"/>
    <hyperlink ref="A118" r:id="rId349" display="https://statiz.sporki.com/player/?m=playerinfo&amp;p_no=15536" xr:uid="{D5F1C77C-FE9C-46DC-BB87-73170B494C6B}"/>
    <hyperlink ref="B118" r:id="rId350" display="https://statiz.sporki.com/add/?m=draft_school01&amp;ps_school=" xr:uid="{05447E9E-2F2C-44BF-895B-4597A13E3545}"/>
    <hyperlink ref="C118" r:id="rId351" display="https://statiz.sporki.com/add/?m=draft_school02&amp;ps_school=" xr:uid="{E0900755-6432-48BA-BCAE-69886A9752B8}"/>
    <hyperlink ref="A119" r:id="rId352" display="https://statiz.sporki.com/player/?m=playerinfo&amp;p_no=15644" xr:uid="{025F72E1-CCFB-4146-B643-BF6803C8D397}"/>
    <hyperlink ref="B119" r:id="rId353" display="https://statiz.sporki.com/add/?m=draft_school01&amp;ps_school=" xr:uid="{F0F02260-3338-4EBA-81C9-9AD6A65701EC}"/>
    <hyperlink ref="C119" r:id="rId354" display="https://statiz.sporki.com/add/?m=draft_school02&amp;ps_school=" xr:uid="{34C0B713-35F7-4005-86C8-03D51C268478}"/>
    <hyperlink ref="A120" r:id="rId355" display="https://statiz.sporki.com/player/?m=playerinfo&amp;p_no=15529" xr:uid="{30EBD91D-EB52-4A12-8DF0-8FAC2B49CFD7}"/>
    <hyperlink ref="B120" r:id="rId356" display="https://statiz.sporki.com/add/?m=draft_school01&amp;ps_school=" xr:uid="{99A0C60E-0C3D-4461-A6AD-1D86EDD0A3AD}"/>
    <hyperlink ref="C120" r:id="rId357" display="https://statiz.sporki.com/add/?m=draft_school02&amp;ps_school=" xr:uid="{911CFB3C-2DF0-4F13-80FD-740660EA408B}"/>
    <hyperlink ref="A121" r:id="rId358" display="https://statiz.sporki.com/player/?m=playerinfo&amp;p_no=15530" xr:uid="{1A2B3741-C464-4375-8910-5944CA70C131}"/>
    <hyperlink ref="B121" r:id="rId359" display="https://statiz.sporki.com/add/?m=draft_school01&amp;ps_school=" xr:uid="{3F6550AB-9879-4175-9340-5BD836F507D5}"/>
    <hyperlink ref="C121" r:id="rId360" display="https://statiz.sporki.com/add/?m=draft_school02&amp;ps_school=" xr:uid="{D8BC9765-A3C9-42DF-A25C-F4FEFDADAAF8}"/>
    <hyperlink ref="A122" r:id="rId361" display="https://statiz.sporki.com/player/?m=playerinfo&amp;p_no=15528" xr:uid="{BD6B8AAB-4748-45D8-9BC6-A4DB34190554}"/>
    <hyperlink ref="B122" r:id="rId362" display="https://statiz.sporki.com/add/?m=draft_school01&amp;ps_school=" xr:uid="{2430548F-F331-4825-9717-A67AC052C4A6}"/>
    <hyperlink ref="C122" r:id="rId363" display="https://statiz.sporki.com/add/?m=draft_school02&amp;ps_school=" xr:uid="{4623B9F9-07DC-448B-93BA-0EAE6C6E4D65}"/>
    <hyperlink ref="A123" r:id="rId364" display="https://statiz.sporki.com/player/?m=playerinfo&amp;p_no=15539" xr:uid="{9C90139D-01D8-4C91-B2CF-F0DF812C6A5F}"/>
    <hyperlink ref="B123" r:id="rId365" display="https://statiz.sporki.com/add/?m=draft_school01&amp;ps_school=" xr:uid="{9FAF3DC5-C8DF-46D2-BD4A-53A7A53AAEF0}"/>
    <hyperlink ref="C123" r:id="rId366" display="https://statiz.sporki.com/add/?m=draft_school02&amp;ps_school=" xr:uid="{133B4202-4FC6-4783-A9C2-BB9D73BD8556}"/>
    <hyperlink ref="A124" r:id="rId367" display="https://statiz.sporki.com/player/?m=playerinfo&amp;p_no=15538" xr:uid="{08F203E2-28D4-4C61-9B0D-9D7EF5C81211}"/>
    <hyperlink ref="B124" r:id="rId368" display="https://statiz.sporki.com/add/?m=draft_school01&amp;ps_school=" xr:uid="{7D605D5D-D689-4449-913E-DC67FE9AFA43}"/>
    <hyperlink ref="C124" r:id="rId369" display="https://statiz.sporki.com/add/?m=draft_school02&amp;ps_school=" xr:uid="{9CE92FB5-2233-46C4-8D7E-04743F069110}"/>
    <hyperlink ref="A125" r:id="rId370" display="https://statiz.sporki.com/player/?m=playerinfo&amp;p_no=12295" xr:uid="{1E40324A-C90F-4CC9-85A5-08EA92CA4BE2}"/>
    <hyperlink ref="B125" r:id="rId371" display="https://statiz.sporki.com/add/?m=draft_school01&amp;ps_school=" xr:uid="{D792F7EB-8401-4A32-A819-B12E2D48A6E0}"/>
    <hyperlink ref="C125" r:id="rId372" display="https://statiz.sporki.com/add/?m=draft_school02&amp;ps_school=" xr:uid="{E14652FD-386B-4EB0-B28B-956733772D7D}"/>
    <hyperlink ref="A126" r:id="rId373" display="https://statiz.sporki.com/player/?m=playerinfo&amp;p_no=15651" xr:uid="{CDC68685-6BD4-4086-AFF6-AFC2E1BB379B}"/>
    <hyperlink ref="B126" r:id="rId374" display="https://statiz.sporki.com/add/?m=draft_school01&amp;ps_school=" xr:uid="{A61CD85E-5443-4F27-9400-CC6B608AB2BC}"/>
    <hyperlink ref="C126" r:id="rId375" display="https://statiz.sporki.com/add/?m=draft_school02&amp;ps_school=" xr:uid="{4B2346D7-0B89-4F71-80D1-CCAC672F4221}"/>
    <hyperlink ref="A127" r:id="rId376" display="https://statiz.sporki.com/player/?m=playerinfo&amp;p_no=15646" xr:uid="{2DE60CC5-65D6-4DFF-BD92-B9255E992A0E}"/>
    <hyperlink ref="B127" r:id="rId377" display="https://statiz.sporki.com/add/?m=draft_school01&amp;ps_school=" xr:uid="{0FBC781F-27AF-493A-B0DD-FFA1EAC028C3}"/>
    <hyperlink ref="C127" r:id="rId378" display="https://statiz.sporki.com/add/?m=draft_school02&amp;ps_school=" xr:uid="{355F50B3-F2BF-467E-A840-98782A94C550}"/>
    <hyperlink ref="A128" r:id="rId379" display="https://statiz.sporki.com/player/?m=playerinfo&amp;p_no=15652" xr:uid="{A3E6C815-FE40-437C-B807-F2B35BB41115}"/>
    <hyperlink ref="B128" r:id="rId380" display="https://statiz.sporki.com/add/?m=draft_school01&amp;ps_school=" xr:uid="{E9C0A914-ED87-433D-89CD-01F677D65AD3}"/>
    <hyperlink ref="C128" r:id="rId381" display="https://statiz.sporki.com/add/?m=draft_school02&amp;ps_school=" xr:uid="{C76B1B21-CB36-45CA-870E-15374A5D3621}"/>
    <hyperlink ref="A129" r:id="rId382" display="https://statiz.sporki.com/player/?m=playerinfo&amp;p_no=15531" xr:uid="{5A5B8FEF-7873-4104-86EE-179158DD4F70}"/>
    <hyperlink ref="B129" r:id="rId383" display="https://statiz.sporki.com/add/?m=draft_school01&amp;ps_school=" xr:uid="{3EE76F82-EF90-4854-836D-CBEF66A73D1C}"/>
    <hyperlink ref="C129" r:id="rId384" display="https://statiz.sporki.com/add/?m=draft_school02&amp;ps_school=" xr:uid="{A9424B33-7D45-401E-B1AC-1BAF6341D231}"/>
    <hyperlink ref="A130" r:id="rId385" display="https://statiz.sporki.com/player/?m=playerinfo&amp;p_no=15647" xr:uid="{A2BA926E-6F3D-453A-AA80-C01484476B3E}"/>
    <hyperlink ref="B130" r:id="rId386" display="https://statiz.sporki.com/add/?m=draft_school01&amp;ps_school=" xr:uid="{65772F98-A095-49DD-8FAF-2567B5E8F943}"/>
    <hyperlink ref="C130" r:id="rId387" display="https://statiz.sporki.com/add/?m=draft_school02&amp;ps_school=" xr:uid="{40B78CEE-485A-46FA-AE65-6831CC5CF7E5}"/>
    <hyperlink ref="A131" r:id="rId388" display="https://statiz.sporki.com/player/?m=playerinfo&amp;p_no=15540" xr:uid="{37E05C13-8388-4A8A-BE5B-0D9E0CBD1184}"/>
    <hyperlink ref="B131" r:id="rId389" display="https://statiz.sporki.com/add/?m=draft_school01&amp;ps_school=" xr:uid="{046A040F-A864-4AD6-8628-5AB93AD96E3D}"/>
    <hyperlink ref="C131" r:id="rId390" display="https://statiz.sporki.com/add/?m=draft_school02&amp;ps_school=" xr:uid="{1AE8554F-B21A-4129-A2AE-C47F6F38DF27}"/>
    <hyperlink ref="A132" r:id="rId391" display="https://statiz.sporki.com/player/?m=playerinfo&amp;p_no=15643" xr:uid="{09933D8D-5524-40BB-B659-2D304B8F093E}"/>
    <hyperlink ref="B132" r:id="rId392" display="https://statiz.sporki.com/add/?m=draft_school01&amp;ps_school=" xr:uid="{C3A52EAA-FF72-49C2-B38B-192E8C8A150D}"/>
    <hyperlink ref="C132" r:id="rId393" display="https://statiz.sporki.com/add/?m=draft_school02&amp;ps_school=" xr:uid="{65B0FA8E-EC61-471E-AB74-C34A600AAC71}"/>
    <hyperlink ref="A133" r:id="rId394" display="https://statiz.sporki.com/player/?m=playerinfo&amp;p_no=15541" xr:uid="{0FE6867A-4492-4B0E-8D44-4C85C61BE2C5}"/>
    <hyperlink ref="B133" r:id="rId395" display="https://statiz.sporki.com/add/?m=draft_school01&amp;ps_school=" xr:uid="{F4FC8626-EB15-4A74-84DF-EBE6B56BF9DC}"/>
    <hyperlink ref="C133" r:id="rId396" display="https://statiz.sporki.com/add/?m=draft_school02&amp;ps_school=" xr:uid="{99EDEFA1-6C4D-4326-868B-46F2A9B54981}"/>
    <hyperlink ref="A134" r:id="rId397" display="https://statiz.sporki.com/player/?m=playerinfo&amp;p_no=15642" xr:uid="{60235E9E-A4C8-43EC-9555-4C475CF85B39}"/>
    <hyperlink ref="B134" r:id="rId398" display="https://statiz.sporki.com/add/?m=draft_school01&amp;ps_school=50215" xr:uid="{2CF26C05-EA50-4EE2-9154-D1BA4DAAE38F}"/>
    <hyperlink ref="C134" r:id="rId399" display="https://statiz.sporki.com/add/?m=draft_school02&amp;ps_school=60203" xr:uid="{F7B21563-B85C-4684-88EF-655BC44DAAB7}"/>
    <hyperlink ref="A135" r:id="rId400" display="https://statiz.sporki.com/player/?m=playerinfo&amp;p_no=15641" xr:uid="{20609E1E-FE94-4603-9320-8D7A7101FE44}"/>
    <hyperlink ref="B135" r:id="rId401" display="https://statiz.sporki.com/add/?m=draft_school01&amp;ps_school=50107" xr:uid="{208B7BD9-71E4-448F-B845-B62DC9ACD866}"/>
    <hyperlink ref="C135" r:id="rId402" display="https://statiz.sporki.com/add/?m=draft_school02&amp;ps_school=60109" xr:uid="{4541A67A-2F7A-4AA2-9A54-41C3E5B08512}"/>
    <hyperlink ref="A136" r:id="rId403" display="https://statiz.sporki.com/player/?m=playerinfo&amp;p_no=15737" xr:uid="{CFD96BCA-0B0E-4D55-B621-CAFC452B31DE}"/>
    <hyperlink ref="B136" r:id="rId404" display="https://statiz.sporki.com/add/?m=draft_school01&amp;ps_school=50207" xr:uid="{559EAE46-CCE3-42BC-B314-E3F33B78D591}"/>
    <hyperlink ref="C136" r:id="rId405" display="https://statiz.sporki.com/add/?m=draft_school02&amp;ps_school=60101" xr:uid="{1F7C4DCC-C854-47E3-BF50-E2C47BCBC58D}"/>
    <hyperlink ref="A137" r:id="rId406" display="https://statiz.sporki.com/player/?m=playerinfo&amp;p_no=15620" xr:uid="{BC19C275-02C8-4439-BF52-30030B01B17A}"/>
    <hyperlink ref="B137" r:id="rId407" display="https://statiz.sporki.com/add/?m=draft_school01&amp;ps_school=50703" xr:uid="{8464D9D6-F1D4-4D7F-9845-739589A2A338}"/>
    <hyperlink ref="C137" r:id="rId408" display="https://statiz.sporki.com/add/?m=draft_school02&amp;ps_school=60103" xr:uid="{126946A5-11BC-4F8D-869B-D5C0A82E3581}"/>
    <hyperlink ref="A138" r:id="rId409" display="https://statiz.sporki.com/player/?m=playerinfo&amp;p_no=15619" xr:uid="{4F4C36CD-F8A7-42C1-A0FF-FF5DB52A55E3}"/>
    <hyperlink ref="B138" r:id="rId410" display="https://statiz.sporki.com/add/?m=draft_school01&amp;ps_school=50116" xr:uid="{B15C4E7C-EFB5-4B2E-8B1F-BB463A382A23}"/>
    <hyperlink ref="C138" r:id="rId411" display="https://statiz.sporki.com/add/?m=draft_school02&amp;ps_school=60111" xr:uid="{BEC1B54F-5B3F-4050-A479-478371DF8A64}"/>
    <hyperlink ref="A139" r:id="rId412" display="https://statiz.sporki.com/player/?m=playerinfo&amp;p_no=16144" xr:uid="{FF4EE169-9FC8-4539-BC60-1727CD4D998F}"/>
    <hyperlink ref="B139" r:id="rId413" display="https://statiz.sporki.com/add/?m=draft_school01&amp;ps_school=50802" xr:uid="{60F313AB-A8A5-4387-A6CB-D0895826A0CB}"/>
    <hyperlink ref="C139" r:id="rId414" display="https://statiz.sporki.com/add/?m=draft_school02&amp;ps_school=" xr:uid="{F31E8321-8F4C-4CE7-A3DE-2BFDA3F0A6DF}"/>
    <hyperlink ref="A140" r:id="rId415" display="https://statiz.sporki.com/player/?m=playerinfo&amp;p_no=15617" xr:uid="{1D7B8B87-1626-43FF-9395-CE477BADFCEB}"/>
    <hyperlink ref="B140" r:id="rId416" display="https://statiz.sporki.com/add/?m=draft_school01&amp;ps_school=50211" xr:uid="{A871FD09-DA4F-424A-B341-4B6F941F31F4}"/>
    <hyperlink ref="C140" r:id="rId417" display="https://statiz.sporki.com/add/?m=draft_school02&amp;ps_school=60501" xr:uid="{297A3126-45A7-448F-816D-D79B82B1B4D9}"/>
    <hyperlink ref="A141" r:id="rId418" display="https://statiz.sporki.com/player/?m=playerinfo&amp;p_no=15618" xr:uid="{4BC33C8E-74B7-4617-87FE-FEB692F1F2DD}"/>
    <hyperlink ref="B141" r:id="rId419" display="https://statiz.sporki.com/add/?m=draft_school01&amp;ps_school=50710" xr:uid="{47F82514-3F54-4321-8C1B-D5B36CA8E41C}"/>
    <hyperlink ref="C141" r:id="rId420" display="https://statiz.sporki.com/add/?m=draft_school02&amp;ps_school=60806" xr:uid="{D4499740-FA4C-43A4-B29B-3B219FB7E5C5}"/>
    <hyperlink ref="A142" r:id="rId421" display="https://statiz.sporki.com/player/?m=playerinfo&amp;p_no=15616" xr:uid="{8FDEA996-D3D5-4921-BF84-23077C716DA4}"/>
    <hyperlink ref="B142" r:id="rId422" display="https://statiz.sporki.com/add/?m=draft_school01&amp;ps_school=50703" xr:uid="{98C216D0-51EC-4F92-A337-16F22BF9D447}"/>
    <hyperlink ref="C142" r:id="rId423" display="https://statiz.sporki.com/add/?m=draft_school02&amp;ps_school=60102" xr:uid="{C88AC81D-9C71-4AFF-A46C-752CAFE0DCC4}"/>
    <hyperlink ref="A143" r:id="rId424" display="https://statiz.sporki.com/player/?m=playerinfo&amp;p_no=16012" xr:uid="{0F15D098-7D95-4734-B816-D77C196A6ADA}"/>
    <hyperlink ref="B143" r:id="rId425" display="https://statiz.sporki.com/add/?m=draft_school01&amp;ps_school=50105" xr:uid="{1E13A563-B0CD-46AF-A689-EA783AACE32F}"/>
    <hyperlink ref="C143" r:id="rId426" display="https://statiz.sporki.com/add/?m=draft_school02&amp;ps_school=" xr:uid="{A8B17233-9206-4F19-9425-554C876A70C1}"/>
    <hyperlink ref="A144" r:id="rId427" display="https://statiz.sporki.com/player/?m=playerinfo&amp;p_no=15621" xr:uid="{91E4AD0D-9205-4A48-97A9-70254FED1AA4}"/>
    <hyperlink ref="B144" r:id="rId428" display="https://statiz.sporki.com/add/?m=draft_school01&amp;ps_school=50113" xr:uid="{0E2CCDAE-07CC-4BCD-99B4-DF1103B349BD}"/>
    <hyperlink ref="C144" r:id="rId429" display="https://statiz.sporki.com/add/?m=draft_school02&amp;ps_school=60204" xr:uid="{DD094389-B439-40C1-AD52-9383245AE3B7}"/>
    <hyperlink ref="A145" r:id="rId430" display="https://statiz.sporki.com/player/?m=playerinfo&amp;p_no=15622" xr:uid="{B7834563-AA63-47BA-A0EB-8EB90A4CDF65}"/>
    <hyperlink ref="B145" r:id="rId431" display="https://statiz.sporki.com/add/?m=draft_school01&amp;ps_school=50208" xr:uid="{D5BA0911-E97C-4F5E-92C4-1AD5C0751CC0}"/>
    <hyperlink ref="C145" r:id="rId432" display="https://statiz.sporki.com/add/?m=draft_school02&amp;ps_school=60109" xr:uid="{9499F12A-510E-489C-9739-30C88E5A43D6}"/>
    <hyperlink ref="A146" r:id="rId433" display="https://statiz.sporki.com/player/?m=playerinfo&amp;p_no=15615" xr:uid="{1D9E0C49-D9E9-4168-9C73-CD4CB54D4DA8}"/>
    <hyperlink ref="B146" r:id="rId434" display="https://statiz.sporki.com/add/?m=draft_school01&amp;ps_school=50216" xr:uid="{68D792E3-AAFA-4D45-BE84-1DFCBCAB03A9}"/>
    <hyperlink ref="C146" r:id="rId435" display="https://statiz.sporki.com/add/?m=draft_school02&amp;ps_school=60109" xr:uid="{FA5B08ED-A2F4-44A1-B51D-B81231E253E4}"/>
    <hyperlink ref="A147" r:id="rId436" display="https://statiz.sporki.com/player/?m=playerinfo&amp;p_no=15613" xr:uid="{1E010281-EF5E-4909-8E0A-03AF36AC8EAA}"/>
    <hyperlink ref="B147" r:id="rId437" display="https://statiz.sporki.com/add/?m=draft_school01&amp;ps_school=50903" xr:uid="{9DA2CF82-ACD5-43F7-B784-953A23700738}"/>
    <hyperlink ref="C147" r:id="rId438" display="https://statiz.sporki.com/add/?m=draft_school02&amp;ps_school=60805" xr:uid="{AB316568-13CB-4B20-8219-2CC8AE1B163A}"/>
    <hyperlink ref="A148" r:id="rId439" display="https://statiz.sporki.com/player/?m=playerinfo&amp;p_no=15611" xr:uid="{E9AEADC9-9F23-43BF-9545-DFDB93E9DE06}"/>
    <hyperlink ref="B148" r:id="rId440" display="https://statiz.sporki.com/add/?m=draft_school01&amp;ps_school=50702" xr:uid="{F7883B4B-68DC-44D8-B9B1-F56C0B3BED8C}"/>
    <hyperlink ref="C148" r:id="rId441" display="https://statiz.sporki.com/add/?m=draft_school02&amp;ps_school=60109" xr:uid="{E3FAE7AA-A249-4413-95C0-32E2A0FA81E7}"/>
    <hyperlink ref="A149" r:id="rId442" display="https://statiz.sporki.com/player/?m=playerinfo&amp;p_no=15625" xr:uid="{A80D7827-C9F5-48E7-B84A-580CA7E28376}"/>
    <hyperlink ref="B149" r:id="rId443" display="https://statiz.sporki.com/add/?m=draft_school01&amp;ps_school=50107" xr:uid="{944F71A8-57BD-4907-97DC-0F94F1CD6594}"/>
    <hyperlink ref="C149" r:id="rId444" display="https://statiz.sporki.com/add/?m=draft_school02&amp;ps_school=60114" xr:uid="{775AD3BD-11A6-4717-84AB-6573E37A5426}"/>
    <hyperlink ref="A150" r:id="rId445" display="https://statiz.sporki.com/player/?m=playerinfo&amp;p_no=15627" xr:uid="{181E21FC-0E48-4AB7-923D-E479AE46770D}"/>
    <hyperlink ref="B150" r:id="rId446" display="https://statiz.sporki.com/add/?m=draft_school01&amp;ps_school=50402" xr:uid="{B38F6535-350D-463D-BC3E-D4CE7F28195C}"/>
    <hyperlink ref="C150" r:id="rId447" display="https://statiz.sporki.com/add/?m=draft_school02&amp;ps_school=60109" xr:uid="{F15C1595-9732-4579-8939-B294E1901079}"/>
    <hyperlink ref="A151" r:id="rId448" display="https://statiz.sporki.com/player/?m=playerinfo&amp;p_no=15624" xr:uid="{1ADE1FDA-D79E-40FF-A4EE-F6E71E4EC98C}"/>
    <hyperlink ref="B151" r:id="rId449" display="https://statiz.sporki.com/add/?m=draft_school01&amp;ps_school=50606" xr:uid="{5161BB3B-6460-4082-BAF5-30E2C76EC96C}"/>
    <hyperlink ref="C151" r:id="rId450" display="https://statiz.sporki.com/add/?m=draft_school02&amp;ps_school=60114" xr:uid="{1D3AAE0B-7AC3-4C27-ABC3-10C52C23ADFD}"/>
    <hyperlink ref="A152" r:id="rId451" display="https://statiz.sporki.com/player/?m=playerinfo&amp;p_no=15623" xr:uid="{81CDDEA6-01AA-489E-AA41-4957FB4BF34A}"/>
    <hyperlink ref="B152" r:id="rId452" display="https://statiz.sporki.com/add/?m=draft_school01&amp;ps_school=50602" xr:uid="{CDC852F0-A8FD-4090-971C-C78F348065A0}"/>
    <hyperlink ref="C152" r:id="rId453" display="https://statiz.sporki.com/add/?m=draft_school02&amp;ps_school=60204" xr:uid="{43F63A4B-2A18-44AC-AC94-191BA4CC6249}"/>
    <hyperlink ref="A153" r:id="rId454" display="https://statiz.sporki.com/player/?m=playerinfo&amp;p_no=15626" xr:uid="{369B75CE-4133-4CBD-82DB-06D25705CD98}"/>
    <hyperlink ref="B153" r:id="rId455" display="https://statiz.sporki.com/add/?m=draft_school01&amp;ps_school=50601" xr:uid="{0119D4A8-CA3D-4F52-BD44-2C6E01C86CED}"/>
    <hyperlink ref="C153" r:id="rId456" display="https://statiz.sporki.com/add/?m=draft_school02&amp;ps_school=60805" xr:uid="{297D1C6A-ACBA-4B4B-8154-5E4A5878FCD7}"/>
    <hyperlink ref="A154" r:id="rId457" display="https://statiz.sporki.com/player/?m=playerinfo&amp;p_no=16011" xr:uid="{56D62323-9F4F-4E6A-A5C2-584F642B737D}"/>
    <hyperlink ref="B154" r:id="rId458" display="https://statiz.sporki.com/add/?m=draft_school01&amp;ps_school=50301" xr:uid="{07F40A46-53E7-4440-A489-D9FAC8D11315}"/>
    <hyperlink ref="C154" r:id="rId459" display="https://statiz.sporki.com/add/?m=draft_school02&amp;ps_school=60205" xr:uid="{1F61F849-0CBC-40F0-8570-A22CC6475722}"/>
    <hyperlink ref="A155" r:id="rId460" display="https://statiz.sporki.com/player/?m=playerinfo&amp;p_no=15632" xr:uid="{638A010B-B685-4AED-8EFD-DACEB89E2F82}"/>
    <hyperlink ref="B155" r:id="rId461" display="https://statiz.sporki.com/add/?m=draft_school01&amp;ps_school=50302" xr:uid="{75E87226-B6B4-48ED-9849-2EC478837031}"/>
    <hyperlink ref="C155" r:id="rId462" display="https://statiz.sporki.com/add/?m=draft_school02&amp;ps_school=60902" xr:uid="{546CA4C6-0F07-4F5A-9E9F-F3700D5CC174}"/>
    <hyperlink ref="A156" r:id="rId463" display="https://statiz.sporki.com/player/?m=playerinfo&amp;p_no=15629" xr:uid="{2552403D-DDDC-4178-99D3-25B88CE821DB}"/>
    <hyperlink ref="B156" r:id="rId464" display="https://statiz.sporki.com/add/?m=draft_school01&amp;ps_school=50105" xr:uid="{D519638F-A8AD-4B2F-8287-274DCFD7395B}"/>
    <hyperlink ref="C156" r:id="rId465" display="https://statiz.sporki.com/add/?m=draft_school02&amp;ps_school=60115" xr:uid="{E46600B3-F330-4FA8-BC2D-399185203BC6}"/>
    <hyperlink ref="A157" r:id="rId466" display="https://statiz.sporki.com/player/?m=playerinfo&amp;p_no=15630" xr:uid="{3C387B7E-4D47-4FA2-ADF9-5834EC64654F}"/>
    <hyperlink ref="B157" r:id="rId467" display="https://statiz.sporki.com/add/?m=draft_school01&amp;ps_school=50111" xr:uid="{4FAA5882-5DFE-41B7-B4D5-68432F019221}"/>
    <hyperlink ref="C157" r:id="rId468" display="https://statiz.sporki.com/add/?m=draft_school02&amp;ps_school=60103" xr:uid="{E070EDFF-FF23-4F8D-97CA-49444BFE2F69}"/>
    <hyperlink ref="A158" r:id="rId469" display="https://statiz.sporki.com/player/?m=playerinfo&amp;p_no=15631" xr:uid="{7FC0C375-8A38-4DF6-AD03-25B09FE8F114}"/>
    <hyperlink ref="B158" r:id="rId470" display="https://statiz.sporki.com/add/?m=draft_school01&amp;ps_school=50602" xr:uid="{37D2AA17-E4D3-4F06-82BD-455059297284}"/>
    <hyperlink ref="C158" r:id="rId471" display="https://statiz.sporki.com/add/?m=draft_school02&amp;ps_school=60803" xr:uid="{12EBB23F-A31C-404B-9E5C-3C12A3041CB1}"/>
    <hyperlink ref="A159" r:id="rId472" display="https://statiz.sporki.com/player/?m=playerinfo&amp;p_no=15628" xr:uid="{FC96D105-7560-4729-9289-20E9887DC3B3}"/>
    <hyperlink ref="B159" r:id="rId473" display="https://statiz.sporki.com/add/?m=draft_school01&amp;ps_school=50202" xr:uid="{18D5C5D6-81AA-4CD4-9577-AF3090E3C09B}"/>
    <hyperlink ref="C159" r:id="rId474" display="https://statiz.sporki.com/add/?m=draft_school02&amp;ps_school=" xr:uid="{94D23DE3-2F37-4981-8B1E-ACEF3FC04C04}"/>
    <hyperlink ref="A160" r:id="rId475" display="https://statiz.sporki.com/player/?m=playerinfo&amp;p_no=15056" xr:uid="{DDB0E7C3-5583-4DC4-8CE1-B514988FCF67}"/>
    <hyperlink ref="B160" r:id="rId476" display="https://statiz.sporki.com/add/?m=draft_school01&amp;ps_school=50601" xr:uid="{B39EE201-C7D9-41D9-97F4-CE27AF3BA5BA}"/>
    <hyperlink ref="C160" r:id="rId477" display="https://statiz.sporki.com/add/?m=draft_school02&amp;ps_school=" xr:uid="{FA30E452-06C3-4C73-9C83-28E943B3A58D}"/>
    <hyperlink ref="A161" r:id="rId478" display="https://statiz.sporki.com/player/?m=playerinfo&amp;p_no=15089" xr:uid="{84E2182D-7E9C-45BA-A083-6AD10BE2FAE8}"/>
    <hyperlink ref="B161" r:id="rId479" display="https://statiz.sporki.com/add/?m=draft_school01&amp;ps_school=50208" xr:uid="{72672C71-7FFF-459A-8F96-BF434E1330F2}"/>
    <hyperlink ref="C161" r:id="rId480" display="https://statiz.sporki.com/add/?m=draft_school02&amp;ps_school=" xr:uid="{FE4F2996-DBE1-46BF-90D2-51243A67EAA2}"/>
    <hyperlink ref="A162" r:id="rId481" display="https://statiz.sporki.com/player/?m=playerinfo&amp;p_no=15078" xr:uid="{8FFCCF5F-A952-41FD-9BB8-BDDFEAD526E4}"/>
    <hyperlink ref="B162" r:id="rId482" display="https://statiz.sporki.com/add/?m=draft_school01&amp;ps_school=50109" xr:uid="{2A2BD7CC-9C79-4308-B5F8-2533ECE562CD}"/>
    <hyperlink ref="C162" r:id="rId483" display="https://statiz.sporki.com/add/?m=draft_school02&amp;ps_school=" xr:uid="{5B37B94D-BC36-41E6-9C39-56E450614A8D}"/>
    <hyperlink ref="A163" r:id="rId484" display="https://statiz.sporki.com/player/?m=playerinfo&amp;p_no=15110" xr:uid="{3A1BF9B9-44DF-4934-9B00-58E3BE4CE8EC}"/>
    <hyperlink ref="B163" r:id="rId485" display="https://statiz.sporki.com/add/?m=draft_school01&amp;ps_school=50807" xr:uid="{65006182-D6CB-4541-B079-70AEEED0D4BA}"/>
    <hyperlink ref="C163" r:id="rId486" display="https://statiz.sporki.com/add/?m=draft_school02&amp;ps_school=" xr:uid="{7A85F295-BC09-42F8-B08A-0D52EEB8A8F5}"/>
    <hyperlink ref="A164" r:id="rId487" display="https://statiz.sporki.com/player/?m=playerinfo&amp;p_no=15023" xr:uid="{76400C54-65E0-4925-99FF-D9607D67ABCF}"/>
    <hyperlink ref="B164" r:id="rId488" display="https://statiz.sporki.com/add/?m=draft_school01&amp;ps_school=50209" xr:uid="{A1AC512C-565E-4DBB-8616-021DA244B898}"/>
    <hyperlink ref="C164" r:id="rId489" display="https://statiz.sporki.com/add/?m=draft_school02&amp;ps_school=" xr:uid="{1531F613-2894-4643-9132-A91D7FAD0F51}"/>
    <hyperlink ref="A165" r:id="rId490" display="https://statiz.sporki.com/player/?m=playerinfo&amp;p_no=15099" xr:uid="{5AC24B86-13C7-4A9B-98D5-B3472B666074}"/>
    <hyperlink ref="B165" r:id="rId491" display="https://statiz.sporki.com/add/?m=draft_school01&amp;ps_school=50107" xr:uid="{A7C80BB7-CE10-4334-AB1B-67E3858E849C}"/>
    <hyperlink ref="C165" r:id="rId492" display="https://statiz.sporki.com/add/?m=draft_school02&amp;ps_school=" xr:uid="{19F0B458-8026-4692-A681-AE329AAC642D}"/>
    <hyperlink ref="A166" r:id="rId493" display="https://statiz.sporki.com/player/?m=playerinfo&amp;p_no=15045" xr:uid="{69A3CE38-DE8A-48B4-BC03-B0A94EBBA3AF}"/>
    <hyperlink ref="B166" r:id="rId494" display="https://statiz.sporki.com/add/?m=draft_school01&amp;ps_school=50801" xr:uid="{6F193F49-5BA2-4A45-ABD1-D05897ACE061}"/>
    <hyperlink ref="C166" r:id="rId495" display="https://statiz.sporki.com/add/?m=draft_school02&amp;ps_school=" xr:uid="{72F40E7A-026C-44AD-A84F-BCF985F739A9}"/>
    <hyperlink ref="A167" r:id="rId496" display="https://statiz.sporki.com/player/?m=playerinfo&amp;p_no=15034" xr:uid="{3E1FA2C6-2475-4AB8-8229-CF5539B28836}"/>
    <hyperlink ref="B167" r:id="rId497" display="https://statiz.sporki.com/add/?m=draft_school01&amp;ps_school=50107" xr:uid="{FA0F062D-A428-49DA-AAA9-2A040315B2F2}"/>
    <hyperlink ref="C167" r:id="rId498" display="https://statiz.sporki.com/add/?m=draft_school02&amp;ps_school=" xr:uid="{203D0B2F-469E-42C4-89F6-FA32F6A8CBA1}"/>
    <hyperlink ref="A168" r:id="rId499" display="https://statiz.sporki.com/player/?m=playerinfo&amp;p_no=15067" xr:uid="{2396B470-B860-426F-8531-37A99E45CFD0}"/>
    <hyperlink ref="B168" r:id="rId500" display="https://statiz.sporki.com/add/?m=draft_school01&amp;ps_school=50107" xr:uid="{82DA8A99-6183-40B3-A5C2-5376D3615888}"/>
    <hyperlink ref="C168" r:id="rId501" display="https://statiz.sporki.com/add/?m=draft_school02&amp;ps_school=60108" xr:uid="{05AFEFC5-8533-4AFA-B2CC-1CC1B0E694C6}"/>
    <hyperlink ref="A169" r:id="rId502" display="https://statiz.sporki.com/player/?m=playerinfo&amp;p_no=15013" xr:uid="{333C2C73-554A-4308-A333-D247DC82F273}"/>
    <hyperlink ref="B169" r:id="rId503" display="https://statiz.sporki.com/add/?m=draft_school01&amp;ps_school=50604" xr:uid="{712F51A6-EAC0-4D6E-9033-3CC2306C2E38}"/>
    <hyperlink ref="C169" r:id="rId504" display="https://statiz.sporki.com/add/?m=draft_school02&amp;ps_school=" xr:uid="{0F07FF79-A703-4E6E-B0EC-8EEDC2CCF39E}"/>
    <hyperlink ref="A170" r:id="rId505" display="https://statiz.sporki.com/player/?m=playerinfo&amp;p_no=15057" xr:uid="{3CA1EEE8-5254-47BE-B50F-D8CEC6F28244}"/>
    <hyperlink ref="B170" r:id="rId506" display="https://statiz.sporki.com/add/?m=draft_school01&amp;ps_school=50901" xr:uid="{57FF28AD-9CF3-48C6-BCC8-FB5E021BCF0C}"/>
    <hyperlink ref="C170" r:id="rId507" display="https://statiz.sporki.com/add/?m=draft_school02&amp;ps_school=" xr:uid="{D4844111-D243-4C05-8FBB-AA98A52466B8}"/>
    <hyperlink ref="A171" r:id="rId508" display="https://statiz.sporki.com/player/?m=playerinfo&amp;p_no=15090" xr:uid="{BA85BA8F-92EE-44FF-83F8-E80F673D78CD}"/>
    <hyperlink ref="B171" r:id="rId509" display="https://statiz.sporki.com/add/?m=draft_school01&amp;ps_school=50208" xr:uid="{F0102369-1693-423A-B9B3-F31FEE371992}"/>
    <hyperlink ref="C171" r:id="rId510" display="https://statiz.sporki.com/add/?m=draft_school02&amp;ps_school=" xr:uid="{79A37242-974A-496A-B3EB-492CA6310503}"/>
    <hyperlink ref="A172" r:id="rId511" display="https://statiz.sporki.com/player/?m=playerinfo&amp;p_no=15079" xr:uid="{D5D99F60-8DBB-4AA1-AE2D-5543B14D48D7}"/>
    <hyperlink ref="B172" r:id="rId512" display="https://statiz.sporki.com/add/?m=draft_school01&amp;ps_school=50802" xr:uid="{8F62B231-D238-4A77-BBDE-6E317E53CF90}"/>
    <hyperlink ref="C172" r:id="rId513" display="https://statiz.sporki.com/add/?m=draft_school02&amp;ps_school=" xr:uid="{5C1B752C-1B9A-439D-AC04-380EC3913333}"/>
    <hyperlink ref="A173" r:id="rId514" display="https://statiz.sporki.com/player/?m=playerinfo&amp;p_no=15111" xr:uid="{89C7B721-7F99-4067-8AC1-A77E3BAD1584}"/>
    <hyperlink ref="B173" r:id="rId515" display="https://statiz.sporki.com/add/?m=draft_school01&amp;ps_school=50212" xr:uid="{C675AE86-6F1E-41E5-BD68-CE9ADDFBD753}"/>
    <hyperlink ref="C173" r:id="rId516" display="https://statiz.sporki.com/add/?m=draft_school02&amp;ps_school=" xr:uid="{1EEF4270-8381-4EB2-992C-E6F148C1A331}"/>
    <hyperlink ref="A174" r:id="rId517" display="https://statiz.sporki.com/player/?m=playerinfo&amp;p_no=15024" xr:uid="{9E957023-0F1D-4161-8D87-36C0BEE36AC3}"/>
    <hyperlink ref="B174" r:id="rId518" display="https://statiz.sporki.com/add/?m=draft_school01&amp;ps_school=50601" xr:uid="{F238A629-4B62-419B-A3D8-798E218D5059}"/>
    <hyperlink ref="C174" r:id="rId519" display="https://statiz.sporki.com/add/?m=draft_school02&amp;ps_school=" xr:uid="{CBCA9664-DB17-486B-93E5-43AFC5058EEE}"/>
    <hyperlink ref="A175" r:id="rId520" display="https://statiz.sporki.com/player/?m=playerinfo&amp;p_no=15100" xr:uid="{C8C6368D-9A0C-4084-8B80-2AF69BF251A6}"/>
    <hyperlink ref="B175" r:id="rId521" display="https://statiz.sporki.com/add/?m=draft_school01&amp;ps_school=50501" xr:uid="{285FCD2A-21C8-4D93-8B20-C63449EFFC82}"/>
    <hyperlink ref="C175" r:id="rId522" display="https://statiz.sporki.com/add/?m=draft_school02&amp;ps_school=" xr:uid="{74D8CFFF-AE9E-4EDC-9242-99EDC52250B2}"/>
    <hyperlink ref="A176" r:id="rId523" display="https://statiz.sporki.com/player/?m=playerinfo&amp;p_no=15046" xr:uid="{41898CC6-6170-42F6-BA90-31639F988404}"/>
    <hyperlink ref="B176" r:id="rId524" display="https://statiz.sporki.com/add/?m=draft_school01&amp;ps_school=50107" xr:uid="{A586F7E4-DC51-4CFB-B84C-9E74976BC285}"/>
    <hyperlink ref="C176" r:id="rId525" display="https://statiz.sporki.com/add/?m=draft_school02&amp;ps_school=" xr:uid="{C4197BFD-DF4B-4BDC-B5BA-4088F1FA2B45}"/>
    <hyperlink ref="A177" r:id="rId526" display="https://statiz.sporki.com/player/?m=playerinfo&amp;p_no=15035" xr:uid="{EB1D8DA2-2A82-4A66-A1D7-6E3E80BBBEA1}"/>
    <hyperlink ref="B177" r:id="rId527" display="https://statiz.sporki.com/add/?m=draft_school01&amp;ps_school=50811" xr:uid="{005067AA-CE2B-422B-A535-88BB4765EF9A}"/>
    <hyperlink ref="C177" r:id="rId528" display="https://statiz.sporki.com/add/?m=draft_school02&amp;ps_school=" xr:uid="{1B7A11DC-3F14-4349-A3E2-8C8B77113ACC}"/>
    <hyperlink ref="A178" r:id="rId529" display="https://statiz.sporki.com/player/?m=playerinfo&amp;p_no=15068" xr:uid="{D4E44743-5BCD-419E-BE3B-9F68A01CE6D7}"/>
    <hyperlink ref="B178" r:id="rId530" display="https://statiz.sporki.com/add/?m=draft_school01&amp;ps_school=50403" xr:uid="{C9AD6503-128D-46A9-876A-EE59FFB2559F}"/>
    <hyperlink ref="C178" r:id="rId531" display="https://statiz.sporki.com/add/?m=draft_school02&amp;ps_school=" xr:uid="{68AAF59F-3B5E-45AA-A211-AAE675A4EFA0}"/>
    <hyperlink ref="A179" r:id="rId532" display="https://statiz.sporki.com/player/?m=playerinfo&amp;p_no=15014" xr:uid="{E42259B5-7588-42C8-AA59-D1E3F6B1D344}"/>
    <hyperlink ref="B179" r:id="rId533" display="https://statiz.sporki.com/add/?m=draft_school01&amp;ps_school=50301" xr:uid="{FC888D3A-E62D-4DF8-97E9-49613F558638}"/>
    <hyperlink ref="C179" r:id="rId534" display="https://statiz.sporki.com/add/?m=draft_school02&amp;ps_school=" xr:uid="{D0923977-25D4-47CF-95D3-5E57A0D06D08}"/>
    <hyperlink ref="A180" r:id="rId535" display="https://statiz.sporki.com/player/?m=playerinfo&amp;p_no=15058" xr:uid="{164D4BB9-C46A-4227-925A-6556E8C2C44A}"/>
    <hyperlink ref="B180" r:id="rId536" display="https://statiz.sporki.com/add/?m=draft_school01&amp;ps_school=50602" xr:uid="{A45D2CFE-A7DF-46A8-83AF-46D8B925D58D}"/>
    <hyperlink ref="C180" r:id="rId537" display="https://statiz.sporki.com/add/?m=draft_school02&amp;ps_school=" xr:uid="{2E4081F9-0F96-4A81-B05D-DD8B8B6815AB}"/>
    <hyperlink ref="A181" r:id="rId538" display="https://statiz.sporki.com/player/?m=playerinfo&amp;p_no=15091" xr:uid="{038F1FBD-4096-4A58-B997-62365B5624EE}"/>
    <hyperlink ref="B181" r:id="rId539" display="https://statiz.sporki.com/add/?m=draft_school01&amp;ps_school=50209" xr:uid="{28474115-578B-4E25-BF73-10818CF2AB32}"/>
    <hyperlink ref="C181" r:id="rId540" display="https://statiz.sporki.com/add/?m=draft_school02&amp;ps_school=" xr:uid="{B44FAE67-5F45-4D11-AF0F-40C9E095A6BA}"/>
    <hyperlink ref="A182" r:id="rId541" display="https://statiz.sporki.com/player/?m=playerinfo&amp;p_no=15080" xr:uid="{56B6033F-450D-474D-B1CE-F552B1A7BCD5}"/>
    <hyperlink ref="B182" r:id="rId542" display="https://statiz.sporki.com/add/?m=draft_school01&amp;ps_school=50117" xr:uid="{653E8E91-59AD-46F5-A0AD-012CEC103165}"/>
    <hyperlink ref="C182" r:id="rId543" display="https://statiz.sporki.com/add/?m=draft_school02&amp;ps_school=" xr:uid="{63C39E75-1B1A-491E-BE15-56E768393A79}"/>
    <hyperlink ref="A183" r:id="rId544" display="https://statiz.sporki.com/player/?m=playerinfo&amp;p_no=15112" xr:uid="{72DBA395-09E8-45C9-A271-266C24200979}"/>
    <hyperlink ref="B183" r:id="rId545" display="https://statiz.sporki.com/add/?m=draft_school01&amp;ps_school=50103" xr:uid="{53F0F935-B457-42BE-AE50-AF413DE7DB69}"/>
    <hyperlink ref="C183" r:id="rId546" display="https://statiz.sporki.com/add/?m=draft_school02&amp;ps_school=60103" xr:uid="{D3AFC5E4-8EF4-4460-96E7-DBCAFC14A37E}"/>
    <hyperlink ref="A184" r:id="rId547" display="https://statiz.sporki.com/player/?m=playerinfo&amp;p_no=15025" xr:uid="{8FA44BAB-AACE-41FC-8212-395CEB1A9DB2}"/>
    <hyperlink ref="B184" r:id="rId548" display="https://statiz.sporki.com/add/?m=draft_school01&amp;ps_school=50213" xr:uid="{A7591111-F938-4F4D-BDDC-7A57EEFD2028}"/>
    <hyperlink ref="C184" r:id="rId549" display="https://statiz.sporki.com/add/?m=draft_school02&amp;ps_school=" xr:uid="{04F8D62C-7AD1-4EF6-B14A-D26C51815470}"/>
    <hyperlink ref="A185" r:id="rId550" display="https://statiz.sporki.com/player/?m=playerinfo&amp;p_no=15101" xr:uid="{6B17B84A-9827-4FAF-844E-366C32F68E7D}"/>
    <hyperlink ref="B185" r:id="rId551" display="https://statiz.sporki.com/add/?m=draft_school01&amp;ps_school=50802" xr:uid="{217454BF-52A6-4EE3-BC24-8323B1BD7D5D}"/>
    <hyperlink ref="C185" r:id="rId552" display="https://statiz.sporki.com/add/?m=draft_school02&amp;ps_school=" xr:uid="{6D57C55B-1DBD-443E-91A9-F5B7C5BF7166}"/>
    <hyperlink ref="A186" r:id="rId553" display="https://statiz.sporki.com/player/?m=playerinfo&amp;p_no=15047" xr:uid="{2E829E76-D705-4FE4-8CE1-033BC5D2E9EB}"/>
    <hyperlink ref="B186" r:id="rId554" display="https://statiz.sporki.com/add/?m=draft_school01&amp;ps_school=50701" xr:uid="{77187204-6D17-4950-A5AE-8E508B9784AA}"/>
    <hyperlink ref="C186" r:id="rId555" display="https://statiz.sporki.com/add/?m=draft_school02&amp;ps_school=" xr:uid="{11B36D5F-FC12-4646-941F-8B80760BE518}"/>
    <hyperlink ref="A187" r:id="rId556" display="https://statiz.sporki.com/player/?m=playerinfo&amp;p_no=15036" xr:uid="{7C8AA8BD-8924-46B6-8AE4-7CFDC0B53C3E}"/>
    <hyperlink ref="B187" r:id="rId557" display="https://statiz.sporki.com/add/?m=draft_school01&amp;ps_school=51001" xr:uid="{E42F0F1C-419F-4807-B791-13EBA92D6A40}"/>
    <hyperlink ref="C187" r:id="rId558" display="https://statiz.sporki.com/add/?m=draft_school02&amp;ps_school=60803" xr:uid="{9A6E349D-9961-4154-A868-2C42011AB0DB}"/>
    <hyperlink ref="A188" r:id="rId559" display="https://statiz.sporki.com/player/?m=playerinfo&amp;p_no=15069" xr:uid="{1D3030C4-ADA9-4B90-A3F0-9D48F69EB3AB}"/>
    <hyperlink ref="B188" r:id="rId560" display="https://statiz.sporki.com/add/?m=draft_school01&amp;ps_school=50207" xr:uid="{229F3E45-1AC7-43E3-8516-0BB39B839DD8}"/>
    <hyperlink ref="C188" r:id="rId561" display="https://statiz.sporki.com/add/?m=draft_school02&amp;ps_school=" xr:uid="{273D3404-5F64-43C4-9DB6-F8477E06518D}"/>
    <hyperlink ref="A189" r:id="rId562" display="https://statiz.sporki.com/player/?m=playerinfo&amp;p_no=15015" xr:uid="{D6B349DC-1D81-42AB-BEEA-764AE139F6B5}"/>
    <hyperlink ref="B189" r:id="rId563" display="https://statiz.sporki.com/add/?m=draft_school01&amp;ps_school=50606" xr:uid="{F64A9680-4894-4260-84D1-885D4998C30D}"/>
    <hyperlink ref="C189" r:id="rId564" display="https://statiz.sporki.com/add/?m=draft_school02&amp;ps_school=" xr:uid="{A588539B-C447-4A87-BB77-A90D863EDBE1}"/>
    <hyperlink ref="A190" r:id="rId565" display="https://statiz.sporki.com/player/?m=playerinfo&amp;p_no=15059" xr:uid="{8359B342-6079-4672-A5A0-2CFA763DB674}"/>
    <hyperlink ref="B190" r:id="rId566" display="https://statiz.sporki.com/add/?m=draft_school01&amp;ps_school=50105" xr:uid="{D02C3A01-0C9E-4FF9-AD76-61C029539CF7}"/>
    <hyperlink ref="C190" r:id="rId567" display="https://statiz.sporki.com/add/?m=draft_school02&amp;ps_school=" xr:uid="{C1D38CB8-C4E3-475A-BF57-F8B145932590}"/>
    <hyperlink ref="A191" r:id="rId568" display="https://statiz.sporki.com/player/?m=playerinfo&amp;p_no=15081" xr:uid="{7904D6D2-B203-4241-9034-34951DE86FA9}"/>
    <hyperlink ref="B191" r:id="rId569" display="https://statiz.sporki.com/add/?m=draft_school01&amp;ps_school=50108" xr:uid="{381E6548-14AF-40F1-84BC-3A782BFBB82D}"/>
    <hyperlink ref="C191" r:id="rId570" display="https://statiz.sporki.com/add/?m=draft_school02&amp;ps_school=" xr:uid="{0FC1F04F-C11F-4BD1-AA96-4D8D054DB57B}"/>
    <hyperlink ref="A192" r:id="rId571" display="https://statiz.sporki.com/player/?m=playerinfo&amp;p_no=15113" xr:uid="{067D24EF-35A1-416E-8C95-C25F922116D7}"/>
    <hyperlink ref="B192" r:id="rId572" display="https://statiz.sporki.com/add/?m=draft_school01&amp;ps_school=50602" xr:uid="{322CD667-850D-47BF-85A3-EA26B529ABB5}"/>
    <hyperlink ref="C192" r:id="rId573" display="https://statiz.sporki.com/add/?m=draft_school02&amp;ps_school=" xr:uid="{EC6F7C51-877B-41FE-9DB4-E9CCFD0AC3D4}"/>
    <hyperlink ref="A193" r:id="rId574" display="https://statiz.sporki.com/player/?m=playerinfo&amp;p_no=15026" xr:uid="{AA959F1C-BDAF-481E-A01A-B1118CA37AC5}"/>
    <hyperlink ref="B193" r:id="rId575" display="https://statiz.sporki.com/add/?m=draft_school01&amp;ps_school=50701" xr:uid="{E8236CB9-4C2A-47D9-8ED2-4D56655504AA}"/>
    <hyperlink ref="C193" r:id="rId576" display="https://statiz.sporki.com/add/?m=draft_school02&amp;ps_school=" xr:uid="{C2104DFC-8F9A-4FB3-B3DD-090D20EA01A3}"/>
    <hyperlink ref="A194" r:id="rId577" display="https://statiz.sporki.com/player/?m=playerinfo&amp;p_no=15102" xr:uid="{D61A7C84-7FF2-47E2-8E4F-1F906D98E7D6}"/>
    <hyperlink ref="B194" r:id="rId578" display="https://statiz.sporki.com/add/?m=draft_school01&amp;ps_school=50116" xr:uid="{CD5AF14B-03A1-428E-B3D2-D53E59663F08}"/>
    <hyperlink ref="C194" r:id="rId579" display="https://statiz.sporki.com/add/?m=draft_school02&amp;ps_school=" xr:uid="{5099377E-717A-49B6-9F54-34EEBC8EA6C9}"/>
    <hyperlink ref="A195" r:id="rId580" display="https://statiz.sporki.com/player/?m=playerinfo&amp;p_no=15048" xr:uid="{C476713F-4B31-4A63-9C33-E20DC7173F58}"/>
    <hyperlink ref="B195" r:id="rId581" display="https://statiz.sporki.com/add/?m=draft_school01&amp;ps_school=50207" xr:uid="{3D48CCB0-6AAC-4D1B-98D1-330CE43DD2E6}"/>
    <hyperlink ref="C195" r:id="rId582" display="https://statiz.sporki.com/add/?m=draft_school02&amp;ps_school=" xr:uid="{4F85864B-BA1F-47F9-8876-C3F4331857D3}"/>
    <hyperlink ref="A196" r:id="rId583" display="https://statiz.sporki.com/player/?m=playerinfo&amp;p_no=15049" xr:uid="{1AA35C38-6312-4FC6-A6C9-39018B36D9CB}"/>
    <hyperlink ref="B196" r:id="rId584" display="https://statiz.sporki.com/add/?m=draft_school01&amp;ps_school=50901" xr:uid="{DE595A66-6E30-4C26-A163-004EB2B69257}"/>
    <hyperlink ref="C196" r:id="rId585" display="https://statiz.sporki.com/add/?m=draft_school02&amp;ps_school=" xr:uid="{8A7F46E4-2A43-4580-8285-F37DF9AAD65A}"/>
    <hyperlink ref="A197" r:id="rId586" display="https://statiz.sporki.com/player/?m=playerinfo&amp;p_no=15037" xr:uid="{8C9A8B8C-7468-44C5-B988-60C71A10888D}"/>
    <hyperlink ref="B197" r:id="rId587" display="https://statiz.sporki.com/add/?m=draft_school01&amp;ps_school=50901" xr:uid="{231A4BA3-2609-4CBD-8225-A4335B6B15A3}"/>
    <hyperlink ref="C197" r:id="rId588" display="https://statiz.sporki.com/add/?m=draft_school02&amp;ps_school=" xr:uid="{67EF5D1F-046C-4C9B-B303-41EA93FBE0D6}"/>
    <hyperlink ref="A198" r:id="rId589" display="https://statiz.sporki.com/player/?m=playerinfo&amp;p_no=15070" xr:uid="{463D3EB6-942A-4634-A572-597F1191D8C8}"/>
    <hyperlink ref="B198" r:id="rId590" display="https://statiz.sporki.com/add/?m=draft_school01&amp;ps_school=50602" xr:uid="{B7F58D83-9947-4A78-A16C-B0B4393E2C79}"/>
    <hyperlink ref="C198" r:id="rId591" display="https://statiz.sporki.com/add/?m=draft_school02&amp;ps_school=" xr:uid="{061AA452-8D82-4946-9D4E-2FA438D25FCD}"/>
    <hyperlink ref="A199" r:id="rId592" display="https://statiz.sporki.com/player/?m=playerinfo&amp;p_no=15016" xr:uid="{68FE0743-5F78-441F-BBE9-23AFC87AA823}"/>
    <hyperlink ref="B199" r:id="rId593" display="https://statiz.sporki.com/add/?m=draft_school01&amp;ps_school=50105" xr:uid="{DD9DCDA0-CAC1-4539-AE9D-8135F7BED2C9}"/>
    <hyperlink ref="C199" r:id="rId594" display="https://statiz.sporki.com/add/?m=draft_school02&amp;ps_school=" xr:uid="{9379B3C8-922C-4B92-9C38-5D1ABB589A80}"/>
    <hyperlink ref="A200" r:id="rId595" display="https://statiz.sporki.com/player/?m=playerinfo&amp;p_no=15060" xr:uid="{F3DB8FFE-6A7C-438A-9AF4-F949152A2823}"/>
    <hyperlink ref="B200" r:id="rId596" display="https://statiz.sporki.com/add/?m=draft_school01&amp;ps_school=50502" xr:uid="{643BB469-881E-4C4B-8031-EC80FBE31B68}"/>
    <hyperlink ref="C200" r:id="rId597" display="https://statiz.sporki.com/add/?m=draft_school02&amp;ps_school=" xr:uid="{212FF76F-1FE9-4A23-8296-61E0E971A250}"/>
    <hyperlink ref="A201" r:id="rId598" display="https://statiz.sporki.com/player/?m=playerinfo&amp;p_no=15092" xr:uid="{F401EF94-81C7-4457-A1B2-7FCD036C00DD}"/>
    <hyperlink ref="B201" r:id="rId599" display="https://statiz.sporki.com/add/?m=draft_school01&amp;ps_school=50803" xr:uid="{F83B0E2B-EBC2-462D-93F8-940B33A08461}"/>
    <hyperlink ref="C201" r:id="rId600" display="https://statiz.sporki.com/add/?m=draft_school02&amp;ps_school=" xr:uid="{EC3D5502-ECAB-4FFA-8F13-09A1B7C15A9F}"/>
    <hyperlink ref="A202" r:id="rId601" display="https://statiz.sporki.com/player/?m=playerinfo&amp;p_no=15082" xr:uid="{FED64AED-C375-4D02-A7E5-8D2AD1B208D0}"/>
    <hyperlink ref="B202" r:id="rId602" display="https://statiz.sporki.com/add/?m=draft_school01&amp;ps_school=50207" xr:uid="{692F31C8-E9BA-406B-AC60-67B0A28D61BC}"/>
    <hyperlink ref="C202" r:id="rId603" display="https://statiz.sporki.com/add/?m=draft_school02&amp;ps_school=" xr:uid="{8A3F6A1D-5FB8-4CE3-9BE1-5D88D6914772}"/>
    <hyperlink ref="A203" r:id="rId604" display="https://statiz.sporki.com/player/?m=playerinfo&amp;p_no=15055" xr:uid="{59386157-28AA-4A73-9E78-CCB82AAE2C5B}"/>
    <hyperlink ref="B203" r:id="rId605" display="https://statiz.sporki.com/add/?m=draft_school01&amp;ps_school=50401" xr:uid="{E0373777-545E-4BE5-BFB2-DE1301F3C1F7}"/>
    <hyperlink ref="C203" r:id="rId606" display="https://statiz.sporki.com/add/?m=draft_school02&amp;ps_school=60501" xr:uid="{AA1B3EE1-70F2-4661-819A-FF162E3AFE23}"/>
    <hyperlink ref="A204" r:id="rId607" display="https://statiz.sporki.com/player/?m=playerinfo&amp;p_no=15114" xr:uid="{E7DFBC02-9571-4D20-864E-83759748BE3B}"/>
    <hyperlink ref="B204" r:id="rId608" display="https://statiz.sporki.com/add/?m=draft_school01&amp;ps_school=50208" xr:uid="{3D1404D4-C458-47F0-9DCF-72DF6F8DEFB2}"/>
    <hyperlink ref="C204" r:id="rId609" display="https://statiz.sporki.com/add/?m=draft_school02&amp;ps_school=" xr:uid="{59EA53D5-394C-45F2-9B7B-CFAAEDE40FA5}"/>
    <hyperlink ref="A205" r:id="rId610" display="https://statiz.sporki.com/player/?m=playerinfo&amp;p_no=15103" xr:uid="{89B0DDE3-B3D8-46E6-805A-0205BAF81F58}"/>
    <hyperlink ref="B205" r:id="rId611" display="https://statiz.sporki.com/add/?m=draft_school01&amp;ps_school=50504" xr:uid="{1E4AF1A7-18C5-4973-B9C4-E024D143DED2}"/>
    <hyperlink ref="C205" r:id="rId612" display="https://statiz.sporki.com/add/?m=draft_school02&amp;ps_school=" xr:uid="{4282564F-79C5-43CF-8184-10B465D2E44B}"/>
    <hyperlink ref="A206" r:id="rId613" display="https://statiz.sporki.com/player/?m=playerinfo&amp;p_no=15038" xr:uid="{11B8B4DC-6895-4FFE-883D-70A7D346F296}"/>
    <hyperlink ref="B206" r:id="rId614" display="https://statiz.sporki.com/add/?m=draft_school01&amp;ps_school=50217" xr:uid="{D3E56342-EE53-4FFF-9A51-04F640DB8DD6}"/>
    <hyperlink ref="C206" r:id="rId615" display="https://statiz.sporki.com/add/?m=draft_school02&amp;ps_school=" xr:uid="{4686BEA2-DB7A-4568-BD61-90F5EAD6E7D7}"/>
    <hyperlink ref="A207" r:id="rId616" display="https://statiz.sporki.com/player/?m=playerinfo&amp;p_no=15027" xr:uid="{6F538BF7-7F55-4671-AD41-F33977D85EE4}"/>
    <hyperlink ref="B207" r:id="rId617" display="https://statiz.sporki.com/add/?m=draft_school01&amp;ps_school=50802" xr:uid="{B0F7C17F-7729-41EC-9846-A98FF7C879CD}"/>
    <hyperlink ref="C207" r:id="rId618" display="https://statiz.sporki.com/add/?m=draft_school02&amp;ps_school=" xr:uid="{6BC25971-8F7C-4E10-B6A2-2F452B0FEBDB}"/>
    <hyperlink ref="A208" r:id="rId619" display="https://statiz.sporki.com/player/?m=playerinfo&amp;p_no=15071" xr:uid="{B9A741DA-4FDA-4F62-B47D-146270D2AC68}"/>
    <hyperlink ref="B208" r:id="rId620" display="https://statiz.sporki.com/add/?m=draft_school01&amp;ps_school=50805" xr:uid="{B1791EF3-7057-4A27-ACF0-EBE5305D1EAB}"/>
    <hyperlink ref="C208" r:id="rId621" display="https://statiz.sporki.com/add/?m=draft_school02&amp;ps_school=" xr:uid="{431A04E8-19F5-4E53-BE6B-CD01F83A7ED7}"/>
    <hyperlink ref="A209" r:id="rId622" display="https://statiz.sporki.com/player/?m=playerinfo&amp;p_no=15017" xr:uid="{564CDEAC-344B-4721-9191-BA27F1E10CE3}"/>
    <hyperlink ref="B209" r:id="rId623" display="https://statiz.sporki.com/add/?m=draft_school01&amp;ps_school=50403" xr:uid="{6E9FA8F3-2E1B-493E-A9AA-BE22EF24B6F9}"/>
    <hyperlink ref="C209" r:id="rId624" display="https://statiz.sporki.com/add/?m=draft_school02&amp;ps_school=" xr:uid="{0B6DDCF1-A036-4CC7-BDAA-A459F7DB6D6A}"/>
    <hyperlink ref="A210" r:id="rId625" display="https://statiz.sporki.com/player/?m=playerinfo&amp;p_no=15061" xr:uid="{E4F5B46C-EF43-4C3E-8817-0BB57B775614}"/>
    <hyperlink ref="B210" r:id="rId626" display="https://statiz.sporki.com/add/?m=draft_school01&amp;ps_school=50101" xr:uid="{F6545FD2-C17B-4F65-8F22-98FEDBE98909}"/>
    <hyperlink ref="C210" r:id="rId627" display="https://statiz.sporki.com/add/?m=draft_school02&amp;ps_school=" xr:uid="{A6A326D1-6A8B-4B1C-9AA8-39C0469198EE}"/>
    <hyperlink ref="A211" r:id="rId628" display="https://statiz.sporki.com/player/?m=playerinfo&amp;p_no=15093" xr:uid="{677B8AC2-DCDC-44C7-B950-AF73731C7542}"/>
    <hyperlink ref="B211" r:id="rId629" display="https://statiz.sporki.com/add/?m=draft_school01&amp;ps_school=50116" xr:uid="{D6A5F190-81F7-4B4D-A333-628A9B8F2705}"/>
    <hyperlink ref="C211" r:id="rId630" display="https://statiz.sporki.com/add/?m=draft_school02&amp;ps_school=" xr:uid="{E36DEB7C-F2B2-4AB9-8EA3-763F12743BCD}"/>
    <hyperlink ref="A212" r:id="rId631" display="https://statiz.sporki.com/player/?m=playerinfo&amp;p_no=15083" xr:uid="{AA9EF2D6-F9B8-462E-8DBE-F76959CB5DE0}"/>
    <hyperlink ref="B212" r:id="rId632" display="https://statiz.sporki.com/add/?m=draft_school01&amp;ps_school=50101" xr:uid="{2B341F35-07DD-49C1-9213-8B0FE0634C94}"/>
    <hyperlink ref="C212" r:id="rId633" display="https://statiz.sporki.com/add/?m=draft_school02&amp;ps_school=60502" xr:uid="{03932956-02B3-4A0C-9C05-889FD407079E}"/>
    <hyperlink ref="A213" r:id="rId634" display="https://statiz.sporki.com/player/?m=playerinfo&amp;p_no=15115" xr:uid="{825A42A0-0D2F-48EF-ACAF-2424D16A7F17}"/>
    <hyperlink ref="B213" r:id="rId635" display="https://statiz.sporki.com/add/?m=draft_school01&amp;ps_school=50905" xr:uid="{1479BAB0-6AD2-4300-A56C-96EB0E349FA5}"/>
    <hyperlink ref="C213" r:id="rId636" display="https://statiz.sporki.com/add/?m=draft_school02&amp;ps_school=" xr:uid="{A1A45426-E10D-4089-BD79-556EF7A3EB72}"/>
    <hyperlink ref="A214" r:id="rId637" display="https://statiz.sporki.com/player/?m=playerinfo&amp;p_no=15028" xr:uid="{A3FF846C-F68C-43F1-9FCC-0F0BB58165A1}"/>
    <hyperlink ref="B214" r:id="rId638" display="https://statiz.sporki.com/add/?m=draft_school01&amp;ps_school=50202" xr:uid="{95C7CD4A-1D76-428C-94F8-AD26E6B5A07C}"/>
    <hyperlink ref="C214" r:id="rId639" display="https://statiz.sporki.com/add/?m=draft_school02&amp;ps_school=" xr:uid="{2B4E120D-D392-400B-B46B-CDF80A56920E}"/>
    <hyperlink ref="A215" r:id="rId640" display="https://statiz.sporki.com/player/?m=playerinfo&amp;p_no=15104" xr:uid="{91328315-11A2-4983-9D2C-59F957CC7C9F}"/>
    <hyperlink ref="B215" r:id="rId641" display="https://statiz.sporki.com/add/?m=draft_school01&amp;ps_school=50209" xr:uid="{9261BE7D-70B3-4F46-8E8C-852EBD5A3695}"/>
    <hyperlink ref="C215" r:id="rId642" display="https://statiz.sporki.com/add/?m=draft_school02&amp;ps_school=" xr:uid="{D8561D7A-A684-46C5-9C60-77C058057992}"/>
    <hyperlink ref="A216" r:id="rId643" display="https://statiz.sporki.com/player/?m=playerinfo&amp;p_no=15050" xr:uid="{8E955239-87EF-415D-9F09-AF88973EBE7D}"/>
    <hyperlink ref="B216" r:id="rId644" display="https://statiz.sporki.com/add/?m=draft_school01&amp;ps_school=50103" xr:uid="{33B40B7A-EB95-4CBC-9C07-20670F671893}"/>
    <hyperlink ref="C216" r:id="rId645" display="https://statiz.sporki.com/add/?m=draft_school02&amp;ps_school=" xr:uid="{17A563EA-F54D-4C46-833A-491C6DD6EF35}"/>
    <hyperlink ref="A217" r:id="rId646" display="https://statiz.sporki.com/player/?m=playerinfo&amp;p_no=15039" xr:uid="{0C884821-720B-46A4-BACA-1D2A47B9ECDC}"/>
    <hyperlink ref="B217" r:id="rId647" display="https://statiz.sporki.com/add/?m=draft_school01&amp;ps_school=50221" xr:uid="{A58E2CF9-FABA-4A30-AB71-8E346CD3836D}"/>
    <hyperlink ref="C217" r:id="rId648" display="https://statiz.sporki.com/add/?m=draft_school02&amp;ps_school=" xr:uid="{9B78DA7B-8C43-4758-87EB-8A81A4072A4E}"/>
    <hyperlink ref="A218" r:id="rId649" display="https://statiz.sporki.com/player/?m=playerinfo&amp;p_no=15072" xr:uid="{BBF1022E-8778-4C5C-A838-1F1822A26E99}"/>
    <hyperlink ref="B218" r:id="rId650" display="https://statiz.sporki.com/add/?m=draft_school01&amp;ps_school=50107" xr:uid="{548E8DA8-77DF-4A74-A52E-97EB84546436}"/>
    <hyperlink ref="C218" r:id="rId651" display="https://statiz.sporki.com/add/?m=draft_school02&amp;ps_school=" xr:uid="{B8E73715-1AEB-425E-BC23-9502587B7CA5}"/>
    <hyperlink ref="A219" r:id="rId652" display="https://statiz.sporki.com/player/?m=playerinfo&amp;p_no=13676" xr:uid="{4EA3AB3E-F3EF-46F1-AC25-D737A7F413B7}"/>
    <hyperlink ref="B219" r:id="rId653" display="https://statiz.sporki.com/add/?m=draft_school01&amp;ps_school=50111" xr:uid="{8225ADD7-14BA-4A82-BF31-67805BA086D0}"/>
    <hyperlink ref="C219" r:id="rId654" display="https://statiz.sporki.com/add/?m=draft_school02&amp;ps_school=" xr:uid="{510D88BD-B1A8-4271-9F68-82E31A5C6A61}"/>
    <hyperlink ref="A220" r:id="rId655" display="https://statiz.sporki.com/player/?m=playerinfo&amp;p_no=15062" xr:uid="{B951670D-A1F7-44B8-A6A3-F2EFAC733E8B}"/>
    <hyperlink ref="B220" r:id="rId656" display="https://statiz.sporki.com/add/?m=draft_school01&amp;ps_school=50106" xr:uid="{4CFC6E5C-F296-423C-9142-718BE3BDABAF}"/>
    <hyperlink ref="C220" r:id="rId657" display="https://statiz.sporki.com/add/?m=draft_school02&amp;ps_school=60109" xr:uid="{6B5A71F7-BCAA-4198-841B-9C814287B7E3}"/>
    <hyperlink ref="A221" r:id="rId658" display="https://statiz.sporki.com/player/?m=playerinfo&amp;p_no=15094" xr:uid="{12618E05-DA75-4FFB-8DCD-74139A4184B7}"/>
    <hyperlink ref="B221" r:id="rId659" display="https://statiz.sporki.com/add/?m=draft_school01&amp;ps_school=50111" xr:uid="{280E71AA-925E-437F-9E4B-33C7FCFF2CDE}"/>
    <hyperlink ref="C221" r:id="rId660" display="https://statiz.sporki.com/add/?m=draft_school02&amp;ps_school=" xr:uid="{5A12E561-7D15-4B80-B2FC-B737F531E587}"/>
    <hyperlink ref="A222" r:id="rId661" display="https://statiz.sporki.com/player/?m=playerinfo&amp;p_no=15084" xr:uid="{93E58C49-8045-440E-930F-305019C06717}"/>
    <hyperlink ref="B222" r:id="rId662" display="https://statiz.sporki.com/add/?m=draft_school01&amp;ps_school=50805" xr:uid="{5889E110-ADAB-440D-94DC-E97F6317DE86}"/>
    <hyperlink ref="C222" r:id="rId663" display="https://statiz.sporki.com/add/?m=draft_school02&amp;ps_school=" xr:uid="{39551653-79C2-49D9-A93A-E89AA7DF2E0E}"/>
    <hyperlink ref="A223" r:id="rId664" display="https://statiz.sporki.com/player/?m=playerinfo&amp;p_no=15116" xr:uid="{20086320-0D64-486C-8C23-B05F815F2B5D}"/>
    <hyperlink ref="B223" r:id="rId665" display="https://statiz.sporki.com/add/?m=draft_school01&amp;ps_school=50114" xr:uid="{08E27870-E7CC-4CAD-A2A6-B19774ABD44D}"/>
    <hyperlink ref="C223" r:id="rId666" display="https://statiz.sporki.com/add/?m=draft_school02&amp;ps_school=" xr:uid="{20DD5D23-97C4-4FCE-8CB1-E3D8E1B906E2}"/>
    <hyperlink ref="A224" r:id="rId667" display="https://statiz.sporki.com/player/?m=playerinfo&amp;p_no=15029" xr:uid="{10967CC4-4607-4EDB-9747-A5A875C75C60}"/>
    <hyperlink ref="B224" r:id="rId668" display="https://statiz.sporki.com/add/?m=draft_school01&amp;ps_school=50401" xr:uid="{F14C7D19-10B1-4711-BF6A-A03B07123C01}"/>
    <hyperlink ref="C224" r:id="rId669" display="https://statiz.sporki.com/add/?m=draft_school02&amp;ps_school=" xr:uid="{391D8C2F-6BE4-4EC6-968C-B7468BFD1818}"/>
    <hyperlink ref="A225" r:id="rId670" display="https://statiz.sporki.com/player/?m=playerinfo&amp;p_no=15105" xr:uid="{4F7E1FAA-44B2-4A6F-91A5-001DA1BE0225}"/>
    <hyperlink ref="B225" r:id="rId671" display="https://statiz.sporki.com/add/?m=draft_school01&amp;ps_school=50807" xr:uid="{36A028A0-CC04-427F-99D0-0D94CE4E80BF}"/>
    <hyperlink ref="C225" r:id="rId672" display="https://statiz.sporki.com/add/?m=draft_school02&amp;ps_school=" xr:uid="{BB0ACB5A-ACCA-4EF8-8416-77B19D49B1A3}"/>
    <hyperlink ref="A226" r:id="rId673" display="https://statiz.sporki.com/player/?m=playerinfo&amp;p_no=15051" xr:uid="{5D49FB29-8E41-4F1E-AC0C-03137E5BF9AA}"/>
    <hyperlink ref="B226" r:id="rId674" display="https://statiz.sporki.com/add/?m=draft_school01&amp;ps_school=50103" xr:uid="{28E3E664-7589-4678-980A-BFCE98FADE1C}"/>
    <hyperlink ref="C226" r:id="rId675" display="https://statiz.sporki.com/add/?m=draft_school02&amp;ps_school=" xr:uid="{E68A1D61-2FB2-40B9-BD96-0D825AA77E33}"/>
    <hyperlink ref="A227" r:id="rId676" display="https://statiz.sporki.com/player/?m=playerinfo&amp;p_no=15040" xr:uid="{801D5E86-4154-435D-95C1-C0F808D9A994}"/>
    <hyperlink ref="B227" r:id="rId677" display="https://statiz.sporki.com/add/?m=draft_school01&amp;ps_school=50116" xr:uid="{6FB704F3-8EBD-4CF8-A765-4454541C6318}"/>
    <hyperlink ref="C227" r:id="rId678" display="https://statiz.sporki.com/add/?m=draft_school02&amp;ps_school=" xr:uid="{E91FD608-A454-4A81-B12C-50CBA30E652D}"/>
    <hyperlink ref="A228" r:id="rId679" display="https://statiz.sporki.com/player/?m=playerinfo&amp;p_no=15073" xr:uid="{571F3CCC-9A42-40ED-9D31-6F2CAE897F2A}"/>
    <hyperlink ref="B228" r:id="rId680" display="https://statiz.sporki.com/add/?m=draft_school01&amp;ps_school=50301" xr:uid="{2623E25B-C1CA-486A-A82C-902A7D00CC65}"/>
    <hyperlink ref="C228" r:id="rId681" display="https://statiz.sporki.com/add/?m=draft_school02&amp;ps_school=" xr:uid="{EDB52AD2-CEE4-4E44-BFD1-88298837E1E6}"/>
    <hyperlink ref="A229" r:id="rId682" display="https://statiz.sporki.com/player/?m=playerinfo&amp;p_no=15018" xr:uid="{4A6E89D2-C5BE-468F-8A68-4E227B0E625B}"/>
    <hyperlink ref="B229" r:id="rId683" display="https://statiz.sporki.com/add/?m=draft_school01&amp;ps_school=50810" xr:uid="{4988DDCB-7FEF-4C98-8CDF-90CE0CBF687E}"/>
    <hyperlink ref="C229" r:id="rId684" display="https://statiz.sporki.com/add/?m=draft_school02&amp;ps_school=60203" xr:uid="{A1A21CF9-C4FF-4E62-822A-8403789EF079}"/>
    <hyperlink ref="A230" r:id="rId685" display="https://statiz.sporki.com/player/?m=playerinfo&amp;p_no=15063" xr:uid="{50D018B4-3A91-4089-8150-4D9BAD12BAA1}"/>
    <hyperlink ref="B230" r:id="rId686" display="https://statiz.sporki.com/add/?m=draft_school01&amp;ps_school=50504" xr:uid="{ABD01003-3A15-4D86-A94D-FD9BF4095881}"/>
    <hyperlink ref="C230" r:id="rId687" display="https://statiz.sporki.com/add/?m=draft_school02&amp;ps_school=" xr:uid="{92B9355D-DBA3-4165-AE98-ACABF7BDC850}"/>
    <hyperlink ref="A231" r:id="rId688" display="https://statiz.sporki.com/player/?m=playerinfo&amp;p_no=15095" xr:uid="{14447E88-E0E3-4295-8F2F-0E5FFBD2FD5A}"/>
    <hyperlink ref="B231" r:id="rId689" display="https://statiz.sporki.com/add/?m=draft_school01&amp;ps_school=50807" xr:uid="{DC8E589E-7045-4140-9645-49C0B06C722F}"/>
    <hyperlink ref="C231" r:id="rId690" display="https://statiz.sporki.com/add/?m=draft_school02&amp;ps_school=" xr:uid="{AB687DDD-5925-4730-89D4-12B450B2F1C3}"/>
    <hyperlink ref="A232" r:id="rId691" display="https://statiz.sporki.com/player/?m=playerinfo&amp;p_no=15085" xr:uid="{7DEEA350-907D-4482-8F80-80587539ED0F}"/>
    <hyperlink ref="B232" r:id="rId692" display="https://statiz.sporki.com/add/?m=draft_school01&amp;ps_school=50106" xr:uid="{686CC35F-613B-4A52-BC81-C459009615F1}"/>
    <hyperlink ref="C232" r:id="rId693" display="https://statiz.sporki.com/add/?m=draft_school02&amp;ps_school=" xr:uid="{BF3408B2-FDB8-41D3-A833-5ED135412170}"/>
    <hyperlink ref="A233" r:id="rId694" display="https://statiz.sporki.com/player/?m=playerinfo&amp;p_no=15117" xr:uid="{1FFCBFA2-D222-4F37-9221-52BC4D9F29D2}"/>
    <hyperlink ref="B233" r:id="rId695" display="https://statiz.sporki.com/add/?m=draft_school01&amp;ps_school=50105" xr:uid="{277602B6-23EE-4AA2-ACF5-0FFBB28BE357}"/>
    <hyperlink ref="C233" r:id="rId696" display="https://statiz.sporki.com/add/?m=draft_school02&amp;ps_school=" xr:uid="{4D96146F-5187-47C1-90A5-687E8ABD5904}"/>
    <hyperlink ref="A234" r:id="rId697" display="https://statiz.sporki.com/player/?m=playerinfo&amp;p_no=15030" xr:uid="{C084BEE0-7395-46E8-961F-3BE5708C94DF}"/>
    <hyperlink ref="B234" r:id="rId698" display="https://statiz.sporki.com/add/?m=draft_school01&amp;ps_school=50105" xr:uid="{95134F18-22C2-43FC-BEB3-F09DC6546B9A}"/>
    <hyperlink ref="C234" r:id="rId699" display="https://statiz.sporki.com/add/?m=draft_school02&amp;ps_school=" xr:uid="{6AA79E85-FC46-4F13-964B-6004A2D4AEF9}"/>
    <hyperlink ref="A235" r:id="rId700" display="https://statiz.sporki.com/player/?m=playerinfo&amp;p_no=15106" xr:uid="{82E1D606-7AC2-4A03-A553-0193ACD2A726}"/>
    <hyperlink ref="B235" r:id="rId701" display="https://statiz.sporki.com/add/?m=draft_school01&amp;ps_school=50105" xr:uid="{55D97E00-B281-41B9-89AE-70700B2154A1}"/>
    <hyperlink ref="C235" r:id="rId702" display="https://statiz.sporki.com/add/?m=draft_school02&amp;ps_school=60802" xr:uid="{0F12CDD3-48CE-485C-916D-EB97A3428334}"/>
    <hyperlink ref="A236" r:id="rId703" display="https://statiz.sporki.com/player/?m=playerinfo&amp;p_no=15645" xr:uid="{F164EAB1-14B1-422E-B275-1594E5D084E4}"/>
    <hyperlink ref="B236" r:id="rId704" display="https://statiz.sporki.com/add/?m=draft_school01&amp;ps_school=50210" xr:uid="{D1FD8021-1DAF-4ED4-A34F-9737DD77D051}"/>
    <hyperlink ref="C236" r:id="rId705" display="https://statiz.sporki.com/add/?m=draft_school02&amp;ps_school=60902" xr:uid="{B23E31A9-A168-4451-9352-EC0CC8E3A6B2}"/>
    <hyperlink ref="A237" r:id="rId706" display="https://statiz.sporki.com/player/?m=playerinfo&amp;p_no=15041" xr:uid="{8A6FBA3E-DC88-4EA5-A159-D06FB185442D}"/>
    <hyperlink ref="B237" r:id="rId707" display="https://statiz.sporki.com/add/?m=draft_school01&amp;ps_school=50705" xr:uid="{D4358CDD-97B4-4BBB-B2AE-96DD8B0D9FC2}"/>
    <hyperlink ref="C237" r:id="rId708" display="https://statiz.sporki.com/add/?m=draft_school02&amp;ps_school=" xr:uid="{6B278CC2-2DCF-48F7-8053-499F03E0CF40}"/>
    <hyperlink ref="A238" r:id="rId709" display="https://statiz.sporki.com/player/?m=playerinfo&amp;p_no=15074" xr:uid="{FC6EEB7C-885F-40EB-8CFF-0BFF9A8FC13F}"/>
    <hyperlink ref="B238" r:id="rId710" display="https://statiz.sporki.com/add/?m=draft_school01&amp;ps_school=50116" xr:uid="{D425BB9C-DB1B-4C1C-A40D-5B3F4E23F585}"/>
    <hyperlink ref="C238" r:id="rId711" display="https://statiz.sporki.com/add/?m=draft_school02&amp;ps_school=" xr:uid="{B3BEF598-CED4-47F0-903C-69723337C395}"/>
    <hyperlink ref="A239" r:id="rId712" display="https://statiz.sporki.com/player/?m=playerinfo&amp;p_no=15019" xr:uid="{68472B33-5821-4FDC-A19E-068B690B98B7}"/>
    <hyperlink ref="B239" r:id="rId713" display="https://statiz.sporki.com/add/?m=draft_school01&amp;ps_school=50804" xr:uid="{CABA5F87-F607-4C4D-A369-8CE86C74B414}"/>
    <hyperlink ref="C239" r:id="rId714" display="https://statiz.sporki.com/add/?m=draft_school02&amp;ps_school=" xr:uid="{69C85417-32CB-46D0-817C-C0D14FC01E49}"/>
    <hyperlink ref="A240" r:id="rId715" display="https://statiz.sporki.com/player/?m=playerinfo&amp;p_no=15064" xr:uid="{EFD3B25F-211E-4A27-8DCE-7435AEE9E5C0}"/>
    <hyperlink ref="B240" r:id="rId716" display="https://statiz.sporki.com/add/?m=draft_school01&amp;ps_school=50502" xr:uid="{3B19390B-B6DA-4989-B007-633501496AFC}"/>
    <hyperlink ref="C240" r:id="rId717" display="https://statiz.sporki.com/add/?m=draft_school02&amp;ps_school=" xr:uid="{B6328053-F904-478C-B977-52F91E8E1BFC}"/>
    <hyperlink ref="A241" r:id="rId718" display="https://statiz.sporki.com/player/?m=playerinfo&amp;p_no=15096" xr:uid="{93326483-FF30-495B-928E-445F7AC8D8EC}"/>
    <hyperlink ref="B241" r:id="rId719" display="https://statiz.sporki.com/add/?m=draft_school01&amp;ps_school=50701" xr:uid="{B8C4CA3A-5868-4953-B0D7-4336C0DC1A97}"/>
    <hyperlink ref="C241" r:id="rId720" display="https://statiz.sporki.com/add/?m=draft_school02&amp;ps_school=" xr:uid="{494B8A25-39C8-4B7A-A62E-B1B42A357B68}"/>
    <hyperlink ref="A242" r:id="rId721" display="https://statiz.sporki.com/player/?m=playerinfo&amp;p_no=15086" xr:uid="{150027BA-B519-4F39-AD35-13B4DFEF0BF4}"/>
    <hyperlink ref="B242" r:id="rId722" display="https://statiz.sporki.com/add/?m=draft_school01&amp;ps_school=50107" xr:uid="{E36DAF1B-9955-4251-A73C-5B17D2AF5B28}"/>
    <hyperlink ref="C242" r:id="rId723" display="https://statiz.sporki.com/add/?m=draft_school02&amp;ps_school=" xr:uid="{908A78AD-0C55-4D1D-AA84-DBC552D64E9B}"/>
    <hyperlink ref="A243" r:id="rId724" display="https://statiz.sporki.com/player/?m=playerinfo&amp;p_no=15118" xr:uid="{911F1502-220A-4C1F-8850-B8971A697C6C}"/>
    <hyperlink ref="B243" r:id="rId725" display="https://statiz.sporki.com/add/?m=draft_school01&amp;ps_school=50705" xr:uid="{1A25D255-DBD8-46F4-946D-BB8404708F27}"/>
    <hyperlink ref="C243" r:id="rId726" display="https://statiz.sporki.com/add/?m=draft_school02&amp;ps_school=60803" xr:uid="{658920B9-E14E-4F62-A2A2-582620CD09AD}"/>
    <hyperlink ref="A244" r:id="rId727" display="https://statiz.sporki.com/player/?m=playerinfo&amp;p_no=15031" xr:uid="{21B06D9B-E678-47C3-B0B4-2CCF132D2C14}"/>
    <hyperlink ref="B244" r:id="rId728" display="https://statiz.sporki.com/add/?m=draft_school01&amp;ps_school=50901" xr:uid="{DFF212AE-CB44-4F92-9BBD-244DB272207B}"/>
    <hyperlink ref="C244" r:id="rId729" display="https://statiz.sporki.com/add/?m=draft_school02&amp;ps_school=60902" xr:uid="{50CFB4B0-5FC7-4DB4-B8E5-574070953E4A}"/>
    <hyperlink ref="A245" r:id="rId730" display="https://statiz.sporki.com/player/?m=playerinfo&amp;p_no=15107" xr:uid="{50B1F450-1C6A-4DC4-8CD2-BCEAC1D79A32}"/>
    <hyperlink ref="B245" r:id="rId731" display="https://statiz.sporki.com/add/?m=draft_school01&amp;ps_school=50207" xr:uid="{16989EB5-B7AD-42DD-9C8E-5A789164D3DC}"/>
    <hyperlink ref="C245" r:id="rId732" display="https://statiz.sporki.com/add/?m=draft_school02&amp;ps_school=" xr:uid="{32FEDB8C-78D6-441B-9A56-6CD240867F85}"/>
    <hyperlink ref="A246" r:id="rId733" display="https://statiz.sporki.com/player/?m=playerinfo&amp;p_no=15052" xr:uid="{05C1C433-29E6-428E-8A80-C5236A233671}"/>
    <hyperlink ref="B246" r:id="rId734" display="https://statiz.sporki.com/add/?m=draft_school01&amp;ps_school=50804" xr:uid="{F7DBBEB6-D70D-4D84-9EEA-E6E21F99412B}"/>
    <hyperlink ref="C246" r:id="rId735" display="https://statiz.sporki.com/add/?m=draft_school02&amp;ps_school=" xr:uid="{4A4B22E7-8F0B-486F-9D2C-3B32476FD59B}"/>
    <hyperlink ref="A247" r:id="rId736" display="https://statiz.sporki.com/player/?m=playerinfo&amp;p_no=15042" xr:uid="{7265DA3D-73AE-4E83-AFB8-1D0D3AD914D0}"/>
    <hyperlink ref="B247" r:id="rId737" display="https://statiz.sporki.com/add/?m=draft_school01&amp;ps_school=50805" xr:uid="{71C4D4F7-084C-4C20-B90B-4E4D9545FFFF}"/>
    <hyperlink ref="C247" r:id="rId738" display="https://statiz.sporki.com/add/?m=draft_school02&amp;ps_school=" xr:uid="{B6F8A402-24A8-4176-B216-34E49A54E480}"/>
    <hyperlink ref="A248" r:id="rId739" display="https://statiz.sporki.com/player/?m=playerinfo&amp;p_no=15075" xr:uid="{D767FA6E-1099-4559-B674-77EA74C96E10}"/>
    <hyperlink ref="B248" r:id="rId740" display="https://statiz.sporki.com/add/?m=draft_school01&amp;ps_school=50702" xr:uid="{C2D600BA-576C-4B89-9B75-60D05A892081}"/>
    <hyperlink ref="C248" r:id="rId741" display="https://statiz.sporki.com/add/?m=draft_school02&amp;ps_school=60803" xr:uid="{AE9A761C-5676-4D0D-8553-F05FEC32C180}"/>
    <hyperlink ref="A249" r:id="rId742" display="https://statiz.sporki.com/player/?m=playerinfo&amp;p_no=15020" xr:uid="{2FF4351A-A3FC-4E7E-8C9A-8E22EFF0AB0F}"/>
    <hyperlink ref="B249" r:id="rId743" display="https://statiz.sporki.com/add/?m=draft_school01&amp;ps_school=50217" xr:uid="{4A7D75AF-1F41-4620-B1CE-CE9B8BC8241F}"/>
    <hyperlink ref="C249" r:id="rId744" display="https://statiz.sporki.com/add/?m=draft_school02&amp;ps_school=60503" xr:uid="{639A5229-B39D-4E5D-89FE-F88EA418FFC0}"/>
    <hyperlink ref="A250" r:id="rId745" display="https://statiz.sporki.com/player/?m=playerinfo&amp;p_no=15065" xr:uid="{D84B15A6-2F43-44BA-8031-A5232F8B6501}"/>
    <hyperlink ref="B250" r:id="rId746" display="https://statiz.sporki.com/add/?m=draft_school01&amp;ps_school=50604" xr:uid="{C0E00215-40ED-4F5F-80C1-370377835EAD}"/>
    <hyperlink ref="C250" r:id="rId747" display="https://statiz.sporki.com/add/?m=draft_school02&amp;ps_school=" xr:uid="{084AB636-3381-4951-B5AA-494156C48705}"/>
    <hyperlink ref="A251" r:id="rId748" display="https://statiz.sporki.com/player/?m=playerinfo&amp;p_no=15097" xr:uid="{120A2686-688A-49F5-8F44-E674236F8A8F}"/>
    <hyperlink ref="B251" r:id="rId749" display="https://statiz.sporki.com/add/?m=draft_school01&amp;ps_school=50208" xr:uid="{5CD051FD-CFC7-4735-A0A3-32AB2775902A}"/>
    <hyperlink ref="C251" r:id="rId750" display="https://statiz.sporki.com/add/?m=draft_school02&amp;ps_school=" xr:uid="{652F12DE-79EB-4595-8F0F-C5C416863ADA}"/>
    <hyperlink ref="A252" r:id="rId751" display="https://statiz.sporki.com/player/?m=playerinfo&amp;p_no=15087" xr:uid="{1A54BF8E-532D-4E7E-B4B2-853E392298C1}"/>
    <hyperlink ref="B252" r:id="rId752" display="https://statiz.sporki.com/add/?m=draft_school01&amp;ps_school=50108" xr:uid="{23946B21-F752-484D-BC9B-99688CC37BB8}"/>
    <hyperlink ref="C252" r:id="rId753" display="https://statiz.sporki.com/add/?m=draft_school02&amp;ps_school=" xr:uid="{C1D9BF96-3976-416F-9A56-C463FE89385F}"/>
    <hyperlink ref="A253" r:id="rId754" display="https://statiz.sporki.com/player/?m=playerinfo&amp;p_no=15119" xr:uid="{2461BFB7-6AAB-40EC-98B1-2F1946A5C186}"/>
    <hyperlink ref="B253" r:id="rId755" display="https://statiz.sporki.com/add/?m=draft_school01&amp;ps_school=50203" xr:uid="{8CEEB938-8585-4138-8FF1-EB3ADC3F9587}"/>
    <hyperlink ref="C253" r:id="rId756" display="https://statiz.sporki.com/add/?m=draft_school02&amp;ps_school=60501" xr:uid="{EFDE61D9-304C-4A75-A3D9-66C3EFD8FB40}"/>
    <hyperlink ref="A254" r:id="rId757" display="https://statiz.sporki.com/player/?m=playerinfo&amp;p_no=15032" xr:uid="{D6F74957-D416-467A-BAEE-5CCF328F6B10}"/>
    <hyperlink ref="B254" r:id="rId758" display="https://statiz.sporki.com/add/?m=draft_school01&amp;ps_school=50703" xr:uid="{21AD942C-0E4B-4CEC-9B11-70AE5BEA52A7}"/>
    <hyperlink ref="C254" r:id="rId759" display="https://statiz.sporki.com/add/?m=draft_school02&amp;ps_school=" xr:uid="{E10E39AD-322D-4AF1-BD11-FCEF241AA248}"/>
    <hyperlink ref="A255" r:id="rId760" display="https://statiz.sporki.com/player/?m=playerinfo&amp;p_no=15108" xr:uid="{08C976B2-3AFC-47AB-AC74-1E825CC0A105}"/>
    <hyperlink ref="B255" r:id="rId761" display="https://statiz.sporki.com/add/?m=draft_school01&amp;ps_school=50102" xr:uid="{6DBE389E-F55F-4529-AE39-7F2837975FE8}"/>
    <hyperlink ref="C255" r:id="rId762" display="https://statiz.sporki.com/add/?m=draft_school02&amp;ps_school=" xr:uid="{0DD11667-D408-41A8-BCE4-A714590B1944}"/>
    <hyperlink ref="A256" r:id="rId763" display="https://statiz.sporki.com/player/?m=playerinfo&amp;p_no=15053" xr:uid="{7D75D5AF-5A3A-458D-AFBD-124687348CF5}"/>
    <hyperlink ref="B256" r:id="rId764" display="https://statiz.sporki.com/add/?m=draft_school01&amp;ps_school=" xr:uid="{4D9EBBA9-CE9D-463B-8CB8-0AE2A859C73B}"/>
    <hyperlink ref="C256" r:id="rId765" display="https://statiz.sporki.com/add/?m=draft_school02&amp;ps_school=" xr:uid="{E431127F-5E71-4C9B-B066-48C3CDD12330}"/>
    <hyperlink ref="A257" r:id="rId766" display="https://statiz.sporki.com/player/?m=playerinfo&amp;p_no=15043" xr:uid="{0AAF2190-32BE-4C2C-B1CD-1A8E74B4B1A6}"/>
    <hyperlink ref="B257" r:id="rId767" display="https://statiz.sporki.com/add/?m=draft_school01&amp;ps_school=50701" xr:uid="{7BD375B1-AB29-459E-9ED3-E6EDC2F134CB}"/>
    <hyperlink ref="C257" r:id="rId768" display="https://statiz.sporki.com/add/?m=draft_school02&amp;ps_school=" xr:uid="{5032AFC9-6652-415E-BB02-0F97E9A86CC4}"/>
    <hyperlink ref="A258" r:id="rId769" display="https://statiz.sporki.com/player/?m=playerinfo&amp;p_no=15076" xr:uid="{D1B2BD64-9860-4C69-8318-DDE75A5463C0}"/>
    <hyperlink ref="B258" r:id="rId770" display="https://statiz.sporki.com/add/?m=draft_school01&amp;ps_school=50801" xr:uid="{918B5166-E977-460C-98F0-6C64E22E6B64}"/>
    <hyperlink ref="C258" r:id="rId771" display="https://statiz.sporki.com/add/?m=draft_school02&amp;ps_school=" xr:uid="{ED5B626B-C9DF-4E32-AC6D-19DC26852EDE}"/>
    <hyperlink ref="A259" r:id="rId772" display="https://statiz.sporki.com/player/?m=playerinfo&amp;p_no=15021" xr:uid="{652EF2AE-AF90-4A7B-ACCA-A55A7B043DD9}"/>
    <hyperlink ref="B259" r:id="rId773" display="https://statiz.sporki.com/add/?m=draft_school01&amp;ps_school=50902" xr:uid="{CBF2B724-D473-4FEF-9E01-AE5302C38482}"/>
    <hyperlink ref="C259" r:id="rId774" display="https://statiz.sporki.com/add/?m=draft_school02&amp;ps_school=" xr:uid="{207D3E18-9E33-4AA4-87C4-10BE9737E117}"/>
    <hyperlink ref="A260" r:id="rId775" display="https://statiz.sporki.com/player/?m=playerinfo&amp;p_no=15066" xr:uid="{1A4AA1E8-D996-4B50-9C62-AA394976F346}"/>
    <hyperlink ref="B260" r:id="rId776" display="https://statiz.sporki.com/add/?m=draft_school01&amp;ps_school=50211" xr:uid="{B39EFCAE-9F85-43FF-B243-6F2A945C6F9D}"/>
    <hyperlink ref="C260" r:id="rId777" display="https://statiz.sporki.com/add/?m=draft_school02&amp;ps_school=60607" xr:uid="{3FFB1D00-5DA5-4FAD-B4D5-2B37E9E0F0A6}"/>
    <hyperlink ref="A261" r:id="rId778" display="https://statiz.sporki.com/player/?m=playerinfo&amp;p_no=15098" xr:uid="{86457336-AB4B-4946-9CDD-48126082B8FF}"/>
    <hyperlink ref="B261" r:id="rId779" display="https://statiz.sporki.com/add/?m=draft_school01&amp;ps_school=50121" xr:uid="{1AE20B4A-228A-4FE3-9699-AF2C6FAF5942}"/>
    <hyperlink ref="C261" r:id="rId780" display="https://statiz.sporki.com/add/?m=draft_school02&amp;ps_school=60103" xr:uid="{D47825D2-520C-4B80-9076-281356A40B18}"/>
    <hyperlink ref="A262" r:id="rId781" display="https://statiz.sporki.com/player/?m=playerinfo&amp;p_no=15088" xr:uid="{AC493ECF-2E32-4DFF-A523-B4D79A2D2977}"/>
    <hyperlink ref="B262" r:id="rId782" display="https://statiz.sporki.com/add/?m=draft_school01&amp;ps_school=50116" xr:uid="{077F28B0-24A2-4F46-A282-EB8AB8B977A8}"/>
    <hyperlink ref="C262" r:id="rId783" display="https://statiz.sporki.com/add/?m=draft_school02&amp;ps_school=" xr:uid="{11563D7F-581F-491F-A22C-39C539CD7AA7}"/>
    <hyperlink ref="A263" r:id="rId784" display="https://statiz.sporki.com/player/?m=playerinfo&amp;p_no=15120" xr:uid="{705FF6AF-C4C4-4B11-B9AB-C8F2141A4643}"/>
    <hyperlink ref="B263" r:id="rId785" display="https://statiz.sporki.com/add/?m=draft_school01&amp;ps_school=50809" xr:uid="{0CEF2202-A335-4FF4-9794-AA7211E6379B}"/>
    <hyperlink ref="C263" r:id="rId786" display="https://statiz.sporki.com/add/?m=draft_school02&amp;ps_school=" xr:uid="{546FF593-F0D8-4DFF-8CBF-48CE2195CEBB}"/>
    <hyperlink ref="A264" r:id="rId787" display="https://statiz.sporki.com/player/?m=playerinfo&amp;p_no=15033" xr:uid="{590023F3-E936-44B3-A7EA-8D2EE542F121}"/>
    <hyperlink ref="B264" r:id="rId788" display="https://statiz.sporki.com/add/?m=draft_school01&amp;ps_school=50111" xr:uid="{CC02586E-C951-4D3D-9D11-E4AE0F0EF21A}"/>
    <hyperlink ref="C264" r:id="rId789" display="https://statiz.sporki.com/add/?m=draft_school02&amp;ps_school=" xr:uid="{0F6CD0EA-F5B1-47B2-942F-E0FF37CF3B16}"/>
    <hyperlink ref="A265" r:id="rId790" display="https://statiz.sporki.com/player/?m=playerinfo&amp;p_no=15109" xr:uid="{3F080683-6A12-4FA2-8FDE-932B627A4B57}"/>
    <hyperlink ref="B265" r:id="rId791" display="https://statiz.sporki.com/add/?m=draft_school01&amp;ps_school=50120" xr:uid="{9AB32C17-9786-488E-92A8-F82C2500866A}"/>
    <hyperlink ref="C265" r:id="rId792" display="https://statiz.sporki.com/add/?m=draft_school02&amp;ps_school=" xr:uid="{AECBDAF1-0BBF-479C-9E1A-932AF9762562}"/>
    <hyperlink ref="A266" r:id="rId793" display="https://statiz.sporki.com/player/?m=playerinfo&amp;p_no=15054" xr:uid="{9906F7C8-13D9-4612-AD40-F8CF5BA332A2}"/>
    <hyperlink ref="B266" r:id="rId794" display="https://statiz.sporki.com/add/?m=draft_school01&amp;ps_school=50206" xr:uid="{07F2B536-73F2-47DF-B19A-A0C6861B2F48}"/>
    <hyperlink ref="C266" r:id="rId795" display="https://statiz.sporki.com/add/?m=draft_school02&amp;ps_school=" xr:uid="{1B03348E-CF0F-4ED9-A1DF-E4174108AC0D}"/>
    <hyperlink ref="A267" r:id="rId796" display="https://statiz.sporki.com/player/?m=playerinfo&amp;p_no=15044" xr:uid="{D4F5775F-889F-45F0-A5C2-D1EB84264870}"/>
    <hyperlink ref="B267" r:id="rId797" display="https://statiz.sporki.com/add/?m=draft_school01&amp;ps_school=50120" xr:uid="{04B56BA3-2A09-4E24-9DD0-F38625662A0A}"/>
    <hyperlink ref="C267" r:id="rId798" display="https://statiz.sporki.com/add/?m=draft_school02&amp;ps_school=" xr:uid="{5923113D-3661-4783-A4BE-A383AED96929}"/>
    <hyperlink ref="A268" r:id="rId799" display="https://statiz.sporki.com/player/?m=playerinfo&amp;p_no=15077" xr:uid="{7CC17A7B-0497-47C1-A991-03094AA30F65}"/>
    <hyperlink ref="B268" r:id="rId800" display="https://statiz.sporki.com/add/?m=draft_school01&amp;ps_school=50501" xr:uid="{F61B669C-F39A-402C-BFDD-A7CD8187B1D3}"/>
    <hyperlink ref="C268" r:id="rId801" display="https://statiz.sporki.com/add/?m=draft_school02&amp;ps_school=60109" xr:uid="{10F0BC06-DC82-4339-B7D2-1D22ACFAE227}"/>
    <hyperlink ref="A269" r:id="rId802" display="https://statiz.sporki.com/player/?m=playerinfo&amp;p_no=15022" xr:uid="{FB5F8261-6F58-41DB-A787-5F6D1B3B2AC8}"/>
    <hyperlink ref="B269" r:id="rId803" display="https://statiz.sporki.com/add/?m=draft_school01&amp;ps_school=50301" xr:uid="{2A520150-2FB5-42EA-9EB5-EEBA1000EE42}"/>
    <hyperlink ref="C269" r:id="rId804" display="https://statiz.sporki.com/add/?m=draft_school02&amp;ps_school=" xr:uid="{A6900B7F-0FE2-4C2B-A82E-799DE3C5C11E}"/>
    <hyperlink ref="A270" r:id="rId805" display="https://statiz.sporki.com/player/?m=playerinfo&amp;p_no=15147" xr:uid="{20A15174-134A-4E54-AB16-894F71524FB4}"/>
    <hyperlink ref="B270" r:id="rId806" display="https://statiz.sporki.com/add/?m=draft_school01&amp;ps_school=" xr:uid="{CAD00CBE-FFDA-4742-8988-0DFC443CA0E5}"/>
    <hyperlink ref="C270" r:id="rId807" display="https://statiz.sporki.com/add/?m=draft_school02&amp;ps_school=" xr:uid="{056D08A6-2FA8-4FDD-B0E1-020CB080B79C}"/>
    <hyperlink ref="A271" r:id="rId808" display="https://statiz.sporki.com/player/?m=playerinfo&amp;p_no=14996" xr:uid="{CF4E4ADC-0169-4DCA-9726-DE9DB99679BF}"/>
    <hyperlink ref="B271" r:id="rId809" display="https://statiz.sporki.com/add/?m=draft_school01&amp;ps_school=51124" xr:uid="{203C5A7C-2647-400F-A482-09E67F7AF066}"/>
    <hyperlink ref="C271" r:id="rId810" display="https://statiz.sporki.com/add/?m=draft_school02&amp;ps_school=" xr:uid="{E86B2673-1F18-4878-92A0-22728DE5E085}"/>
    <hyperlink ref="A272" r:id="rId811" display="https://statiz.sporki.com/player/?m=playerinfo&amp;p_no=14998" xr:uid="{5D3F310B-2974-44DA-9656-6187B01F14BC}"/>
    <hyperlink ref="B272" r:id="rId812" display="https://statiz.sporki.com/add/?m=draft_school01&amp;ps_school=51123" xr:uid="{C4E7264F-8B03-4A12-B513-59F9128ED56D}"/>
    <hyperlink ref="C272" r:id="rId813" display="https://statiz.sporki.com/add/?m=draft_school02&amp;ps_school=61123" xr:uid="{42F744BE-AF73-4464-BBFA-E0519404FA6D}"/>
    <hyperlink ref="A273" r:id="rId814" display="https://statiz.sporki.com/player/?m=playerinfo&amp;p_no=14997" xr:uid="{EBA56292-5B00-4A82-8B34-EF79A7088AB7}"/>
    <hyperlink ref="B273" r:id="rId815" display="https://statiz.sporki.com/add/?m=draft_school01&amp;ps_school=51122" xr:uid="{AD8A26AC-9D37-4590-8831-AA7C7D892D27}"/>
    <hyperlink ref="C273" r:id="rId816" display="https://statiz.sporki.com/add/?m=draft_school02&amp;ps_school=" xr:uid="{620CDE89-CBA1-4BAF-88FE-360442E875B0}"/>
    <hyperlink ref="A274" r:id="rId817" display="https://statiz.sporki.com/player/?m=playerinfo&amp;p_no=15143" xr:uid="{19F63F66-B274-4829-B581-D2A87D77EFEF}"/>
    <hyperlink ref="B274" r:id="rId818" display="https://statiz.sporki.com/add/?m=draft_school01&amp;ps_school=" xr:uid="{A20D3C6C-BB68-4987-A237-9D41BE940848}"/>
    <hyperlink ref="C274" r:id="rId819" display="https://statiz.sporki.com/add/?m=draft_school02&amp;ps_school=" xr:uid="{C517B23A-BA90-425E-9D0C-5FBF4381F759}"/>
    <hyperlink ref="A275" r:id="rId820" display="https://statiz.sporki.com/player/?m=playerinfo&amp;p_no=15144" xr:uid="{59F0C0ED-0EFD-44C4-A7B0-807DA425A7E7}"/>
    <hyperlink ref="B275" r:id="rId821" display="https://statiz.sporki.com/add/?m=draft_school01&amp;ps_school=" xr:uid="{A503FB7B-7D84-40D7-958F-999A2C93D0CD}"/>
    <hyperlink ref="C275" r:id="rId822" display="https://statiz.sporki.com/add/?m=draft_school02&amp;ps_school=" xr:uid="{01180F78-EB36-4D47-B7CB-C94B1D5E0DD0}"/>
    <hyperlink ref="A276" r:id="rId823" display="https://statiz.sporki.com/player/?m=playerinfo&amp;p_no=15000" xr:uid="{F9F2D988-AE28-4143-B6EB-F83BC4FCC82A}"/>
    <hyperlink ref="B276" r:id="rId824" display="https://statiz.sporki.com/add/?m=draft_school01&amp;ps_school=51125" xr:uid="{B0722B3F-4A21-401C-84E4-4786F1CD0C35}"/>
    <hyperlink ref="C276" r:id="rId825" display="https://statiz.sporki.com/add/?m=draft_school02&amp;ps_school=" xr:uid="{A25A4E1C-232A-4079-AB00-17E79D54DB79}"/>
    <hyperlink ref="A277" r:id="rId826" display="https://statiz.sporki.com/player/?m=playerinfo&amp;p_no=15003" xr:uid="{D1EC0419-6F15-4E95-A97D-AC32A5EE9E4B}"/>
    <hyperlink ref="B277" r:id="rId827" display="https://statiz.sporki.com/add/?m=draft_school01&amp;ps_school=" xr:uid="{F7C4B611-D340-4D6E-8F37-14D6CE53C63F}"/>
    <hyperlink ref="C277" r:id="rId828" display="https://statiz.sporki.com/add/?m=draft_school02&amp;ps_school=61122" xr:uid="{681FFFAF-1068-416A-AFE1-3EAAFC97F49C}"/>
    <hyperlink ref="A278" r:id="rId829" display="https://statiz.sporki.com/player/?m=playerinfo&amp;p_no=15150" xr:uid="{11FAD58B-D38A-4CCB-8192-04FBBEBD32C8}"/>
    <hyperlink ref="B278" r:id="rId830" display="https://statiz.sporki.com/add/?m=draft_school01&amp;ps_school=" xr:uid="{29294E60-55C5-41CE-8DCA-4AFF107EA41C}"/>
    <hyperlink ref="C278" r:id="rId831" display="https://statiz.sporki.com/add/?m=draft_school02&amp;ps_school=" xr:uid="{F91556F1-0A48-4251-90BC-24DBC4F657E9}"/>
    <hyperlink ref="A279" r:id="rId832" display="https://statiz.sporki.com/player/?m=playerinfo&amp;p_no=15002" xr:uid="{1C390C5E-2411-41CA-9705-7930C9075FA6}"/>
    <hyperlink ref="B279" r:id="rId833" display="https://statiz.sporki.com/add/?m=draft_school01&amp;ps_school=51121" xr:uid="{E17A1266-74FD-44D3-8C86-FCA3A76E9EAB}"/>
    <hyperlink ref="C279" r:id="rId834" display="https://statiz.sporki.com/add/?m=draft_school02&amp;ps_school=" xr:uid="{A322A25A-A650-43CE-80FA-112DF0930D97}"/>
    <hyperlink ref="A280" r:id="rId835" display="https://statiz.sporki.com/player/?m=playerinfo&amp;p_no=15154" xr:uid="{DB20ADAA-3587-402C-A8B9-9D78A2979226}"/>
    <hyperlink ref="B280" r:id="rId836" display="https://statiz.sporki.com/add/?m=draft_school01&amp;ps_school=" xr:uid="{63FC2E61-A9BC-4A2D-A2D1-D5376B70DC26}"/>
    <hyperlink ref="C280" r:id="rId837" display="https://statiz.sporki.com/add/?m=draft_school02&amp;ps_school=" xr:uid="{66D3BE0C-24AA-44BE-A994-6B30567C78EF}"/>
    <hyperlink ref="A281" r:id="rId838" display="https://statiz.sporki.com/player/?m=playerinfo&amp;p_no=15008" xr:uid="{A6901853-199C-4D3D-A077-59AE13C24A48}"/>
    <hyperlink ref="B281" r:id="rId839" display="https://statiz.sporki.com/add/?m=draft_school01&amp;ps_school=51129" xr:uid="{F47115B6-50B3-4C57-9C6C-2EF251810260}"/>
    <hyperlink ref="C281" r:id="rId840" display="https://statiz.sporki.com/add/?m=draft_school02&amp;ps_school=61128" xr:uid="{0E84DACA-12D0-4566-B5DC-BBCA621102C5}"/>
    <hyperlink ref="A282" r:id="rId841" display="https://statiz.sporki.com/player/?m=playerinfo&amp;p_no=15006" xr:uid="{71112F09-AC6A-444C-890E-E483A612C310}"/>
    <hyperlink ref="B282" r:id="rId842" display="https://statiz.sporki.com/add/?m=draft_school01&amp;ps_school=51127" xr:uid="{E95D6232-4635-4DA6-B8C8-32E675649192}"/>
    <hyperlink ref="C282" r:id="rId843" display="https://statiz.sporki.com/add/?m=draft_school02&amp;ps_school=61127" xr:uid="{17711BED-AEC5-4ED3-BB7B-8003FA09856E}"/>
    <hyperlink ref="A283" r:id="rId844" display="https://statiz.sporki.com/player/?m=playerinfo&amp;p_no=15149" xr:uid="{8252F551-D7E0-42A4-9FD8-F2E8AC81DA17}"/>
    <hyperlink ref="B283" r:id="rId845" display="https://statiz.sporki.com/add/?m=draft_school01&amp;ps_school=" xr:uid="{5B9ACA92-B207-4C3B-B577-03321E943A9E}"/>
    <hyperlink ref="C283" r:id="rId846" display="https://statiz.sporki.com/add/?m=draft_school02&amp;ps_school=" xr:uid="{DD63E363-06F8-46FC-A9FE-090390B40446}"/>
    <hyperlink ref="A284" r:id="rId847" display="https://statiz.sporki.com/player/?m=playerinfo&amp;p_no=15007" xr:uid="{16E14D4C-829D-4BD4-A9DE-19C481B94925}"/>
    <hyperlink ref="B284" r:id="rId848" display="https://statiz.sporki.com/add/?m=draft_school01&amp;ps_school=51128" xr:uid="{BE53889D-C6E7-42EA-AC76-9A7F9081DB58}"/>
    <hyperlink ref="C284" r:id="rId849" display="https://statiz.sporki.com/add/?m=draft_school02&amp;ps_school=" xr:uid="{56CD1AE7-A34E-4F12-81F5-B81D1C60ACC1}"/>
    <hyperlink ref="A285" r:id="rId850" display="https://statiz.sporki.com/player/?m=playerinfo&amp;p_no=15151" xr:uid="{2CBC7970-073E-433B-9E0A-0F86833D7427}"/>
    <hyperlink ref="B285" r:id="rId851" display="https://statiz.sporki.com/add/?m=draft_school01&amp;ps_school=" xr:uid="{C8A9E1CE-6C0F-4A2C-A3EA-C1FD78AA1C34}"/>
    <hyperlink ref="C285" r:id="rId852" display="https://statiz.sporki.com/add/?m=draft_school02&amp;ps_school=" xr:uid="{704849E7-4E91-40B7-84AA-3E9C94A89950}"/>
    <hyperlink ref="A286" r:id="rId853" display="https://statiz.sporki.com/player/?m=playerinfo&amp;p_no=14999" xr:uid="{DD4EDACB-EA7E-43AC-91A2-499610263B1F}"/>
    <hyperlink ref="B286" r:id="rId854" display="https://statiz.sporki.com/add/?m=draft_school01&amp;ps_school=" xr:uid="{4440C08B-5BFB-4574-9BB2-E392720BEF8E}"/>
    <hyperlink ref="C286" r:id="rId855" display="https://statiz.sporki.com/add/?m=draft_school02&amp;ps_school=61124" xr:uid="{18F855BC-1D6D-44B1-9840-0490020C6950}"/>
    <hyperlink ref="A287" r:id="rId856" display="https://statiz.sporki.com/player/?m=playerinfo&amp;p_no=15153" xr:uid="{73BCC7EB-D361-47B4-900F-D01A9A475025}"/>
    <hyperlink ref="B287" r:id="rId857" display="https://statiz.sporki.com/add/?m=draft_school01&amp;ps_school=" xr:uid="{33E6F539-2F26-4289-8E1D-04361AEE2B03}"/>
    <hyperlink ref="C287" r:id="rId858" display="https://statiz.sporki.com/add/?m=draft_school02&amp;ps_school=" xr:uid="{2384E05F-FDF2-49B4-A27E-F3704930EE93}"/>
    <hyperlink ref="A288" r:id="rId859" display="https://statiz.sporki.com/player/?m=playerinfo&amp;p_no=15009" xr:uid="{152C2777-C631-4AF8-B117-4EFB101B4983}"/>
    <hyperlink ref="B288" r:id="rId860" display="https://statiz.sporki.com/add/?m=draft_school01&amp;ps_school=" xr:uid="{F0AF4FD9-B562-448A-A414-D20FB60B81CA}"/>
    <hyperlink ref="C288" r:id="rId861" display="https://statiz.sporki.com/add/?m=draft_school02&amp;ps_school=61129" xr:uid="{D5539443-6999-4C71-9404-E3FCE6AF7779}"/>
    <hyperlink ref="A289" r:id="rId862" display="https://statiz.sporki.com/player/?m=playerinfo&amp;p_no=15011" xr:uid="{33391D81-4D71-4E26-989E-812E270DB1CC}"/>
    <hyperlink ref="B289" r:id="rId863" display="https://statiz.sporki.com/add/?m=draft_school01&amp;ps_school=" xr:uid="{1E80663E-3FEA-458B-8EAD-8590CFA1AE33}"/>
    <hyperlink ref="C289" r:id="rId864" display="https://statiz.sporki.com/add/?m=draft_school02&amp;ps_school=61131" xr:uid="{AA10641F-854D-469A-A6A7-428E6580C1A7}"/>
    <hyperlink ref="A290" r:id="rId865" display="https://statiz.sporki.com/player/?m=playerinfo&amp;p_no=15152" xr:uid="{FBDE7D9B-4E74-4F27-973C-01D76A81EE1A}"/>
    <hyperlink ref="B290" r:id="rId866" display="https://statiz.sporki.com/add/?m=draft_school01&amp;ps_school=" xr:uid="{CF4E74DC-4FCC-41DA-AC09-E4444829A32C}"/>
    <hyperlink ref="C290" r:id="rId867" display="https://statiz.sporki.com/add/?m=draft_school02&amp;ps_school=" xr:uid="{8D284704-5247-45CA-8FDF-C9D737388D64}"/>
    <hyperlink ref="A291" r:id="rId868" display="https://statiz.sporki.com/player/?m=playerinfo&amp;p_no=15010" xr:uid="{3FF74ADE-FE83-4D56-8FC6-3E1AC4E2CD10}"/>
    <hyperlink ref="B291" r:id="rId869" display="https://statiz.sporki.com/add/?m=draft_school01&amp;ps_school=" xr:uid="{D696C405-A5B1-4657-989D-36669B1282E6}"/>
    <hyperlink ref="C291" r:id="rId870" display="https://statiz.sporki.com/add/?m=draft_school02&amp;ps_school=61130" xr:uid="{D262B6F7-D2EE-44DD-8485-5C611018F662}"/>
    <hyperlink ref="A292" r:id="rId871" display="https://statiz.sporki.com/player/?m=playerinfo&amp;p_no=15001" xr:uid="{D72731BD-73A6-42A5-A420-B3B80BBABE72}"/>
    <hyperlink ref="B292" r:id="rId872" display="https://statiz.sporki.com/add/?m=draft_school01&amp;ps_school=51126" xr:uid="{DF023AD4-F70C-42AD-BAB7-D941B42544F4}"/>
    <hyperlink ref="C292" r:id="rId873" display="https://statiz.sporki.com/add/?m=draft_school02&amp;ps_school=" xr:uid="{7CE2A8A1-1E5C-490B-A333-685E35F7341D}"/>
    <hyperlink ref="A293" r:id="rId874" display="https://statiz.sporki.com/player/?m=playerinfo&amp;p_no=15005" xr:uid="{D854BC8E-F4AE-4F01-AFE0-5F5D9F38C005}"/>
    <hyperlink ref="B293" r:id="rId875" display="https://statiz.sporki.com/add/?m=draft_school01&amp;ps_school=" xr:uid="{E972EB6C-F175-4DF7-82C1-E1FD5E64A3C3}"/>
    <hyperlink ref="C293" r:id="rId876" display="https://statiz.sporki.com/add/?m=draft_school02&amp;ps_school=61126" xr:uid="{2909F099-8443-4779-8284-B3372C47D9DA}"/>
    <hyperlink ref="A294" r:id="rId877" display="https://statiz.sporki.com/player/?m=playerinfo&amp;p_no=15004" xr:uid="{825329C8-754F-4BC2-ADC7-4D1D8F6AA9ED}"/>
    <hyperlink ref="B294" r:id="rId878" display="https://statiz.sporki.com/add/?m=draft_school01&amp;ps_school=" xr:uid="{BFC0886E-9AF1-4D37-A708-E93CE47B1458}"/>
    <hyperlink ref="C294" r:id="rId879" display="https://statiz.sporki.com/add/?m=draft_school02&amp;ps_school=61125" xr:uid="{2BBF57D1-07E7-4A2B-A025-59497D4436BF}"/>
    <hyperlink ref="A295" r:id="rId880" display="https://statiz.sporki.com/player/?m=playerinfo&amp;p_no=15146" xr:uid="{22087487-F95F-4722-AF9B-AED9573A2C6B}"/>
    <hyperlink ref="B295" r:id="rId881" display="https://statiz.sporki.com/add/?m=draft_school01&amp;ps_school=" xr:uid="{55135C72-B2E2-41A4-B49B-CBCAE9356F29}"/>
    <hyperlink ref="C295" r:id="rId882" display="https://statiz.sporki.com/add/?m=draft_school02&amp;ps_school=" xr:uid="{C8842F69-AD1B-4A29-BD6D-24D19DFE93D6}"/>
    <hyperlink ref="A296" r:id="rId883" display="https://statiz.sporki.com/player/?m=playerinfo&amp;p_no=15012" xr:uid="{13BCFB60-741E-4270-B616-46B9E52F970F}"/>
    <hyperlink ref="B296" r:id="rId884" display="https://statiz.sporki.com/add/?m=draft_school01&amp;ps_school=51130" xr:uid="{CB27F877-B48D-4CC6-9B95-BAD5977FA579}"/>
    <hyperlink ref="C296" r:id="rId885" display="https://statiz.sporki.com/add/?m=draft_school02&amp;ps_school=61132" xr:uid="{5BB6996E-B9FB-45CA-9DF2-BA5CEB5B824F}"/>
    <hyperlink ref="A297" r:id="rId886" display="https://statiz.sporki.com/player/?m=playerinfo&amp;p_no=15145" xr:uid="{44C28ABC-8838-4EBB-B411-E75EB28DD349}"/>
    <hyperlink ref="B297" r:id="rId887" display="https://statiz.sporki.com/add/?m=draft_school01&amp;ps_school=" xr:uid="{8A3596B8-A63A-4F8F-A433-75C59A608B15}"/>
    <hyperlink ref="C297" r:id="rId888" display="https://statiz.sporki.com/add/?m=draft_school02&amp;ps_school=" xr:uid="{AD716A12-2F63-4D34-A9A7-59A9A590E917}"/>
    <hyperlink ref="A298" r:id="rId889" display="https://statiz.sporki.com/player/?m=playerinfo&amp;p_no=15125" xr:uid="{BB5F0F28-52B8-4847-B37B-B8D0E3D74CE2}"/>
    <hyperlink ref="B298" r:id="rId890" display="https://statiz.sporki.com/add/?m=draft_school01&amp;ps_school=50301" xr:uid="{59504484-C56E-47BB-BB36-AA646C15A1D8}"/>
    <hyperlink ref="C298" r:id="rId891" display="https://statiz.sporki.com/add/?m=draft_school02&amp;ps_school=60902" xr:uid="{C579259F-80F0-4138-9A0C-6135269C4F0B}"/>
    <hyperlink ref="A299" r:id="rId892" display="https://statiz.sporki.com/player/?m=playerinfo&amp;p_no=15124" xr:uid="{62038D31-8663-4A1D-9A40-7001C902942E}"/>
    <hyperlink ref="B299" r:id="rId893" display="https://statiz.sporki.com/add/?m=draft_school01&amp;ps_school=50501" xr:uid="{4189842A-B970-4108-8D20-4D2B176B40CD}"/>
    <hyperlink ref="C299" r:id="rId894" display="https://statiz.sporki.com/add/?m=draft_school02&amp;ps_school=60108" xr:uid="{0EC3CA75-D352-43BF-ABB6-4DFFB5C378A0}"/>
    <hyperlink ref="A300" r:id="rId895" display="https://statiz.sporki.com/player/?m=playerinfo&amp;p_no=15123" xr:uid="{1E2769FD-D41C-4AD3-9573-505E6D54865E}"/>
    <hyperlink ref="B300" r:id="rId896" display="https://statiz.sporki.com/add/?m=draft_school01&amp;ps_school=50103" xr:uid="{EE27B684-2773-4CEB-B360-022121F7E640}"/>
    <hyperlink ref="C300" r:id="rId897" display="https://statiz.sporki.com/add/?m=draft_school02&amp;ps_school=60603" xr:uid="{4FEED973-2434-44D9-A20E-065F2238B90E}"/>
    <hyperlink ref="A301" r:id="rId898" display="https://statiz.sporki.com/player/?m=playerinfo&amp;p_no=15126" xr:uid="{96B11FCA-5EEF-4D4C-9A22-0FA3E80733FB}"/>
    <hyperlink ref="B301" r:id="rId899" display="https://statiz.sporki.com/add/?m=draft_school01&amp;ps_school=50902" xr:uid="{E71A34ED-A3E7-446F-AB27-AF401E2F40FA}"/>
    <hyperlink ref="C301" r:id="rId900" display="https://statiz.sporki.com/add/?m=draft_school02&amp;ps_school=60104" xr:uid="{06E01AE9-FBB2-42CB-AEF2-8154BD4C0143}"/>
    <hyperlink ref="A302" r:id="rId901" display="https://statiz.sporki.com/player/?m=playerinfo&amp;p_no=15122" xr:uid="{512CF056-1033-451E-975E-4E0161E52DD4}"/>
    <hyperlink ref="B302" r:id="rId902" display="https://statiz.sporki.com/add/?m=draft_school01&amp;ps_school=50116" xr:uid="{42AFBE8E-8F43-4A88-B323-3717B1D9BEE5}"/>
    <hyperlink ref="C302" r:id="rId903" display="https://statiz.sporki.com/add/?m=draft_school02&amp;ps_school=60114" xr:uid="{F9BF57C3-12F6-4762-8C04-322FCD90B164}"/>
    <hyperlink ref="A303" r:id="rId904" display="https://statiz.sporki.com/player/?m=playerinfo&amp;p_no=15121" xr:uid="{3DD7D0D3-5916-4CF6-BA5D-ACE42FF81AD4}"/>
    <hyperlink ref="B303" r:id="rId905" display="https://statiz.sporki.com/add/?m=draft_school01&amp;ps_school=50802" xr:uid="{5A1C1828-FE61-4816-9E05-414B1B9DC776}"/>
    <hyperlink ref="C303" r:id="rId906" display="https://statiz.sporki.com/add/?m=draft_school02&amp;ps_school=60109" xr:uid="{94ED4E85-A93E-409B-8881-844421ED54C9}"/>
    <hyperlink ref="A304" r:id="rId907" display="https://statiz.sporki.com/player/?m=playerinfo&amp;p_no=15127" xr:uid="{71C535E7-F4A8-480D-9AF4-0D9B240E72F3}"/>
    <hyperlink ref="B304" r:id="rId908" display="https://statiz.sporki.com/add/?m=draft_school01&amp;ps_school=50601" xr:uid="{06F17C67-CEA4-417D-9CB5-629120678F24}"/>
    <hyperlink ref="C304" r:id="rId909" display="https://statiz.sporki.com/add/?m=draft_school02&amp;ps_school=60902" xr:uid="{AC68B048-7450-42BA-B025-D2108E174540}"/>
    <hyperlink ref="A305" r:id="rId910" display="https://statiz.sporki.com/player/?m=playerinfo&amp;p_no=15128" xr:uid="{D5186DF5-061A-4956-9F4C-9EA88745A84D}"/>
    <hyperlink ref="B305" r:id="rId911" display="https://statiz.sporki.com/add/?m=draft_school01&amp;ps_school=50804" xr:uid="{5C8F2FC0-7E0B-4071-BC2F-97DD9BEAC414}"/>
    <hyperlink ref="C305" r:id="rId912" display="https://statiz.sporki.com/add/?m=draft_school02&amp;ps_school=60108" xr:uid="{076D878A-6AA8-4569-8A77-EAB4F6D4790F}"/>
    <hyperlink ref="A306" r:id="rId913" display="https://statiz.sporki.com/player/?m=playerinfo&amp;p_no=15129" xr:uid="{88CB653B-FA7B-489F-A7B9-98D5A630A6A6}"/>
    <hyperlink ref="B306" r:id="rId914" display="https://statiz.sporki.com/add/?m=draft_school01&amp;ps_school=50806" xr:uid="{E41FC915-744D-4769-A2F6-751582756A28}"/>
    <hyperlink ref="C306" r:id="rId915" display="https://statiz.sporki.com/add/?m=draft_school02&amp;ps_school=" xr:uid="{C0ED059A-E629-4866-9B2A-605B7CD55CA0}"/>
    <hyperlink ref="A307" r:id="rId916" display="https://statiz.sporki.com/player/?m=playerinfo&amp;p_no=15133" xr:uid="{C2796100-E42B-4E68-B4EA-437C545FEB56}"/>
    <hyperlink ref="B307" r:id="rId917" display="https://statiz.sporki.com/add/?m=draft_school01&amp;ps_school=50111" xr:uid="{22F7653B-95F9-4FC2-A0F7-28B9F8154A0C}"/>
    <hyperlink ref="C307" r:id="rId918" display="https://statiz.sporki.com/add/?m=draft_school02&amp;ps_school=60203" xr:uid="{21E182B1-EEB5-4820-B71B-603108551642}"/>
    <hyperlink ref="A308" r:id="rId919" display="https://statiz.sporki.com/player/?m=playerinfo&amp;p_no=15136" xr:uid="{C6615069-3FD0-49BD-80FE-074198E4B8D5}"/>
    <hyperlink ref="B308" r:id="rId920" display="https://statiz.sporki.com/add/?m=draft_school01&amp;ps_school=50103" xr:uid="{AF0CA21C-8924-4A0F-8197-E4E30A079A25}"/>
    <hyperlink ref="C308" r:id="rId921" display="https://statiz.sporki.com/add/?m=draft_school02&amp;ps_school=60203" xr:uid="{843D84F2-91C3-43F5-855B-705CBC14C6C5}"/>
    <hyperlink ref="A309" r:id="rId922" display="https://statiz.sporki.com/player/?m=playerinfo&amp;p_no=15134" xr:uid="{63896A8A-D1A6-4144-92A4-59E4EE774D98}"/>
    <hyperlink ref="B309" r:id="rId923" display="https://statiz.sporki.com/add/?m=draft_school01&amp;ps_school=50207" xr:uid="{6E113DAB-CFBA-4A49-BDAD-45D4853D66B2}"/>
    <hyperlink ref="C309" r:id="rId924" display="https://statiz.sporki.com/add/?m=draft_school02&amp;ps_school=60109" xr:uid="{C9415669-E490-41C3-A663-AFF28AD3AB35}"/>
    <hyperlink ref="A310" r:id="rId925" display="https://statiz.sporki.com/player/?m=playerinfo&amp;p_no=15135" xr:uid="{AE8F9899-0165-4E3E-8238-48D0F12B06D4}"/>
    <hyperlink ref="B310" r:id="rId926" display="https://statiz.sporki.com/add/?m=draft_school01&amp;ps_school=50209" xr:uid="{73DBE27D-8903-4585-8C57-6403288B97DA}"/>
    <hyperlink ref="C310" r:id="rId927" display="https://statiz.sporki.com/add/?m=draft_school02&amp;ps_school=60204" xr:uid="{1C6C8838-994A-4666-BE57-3F14F40D7DC3}"/>
    <hyperlink ref="A311" r:id="rId928" display="https://statiz.sporki.com/player/?m=playerinfo&amp;p_no=15130" xr:uid="{6B42D38C-C291-45AF-8769-FF1546ADEE3E}"/>
    <hyperlink ref="B311" r:id="rId929" display="https://statiz.sporki.com/add/?m=draft_school01&amp;ps_school=50602" xr:uid="{31677371-9898-465C-B39F-0463897B07FD}"/>
    <hyperlink ref="C311" r:id="rId930" display="https://statiz.sporki.com/add/?m=draft_school02&amp;ps_school=60102" xr:uid="{ED3CF03D-7AD1-431E-BC56-5ABEE9B5F333}"/>
    <hyperlink ref="A312" r:id="rId931" display="https://statiz.sporki.com/player/?m=playerinfo&amp;p_no=15132" xr:uid="{DDE33E63-4045-4361-8A37-65F39E08D8A3}"/>
    <hyperlink ref="B312" r:id="rId932" display="https://statiz.sporki.com/add/?m=draft_school01&amp;ps_school=50114" xr:uid="{3076C2A9-CAC7-4DF0-ACD2-183CD8536347}"/>
    <hyperlink ref="C312" r:id="rId933" display="https://statiz.sporki.com/add/?m=draft_school02&amp;ps_school=60802" xr:uid="{876C6F40-A21C-4ACD-A2A8-BB3C8463D7F7}"/>
    <hyperlink ref="A313" r:id="rId934" display="https://statiz.sporki.com/player/?m=playerinfo&amp;p_no=15131" xr:uid="{C60778A2-6FC5-48F7-9C6B-65A6B6CDD150}"/>
    <hyperlink ref="B313" r:id="rId935" display="https://statiz.sporki.com/add/?m=draft_school01&amp;ps_school=50810" xr:uid="{486AEA2F-F413-4191-ABF9-43524B70A5D1}"/>
    <hyperlink ref="C313" r:id="rId936" display="https://statiz.sporki.com/add/?m=draft_school02&amp;ps_school=60502" xr:uid="{8E374E99-77F8-4804-80E7-6982F66A3DFC}"/>
    <hyperlink ref="A314" r:id="rId937" display="https://statiz.sporki.com/player/?m=playerinfo&amp;p_no=15633" xr:uid="{1509B47F-4201-4F9F-9505-62B9C00CF6D0}"/>
    <hyperlink ref="B314" r:id="rId938" display="https://statiz.sporki.com/add/?m=draft_school01&amp;ps_school=50202" xr:uid="{AB9B7F0F-C2C1-41E5-A6A0-250F5D0B277A}"/>
    <hyperlink ref="C314" r:id="rId939" display="https://statiz.sporki.com/add/?m=draft_school02&amp;ps_school=60205" xr:uid="{2584B3A0-11E3-42F2-BB3D-1998EDCB7173}"/>
    <hyperlink ref="A315" r:id="rId940" display="https://statiz.sporki.com/player/?m=playerinfo&amp;p_no=15137" xr:uid="{7927774A-9B36-4FD8-A364-DDBC318FA1A1}"/>
    <hyperlink ref="B315" r:id="rId941" display="https://statiz.sporki.com/add/?m=draft_school01&amp;ps_school=50102" xr:uid="{616E2B69-0F38-442C-AFE9-BD8692C7437F}"/>
    <hyperlink ref="C315" r:id="rId942" display="https://statiz.sporki.com/add/?m=draft_school02&amp;ps_school=" xr:uid="{ED9C74A7-695E-410C-B1D7-43D7A9F6F0C2}"/>
    <hyperlink ref="A316" r:id="rId943" display="https://statiz.sporki.com/player/?m=playerinfo&amp;p_no=15138" xr:uid="{09320ABA-4734-4994-B92A-F0CB75AF1237}"/>
    <hyperlink ref="B316" r:id="rId944" display="https://statiz.sporki.com/add/?m=draft_school01&amp;ps_school=50220" xr:uid="{9498455C-3E1A-47B5-B4A8-8C6589DFEE50}"/>
    <hyperlink ref="C316" r:id="rId945" display="https://statiz.sporki.com/add/?m=draft_school02&amp;ps_school=60607" xr:uid="{C483E8CD-1C74-4A59-9DCF-EFEA57A6FE03}"/>
    <hyperlink ref="A317" r:id="rId946" display="https://statiz.sporki.com/player/?m=playerinfo&amp;p_no=15139" xr:uid="{DD8FF17B-74FC-400F-94AD-3ECE4BEEF284}"/>
    <hyperlink ref="B317" r:id="rId947" display="https://statiz.sporki.com/add/?m=draft_school01&amp;ps_school=50211" xr:uid="{220BF5A0-E796-4DEC-8F86-5533B68F9889}"/>
    <hyperlink ref="C317" r:id="rId948" display="https://statiz.sporki.com/add/?m=draft_school02&amp;ps_school=60902" xr:uid="{0933436F-94AA-4B18-92E1-39892358C8AD}"/>
    <hyperlink ref="A318" r:id="rId949" display="https://statiz.sporki.com/player/?m=playerinfo&amp;p_no=15141" xr:uid="{37C1E376-35D1-4188-B80E-3E77B8283380}"/>
    <hyperlink ref="B318" r:id="rId950" display="https://statiz.sporki.com/add/?m=draft_school01&amp;ps_school=50209" xr:uid="{0FB6EFC8-5B4B-4359-AC40-F8FE331AC5B6}"/>
    <hyperlink ref="C318" r:id="rId951" display="https://statiz.sporki.com/add/?m=draft_school02&amp;ps_school=60902" xr:uid="{E1AC37D2-3A9C-4282-AEB1-16D8819E7086}"/>
    <hyperlink ref="A319" r:id="rId952" display="https://statiz.sporki.com/player/?m=playerinfo&amp;p_no=15142" xr:uid="{E7BBB534-08B7-4625-94AA-592488D53D15}"/>
    <hyperlink ref="B319" r:id="rId953" display="https://statiz.sporki.com/add/?m=draft_school01&amp;ps_school=50701" xr:uid="{0EA46B77-82F5-4C97-A909-2C24B66EF134}"/>
    <hyperlink ref="C319" r:id="rId954" display="https://statiz.sporki.com/add/?m=draft_school02&amp;ps_school=60103" xr:uid="{BBA6FCCC-682A-4B84-BBFC-B05F0EE76D6F}"/>
    <hyperlink ref="A320" r:id="rId955" display="https://statiz.sporki.com/player/?m=playerinfo&amp;p_no=15140" xr:uid="{FAEC274B-3531-47AB-8142-88A7384B6AA0}"/>
    <hyperlink ref="B320" r:id="rId956" display="https://statiz.sporki.com/add/?m=draft_school01&amp;ps_school=50403" xr:uid="{C05E9619-07D7-4F50-BB49-FA3600288163}"/>
    <hyperlink ref="C320" r:id="rId957" display="https://statiz.sporki.com/add/?m=draft_school02&amp;ps_school=60902" xr:uid="{6BBF1BF4-D7EB-4251-998E-08A469733006}"/>
    <hyperlink ref="A321" r:id="rId958" display="https://statiz.sporki.com/player/?m=playerinfo&amp;p_no=14788" xr:uid="{9B01C5CF-ECBF-4B00-ACE2-50290260CEEE}"/>
    <hyperlink ref="B321" r:id="rId959" display="https://statiz.sporki.com/add/?m=draft_school01&amp;ps_school=50602" xr:uid="{5D07CC7D-261C-4761-8FD8-32AD38BBF72D}"/>
    <hyperlink ref="C321" r:id="rId960" display="https://statiz.sporki.com/add/?m=draft_school02&amp;ps_school=" xr:uid="{EDD8FC34-34CE-4EE2-AFCC-218B5918AEAF}"/>
    <hyperlink ref="A322" r:id="rId961" display="https://statiz.sporki.com/player/?m=playerinfo&amp;p_no=14774" xr:uid="{96A8D017-BDBE-4F83-90B5-18F11B5F1AF9}"/>
    <hyperlink ref="B322" r:id="rId962" display="https://statiz.sporki.com/add/?m=draft_school01&amp;ps_school=50211" xr:uid="{7D6591FE-9DEC-4DDB-BCA5-6DDEC0CF3E6D}"/>
    <hyperlink ref="C322" r:id="rId963" display="https://statiz.sporki.com/add/?m=draft_school02&amp;ps_school=" xr:uid="{EB3D2F1C-6BBF-40FD-8670-581F485C70FC}"/>
    <hyperlink ref="A323" r:id="rId964" display="https://statiz.sporki.com/player/?m=playerinfo&amp;p_no=14780" xr:uid="{23A37656-4776-41C5-8174-1BA969818379}"/>
    <hyperlink ref="B323" r:id="rId965" display="https://statiz.sporki.com/add/?m=draft_school01&amp;ps_school=50114" xr:uid="{C67455C9-4D87-48D4-834C-0B68D20BA240}"/>
    <hyperlink ref="C323" r:id="rId966" display="https://statiz.sporki.com/add/?m=draft_school02&amp;ps_school=" xr:uid="{C1D5EF40-E8A5-4551-8F50-489EAFF2A504}"/>
    <hyperlink ref="A324" r:id="rId967" display="https://statiz.sporki.com/player/?m=playerinfo&amp;p_no=14803" xr:uid="{9CE3BB7D-6134-4D05-AC2F-DD1C26EF03E5}"/>
    <hyperlink ref="B324" r:id="rId968" display="https://statiz.sporki.com/add/?m=draft_school01&amp;ps_school=50210" xr:uid="{F46C91D9-6E03-41D6-BF5C-9D1E2CFACB5D}"/>
    <hyperlink ref="C324" r:id="rId969" display="https://statiz.sporki.com/add/?m=draft_school02&amp;ps_school=" xr:uid="{7A7DA9F4-FC05-4F7E-ADF0-84B5914CF371}"/>
    <hyperlink ref="A325" r:id="rId970" display="https://statiz.sporki.com/player/?m=playerinfo&amp;p_no=14771" xr:uid="{7E21CE33-9271-4F54-AFFA-1634999CF7A5}"/>
    <hyperlink ref="B325" r:id="rId971" display="https://statiz.sporki.com/add/?m=draft_school01&amp;ps_school=50107" xr:uid="{C9D02F88-6010-494D-ACB6-D9277A3A874B}"/>
    <hyperlink ref="C325" r:id="rId972" display="https://statiz.sporki.com/add/?m=draft_school02&amp;ps_school=" xr:uid="{190A9419-5EED-4A42-893E-2C000D983A75}"/>
    <hyperlink ref="A326" r:id="rId973" display="https://statiz.sporki.com/player/?m=playerinfo&amp;p_no=14796" xr:uid="{92C30263-8C3D-4612-8BD2-186B99F78D6E}"/>
    <hyperlink ref="B326" r:id="rId974" display="https://statiz.sporki.com/add/?m=draft_school01&amp;ps_school=50211" xr:uid="{D7912FE9-025F-4FB3-B070-D3BCF2F8B917}"/>
    <hyperlink ref="C326" r:id="rId975" display="https://statiz.sporki.com/add/?m=draft_school02&amp;ps_school=" xr:uid="{8F4A5E1B-648D-40FD-B634-ED1C5AE57D48}"/>
    <hyperlink ref="A327" r:id="rId976" display="https://statiz.sporki.com/player/?m=playerinfo&amp;p_no=14798" xr:uid="{0EC55B18-7818-4FB7-8D6B-D5717C823B3F}"/>
    <hyperlink ref="B327" r:id="rId977" display="https://statiz.sporki.com/add/?m=draft_school01&amp;ps_school=50705" xr:uid="{7EE19DF3-CA8A-40C0-A6BA-70DDBF10AA7C}"/>
    <hyperlink ref="C327" r:id="rId978" display="https://statiz.sporki.com/add/?m=draft_school02&amp;ps_school=" xr:uid="{E70C1AF2-1B73-489B-95BD-14CF057E15F0}"/>
    <hyperlink ref="A328" r:id="rId979" display="https://statiz.sporki.com/player/?m=playerinfo&amp;p_no=14784" xr:uid="{B5D5EEF4-B0D8-4F4E-A099-9F501D5DFA80}"/>
    <hyperlink ref="B328" r:id="rId980" display="https://statiz.sporki.com/add/?m=draft_school01&amp;ps_school=50103" xr:uid="{65849E4E-8D44-4CDB-B0A6-E90A78E34F4B}"/>
    <hyperlink ref="C328" r:id="rId981" display="https://statiz.sporki.com/add/?m=draft_school02&amp;ps_school=" xr:uid="{6BD05962-488E-4025-A1AD-38C420AE2D61}"/>
    <hyperlink ref="A329" r:id="rId982" display="https://statiz.sporki.com/player/?m=playerinfo&amp;p_no=14813" xr:uid="{6A6E2588-48CF-42A3-8985-B5FA056F20CA}"/>
    <hyperlink ref="B329" r:id="rId983" display="https://statiz.sporki.com/add/?m=draft_school01&amp;ps_school=50805" xr:uid="{03F5EDF5-1F55-4BD5-B2BC-3EBE0AB3EF01}"/>
    <hyperlink ref="C329" r:id="rId984" display="https://statiz.sporki.com/add/?m=draft_school02&amp;ps_school=" xr:uid="{233401F1-4F0F-4743-A4C0-D2288877CA86}"/>
    <hyperlink ref="A330" r:id="rId985" display="https://statiz.sporki.com/player/?m=playerinfo&amp;p_no=14786" xr:uid="{7333CEBF-DAE7-427D-B6D5-E9E9C84BBE3B}"/>
    <hyperlink ref="B330" r:id="rId986" display="https://statiz.sporki.com/add/?m=draft_school01&amp;ps_school=50103" xr:uid="{9545C8D8-73E9-4327-BF8B-55890D8CA347}"/>
    <hyperlink ref="C330" r:id="rId987" display="https://statiz.sporki.com/add/?m=draft_school02&amp;ps_school=60103" xr:uid="{27508F6B-9806-450C-9FE6-B3498EB563DD}"/>
    <hyperlink ref="A331" r:id="rId988" display="https://statiz.sporki.com/player/?m=playerinfo&amp;p_no=14777" xr:uid="{8F92D025-574D-483D-B76A-E1654BC6D468}"/>
    <hyperlink ref="B331" r:id="rId989" display="https://statiz.sporki.com/add/?m=draft_school01&amp;ps_school=50301" xr:uid="{EBE95BFC-C3F2-4C2D-A050-5F288C05B4DD}"/>
    <hyperlink ref="C331" r:id="rId990" display="https://statiz.sporki.com/add/?m=draft_school02&amp;ps_school=60501" xr:uid="{7AF5DF6B-91E5-45FB-AA7D-9A3C6ED2C58B}"/>
    <hyperlink ref="A332" r:id="rId991" display="https://statiz.sporki.com/player/?m=playerinfo&amp;p_no=14783" xr:uid="{3293F729-2658-4EF4-B6CB-32CBB6818990}"/>
    <hyperlink ref="B332" r:id="rId992" display="https://statiz.sporki.com/add/?m=draft_school01&amp;ps_school=50301" xr:uid="{53F903ED-929C-408D-A603-410C2268AC6E}"/>
    <hyperlink ref="C332" r:id="rId993" display="https://statiz.sporki.com/add/?m=draft_school02&amp;ps_school=" xr:uid="{F7F1D94A-C2C7-47D1-9582-DBC825D51C09}"/>
    <hyperlink ref="A333" r:id="rId994" display="https://statiz.sporki.com/player/?m=playerinfo&amp;p_no=14765" xr:uid="{1BCBEB72-0B9F-4EA0-9699-6F88FCA29AEF}"/>
    <hyperlink ref="B333" r:id="rId995" display="https://statiz.sporki.com/add/?m=draft_school01&amp;ps_school=50208" xr:uid="{EA0B9669-490F-4F3F-A7DD-E628C90D8C46}"/>
    <hyperlink ref="C333" r:id="rId996" display="https://statiz.sporki.com/add/?m=draft_school02&amp;ps_school=" xr:uid="{47952325-3C58-4721-8FF8-1776A67131E5}"/>
    <hyperlink ref="A334" r:id="rId997" display="https://statiz.sporki.com/player/?m=playerinfo&amp;p_no=14806" xr:uid="{F79F1572-3604-49D7-A4E8-B6BCC020F8A0}"/>
    <hyperlink ref="B334" r:id="rId998" display="https://statiz.sporki.com/add/?m=draft_school01&amp;ps_school=50602" xr:uid="{5EAB2AB6-267C-4125-BF09-4D5EDA7817FD}"/>
    <hyperlink ref="C334" r:id="rId999" display="https://statiz.sporki.com/add/?m=draft_school02&amp;ps_school=" xr:uid="{A31B0236-01EE-4CAB-AB37-74F2EC80F3CE}"/>
    <hyperlink ref="A335" r:id="rId1000" display="https://statiz.sporki.com/player/?m=playerinfo&amp;p_no=14769" xr:uid="{35512CA3-7D3F-4A27-823F-EC446CA12A3D}"/>
    <hyperlink ref="B335" r:id="rId1001" display="https://statiz.sporki.com/add/?m=draft_school01&amp;ps_school=50109" xr:uid="{F9FDBD87-2C0F-4A8E-BA50-B842F53881DB}"/>
    <hyperlink ref="C335" r:id="rId1002" display="https://statiz.sporki.com/add/?m=draft_school02&amp;ps_school=" xr:uid="{C7FA90CC-BFD3-4387-87CA-7D479C5D03D4}"/>
    <hyperlink ref="A336" r:id="rId1003" display="https://statiz.sporki.com/player/?m=playerinfo&amp;p_no=14792" xr:uid="{D616AFF8-1965-47CD-ADC6-11DF203EC05A}"/>
    <hyperlink ref="B336" r:id="rId1004" display="https://statiz.sporki.com/add/?m=draft_school01&amp;ps_school=50901" xr:uid="{AAC8EDA6-21B3-4688-9E41-C443566419CF}"/>
    <hyperlink ref="C336" r:id="rId1005" display="https://statiz.sporki.com/add/?m=draft_school02&amp;ps_school=" xr:uid="{0CE04A8C-4EB5-41BF-B2EA-3F9B19E8E7A3}"/>
    <hyperlink ref="A337" r:id="rId1006" display="https://statiz.sporki.com/player/?m=playerinfo&amp;p_no=14799" xr:uid="{27D9903C-683A-4A15-AF1A-8881D5181293}"/>
    <hyperlink ref="B337" r:id="rId1007" display="https://statiz.sporki.com/add/?m=draft_school01&amp;ps_school=50402" xr:uid="{0D4CA2BF-8D5F-4FD8-97AE-A0491E5BFD89}"/>
    <hyperlink ref="C337" r:id="rId1008" display="https://statiz.sporki.com/add/?m=draft_school02&amp;ps_school=" xr:uid="{966874ED-0E85-4752-8760-66BD6BEC1E56}"/>
    <hyperlink ref="A338" r:id="rId1009" display="https://statiz.sporki.com/player/?m=playerinfo&amp;p_no=14785" xr:uid="{CD4B00DD-C10E-4C3C-B440-D487C7599FF5}"/>
    <hyperlink ref="B338" r:id="rId1010" display="https://statiz.sporki.com/add/?m=draft_school01&amp;ps_school=50110" xr:uid="{FBE781D8-9E5B-4DDE-AECE-9FF8C1DA4813}"/>
    <hyperlink ref="C338" r:id="rId1011" display="https://statiz.sporki.com/add/?m=draft_school02&amp;ps_school=" xr:uid="{6E32B8FE-2638-47AF-A4AB-C1A44CFE115E}"/>
    <hyperlink ref="A339" r:id="rId1012" display="https://statiz.sporki.com/player/?m=playerinfo&amp;p_no=14808" xr:uid="{382C9443-6DDD-4959-8402-B15151BDC8B7}"/>
    <hyperlink ref="B339" r:id="rId1013" display="https://statiz.sporki.com/add/?m=draft_school01&amp;ps_school=50208" xr:uid="{26238977-B898-46DC-9C36-49E86A1379B5}"/>
    <hyperlink ref="C339" r:id="rId1014" display="https://statiz.sporki.com/add/?m=draft_school02&amp;ps_school=" xr:uid="{14993D71-EE3B-4B41-A9F1-0CA9BF2F57E5}"/>
    <hyperlink ref="A340" r:id="rId1015" display="https://statiz.sporki.com/player/?m=playerinfo&amp;p_no=14789" xr:uid="{5BB8DC1E-7ADE-43A9-A2F2-0006A7DA6FDB}"/>
    <hyperlink ref="B340" r:id="rId1016" display="https://statiz.sporki.com/add/?m=draft_school01&amp;ps_school=50807" xr:uid="{FE9DF605-8078-4F12-9649-ADE7E5D8C153}"/>
    <hyperlink ref="C340" r:id="rId1017" display="https://statiz.sporki.com/add/?m=draft_school02&amp;ps_school=" xr:uid="{E39154BF-4DBD-4E6A-A457-E778E90CC377}"/>
    <hyperlink ref="A341" r:id="rId1018" display="https://statiz.sporki.com/player/?m=playerinfo&amp;p_no=14776" xr:uid="{8DF7FD26-38BC-4EFE-9629-A4D37D1655EB}"/>
    <hyperlink ref="B341" r:id="rId1019" display="https://statiz.sporki.com/add/?m=draft_school01&amp;ps_school=50706" xr:uid="{F7C036E5-19A0-49A7-9416-44F01208CD8D}"/>
    <hyperlink ref="C341" r:id="rId1020" display="https://statiz.sporki.com/add/?m=draft_school02&amp;ps_school=60108" xr:uid="{F9387B95-DD1C-41DC-BE21-712EAF9FC96A}"/>
    <hyperlink ref="A342" r:id="rId1021" display="https://statiz.sporki.com/player/?m=playerinfo&amp;p_no=14781" xr:uid="{C49F065A-3C78-47D4-885D-3149A25F1174}"/>
    <hyperlink ref="B342" r:id="rId1022" display="https://statiz.sporki.com/add/?m=draft_school01&amp;ps_school=50501" xr:uid="{0CC22362-F1BA-4971-8C93-40E462250858}"/>
    <hyperlink ref="C342" r:id="rId1023" display="https://statiz.sporki.com/add/?m=draft_school02&amp;ps_school=60111" xr:uid="{0573AF1A-882A-4914-B604-F4C43CFBB615}"/>
    <hyperlink ref="A343" r:id="rId1024" display="https://statiz.sporki.com/player/?m=playerinfo&amp;p_no=14763" xr:uid="{B202D808-A6B1-49E4-AF97-DE8B0D21BB6D}"/>
    <hyperlink ref="B343" r:id="rId1025" display="https://statiz.sporki.com/add/?m=draft_school01&amp;ps_school=50117" xr:uid="{B9C3CF05-BC06-4594-AF3D-8464FDC5F925}"/>
    <hyperlink ref="C343" r:id="rId1026" display="https://statiz.sporki.com/add/?m=draft_school02&amp;ps_school=" xr:uid="{88C3DAEA-3B60-465E-8D7A-F2FF685103A2}"/>
    <hyperlink ref="A344" r:id="rId1027" display="https://statiz.sporki.com/player/?m=playerinfo&amp;p_no=14807" xr:uid="{35C3D657-6C0C-4F25-971C-AE1EDA0E6826}"/>
    <hyperlink ref="B344" r:id="rId1028" display="https://statiz.sporki.com/add/?m=draft_school01&amp;ps_school=50301" xr:uid="{558AF5E8-6771-4DB9-8BB7-166F5156FFC2}"/>
    <hyperlink ref="C344" r:id="rId1029" display="https://statiz.sporki.com/add/?m=draft_school02&amp;ps_school=" xr:uid="{AF2FEF8D-3124-4783-BF56-5F013E733CA8}"/>
    <hyperlink ref="A345" r:id="rId1030" display="https://statiz.sporki.com/player/?m=playerinfo&amp;p_no=14770" xr:uid="{D8DEF1FC-4CFD-46FC-A600-AF67182B4573}"/>
    <hyperlink ref="B345" r:id="rId1031" display="https://statiz.sporki.com/add/?m=draft_school01&amp;ps_school=50205" xr:uid="{F6E9F6D3-649D-49D5-B156-F22CD0490983}"/>
    <hyperlink ref="C345" r:id="rId1032" display="https://statiz.sporki.com/add/?m=draft_school02&amp;ps_school=" xr:uid="{621E114D-0915-4B9B-BEBC-47EA5BBAF636}"/>
    <hyperlink ref="A346" r:id="rId1033" display="https://statiz.sporki.com/player/?m=playerinfo&amp;p_no=14797" xr:uid="{0064D8AF-D855-42FB-94BD-0084438783E6}"/>
    <hyperlink ref="B346" r:id="rId1034" display="https://statiz.sporki.com/add/?m=draft_school01&amp;ps_school=50103" xr:uid="{2780FFAC-3193-4F5D-9D73-89E256388678}"/>
    <hyperlink ref="C346" r:id="rId1035" display="https://statiz.sporki.com/add/?m=draft_school02&amp;ps_school=" xr:uid="{08539B29-1EA5-4B05-B422-BBC657BE7E3F}"/>
    <hyperlink ref="A347" r:id="rId1036" display="https://statiz.sporki.com/player/?m=playerinfo&amp;p_no=14800" xr:uid="{C1E81995-6F20-4067-BE14-68C740C78991}"/>
    <hyperlink ref="B347" r:id="rId1037" display="https://statiz.sporki.com/add/?m=draft_school01&amp;ps_school=50101" xr:uid="{7F66F714-ED68-42A7-9414-35AE008AAA62}"/>
    <hyperlink ref="C347" r:id="rId1038" display="https://statiz.sporki.com/add/?m=draft_school02&amp;ps_school=" xr:uid="{979F3236-8907-4E7C-B7B6-ABF376BECA36}"/>
    <hyperlink ref="A348" r:id="rId1039" display="https://statiz.sporki.com/player/?m=playerinfo&amp;p_no=14848" xr:uid="{931278CF-CB73-4B42-A89A-4246E6FD8562}"/>
    <hyperlink ref="B348" r:id="rId1040" display="https://statiz.sporki.com/add/?m=draft_school01&amp;ps_school=50108" xr:uid="{E56ADDA6-EC07-4309-9B1F-08B15926EFF8}"/>
    <hyperlink ref="C348" r:id="rId1041" display="https://statiz.sporki.com/add/?m=draft_school02&amp;ps_school=" xr:uid="{3E1E4A5C-6AEB-4662-B8CA-7FFB3086F87A}"/>
    <hyperlink ref="A349" r:id="rId1042" display="https://statiz.sporki.com/player/?m=playerinfo&amp;p_no=14812" xr:uid="{7CEC5CAC-84D1-4B4F-BD0D-8EDC5BB7DD91}"/>
    <hyperlink ref="B349" r:id="rId1043" display="https://statiz.sporki.com/add/?m=draft_school01&amp;ps_school=50107" xr:uid="{B06A3102-14EA-4346-A62F-A95BC651AD56}"/>
    <hyperlink ref="C349" r:id="rId1044" display="https://statiz.sporki.com/add/?m=draft_school02&amp;ps_school=" xr:uid="{4E6CD48E-60CB-43A9-9039-4C3BA6CE0BDC}"/>
    <hyperlink ref="A350" r:id="rId1045" display="https://statiz.sporki.com/player/?m=playerinfo&amp;p_no=14787" xr:uid="{B71447CD-8E20-4476-A489-4F7890C6879A}"/>
    <hyperlink ref="B350" r:id="rId1046" display="https://statiz.sporki.com/add/?m=draft_school01&amp;ps_school=50116" xr:uid="{0FA9C44B-9CDC-430A-9262-FABEAB4C5EBF}"/>
    <hyperlink ref="C350" r:id="rId1047" display="https://statiz.sporki.com/add/?m=draft_school02&amp;ps_school=60902" xr:uid="{48700A57-3BD6-4F2F-99C9-4371595E240A}"/>
    <hyperlink ref="A351" r:id="rId1048" display="https://statiz.sporki.com/player/?m=playerinfo&amp;p_no=14778" xr:uid="{D453110C-4F4B-468C-AB03-6E4ECBF94401}"/>
    <hyperlink ref="B351" r:id="rId1049" display="https://statiz.sporki.com/add/?m=draft_school01&amp;ps_school=50501" xr:uid="{7E850498-EEF1-4332-A155-2B296FF23F2C}"/>
    <hyperlink ref="C351" r:id="rId1050" display="https://statiz.sporki.com/add/?m=draft_school02&amp;ps_school=" xr:uid="{57DFEF34-449A-493E-B149-DD5847409247}"/>
    <hyperlink ref="A352" r:id="rId1051" display="https://statiz.sporki.com/player/?m=playerinfo&amp;p_no=14782" xr:uid="{CD7F495E-F016-4CA0-B4F1-8F42B4E22193}"/>
    <hyperlink ref="B352" r:id="rId1052" display="https://statiz.sporki.com/add/?m=draft_school01&amp;ps_school=50107" xr:uid="{87F45411-EE64-4068-9A4E-84FD385CC371}"/>
    <hyperlink ref="C352" r:id="rId1053" display="https://statiz.sporki.com/add/?m=draft_school02&amp;ps_school=" xr:uid="{4B3E20C7-74A9-4AFA-89A1-9117C7E9456F}"/>
    <hyperlink ref="A353" r:id="rId1054" display="https://statiz.sporki.com/player/?m=playerinfo&amp;p_no=14767" xr:uid="{5A82576B-3F26-4D6E-92DE-C06C34885B23}"/>
    <hyperlink ref="B353" r:id="rId1055" display="https://statiz.sporki.com/add/?m=draft_school01&amp;ps_school=50211" xr:uid="{A41A9C68-F12E-45F5-991A-2F33A34135FF}"/>
    <hyperlink ref="C353" r:id="rId1056" display="https://statiz.sporki.com/add/?m=draft_school02&amp;ps_school=" xr:uid="{E9984DC0-69AB-4D2D-9E02-EEFA1B84EA4B}"/>
    <hyperlink ref="A354" r:id="rId1057" display="https://statiz.sporki.com/player/?m=playerinfo&amp;p_no=14805" xr:uid="{EFCD17E9-A211-43E2-A114-2FC2FB571C0D}"/>
    <hyperlink ref="B354" r:id="rId1058" display="https://statiz.sporki.com/add/?m=draft_school01&amp;ps_school=50301" xr:uid="{2CE92792-CE28-4893-ABC1-FB8054590852}"/>
    <hyperlink ref="C354" r:id="rId1059" display="https://statiz.sporki.com/add/?m=draft_school02&amp;ps_school=" xr:uid="{C3ECCF71-CEC7-47F1-9FF3-3F90FD3A732F}"/>
    <hyperlink ref="A355" r:id="rId1060" display="https://statiz.sporki.com/player/?m=playerinfo&amp;p_no=14773" xr:uid="{63350EF4-2C69-4C5C-A95E-C92563804BD7}"/>
    <hyperlink ref="B355" r:id="rId1061" display="https://statiz.sporki.com/add/?m=draft_school01&amp;ps_school=50209" xr:uid="{E51D5625-8C2E-4EF5-BE77-10E62713658A}"/>
    <hyperlink ref="C355" r:id="rId1062" display="https://statiz.sporki.com/add/?m=draft_school02&amp;ps_school=" xr:uid="{5143EF3E-9450-4F85-9EB0-6C33F3150487}"/>
    <hyperlink ref="A356" r:id="rId1063" display="https://statiz.sporki.com/player/?m=playerinfo&amp;p_no=14793" xr:uid="{092B79BE-68D7-4C5D-B248-EA5D93E72A47}"/>
    <hyperlink ref="B356" r:id="rId1064" display="https://statiz.sporki.com/add/?m=draft_school01&amp;ps_school=50802" xr:uid="{338AC821-E73D-41D0-B4B4-CAE3B766D9FD}"/>
    <hyperlink ref="C356" r:id="rId1065" display="https://statiz.sporki.com/add/?m=draft_school02&amp;ps_school=" xr:uid="{AF0C0A25-EC7A-49E2-87B6-ABC8A940CD54}"/>
    <hyperlink ref="A357" r:id="rId1066" display="https://statiz.sporki.com/player/?m=playerinfo&amp;p_no=14801" xr:uid="{EF5D9110-6FD9-4783-B11A-37AB736B8814}"/>
    <hyperlink ref="B357" r:id="rId1067" display="https://statiz.sporki.com/add/?m=draft_school01&amp;ps_school=50206" xr:uid="{71289331-EC6B-466B-A418-61C7607D4514}"/>
    <hyperlink ref="C357" r:id="rId1068" display="https://statiz.sporki.com/add/?m=draft_school02&amp;ps_school=" xr:uid="{868AD18B-7BB0-45F2-B350-50FCB4A95082}"/>
    <hyperlink ref="A358" r:id="rId1069" display="https://statiz.sporki.com/player/?m=playerinfo&amp;p_no=14849" xr:uid="{E900374F-D0EE-4D41-87C1-D81BEB03FEF3}"/>
    <hyperlink ref="B358" r:id="rId1070" display="https://statiz.sporki.com/add/?m=draft_school01&amp;ps_school=50810" xr:uid="{A932E26F-E094-49E6-8616-C7AD50BF68A7}"/>
    <hyperlink ref="C358" r:id="rId1071" display="https://statiz.sporki.com/add/?m=draft_school02&amp;ps_school=60705" xr:uid="{43D0E5F8-67CD-46E9-BEF1-B7B532C59DC1}"/>
    <hyperlink ref="A359" r:id="rId1072" display="https://statiz.sporki.com/player/?m=playerinfo&amp;p_no=14810" xr:uid="{D1B85A57-508B-4D87-8361-94AB1438E5F1}"/>
    <hyperlink ref="B359" r:id="rId1073" display="https://statiz.sporki.com/add/?m=draft_school01&amp;ps_school=50402" xr:uid="{0BAD10ED-B54A-4C58-BADC-3094CCD516FA}"/>
    <hyperlink ref="C359" r:id="rId1074" display="https://statiz.sporki.com/add/?m=draft_school02&amp;ps_school=" xr:uid="{873E5931-C722-4936-AD48-E898910B922C}"/>
    <hyperlink ref="A360" r:id="rId1075" display="https://statiz.sporki.com/player/?m=playerinfo&amp;p_no=14790" xr:uid="{C08140A7-6733-4CB4-B9B6-33FCCF11E65B}"/>
    <hyperlink ref="B360" r:id="rId1076" display="https://statiz.sporki.com/add/?m=draft_school01&amp;ps_school=50110" xr:uid="{50C43CF6-C5F1-4E8D-8234-370EDC7715E3}"/>
    <hyperlink ref="C360" r:id="rId1077" display="https://statiz.sporki.com/add/?m=draft_school02&amp;ps_school=" xr:uid="{CB9FF619-D648-4458-ACF5-64775C208FCC}"/>
    <hyperlink ref="A361" r:id="rId1078" display="https://statiz.sporki.com/player/?m=playerinfo&amp;p_no=14775" xr:uid="{60D68711-73E2-4639-96DF-5EE233DD329B}"/>
    <hyperlink ref="B361" r:id="rId1079" display="https://statiz.sporki.com/add/?m=draft_school01&amp;ps_school=50110" xr:uid="{2D84C843-66C1-4320-B404-034BAEAF5A33}"/>
    <hyperlink ref="C361" r:id="rId1080" display="https://statiz.sporki.com/add/?m=draft_school02&amp;ps_school=" xr:uid="{E489D798-299A-46BD-B7B6-05360E9A26B8}"/>
    <hyperlink ref="A362" r:id="rId1081" display="https://statiz.sporki.com/player/?m=playerinfo&amp;p_no=14847" xr:uid="{008BF2B7-8B69-42FE-883D-E4D4B6E14D97}"/>
    <hyperlink ref="B362" r:id="rId1082" display="https://statiz.sporki.com/add/?m=draft_school01&amp;ps_school=50901" xr:uid="{5AFDEE4D-AEC2-479A-BB88-FB8BA083D655}"/>
    <hyperlink ref="C362" r:id="rId1083" display="https://statiz.sporki.com/add/?m=draft_school02&amp;ps_school=60902" xr:uid="{EE28F67A-FB92-4EFC-A6FD-4DDA0D9B9A20}"/>
    <hyperlink ref="A363" r:id="rId1084" display="https://statiz.sporki.com/player/?m=playerinfo&amp;p_no=14764" xr:uid="{C118968F-D409-4225-920E-688932105C3B}"/>
    <hyperlink ref="B363" r:id="rId1085" display="https://statiz.sporki.com/add/?m=draft_school01&amp;ps_school=50209" xr:uid="{90379A9A-A93E-4874-AC63-676ACDAC3329}"/>
    <hyperlink ref="C363" r:id="rId1086" display="https://statiz.sporki.com/add/?m=draft_school02&amp;ps_school=" xr:uid="{9F7A5D2F-6E63-407A-AB9A-352EBBDEABF5}"/>
    <hyperlink ref="A364" r:id="rId1087" display="https://statiz.sporki.com/player/?m=playerinfo&amp;p_no=14804" xr:uid="{36B82A68-A6E2-44FA-B0BC-7CC44A76ED8C}"/>
    <hyperlink ref="B364" r:id="rId1088" display="https://statiz.sporki.com/add/?m=draft_school01&amp;ps_school=50809" xr:uid="{75894A1C-C0C9-4F0F-9835-3817B4D344BB}"/>
    <hyperlink ref="C364" r:id="rId1089" display="https://statiz.sporki.com/add/?m=draft_school02&amp;ps_school=60804" xr:uid="{F26E7A9B-5A87-4FDE-8B88-65C6E24EFE41}"/>
    <hyperlink ref="A365" r:id="rId1090" display="https://statiz.sporki.com/player/?m=playerinfo&amp;p_no=14768" xr:uid="{C437B6BA-3EAF-44E4-AC09-4974D1D0D393}"/>
    <hyperlink ref="B365" r:id="rId1091" display="https://statiz.sporki.com/add/?m=draft_school01&amp;ps_school=50302" xr:uid="{747DF052-7F2F-446C-853E-C9B13DDB42F4}"/>
    <hyperlink ref="C365" r:id="rId1092" display="https://statiz.sporki.com/add/?m=draft_school02&amp;ps_school=" xr:uid="{694ABD2A-1F57-4FCA-BB3A-3608BBB50A47}"/>
    <hyperlink ref="A366" r:id="rId1093" display="https://statiz.sporki.com/player/?m=playerinfo&amp;p_no=14794" xr:uid="{326A49B4-AB22-4D5D-BCCF-60AB0A592969}"/>
    <hyperlink ref="B366" r:id="rId1094" display="https://statiz.sporki.com/add/?m=draft_school01&amp;ps_school=50215" xr:uid="{EC8BEB84-66D3-47AE-BED1-DA18CC5DEC8A}"/>
    <hyperlink ref="C366" r:id="rId1095" display="https://statiz.sporki.com/add/?m=draft_school02&amp;ps_school=" xr:uid="{08635B3D-B04E-4771-A2E1-02D8E3D82B6F}"/>
    <hyperlink ref="A367" r:id="rId1096" display="https://statiz.sporki.com/player/?m=playerinfo&amp;p_no=14802" xr:uid="{2BD824C1-6C0E-4B5F-AB9C-5405DA4AF48E}"/>
    <hyperlink ref="B367" r:id="rId1097" display="https://statiz.sporki.com/add/?m=draft_school01&amp;ps_school=50105" xr:uid="{F45BBCEE-DC96-45B7-8DDE-3570D5FB23A2}"/>
    <hyperlink ref="C367" r:id="rId1098" display="https://statiz.sporki.com/add/?m=draft_school02&amp;ps_school=" xr:uid="{59EC3753-F0D4-462D-96A0-6F39CBBD321A}"/>
    <hyperlink ref="A368" r:id="rId1099" display="https://statiz.sporki.com/player/?m=playerinfo&amp;p_no=14855" xr:uid="{3DFC1E5A-84B0-4BE6-8F22-5F1291BFB132}"/>
    <hyperlink ref="B368" r:id="rId1100" display="https://statiz.sporki.com/add/?m=draft_school01&amp;ps_school=50207" xr:uid="{AE4A7DC3-5AB5-4083-ABFB-57DBAE561A6B}"/>
    <hyperlink ref="C368" r:id="rId1101" display="https://statiz.sporki.com/add/?m=draft_school02&amp;ps_school=" xr:uid="{33CBA388-AC06-4D6D-AFBE-B5A9C8356C6D}"/>
    <hyperlink ref="A369" r:id="rId1102" display="https://statiz.sporki.com/player/?m=playerinfo&amp;p_no=14811" xr:uid="{BD865DB5-E666-457A-B00E-5EA000D8775F}"/>
    <hyperlink ref="B369" r:id="rId1103" display="https://statiz.sporki.com/add/?m=draft_school01&amp;ps_school=50209" xr:uid="{949C01CF-3C1C-4E0C-8DDB-D56BCD1D1215}"/>
    <hyperlink ref="C369" r:id="rId1104" display="https://statiz.sporki.com/add/?m=draft_school02&amp;ps_school=" xr:uid="{52564F4B-2B08-4D34-96EB-91A81B76612E}"/>
    <hyperlink ref="A370" r:id="rId1105" display="https://statiz.sporki.com/player/?m=playerinfo&amp;p_no=14826" xr:uid="{03791709-EBDC-43C3-9788-129B094707D7}"/>
    <hyperlink ref="B370" r:id="rId1106" display="https://statiz.sporki.com/add/?m=draft_school01&amp;ps_school=50208" xr:uid="{8A13C2AC-C8BA-4722-AE91-02AA8817BEDD}"/>
    <hyperlink ref="C370" r:id="rId1107" display="https://statiz.sporki.com/add/?m=draft_school02&amp;ps_school=" xr:uid="{0F1675C3-B336-4878-91A8-C43791F611A3}"/>
    <hyperlink ref="A371" r:id="rId1108" display="https://statiz.sporki.com/player/?m=playerinfo&amp;p_no=14869" xr:uid="{844C380C-E42E-4E7A-A3BB-1BA4D858B00A}"/>
    <hyperlink ref="B371" r:id="rId1109" display="https://statiz.sporki.com/add/?m=draft_school01&amp;ps_school=50601" xr:uid="{8E281558-1AC7-426E-9903-6119AC8569C2}"/>
    <hyperlink ref="C371" r:id="rId1110" display="https://statiz.sporki.com/add/?m=draft_school02&amp;ps_school=" xr:uid="{F0EFD157-CC4A-4510-8435-AF41EB331DF3}"/>
    <hyperlink ref="A372" r:id="rId1111" display="https://statiz.sporki.com/player/?m=playerinfo&amp;p_no=14844" xr:uid="{5AB4882F-C2B4-401A-AA20-3AF63AD2C440}"/>
    <hyperlink ref="B372" r:id="rId1112" display="https://statiz.sporki.com/add/?m=draft_school01&amp;ps_school=50805" xr:uid="{33398B69-9912-48DD-A29D-712E33832034}"/>
    <hyperlink ref="C372" r:id="rId1113" display="https://statiz.sporki.com/add/?m=draft_school02&amp;ps_school=" xr:uid="{7EB9A410-9BC7-44CC-88F6-B00C53F8FE47}"/>
    <hyperlink ref="A373" r:id="rId1114" display="https://statiz.sporki.com/player/?m=playerinfo&amp;p_no=14766" xr:uid="{C5C36BD3-E2E6-43AD-BC39-BEB91CAD71E6}"/>
    <hyperlink ref="B373" r:id="rId1115" display="https://statiz.sporki.com/add/?m=draft_school01&amp;ps_school=50113" xr:uid="{14FDF288-F9C1-4E33-8A3A-16C6C7EFB95F}"/>
    <hyperlink ref="C373" r:id="rId1116" display="https://statiz.sporki.com/add/?m=draft_school02&amp;ps_school=" xr:uid="{BBC7B741-39B4-402E-A831-A78048CCB5CC}"/>
    <hyperlink ref="A374" r:id="rId1117" display="https://statiz.sporki.com/player/?m=playerinfo&amp;p_no=14862" xr:uid="{1722EB02-E4DF-42F9-8F74-BAC6297381C1}"/>
    <hyperlink ref="B374" r:id="rId1118" display="https://statiz.sporki.com/add/?m=draft_school01&amp;ps_school=50101" xr:uid="{0E01A23C-B6B4-487F-9527-E5556FDD1B8C}"/>
    <hyperlink ref="C374" r:id="rId1119" display="https://statiz.sporki.com/add/?m=draft_school02&amp;ps_school=" xr:uid="{265C438C-451C-485E-96F9-66D7760BA11E}"/>
    <hyperlink ref="A375" r:id="rId1120" display="https://statiz.sporki.com/player/?m=playerinfo&amp;p_no=14772" xr:uid="{B212EF37-A4C0-4E29-91DB-51DB3DD26934}"/>
    <hyperlink ref="B375" r:id="rId1121" display="https://statiz.sporki.com/add/?m=draft_school01&amp;ps_school=50102" xr:uid="{E98772A3-EA0C-420C-A559-B650E83DDFAA}"/>
    <hyperlink ref="C375" r:id="rId1122" display="https://statiz.sporki.com/add/?m=draft_school02&amp;ps_school=" xr:uid="{982AF19C-D0EF-4B50-9503-BD766A151FAA}"/>
    <hyperlink ref="A376" r:id="rId1123" display="https://statiz.sporki.com/player/?m=playerinfo&amp;p_no=14816" xr:uid="{0FA35352-A097-4775-8B04-E62F51C14C22}"/>
    <hyperlink ref="B376" r:id="rId1124" display="https://statiz.sporki.com/add/?m=draft_school01&amp;ps_school=50207" xr:uid="{EFF649E5-370E-428C-9010-BE063FC41371}"/>
    <hyperlink ref="C376" r:id="rId1125" display="https://statiz.sporki.com/add/?m=draft_school02&amp;ps_school=" xr:uid="{9D7B9580-3CA1-4558-850D-FDF961962A32}"/>
    <hyperlink ref="A377" r:id="rId1126" display="https://statiz.sporki.com/player/?m=playerinfo&amp;p_no=14863" xr:uid="{5AE19955-1D2C-4E17-9B1E-B8EB43D3C9A9}"/>
    <hyperlink ref="B377" r:id="rId1127" display="https://statiz.sporki.com/add/?m=draft_school01&amp;ps_school=50902" xr:uid="{118415B9-3B36-4A64-B20C-0DF6146389C7}"/>
    <hyperlink ref="C377" r:id="rId1128" display="https://statiz.sporki.com/add/?m=draft_school02&amp;ps_school=" xr:uid="{A7460223-426A-4F10-8BCA-28E525D89F77}"/>
    <hyperlink ref="A378" r:id="rId1129" display="https://statiz.sporki.com/player/?m=playerinfo&amp;p_no=14851" xr:uid="{9FA31C1D-AD47-4E69-95AF-F7FA6E6D7D35}"/>
    <hyperlink ref="B378" r:id="rId1130" display="https://statiz.sporki.com/add/?m=draft_school01&amp;ps_school=50601" xr:uid="{9EEE25C1-0EFE-4D38-9825-E4FCFDC24E8D}"/>
    <hyperlink ref="C378" r:id="rId1131" display="https://statiz.sporki.com/add/?m=draft_school02&amp;ps_school=" xr:uid="{FE448335-16FA-4114-AA96-77CC8963E93D}"/>
    <hyperlink ref="A379" r:id="rId1132" display="https://statiz.sporki.com/player/?m=playerinfo&amp;p_no=14809" xr:uid="{6A959149-40DB-424A-81BD-4E0773CA544B}"/>
    <hyperlink ref="B379" r:id="rId1133" display="https://statiz.sporki.com/add/?m=draft_school01&amp;ps_school=50101" xr:uid="{1B76A3F3-E449-425C-8FCF-5AFDCBE9A3E9}"/>
    <hyperlink ref="C379" r:id="rId1134" display="https://statiz.sporki.com/add/?m=draft_school02&amp;ps_school=60502" xr:uid="{099F93A3-131F-4F7E-860E-168E26DAA888}"/>
    <hyperlink ref="A380" r:id="rId1135" display="https://statiz.sporki.com/player/?m=playerinfo&amp;p_no=14791" xr:uid="{5BC81DE6-E728-48CA-91D9-12607F2814BA}"/>
    <hyperlink ref="B380" r:id="rId1136" display="https://statiz.sporki.com/add/?m=draft_school01&amp;ps_school=50218" xr:uid="{7B0057A1-05AE-4243-A2C1-05CE03D56F68}"/>
    <hyperlink ref="C380" r:id="rId1137" display="https://statiz.sporki.com/add/?m=draft_school02&amp;ps_school=" xr:uid="{52574372-E47F-4ADD-80C3-8D53D7AEDD87}"/>
    <hyperlink ref="A381" r:id="rId1138" display="https://statiz.sporki.com/player/?m=playerinfo&amp;p_no=14870" xr:uid="{B5B04980-18D7-44BF-B2CA-C69A732775DD}"/>
    <hyperlink ref="B381" r:id="rId1139" display="https://statiz.sporki.com/add/?m=draft_school01&amp;ps_school=50601" xr:uid="{E0D9736D-C5FA-48B1-AED2-F8C1301CC9A6}"/>
    <hyperlink ref="C381" r:id="rId1140" display="https://statiz.sporki.com/add/?m=draft_school02&amp;ps_school=" xr:uid="{3E3588CB-B324-47E1-8339-A56A95D1A9B9}"/>
    <hyperlink ref="A382" r:id="rId1141" display="https://statiz.sporki.com/player/?m=playerinfo&amp;p_no=14843" xr:uid="{05AB510D-C91D-4921-BD40-FE5EE6E40288}"/>
    <hyperlink ref="B382" r:id="rId1142" display="https://statiz.sporki.com/add/?m=draft_school01&amp;ps_school=50215" xr:uid="{A874A769-501D-4918-8520-2C9B6F2677D3}"/>
    <hyperlink ref="C382" r:id="rId1143" display="https://statiz.sporki.com/add/?m=draft_school02&amp;ps_school=" xr:uid="{28811BC0-C4AA-4908-81E6-CAB2FEE3DCD5}"/>
    <hyperlink ref="A383" r:id="rId1144" display="https://statiz.sporki.com/player/?m=playerinfo&amp;p_no=14827" xr:uid="{AA21B69C-2266-41B7-9D25-72EE7552ECBD}"/>
    <hyperlink ref="B383" r:id="rId1145" display="https://statiz.sporki.com/add/?m=draft_school01&amp;ps_school=50108" xr:uid="{EB96CDD5-36D5-455F-9B15-9A16EF91E2C1}"/>
    <hyperlink ref="C383" r:id="rId1146" display="https://statiz.sporki.com/add/?m=draft_school02&amp;ps_school=" xr:uid="{C7CFE68D-6CE0-42A3-A5E5-3DADF804D2A7}"/>
    <hyperlink ref="A384" r:id="rId1147" display="https://statiz.sporki.com/player/?m=playerinfo&amp;p_no=14861" xr:uid="{B71718E5-0DE0-4E62-AEF4-6AC05978863C}"/>
    <hyperlink ref="B384" r:id="rId1148" display="https://statiz.sporki.com/add/?m=draft_school01&amp;ps_school=50703" xr:uid="{0E816617-B1A1-4E09-B985-E6484B2E9B9A}"/>
    <hyperlink ref="C384" r:id="rId1149" display="https://statiz.sporki.com/add/?m=draft_school02&amp;ps_school=" xr:uid="{F00CBB75-7C7A-4413-833F-FBA98D50C63A}"/>
    <hyperlink ref="A385" r:id="rId1150" display="https://statiz.sporki.com/player/?m=playerinfo&amp;p_no=14836" xr:uid="{3709872E-0566-48E0-902F-ED60F19E74CE}"/>
    <hyperlink ref="B385" r:id="rId1151" display="https://statiz.sporki.com/add/?m=draft_school01&amp;ps_school=50805" xr:uid="{D28F7FB7-4222-4B55-BCE3-279DB975B8B2}"/>
    <hyperlink ref="C385" r:id="rId1152" display="https://statiz.sporki.com/add/?m=draft_school02&amp;ps_school=" xr:uid="{E5E58282-7F19-44AC-80A5-E95F1D828961}"/>
    <hyperlink ref="A386" r:id="rId1153" display="https://statiz.sporki.com/player/?m=playerinfo&amp;p_no=14795" xr:uid="{86691645-DC00-4D7A-883F-6605DF923183}"/>
    <hyperlink ref="B386" r:id="rId1154" display="https://statiz.sporki.com/add/?m=draft_school01&amp;ps_school=50107" xr:uid="{AB2D06E2-5D9E-484F-AE1E-49E63F1B749A}"/>
    <hyperlink ref="C386" r:id="rId1155" display="https://statiz.sporki.com/add/?m=draft_school02&amp;ps_school=60902" xr:uid="{B4A6332E-6E36-4FF5-8AFC-F57EE95AE8B2}"/>
    <hyperlink ref="A387" r:id="rId1156" display="https://statiz.sporki.com/player/?m=playerinfo&amp;p_no=14864" xr:uid="{0248A786-0DD5-4FB3-BF18-68EC3CB6DBE1}"/>
    <hyperlink ref="B387" r:id="rId1157" display="https://statiz.sporki.com/add/?m=draft_school01&amp;ps_school=50108" xr:uid="{1794C6E9-D95C-4C9D-A9B8-59A06734EBB8}"/>
    <hyperlink ref="C387" r:id="rId1158" display="https://statiz.sporki.com/add/?m=draft_school02&amp;ps_school=" xr:uid="{63314929-4AEF-4B38-A6E4-7E6E94BF1554}"/>
    <hyperlink ref="A388" r:id="rId1159" display="https://statiz.sporki.com/player/?m=playerinfo&amp;p_no=14856" xr:uid="{C008E9DC-3A62-476C-A40D-5E5C085187AE}"/>
    <hyperlink ref="B388" r:id="rId1160" display="https://statiz.sporki.com/add/?m=draft_school01&amp;ps_school=50801" xr:uid="{1C6E6A81-72D0-4A4C-BD2A-106CFBCD98E2}"/>
    <hyperlink ref="C388" r:id="rId1161" display="https://statiz.sporki.com/add/?m=draft_school02&amp;ps_school=" xr:uid="{248A72E2-F4C9-4A4F-BA82-5B54F7CD9EED}"/>
    <hyperlink ref="A389" r:id="rId1162" display="https://statiz.sporki.com/player/?m=playerinfo&amp;p_no=14877" xr:uid="{54B3FFEB-8428-4C47-AA1C-BD13931AB684}"/>
    <hyperlink ref="B389" r:id="rId1163" display="https://statiz.sporki.com/add/?m=draft_school01&amp;ps_school=50803" xr:uid="{F9F48AB5-D972-4DAC-8F9E-686DE001024D}"/>
    <hyperlink ref="C389" r:id="rId1164" display="https://statiz.sporki.com/add/?m=draft_school02&amp;ps_school=" xr:uid="{7CEA4389-8358-4BD0-BA07-B2086ED15B7A}"/>
    <hyperlink ref="A390" r:id="rId1165" display="https://statiz.sporki.com/player/?m=playerinfo&amp;p_no=14824" xr:uid="{569B8798-AE0F-43FF-BFFB-25A3B5FFEAAC}"/>
    <hyperlink ref="B390" r:id="rId1166" display="https://statiz.sporki.com/add/?m=draft_school01&amp;ps_school=50114" xr:uid="{82575C89-4B46-494E-98AC-B4ED86F671DD}"/>
    <hyperlink ref="C390" r:id="rId1167" display="https://statiz.sporki.com/add/?m=draft_school02&amp;ps_school=" xr:uid="{A56F3451-FD0D-44B1-9A5D-02BC710E153E}"/>
    <hyperlink ref="A391" r:id="rId1168" display="https://statiz.sporki.com/player/?m=playerinfo&amp;p_no=14881" xr:uid="{73353DF7-A024-4594-BAFF-ABC8ABC4DAA5}"/>
    <hyperlink ref="B391" r:id="rId1169" display="https://statiz.sporki.com/add/?m=draft_school01&amp;ps_school=50207" xr:uid="{0866E63F-65A9-4644-85DE-2EF48965B2E3}"/>
    <hyperlink ref="C391" r:id="rId1170" display="https://statiz.sporki.com/add/?m=draft_school02&amp;ps_school=" xr:uid="{19FB6922-CAD5-4D08-A9CD-EFC2663DA359}"/>
    <hyperlink ref="A392" r:id="rId1171" display="https://statiz.sporki.com/player/?m=playerinfo&amp;p_no=14842" xr:uid="{91E9920A-4836-4CD0-8BAC-0590ADD5187F}"/>
    <hyperlink ref="B392" r:id="rId1172" display="https://statiz.sporki.com/add/?m=draft_school01&amp;ps_school=50103" xr:uid="{677187F1-53CE-4837-ADA6-4D55CCD72F06}"/>
    <hyperlink ref="C392" r:id="rId1173" display="https://statiz.sporki.com/add/?m=draft_school02&amp;ps_school=" xr:uid="{9B35E06E-4753-49CA-848B-07481E99A614}"/>
    <hyperlink ref="A393" r:id="rId1174" display="https://statiz.sporki.com/player/?m=playerinfo&amp;p_no=14828" xr:uid="{92A9C7C4-2FC2-4E85-87BD-0B9A40AAFD6E}"/>
    <hyperlink ref="B393" r:id="rId1175" display="https://statiz.sporki.com/add/?m=draft_school01&amp;ps_school=50209" xr:uid="{67B61081-BD69-402A-A046-8BB0C3AA8A3B}"/>
    <hyperlink ref="C393" r:id="rId1176" display="https://statiz.sporki.com/add/?m=draft_school02&amp;ps_school=" xr:uid="{905A409F-0FEC-46A0-9CC8-CDDA25925A31}"/>
    <hyperlink ref="A394" r:id="rId1177" display="https://statiz.sporki.com/player/?m=playerinfo&amp;p_no=14858" xr:uid="{BD4D423F-926B-4A87-BFD0-1CD22DE082F1}"/>
    <hyperlink ref="B394" r:id="rId1178" display="https://statiz.sporki.com/add/?m=draft_school01&amp;ps_school=50602" xr:uid="{2EDBB5FA-89D5-43B7-8A48-DC9A17F2B7C6}"/>
    <hyperlink ref="C394" r:id="rId1179" display="https://statiz.sporki.com/add/?m=draft_school02&amp;ps_school=60603" xr:uid="{6BC09D8A-9961-482B-BDA9-B926BF1D1166}"/>
    <hyperlink ref="A395" r:id="rId1180" display="https://statiz.sporki.com/player/?m=playerinfo&amp;p_no=14832" xr:uid="{50890D8A-8FAD-4DA9-9643-76179909BADD}"/>
    <hyperlink ref="B395" r:id="rId1181" display="https://statiz.sporki.com/add/?m=draft_school01&amp;ps_school=50213" xr:uid="{6009D166-DA7D-4F96-82F2-B2B746253AD2}"/>
    <hyperlink ref="C395" r:id="rId1182" display="https://statiz.sporki.com/add/?m=draft_school02&amp;ps_school=" xr:uid="{D700ABEB-1E72-4334-A424-29D1015ECBAA}"/>
    <hyperlink ref="A396" r:id="rId1183" display="https://statiz.sporki.com/player/?m=playerinfo&amp;p_no=14817" xr:uid="{733F07D8-87F5-4C29-A106-B6258B0869AF}"/>
    <hyperlink ref="B396" r:id="rId1184" display="https://statiz.sporki.com/add/?m=draft_school01&amp;ps_school=50801" xr:uid="{49ECAB3F-39FA-4901-9356-DEF0FE1A160E}"/>
    <hyperlink ref="C396" r:id="rId1185" display="https://statiz.sporki.com/add/?m=draft_school02&amp;ps_school=" xr:uid="{B18A9A06-BE76-4507-B4FA-CDD783F2528F}"/>
    <hyperlink ref="A397" r:id="rId1186" display="https://statiz.sporki.com/player/?m=playerinfo&amp;p_no=14865" xr:uid="{1BC3C487-1B15-42BB-AA1B-B3C976FC6683}"/>
    <hyperlink ref="B397" r:id="rId1187" display="https://statiz.sporki.com/add/?m=draft_school01&amp;ps_school=50219" xr:uid="{E291F8C6-E8A5-43CE-BE78-3FF206794903}"/>
    <hyperlink ref="C397" r:id="rId1188" display="https://statiz.sporki.com/add/?m=draft_school02&amp;ps_school=" xr:uid="{0F66B340-EE15-4221-828D-DA5870223D71}"/>
    <hyperlink ref="A398" r:id="rId1189" display="https://statiz.sporki.com/player/?m=playerinfo&amp;p_no=14853" xr:uid="{E024B7EC-D1FD-42CC-B3DA-01D809ECC378}"/>
    <hyperlink ref="B398" r:id="rId1190" display="https://statiz.sporki.com/add/?m=draft_school01&amp;ps_school=50210" xr:uid="{4F72DDA9-5569-4581-ADFE-F4DF11B3E449}"/>
    <hyperlink ref="C398" r:id="rId1191" display="https://statiz.sporki.com/add/?m=draft_school02&amp;ps_school=" xr:uid="{97E0240F-50AE-496A-9615-74550E6FA6AD}"/>
    <hyperlink ref="A399" r:id="rId1192" display="https://statiz.sporki.com/player/?m=playerinfo&amp;p_no=14875" xr:uid="{7CE63926-DFDE-42A7-9404-0714877B7B51}"/>
    <hyperlink ref="B399" r:id="rId1193" display="https://statiz.sporki.com/add/?m=draft_school01&amp;ps_school=50119" xr:uid="{94A57636-6E56-444D-B3E6-CBDC90B5F71A}"/>
    <hyperlink ref="C399" r:id="rId1194" display="https://statiz.sporki.com/add/?m=draft_school02&amp;ps_school=" xr:uid="{49E35497-D0BA-4B91-B80F-031249FE7E46}"/>
    <hyperlink ref="A400" r:id="rId1195" display="https://statiz.sporki.com/player/?m=playerinfo&amp;p_no=14823" xr:uid="{49709737-6E02-4B8C-8DC5-C1A1488C7144}"/>
    <hyperlink ref="B400" r:id="rId1196" display="https://statiz.sporki.com/add/?m=draft_school01&amp;ps_school=50601" xr:uid="{F63417F6-4371-493B-AB99-AC3F08E20302}"/>
    <hyperlink ref="C400" r:id="rId1197" display="https://statiz.sporki.com/add/?m=draft_school02&amp;ps_school=" xr:uid="{88A31A44-8B1F-4E7E-9483-D56F3AD0E68F}"/>
    <hyperlink ref="A401" r:id="rId1198" display="https://statiz.sporki.com/player/?m=playerinfo&amp;p_no=14779" xr:uid="{A28134E7-379C-4A06-9888-C5155A1D70CE}"/>
    <hyperlink ref="B401" r:id="rId1199" display="https://statiz.sporki.com/add/?m=draft_school01&amp;ps_school=51104" xr:uid="{C54A4116-6B64-498E-86F3-B086D2D74206}"/>
    <hyperlink ref="C401" r:id="rId1200" display="https://statiz.sporki.com/add/?m=draft_school02&amp;ps_school=61105" xr:uid="{A2504CFC-92B7-4C4C-8E98-5FB0B4DE43A5}"/>
    <hyperlink ref="A402" r:id="rId1201" display="https://statiz.sporki.com/player/?m=playerinfo&amp;p_no=14841" xr:uid="{1395AE61-D312-41AA-AEC5-64658CAB8370}"/>
    <hyperlink ref="B402" r:id="rId1202" display="https://statiz.sporki.com/add/?m=draft_school01&amp;ps_school=50118" xr:uid="{77353BD8-B75A-4F62-ADD0-B68A69CA6952}"/>
    <hyperlink ref="C402" r:id="rId1203" display="https://statiz.sporki.com/add/?m=draft_school02&amp;ps_school=" xr:uid="{17DF186A-74A4-406C-BBBB-6CBCD5177BC3}"/>
    <hyperlink ref="A403" r:id="rId1204" display="https://statiz.sporki.com/player/?m=playerinfo&amp;p_no=14829" xr:uid="{2C94E359-20EF-4964-AAF8-A003B51353EC}"/>
    <hyperlink ref="B403" r:id="rId1205" display="https://statiz.sporki.com/add/?m=draft_school01&amp;ps_school=50710" xr:uid="{40D09764-3182-44A5-A284-2A714903F6A3}"/>
    <hyperlink ref="C403" r:id="rId1206" display="https://statiz.sporki.com/add/?m=draft_school02&amp;ps_school=60108" xr:uid="{D57BED27-57C7-4F1A-B424-95E1AAB5129D}"/>
    <hyperlink ref="A404" r:id="rId1207" display="https://statiz.sporki.com/player/?m=playerinfo&amp;p_no=14857" xr:uid="{DD7A6BFA-85E4-478D-AB7C-01E0B708A632}"/>
    <hyperlink ref="B404" r:id="rId1208" display="https://statiz.sporki.com/add/?m=draft_school01&amp;ps_school=50801" xr:uid="{C35A7C42-C3E4-4352-BF76-8626D8027AFA}"/>
    <hyperlink ref="C404" r:id="rId1209" display="https://statiz.sporki.com/add/?m=draft_school02&amp;ps_school=" xr:uid="{249A0545-1BA8-4FAB-8250-BDACC5615F06}"/>
    <hyperlink ref="A405" r:id="rId1210" display="https://statiz.sporki.com/player/?m=playerinfo&amp;p_no=14838" xr:uid="{68E4BC43-F266-48E9-86F4-B184E755B607}"/>
    <hyperlink ref="B405" r:id="rId1211" display="https://statiz.sporki.com/add/?m=draft_school01&amp;ps_school=50805" xr:uid="{4D63CF42-C3A9-4482-A2CC-41ACF02C0B78}"/>
    <hyperlink ref="C405" r:id="rId1212" display="https://statiz.sporki.com/add/?m=draft_school02&amp;ps_school=" xr:uid="{A602BF09-73D1-45DD-B3D8-079ECD2FE891}"/>
    <hyperlink ref="A406" r:id="rId1213" display="https://statiz.sporki.com/player/?m=playerinfo&amp;p_no=14818" xr:uid="{A0D73F0F-CD99-453B-8263-8971C95C0BA4}"/>
    <hyperlink ref="B406" r:id="rId1214" display="https://statiz.sporki.com/add/?m=draft_school01&amp;ps_school=50107" xr:uid="{7758A245-7D6C-414F-9776-7D6B16BD86E4}"/>
    <hyperlink ref="C406" r:id="rId1215" display="https://statiz.sporki.com/add/?m=draft_school02&amp;ps_school=" xr:uid="{A49ED4CD-5A8F-4D7D-8610-877E671E4D47}"/>
    <hyperlink ref="A407" r:id="rId1216" display="https://statiz.sporki.com/player/?m=playerinfo&amp;p_no=14866" xr:uid="{03ABAAC8-FE35-4D2C-93BF-2499912BCC87}"/>
    <hyperlink ref="B407" r:id="rId1217" display="https://statiz.sporki.com/add/?m=draft_school01&amp;ps_school=50220" xr:uid="{0A1740FC-FBFE-43AE-BF1A-39538DBC3AF7}"/>
    <hyperlink ref="C407" r:id="rId1218" display="https://statiz.sporki.com/add/?m=draft_school02&amp;ps_school=60902" xr:uid="{34B4ECE7-5AAC-4B35-AC79-AA7746010A16}"/>
    <hyperlink ref="A408" r:id="rId1219" display="https://statiz.sporki.com/player/?m=playerinfo&amp;p_no=14850" xr:uid="{83E7D218-298A-4742-8D1D-58C490B068CF}"/>
    <hyperlink ref="B408" r:id="rId1220" display="https://statiz.sporki.com/add/?m=draft_school01&amp;ps_school=50301" xr:uid="{52BE4819-3E97-44D3-912F-6D63D344137E}"/>
    <hyperlink ref="C408" r:id="rId1221" display="https://statiz.sporki.com/add/?m=draft_school02&amp;ps_school=60502" xr:uid="{23305625-3D12-4C21-8C42-3F19C3E60034}"/>
    <hyperlink ref="A409" r:id="rId1222" display="https://statiz.sporki.com/player/?m=playerinfo&amp;p_no=14871" xr:uid="{7DE465A8-1EFF-43A7-BD7B-AC8798FB7A24}"/>
    <hyperlink ref="B409" r:id="rId1223" display="https://statiz.sporki.com/add/?m=draft_school01&amp;ps_school=50401" xr:uid="{3689778B-A66F-4AD5-87D3-7949545B4353}"/>
    <hyperlink ref="C409" r:id="rId1224" display="https://statiz.sporki.com/add/?m=draft_school02&amp;ps_school=" xr:uid="{191FE390-E22A-4EC9-9287-BA59712B830C}"/>
    <hyperlink ref="A410" r:id="rId1225" display="https://statiz.sporki.com/player/?m=playerinfo&amp;p_no=14822" xr:uid="{EBC977D8-9ACB-447E-80A7-AF46F247102A}"/>
    <hyperlink ref="B410" r:id="rId1226" display="https://statiz.sporki.com/add/?m=draft_school01&amp;ps_school=50901" xr:uid="{73CF4C25-7258-477A-9303-64C27F0E4D6D}"/>
    <hyperlink ref="C410" r:id="rId1227" display="https://statiz.sporki.com/add/?m=draft_school02&amp;ps_school=" xr:uid="{1EC6716A-2B31-4E27-B7DE-93BAEFF7E1E6}"/>
    <hyperlink ref="A411" r:id="rId1228" display="https://statiz.sporki.com/player/?m=playerinfo&amp;p_no=14882" xr:uid="{43CD0F35-998A-4BC5-8644-990CE9918DEB}"/>
    <hyperlink ref="B411" r:id="rId1229" display="https://statiz.sporki.com/add/?m=draft_school01&amp;ps_school=50102" xr:uid="{875D9F8D-E559-407F-BEE7-6D308C95B939}"/>
    <hyperlink ref="C411" r:id="rId1230" display="https://statiz.sporki.com/add/?m=draft_school02&amp;ps_school=60703" xr:uid="{EDF7F167-0223-4D41-855C-FA0FC3288244}"/>
    <hyperlink ref="A412" r:id="rId1231" display="https://statiz.sporki.com/player/?m=playerinfo&amp;p_no=14846" xr:uid="{A6966008-EA6A-406C-BF84-90F5AB08FEA8}"/>
    <hyperlink ref="B412" r:id="rId1232" display="https://statiz.sporki.com/add/?m=draft_school01&amp;ps_school=50207" xr:uid="{3407DA1E-D503-4BEB-A122-F9935594F484}"/>
    <hyperlink ref="C412" r:id="rId1233" display="https://statiz.sporki.com/add/?m=draft_school02&amp;ps_school=" xr:uid="{2872BD42-4F50-4A13-8F8E-C3F7C79DB04A}"/>
    <hyperlink ref="A413" r:id="rId1234" display="https://statiz.sporki.com/player/?m=playerinfo&amp;p_no=14830" xr:uid="{23A1467C-EE36-4BAB-9386-EA58C841AEC7}"/>
    <hyperlink ref="B413" r:id="rId1235" display="https://statiz.sporki.com/add/?m=draft_school01&amp;ps_school=50107" xr:uid="{5BF14886-8CBA-42DA-8C9E-B19F6D312D37}"/>
    <hyperlink ref="C413" r:id="rId1236" display="https://statiz.sporki.com/add/?m=draft_school02&amp;ps_school=" xr:uid="{33463989-8006-43BD-9F51-9DBB54915E3C}"/>
    <hyperlink ref="A414" r:id="rId1237" display="https://statiz.sporki.com/player/?m=playerinfo&amp;p_no=14859" xr:uid="{4CAA4BE0-710E-4DCC-AFBA-71925808B18F}"/>
    <hyperlink ref="B414" r:id="rId1238" display="https://statiz.sporki.com/add/?m=draft_school01&amp;ps_school=50504" xr:uid="{95CEFC0C-D771-447C-8D1C-A581A763E6FA}"/>
    <hyperlink ref="C414" r:id="rId1239" display="https://statiz.sporki.com/add/?m=draft_school02&amp;ps_school=" xr:uid="{8C41BACC-6C8C-47B3-B118-2FC9481411F8}"/>
    <hyperlink ref="A415" r:id="rId1240" display="https://statiz.sporki.com/player/?m=playerinfo&amp;p_no=14833" xr:uid="{69E469B9-0B45-4236-94A5-472EF16D2644}"/>
    <hyperlink ref="B415" r:id="rId1241" display="https://statiz.sporki.com/add/?m=draft_school01&amp;ps_school=50219" xr:uid="{DB217077-9EAD-4445-81DA-3C39DF4709B2}"/>
    <hyperlink ref="C415" r:id="rId1242" display="https://statiz.sporki.com/add/?m=draft_school02&amp;ps_school=60603" xr:uid="{367881BD-319D-40FE-A5DE-4B236D580CEB}"/>
    <hyperlink ref="A416" r:id="rId1243" display="https://statiz.sporki.com/player/?m=playerinfo&amp;p_no=14815" xr:uid="{EF66472A-22BD-4A6D-A466-DD8650D31603}"/>
    <hyperlink ref="B416" r:id="rId1244" display="https://statiz.sporki.com/add/?m=draft_school01&amp;ps_school=50210" xr:uid="{B883869A-99AB-4DEE-AA30-3FF9093746F2}"/>
    <hyperlink ref="C416" r:id="rId1245" display="https://statiz.sporki.com/add/?m=draft_school02&amp;ps_school=" xr:uid="{36376916-A560-469C-9CF2-FFC78020FE90}"/>
    <hyperlink ref="A417" r:id="rId1246" display="https://statiz.sporki.com/player/?m=playerinfo&amp;p_no=14867" xr:uid="{4D801AF8-EA20-4EB5-AD9F-9A2F62482370}"/>
    <hyperlink ref="B417" r:id="rId1247" display="https://statiz.sporki.com/add/?m=draft_school01&amp;ps_school=50801" xr:uid="{D6A3DCE9-38E0-4F07-817F-340789C145AD}"/>
    <hyperlink ref="C417" r:id="rId1248" display="https://statiz.sporki.com/add/?m=draft_school02&amp;ps_school=" xr:uid="{04659C23-C274-456C-932F-CE925BEF94C7}"/>
    <hyperlink ref="A418" r:id="rId1249" display="https://statiz.sporki.com/player/?m=playerinfo&amp;p_no=14854" xr:uid="{C2B3975F-8B20-430F-8ACC-1786B7BA7E8C}"/>
    <hyperlink ref="B418" r:id="rId1250" display="https://statiz.sporki.com/add/?m=draft_school01&amp;ps_school=50601" xr:uid="{660D1056-459A-4959-A220-FE4B9CEB738B}"/>
    <hyperlink ref="C418" r:id="rId1251" display="https://statiz.sporki.com/add/?m=draft_school02&amp;ps_school=60103" xr:uid="{5CAD6DAA-2EC6-4AAE-B904-1AD7FD6C0452}"/>
    <hyperlink ref="A419" r:id="rId1252" display="https://statiz.sporki.com/player/?m=playerinfo&amp;p_no=14876" xr:uid="{5208A7FB-23CB-4189-AB68-7DE4A9CFCC5B}"/>
    <hyperlink ref="B419" r:id="rId1253" display="https://statiz.sporki.com/add/?m=draft_school01&amp;ps_school=50119" xr:uid="{21A80B22-525E-460C-AFB5-478B3F097BA1}"/>
    <hyperlink ref="C419" r:id="rId1254" display="https://statiz.sporki.com/add/?m=draft_school02&amp;ps_school=" xr:uid="{D70B0A2A-8461-4B33-B54F-C983CACC310C}"/>
    <hyperlink ref="A420" r:id="rId1255" display="https://statiz.sporki.com/player/?m=playerinfo&amp;p_no=14821" xr:uid="{EAE2B068-6B5C-4BF5-96DC-F1F394944846}"/>
    <hyperlink ref="B420" r:id="rId1256" display="https://statiz.sporki.com/add/?m=draft_school01&amp;ps_school=50601" xr:uid="{B37F1D2D-5BC2-41E3-82CF-EBD7FEA9A0C0}"/>
    <hyperlink ref="C420" r:id="rId1257" display="https://statiz.sporki.com/add/?m=draft_school02&amp;ps_school=" xr:uid="{49B6A81D-DEA8-4126-A994-F364346CA90F}"/>
    <hyperlink ref="A421" r:id="rId1258" display="https://statiz.sporki.com/player/?m=playerinfo&amp;p_no=14884" xr:uid="{2845C0C8-3EBF-4532-868C-F4642D78E89B}"/>
    <hyperlink ref="B421" r:id="rId1259" display="https://statiz.sporki.com/add/?m=draft_school01&amp;ps_school=50212" xr:uid="{6F2BD344-5477-4A99-A171-61A49EEC6538}"/>
    <hyperlink ref="C421" r:id="rId1260" display="https://statiz.sporki.com/add/?m=draft_school02&amp;ps_school=" xr:uid="{3B9F8822-25D1-417B-A6E3-65AF4B35579B}"/>
    <hyperlink ref="A422" r:id="rId1261" display="https://statiz.sporki.com/player/?m=playerinfo&amp;p_no=14845" xr:uid="{49422FC0-B1F2-4E60-9E18-668242796378}"/>
    <hyperlink ref="B422" r:id="rId1262" display="https://statiz.sporki.com/add/?m=draft_school01&amp;ps_school=50705" xr:uid="{F78B0884-F848-4C4B-BC01-D79AF8CA58FA}"/>
    <hyperlink ref="C422" r:id="rId1263" display="https://statiz.sporki.com/add/?m=draft_school02&amp;ps_school=60801" xr:uid="{DC480B57-9065-4942-A9BB-B3856DBB450B}"/>
    <hyperlink ref="A423" r:id="rId1264" display="https://statiz.sporki.com/player/?m=playerinfo&amp;p_no=14831" xr:uid="{E0C71DD6-B193-4591-A599-CFE05B506E22}"/>
    <hyperlink ref="B423" r:id="rId1265" display="https://statiz.sporki.com/add/?m=draft_school01&amp;ps_school=50501" xr:uid="{E3F65E36-E695-4995-A44C-214A11400577}"/>
    <hyperlink ref="C423" r:id="rId1266" display="https://statiz.sporki.com/add/?m=draft_school02&amp;ps_school=" xr:uid="{4A44EB12-E8F6-443D-B11C-D9AFC07E0F38}"/>
    <hyperlink ref="A424" r:id="rId1267" display="https://statiz.sporki.com/player/?m=playerinfo&amp;p_no=14860" xr:uid="{CBE38C51-5168-444F-A59A-57CED3DD1BFB}"/>
    <hyperlink ref="B424" r:id="rId1268" display="https://statiz.sporki.com/add/?m=draft_school01&amp;ps_school=50209" xr:uid="{66F3248A-6177-4789-8E35-321EA0887089}"/>
    <hyperlink ref="C424" r:id="rId1269" display="https://statiz.sporki.com/add/?m=draft_school02&amp;ps_school=60114" xr:uid="{B9DAFF3C-F24A-4013-B15A-C9D5976C9236}"/>
    <hyperlink ref="A425" r:id="rId1270" display="https://statiz.sporki.com/player/?m=playerinfo&amp;p_no=14840" xr:uid="{E0F82BAF-B5A3-4CDF-BA79-49FCB92105BD}"/>
    <hyperlink ref="B425" r:id="rId1271" display="https://statiz.sporki.com/add/?m=draft_school01&amp;ps_school=50709" xr:uid="{A88881B6-47BD-4469-BA75-1ACECE6375ED}"/>
    <hyperlink ref="C425" r:id="rId1272" display="https://statiz.sporki.com/add/?m=draft_school02&amp;ps_school=" xr:uid="{790C0FBC-1544-4886-BB6F-B581ECB8F6AA}"/>
    <hyperlink ref="A426" r:id="rId1273" display="https://statiz.sporki.com/player/?m=playerinfo&amp;p_no=14814" xr:uid="{57AD87CD-8D96-4D00-B8C4-BB0087EBD4EC}"/>
    <hyperlink ref="B426" r:id="rId1274" display="https://statiz.sporki.com/add/?m=draft_school01&amp;ps_school=50804" xr:uid="{F7F28E3A-FF02-4085-9E5C-735905F9DB1D}"/>
    <hyperlink ref="C426" r:id="rId1275" display="https://statiz.sporki.com/add/?m=draft_school02&amp;ps_school=" xr:uid="{38C80515-CE6F-4913-805C-E08DEFA6D33A}"/>
    <hyperlink ref="A427" r:id="rId1276" display="https://statiz.sporki.com/player/?m=playerinfo&amp;p_no=14868" xr:uid="{99647ADF-4018-4C05-B1EE-9B8CCE5ECA3E}"/>
    <hyperlink ref="B427" r:id="rId1277" display="https://statiz.sporki.com/add/?m=draft_school01&amp;ps_school=50807" xr:uid="{16D8B919-4C48-40EA-B1F1-CC849D094311}"/>
    <hyperlink ref="C427" r:id="rId1278" display="https://statiz.sporki.com/add/?m=draft_school02&amp;ps_school=" xr:uid="{5060F312-2447-462A-9BE1-C63F78EACEED}"/>
    <hyperlink ref="A428" r:id="rId1279" display="https://statiz.sporki.com/player/?m=playerinfo&amp;p_no=14874" xr:uid="{2FFB2062-7A30-44ED-AEED-77936EA969B4}"/>
    <hyperlink ref="B428" r:id="rId1280" display="https://statiz.sporki.com/add/?m=draft_school01&amp;ps_school=50107" xr:uid="{882AF84B-A981-4C6D-B330-CDC2F6D602B9}"/>
    <hyperlink ref="C428" r:id="rId1281" display="https://statiz.sporki.com/add/?m=draft_school02&amp;ps_school=" xr:uid="{ACD0BFF3-4B08-40FD-8D65-CA1AE54AE13E}"/>
    <hyperlink ref="A429" r:id="rId1282" display="https://statiz.sporki.com/player/?m=playerinfo&amp;p_no=14755" xr:uid="{0698EE91-AF43-4F40-AF32-3C88928C7948}"/>
    <hyperlink ref="B429" r:id="rId1283" display="https://statiz.sporki.com/add/?m=draft_school01&amp;ps_school=" xr:uid="{7FC9162D-30B9-439C-B5CA-E241E3BD639E}"/>
    <hyperlink ref="C429" r:id="rId1284" display="https://statiz.sporki.com/add/?m=draft_school02&amp;ps_school=61115" xr:uid="{29DCDF98-A0FD-432D-9968-D8512EE8A409}"/>
    <hyperlink ref="A430" r:id="rId1285" display="https://statiz.sporki.com/player/?m=playerinfo&amp;p_no=14994" xr:uid="{0BB14D3D-B369-4E62-B582-60887937A050}"/>
    <hyperlink ref="B430" r:id="rId1286" display="https://statiz.sporki.com/add/?m=draft_school01&amp;ps_school=" xr:uid="{67B4711C-F38B-4370-A8CA-E070D77599CD}"/>
    <hyperlink ref="C430" r:id="rId1287" display="https://statiz.sporki.com/add/?m=draft_school02&amp;ps_school=" xr:uid="{B042254C-4622-4657-A429-FB6A3162D55B}"/>
    <hyperlink ref="A431" r:id="rId1288" display="https://statiz.sporki.com/player/?m=playerinfo&amp;p_no=14752" xr:uid="{977CB012-AD17-45DC-A134-6A959ACA0802}"/>
    <hyperlink ref="B431" r:id="rId1289" display="https://statiz.sporki.com/add/?m=draft_school01&amp;ps_school=51110" xr:uid="{0AC587A9-1D20-40BD-B77F-0F5015C08A65}"/>
    <hyperlink ref="C431" r:id="rId1290" display="https://statiz.sporki.com/add/?m=draft_school02&amp;ps_school=" xr:uid="{58723B89-6CD3-4A83-8A55-86B4D0AABCCD}"/>
    <hyperlink ref="A432" r:id="rId1291" display="https://statiz.sporki.com/player/?m=playerinfo&amp;p_no=14988" xr:uid="{DD939DFA-517C-42CC-B82F-835373FCF428}"/>
    <hyperlink ref="B432" r:id="rId1292" display="https://statiz.sporki.com/add/?m=draft_school01&amp;ps_school=" xr:uid="{308C962D-B351-43E2-B694-38A702ECA8B3}"/>
    <hyperlink ref="C432" r:id="rId1293" display="https://statiz.sporki.com/add/?m=draft_school02&amp;ps_school=" xr:uid="{B957EC17-79FC-48FE-AE3C-CAA250BF1B54}"/>
    <hyperlink ref="A433" r:id="rId1294" display="https://statiz.sporki.com/player/?m=playerinfo&amp;p_no=14753" xr:uid="{5607E5E8-4549-4F86-A05C-141904DA1815}"/>
    <hyperlink ref="B433" r:id="rId1295" display="https://statiz.sporki.com/add/?m=draft_school01&amp;ps_school=" xr:uid="{09FC3DCF-2751-41A7-8E97-5AD3EB632834}"/>
    <hyperlink ref="C433" r:id="rId1296" display="https://statiz.sporki.com/add/?m=draft_school02&amp;ps_school=61109" xr:uid="{B58CE2F7-DB5E-4809-A237-39839740FAEB}"/>
    <hyperlink ref="A434" r:id="rId1297" display="https://statiz.sporki.com/player/?m=playerinfo&amp;p_no=14749" xr:uid="{048FA1E8-C630-439F-A41C-8B94BB406830}"/>
    <hyperlink ref="B434" r:id="rId1298" display="https://statiz.sporki.com/add/?m=draft_school01&amp;ps_school=51106" xr:uid="{9A7192D0-AEDE-43F9-9C54-37D0C4B74914}"/>
    <hyperlink ref="C434" r:id="rId1299" display="https://statiz.sporki.com/add/?m=draft_school02&amp;ps_school=61107" xr:uid="{7419E0CF-783D-49F9-A12E-71C3195666AB}"/>
    <hyperlink ref="A435" r:id="rId1300" display="https://statiz.sporki.com/player/?m=playerinfo&amp;p_no=14759" xr:uid="{799E36F1-FA6D-4F70-9C13-467E669F591E}"/>
    <hyperlink ref="B435" r:id="rId1301" display="https://statiz.sporki.com/add/?m=draft_school01&amp;ps_school=51118" xr:uid="{495E6928-7676-47C8-8D56-C931C3347A64}"/>
    <hyperlink ref="C435" r:id="rId1302" display="https://statiz.sporki.com/add/?m=draft_school02&amp;ps_school=" xr:uid="{0A9EDC93-D7BB-4590-B2B5-D9F583EE1466}"/>
    <hyperlink ref="A436" r:id="rId1303" display="https://statiz.sporki.com/player/?m=playerinfo&amp;p_no=14758" xr:uid="{9FE23642-62AB-4B7A-906E-C4F9C2F87A8A}"/>
    <hyperlink ref="B436" r:id="rId1304" display="https://statiz.sporki.com/add/?m=draft_school01&amp;ps_school=51117" xr:uid="{9E9B6808-CD95-4CDA-A63D-EDD522039AC1}"/>
    <hyperlink ref="C436" r:id="rId1305" display="https://statiz.sporki.com/add/?m=draft_school02&amp;ps_school=61119" xr:uid="{8D21756C-FCC0-4B60-8D68-2995DF7330B9}"/>
    <hyperlink ref="A437" r:id="rId1306" display="https://statiz.sporki.com/player/?m=playerinfo&amp;p_no=14896" xr:uid="{452168F0-853F-455A-BF9B-E4B5D93E1D2C}"/>
    <hyperlink ref="B437" r:id="rId1307" display="https://statiz.sporki.com/add/?m=draft_school01&amp;ps_school=" xr:uid="{567067D0-CFA8-4A51-99F9-DC745BDA42E0}"/>
    <hyperlink ref="C437" r:id="rId1308" display="https://statiz.sporki.com/add/?m=draft_school02&amp;ps_school=" xr:uid="{42938B01-69AC-4F41-A135-33AE2399419A}"/>
    <hyperlink ref="A438" r:id="rId1309" display="https://statiz.sporki.com/player/?m=playerinfo&amp;p_no=14750" xr:uid="{E26564AD-F95E-404C-8902-838D6BCF9F74}"/>
    <hyperlink ref="B438" r:id="rId1310" display="https://statiz.sporki.com/add/?m=draft_school01&amp;ps_school=51108" xr:uid="{F79B5489-8466-44DB-8871-BEF865231E64}"/>
    <hyperlink ref="C438" r:id="rId1311" display="https://statiz.sporki.com/add/?m=draft_school02&amp;ps_school=" xr:uid="{4633CFB9-5730-43C8-A865-B994719C8BC6}"/>
    <hyperlink ref="A439" r:id="rId1312" display="https://statiz.sporki.com/player/?m=playerinfo&amp;p_no=14751" xr:uid="{BE2B5F9D-C859-4EB9-90C7-BA899CF0CDC5}"/>
    <hyperlink ref="B439" r:id="rId1313" display="https://statiz.sporki.com/add/?m=draft_school01&amp;ps_school=" xr:uid="{25149A5F-9435-4114-B464-7175A91AAFC5}"/>
    <hyperlink ref="C439" r:id="rId1314" display="https://statiz.sporki.com/add/?m=draft_school02&amp;ps_school=" xr:uid="{F4087FB8-6A55-4DD9-9141-3953AAE2F414}"/>
    <hyperlink ref="A440" r:id="rId1315" display="https://statiz.sporki.com/player/?m=playerinfo&amp;p_no=14756" xr:uid="{D6217BAD-6ED6-4836-8D06-976E126A79B3}"/>
    <hyperlink ref="B440" r:id="rId1316" display="https://statiz.sporki.com/add/?m=draft_school01&amp;ps_school=" xr:uid="{927E4DC5-CDE5-47F4-8779-E834F95E123A}"/>
    <hyperlink ref="C440" r:id="rId1317" display="https://statiz.sporki.com/add/?m=draft_school02&amp;ps_school=" xr:uid="{AE462851-7A8A-4EF7-B941-3E8FC1462461}"/>
    <hyperlink ref="A441" r:id="rId1318" display="https://statiz.sporki.com/player/?m=playerinfo&amp;p_no=14757" xr:uid="{7C59CD98-BB42-4591-967C-1ADCD1BD1FA2}"/>
    <hyperlink ref="B441" r:id="rId1319" display="https://statiz.sporki.com/add/?m=draft_school01&amp;ps_school=51116" xr:uid="{36EBDB9D-BC54-4305-8204-53CB6F044ACB}"/>
    <hyperlink ref="C441" r:id="rId1320" display="https://statiz.sporki.com/add/?m=draft_school02&amp;ps_school=" xr:uid="{EAD7801D-8E3F-47D0-A93E-08640DAA794C}"/>
    <hyperlink ref="A442" r:id="rId1321" display="https://statiz.sporki.com/player/?m=playerinfo&amp;p_no=14898" xr:uid="{E4356C68-9B5D-4021-A14F-E3C974F17ED7}"/>
    <hyperlink ref="B442" r:id="rId1322" display="https://statiz.sporki.com/add/?m=draft_school01&amp;ps_school=" xr:uid="{E388EBE8-1BD7-4AA6-AB53-25826850EE3B}"/>
    <hyperlink ref="C442" r:id="rId1323" display="https://statiz.sporki.com/add/?m=draft_school02&amp;ps_school=" xr:uid="{A49691BA-405A-41B4-B0E7-BE9BB9729364}"/>
    <hyperlink ref="A443" r:id="rId1324" display="https://statiz.sporki.com/player/?m=playerinfo&amp;p_no=14754" xr:uid="{D05D92B0-7B99-456F-AD69-2FB3E722C1F6}"/>
    <hyperlink ref="B443" r:id="rId1325" display="https://statiz.sporki.com/add/?m=draft_school01&amp;ps_school=" xr:uid="{2F7010CD-870F-4D49-AB04-BE12D7B38207}"/>
    <hyperlink ref="C443" r:id="rId1326" display="https://statiz.sporki.com/add/?m=draft_school02&amp;ps_school=61111" xr:uid="{1E822DC7-44CE-4DE3-BB1B-3CDB240968DC}"/>
    <hyperlink ref="A444" r:id="rId1327" display="https://statiz.sporki.com/player/?m=playerinfo&amp;p_no=14990" xr:uid="{7A277160-CD07-4B9D-AE23-E3BDB3F46B97}"/>
    <hyperlink ref="B444" r:id="rId1328" display="https://statiz.sporki.com/add/?m=draft_school01&amp;ps_school=" xr:uid="{3ADC42C0-2D5B-4C77-8EC0-30FCE73FBB3E}"/>
    <hyperlink ref="C444" r:id="rId1329" display="https://statiz.sporki.com/add/?m=draft_school02&amp;ps_school=" xr:uid="{D25EAF92-3D37-415A-8FFD-07A4BD488F18}"/>
    <hyperlink ref="A445" r:id="rId1330" display="https://statiz.sporki.com/player/?m=playerinfo&amp;p_no=14762" xr:uid="{1229FEF3-A12F-4470-B260-05F1774E4735}"/>
    <hyperlink ref="B445" r:id="rId1331" display="https://statiz.sporki.com/add/?m=draft_school01&amp;ps_school=51112" xr:uid="{47DC756F-B3C4-46D5-9080-8CC510469573}"/>
    <hyperlink ref="C445" r:id="rId1332" display="https://statiz.sporki.com/add/?m=draft_school02&amp;ps_school=" xr:uid="{5FB07CC3-FC9B-4DCC-ABEB-0C9DAA6656CC}"/>
    <hyperlink ref="A446" r:id="rId1333" display="https://statiz.sporki.com/player/?m=playerinfo&amp;p_no=14991" xr:uid="{E436A549-AB2D-4BC5-B501-AB3A84171F2A}"/>
    <hyperlink ref="B446" r:id="rId1334" display="https://statiz.sporki.com/add/?m=draft_school01&amp;ps_school=" xr:uid="{412A31B1-5252-4037-9859-36EC0501E25B}"/>
    <hyperlink ref="C446" r:id="rId1335" display="https://statiz.sporki.com/add/?m=draft_school02&amp;ps_school=" xr:uid="{9D3A84DC-B0CE-4958-B9BE-A1BB0422D6A2}"/>
    <hyperlink ref="A447" r:id="rId1336" display="https://statiz.sporki.com/player/?m=playerinfo&amp;p_no=14761" xr:uid="{CF795DD7-B0F3-4866-A2A7-B345A2F36E5C}"/>
    <hyperlink ref="B447" r:id="rId1337" display="https://statiz.sporki.com/add/?m=draft_school01&amp;ps_school=" xr:uid="{9FCEC36B-CA1E-48E3-956B-1A5EB97B0481}"/>
    <hyperlink ref="C447" r:id="rId1338" display="https://statiz.sporki.com/add/?m=draft_school02&amp;ps_school=61121" xr:uid="{073FC40A-6B1F-4A21-BEB6-80642068711B}"/>
    <hyperlink ref="A448" r:id="rId1339" display="https://statiz.sporki.com/player/?m=playerinfo&amp;p_no=14760" xr:uid="{4FE54F7E-F1EB-444D-BD06-57AF7E2A33BE}"/>
    <hyperlink ref="B448" r:id="rId1340" display="https://statiz.sporki.com/add/?m=draft_school01&amp;ps_school=" xr:uid="{611B8D0B-3D4C-4D04-8F9B-12325122DB42}"/>
    <hyperlink ref="C448" r:id="rId1341" display="https://statiz.sporki.com/add/?m=draft_school02&amp;ps_school=61120" xr:uid="{2F427003-6C03-47E1-8220-3D026EC42BE4}"/>
    <hyperlink ref="A449" r:id="rId1342" display="https://statiz.sporki.com/player/?m=playerinfo&amp;p_no=14885" xr:uid="{FD2F0571-0A9C-4091-958F-FB1522134E93}"/>
    <hyperlink ref="B449" r:id="rId1343" display="https://statiz.sporki.com/add/?m=draft_school01&amp;ps_school=50108" xr:uid="{F6DBC688-24B7-40E6-A0C8-A8770E643C8B}"/>
    <hyperlink ref="C449" r:id="rId1344" display="https://statiz.sporki.com/add/?m=draft_school02&amp;ps_school=60102" xr:uid="{C4521BF9-F626-463D-992C-981D766FF7C3}"/>
    <hyperlink ref="A450" r:id="rId1345" display="https://statiz.sporki.com/player/?m=playerinfo&amp;p_no=14883" xr:uid="{EFBE4381-8812-434D-A223-349B066F436F}"/>
    <hyperlink ref="B450" r:id="rId1346" display="https://statiz.sporki.com/add/?m=draft_school01&amp;ps_school=50111" xr:uid="{538890F7-E305-43E6-A6F2-B058169E9283}"/>
    <hyperlink ref="C450" r:id="rId1347" display="https://statiz.sporki.com/add/?m=draft_school02&amp;ps_school=60114" xr:uid="{E082F614-F78D-4189-8CCD-C18725D41B35}"/>
    <hyperlink ref="A451" r:id="rId1348" display="https://statiz.sporki.com/player/?m=playerinfo&amp;p_no=14839" xr:uid="{E8018BD6-6C95-4F2D-9D09-E12F22858565}"/>
    <hyperlink ref="B451" r:id="rId1349" display="https://statiz.sporki.com/add/?m=draft_school01&amp;ps_school=50302" xr:uid="{072B1939-2866-4034-9B07-3C4DCBD01640}"/>
    <hyperlink ref="C451" r:id="rId1350" display="https://statiz.sporki.com/add/?m=draft_school02&amp;ps_school=60501" xr:uid="{DE477425-D425-4BB9-84EA-EDA7796D510F}"/>
    <hyperlink ref="A452" r:id="rId1351" display="https://statiz.sporki.com/player/?m=playerinfo&amp;p_no=14835" xr:uid="{7C4BD14A-382B-4F16-9941-1F7B7FF1F8A7}"/>
    <hyperlink ref="B452" r:id="rId1352" display="https://statiz.sporki.com/add/?m=draft_school01&amp;ps_school=50503" xr:uid="{3ADB0361-ECB0-4165-9D8A-0F41A91C030D}"/>
    <hyperlink ref="C452" r:id="rId1353" display="https://statiz.sporki.com/add/?m=draft_school02&amp;ps_school=" xr:uid="{C4322ABD-DE9A-4658-AF74-8DD9EDF8FA17}"/>
    <hyperlink ref="A453" r:id="rId1354" display="https://statiz.sporki.com/player/?m=playerinfo&amp;p_no=14837" xr:uid="{5B91DA59-FA54-4B26-8C0E-3A73F64376DE}"/>
    <hyperlink ref="B453" r:id="rId1355" display="https://statiz.sporki.com/add/?m=draft_school01&amp;ps_school=50114" xr:uid="{0B88F170-BFF0-4BAD-91FD-9269C07482F1}"/>
    <hyperlink ref="C453" r:id="rId1356" display="https://statiz.sporki.com/add/?m=draft_school02&amp;ps_school=60902" xr:uid="{0624A13E-095C-4467-A6F4-6D2C12174654}"/>
    <hyperlink ref="A454" r:id="rId1357" display="https://statiz.sporki.com/player/?m=playerinfo&amp;p_no=14834" xr:uid="{44901943-837A-4A84-8640-EB91623580F6}"/>
    <hyperlink ref="B454" r:id="rId1358" display="https://statiz.sporki.com/add/?m=draft_school01&amp;ps_school=50302" xr:uid="{EC40744C-5264-439D-80AF-E0A7E78DD498}"/>
    <hyperlink ref="C454" r:id="rId1359" display="https://statiz.sporki.com/add/?m=draft_school02&amp;ps_school=60102" xr:uid="{3B00C660-B677-4D29-B6F0-93C3BC72C67E}"/>
    <hyperlink ref="A455" r:id="rId1360" display="https://statiz.sporki.com/player/?m=playerinfo&amp;p_no=14995" xr:uid="{A029F183-0CCE-4763-9A87-C111B02B1414}"/>
    <hyperlink ref="B455" r:id="rId1361" display="https://statiz.sporki.com/add/?m=draft_school01&amp;ps_school=50809" xr:uid="{30A10827-4652-4C04-8B43-86C80F239860}"/>
    <hyperlink ref="C455" r:id="rId1362" display="https://statiz.sporki.com/add/?m=draft_school02&amp;ps_school=" xr:uid="{89A3D425-5DEE-47B3-8F1F-8538948A9DBA}"/>
    <hyperlink ref="A456" r:id="rId1363" display="https://statiz.sporki.com/player/?m=playerinfo&amp;p_no=14820" xr:uid="{1C992796-E2D5-4D86-82C6-3D0A9152865B}"/>
    <hyperlink ref="B456" r:id="rId1364" display="https://statiz.sporki.com/add/?m=draft_school01&amp;ps_school=50111" xr:uid="{F9C23027-CACA-46DA-8A81-EA0F91F2C549}"/>
    <hyperlink ref="C456" r:id="rId1365" display="https://statiz.sporki.com/add/?m=draft_school02&amp;ps_school=60111" xr:uid="{D6032B24-CA44-4685-B83D-5B15542487F0}"/>
    <hyperlink ref="A457" r:id="rId1366" display="https://statiz.sporki.com/player/?m=playerinfo&amp;p_no=14819" xr:uid="{35FC9670-AB5D-4011-B3D2-584781C5C889}"/>
    <hyperlink ref="B457" r:id="rId1367" display="https://statiz.sporki.com/add/?m=draft_school01&amp;ps_school=50802" xr:uid="{AEED6622-8716-4133-9261-E80819FAA087}"/>
    <hyperlink ref="C457" r:id="rId1368" display="https://statiz.sporki.com/add/?m=draft_school02&amp;ps_school=60804" xr:uid="{EAE32AED-DB7B-42D1-87D3-ADDE65F92B51}"/>
    <hyperlink ref="A458" r:id="rId1369" display="https://statiz.sporki.com/player/?m=playerinfo&amp;p_no=14852" xr:uid="{26C9AB67-612A-407B-9262-A47619B0CC35}"/>
    <hyperlink ref="B458" r:id="rId1370" display="https://statiz.sporki.com/add/?m=draft_school01&amp;ps_school=50810" xr:uid="{227DEDA5-E660-4872-8C7C-4203C15D7AF3}"/>
    <hyperlink ref="C458" r:id="rId1371" display="https://statiz.sporki.com/add/?m=draft_school02&amp;ps_school=60503" xr:uid="{3C2CBC5F-D589-4AFC-97A7-AA4E4B5570A0}"/>
    <hyperlink ref="A459" r:id="rId1372" display="https://statiz.sporki.com/player/?m=playerinfo&amp;p_no=14880" xr:uid="{6488EAB5-C699-417F-AF48-0DC2A278E135}"/>
    <hyperlink ref="B459" r:id="rId1373" display="https://statiz.sporki.com/add/?m=draft_school01&amp;ps_school=50202" xr:uid="{8F002C35-5ED5-42C1-8E12-063A2AA03BEC}"/>
    <hyperlink ref="C459" r:id="rId1374" display="https://statiz.sporki.com/add/?m=draft_school02&amp;ps_school=60108" xr:uid="{B64576F4-2437-409A-8EE2-C5DB742660B3}"/>
    <hyperlink ref="A460" r:id="rId1375" display="https://statiz.sporki.com/player/?m=playerinfo&amp;p_no=14879" xr:uid="{60E385F7-070F-440A-9649-8ACD93426A07}"/>
    <hyperlink ref="B460" r:id="rId1376" display="https://statiz.sporki.com/add/?m=draft_school01&amp;ps_school=50302" xr:uid="{744C4996-A6E6-400A-8610-960F9F38AD92}"/>
    <hyperlink ref="C460" r:id="rId1377" display="https://statiz.sporki.com/add/?m=draft_school02&amp;ps_school=60203" xr:uid="{3F32428D-163A-480C-B18A-42D8167A4D74}"/>
    <hyperlink ref="A461" r:id="rId1378" display="https://statiz.sporki.com/player/?m=playerinfo&amp;p_no=14878" xr:uid="{9F1F2EBB-CD43-4C3F-AD2D-FDE6A719A01B}"/>
    <hyperlink ref="B461" r:id="rId1379" display="https://statiz.sporki.com/add/?m=draft_school01&amp;ps_school=50106" xr:uid="{A9FAD0B4-8FBB-4AB3-A08F-70EE8E05A55A}"/>
    <hyperlink ref="C461" r:id="rId1380" display="https://statiz.sporki.com/add/?m=draft_school02&amp;ps_school=60902" xr:uid="{37539C97-8B50-4689-BE2A-5E0974ADA989}"/>
    <hyperlink ref="A462" r:id="rId1381" display="https://statiz.sporki.com/player/?m=playerinfo&amp;p_no=14608" xr:uid="{F7A1180A-F3D7-4539-88DA-19ED4BD3B1A5}"/>
    <hyperlink ref="B462" r:id="rId1382" display="https://statiz.sporki.com/add/?m=draft_school01&amp;ps_school=50602" xr:uid="{A4A4FDC6-DF0A-438A-8C4D-66BBFE6DFF03}"/>
    <hyperlink ref="C462" r:id="rId1383" display="https://statiz.sporki.com/add/?m=draft_school02&amp;ps_school=" xr:uid="{2CF81DE1-1701-4D70-BDA9-0571DB076C3C}"/>
    <hyperlink ref="A463" r:id="rId1384" display="https://statiz.sporki.com/player/?m=playerinfo&amp;p_no=14600" xr:uid="{CF8604DD-BFF8-475C-8260-4191CBE1E9C8}"/>
    <hyperlink ref="B463" r:id="rId1385" display="https://statiz.sporki.com/add/?m=draft_school01&amp;ps_school=50208" xr:uid="{1F151A02-D659-4ED0-989E-FE8912D1C7E1}"/>
    <hyperlink ref="C463" r:id="rId1386" display="https://statiz.sporki.com/add/?m=draft_school02&amp;ps_school=" xr:uid="{94C361D7-BE10-4D40-92AD-9A4297638F45}"/>
    <hyperlink ref="A464" r:id="rId1387" display="https://statiz.sporki.com/player/?m=playerinfo&amp;p_no=14589" xr:uid="{27BD5628-6479-4705-8FDA-3BC849F4E57B}"/>
    <hyperlink ref="B464" r:id="rId1388" display="https://statiz.sporki.com/add/?m=draft_school01&amp;ps_school=50116" xr:uid="{6B0274D6-4F1D-4B48-9480-B9F1115AC357}"/>
    <hyperlink ref="C464" r:id="rId1389" display="https://statiz.sporki.com/add/?m=draft_school02&amp;ps_school=" xr:uid="{4BBA4E17-C5A1-4F1C-A1A8-776BF8437583}"/>
    <hyperlink ref="A465" r:id="rId1390" display="https://statiz.sporki.com/player/?m=playerinfo&amp;p_no=14593" xr:uid="{AAF68CA8-7368-4DC1-8B39-542297650E08}"/>
    <hyperlink ref="B465" r:id="rId1391" display="https://statiz.sporki.com/add/?m=draft_school01&amp;ps_school=50807" xr:uid="{F7CF3114-8FDD-4557-88BA-C6DF2BB276F9}"/>
    <hyperlink ref="C465" r:id="rId1392" display="https://statiz.sporki.com/add/?m=draft_school02&amp;ps_school=" xr:uid="{4289C9BD-014C-4DD1-9A7F-3F80E231274F}"/>
    <hyperlink ref="A466" r:id="rId1393" display="https://statiz.sporki.com/player/?m=playerinfo&amp;p_no=14581" xr:uid="{17BC1946-35DA-4770-B98C-59BF769A52F8}"/>
    <hyperlink ref="B466" r:id="rId1394" display="https://statiz.sporki.com/add/?m=draft_school01&amp;ps_school=50207" xr:uid="{DE9BC677-602A-4A4A-ADD3-D6B9E4F16239}"/>
    <hyperlink ref="C466" r:id="rId1395" display="https://statiz.sporki.com/add/?m=draft_school02&amp;ps_school=" xr:uid="{A81275DB-1AAC-4D4C-B0E9-36AFF35C0883}"/>
    <hyperlink ref="A467" r:id="rId1396" display="https://statiz.sporki.com/player/?m=playerinfo&amp;p_no=14572" xr:uid="{0A513C0A-59E8-4142-9A11-32C601AF9376}"/>
    <hyperlink ref="B467" r:id="rId1397" display="https://statiz.sporki.com/add/?m=draft_school01&amp;ps_school=50108" xr:uid="{5588625B-1ED1-4E98-A8F2-A286F4A254D0}"/>
    <hyperlink ref="C467" r:id="rId1398" display="https://statiz.sporki.com/add/?m=draft_school02&amp;ps_school=" xr:uid="{CFC391C9-E577-4421-93DB-EFAD223DC489}"/>
    <hyperlink ref="A468" r:id="rId1399" display="https://statiz.sporki.com/player/?m=playerinfo&amp;p_no=14624" xr:uid="{AA23B6BA-3F78-42AF-9812-A9054622770B}"/>
    <hyperlink ref="B468" r:id="rId1400" display="https://statiz.sporki.com/add/?m=draft_school01&amp;ps_school=50802" xr:uid="{5C21ABD8-B1B7-40CB-AED7-743D9147C94E}"/>
    <hyperlink ref="C468" r:id="rId1401" display="https://statiz.sporki.com/add/?m=draft_school02&amp;ps_school=" xr:uid="{C2061F2E-6CD6-430C-A96D-BC9F6EAE3D5E}"/>
    <hyperlink ref="A469" r:id="rId1402" display="https://statiz.sporki.com/player/?m=playerinfo&amp;p_no=14615" xr:uid="{823446FF-6A99-4196-B10A-42C9BDB4ADCB}"/>
    <hyperlink ref="B469" r:id="rId1403" display="https://statiz.sporki.com/add/?m=draft_school01&amp;ps_school=50701" xr:uid="{BA7D3E06-C707-4437-A9E4-65D4ECE76BE0}"/>
    <hyperlink ref="C469" r:id="rId1404" display="https://statiz.sporki.com/add/?m=draft_school02&amp;ps_school=" xr:uid="{C4015C08-BDDE-4BE9-AAE2-FDA8E3435E78}"/>
    <hyperlink ref="A470" r:id="rId1405" display="https://statiz.sporki.com/player/?m=playerinfo&amp;p_no=14580" xr:uid="{4745D41C-136C-4D92-8F96-DA4F32FC8AFE}"/>
    <hyperlink ref="B470" r:id="rId1406" display="https://statiz.sporki.com/add/?m=draft_school01&amp;ps_school=50111" xr:uid="{EF5AC7D0-2428-4848-981D-AB9DE1A19E8A}"/>
    <hyperlink ref="C470" r:id="rId1407" display="https://statiz.sporki.com/add/?m=draft_school02&amp;ps_school=" xr:uid="{163A5593-4DEC-4BA8-8347-B358D2CCACE4}"/>
    <hyperlink ref="A471" r:id="rId1408" display="https://statiz.sporki.com/player/?m=playerinfo&amp;p_no=14620" xr:uid="{37142502-6353-42CF-BA76-96252589071D}"/>
    <hyperlink ref="B471" r:id="rId1409" display="https://statiz.sporki.com/add/?m=draft_school01&amp;ps_school=50403" xr:uid="{388D4071-4B28-47E8-9472-86404A8C7FF0}"/>
    <hyperlink ref="C471" r:id="rId1410" display="https://statiz.sporki.com/add/?m=draft_school02&amp;ps_school=" xr:uid="{7EC2BC3C-F763-4F91-8404-197BBBFCEF52}"/>
    <hyperlink ref="A472" r:id="rId1411" display="https://statiz.sporki.com/player/?m=playerinfo&amp;p_no=14611" xr:uid="{20489DF3-6EE2-44F0-9ECC-EEE5C750ED45}"/>
    <hyperlink ref="B472" r:id="rId1412" display="https://statiz.sporki.com/add/?m=draft_school01&amp;ps_school=50207" xr:uid="{AE36F6D9-84A3-4133-9E9A-30F1DED36937}"/>
    <hyperlink ref="C472" r:id="rId1413" display="https://statiz.sporki.com/add/?m=draft_school02&amp;ps_school=" xr:uid="{BBE37257-5599-4635-A39A-D115C9116FAE}"/>
    <hyperlink ref="A473" r:id="rId1414" display="https://statiz.sporki.com/player/?m=playerinfo&amp;p_no=14603" xr:uid="{4F1B1BEC-BFC1-4153-BE6A-AD7964DA07CF}"/>
    <hyperlink ref="B473" r:id="rId1415" display="https://statiz.sporki.com/add/?m=draft_school01&amp;ps_school=50208" xr:uid="{B3CF9433-BCE3-4FD6-B4C9-FF48CA345095}"/>
    <hyperlink ref="C473" r:id="rId1416" display="https://statiz.sporki.com/add/?m=draft_school02&amp;ps_school=" xr:uid="{507CACF1-3D15-42B7-9E20-CBC13CBB34EE}"/>
    <hyperlink ref="A474" r:id="rId1417" display="https://statiz.sporki.com/player/?m=playerinfo&amp;p_no=14588" xr:uid="{C85012BD-8B17-4E5C-BB7E-FBBCF3122BAA}"/>
    <hyperlink ref="B474" r:id="rId1418" display="https://statiz.sporki.com/add/?m=draft_school01&amp;ps_school=50604" xr:uid="{DBC58696-4884-4E85-8B90-FB0B527A341C}"/>
    <hyperlink ref="C474" r:id="rId1419" display="https://statiz.sporki.com/add/?m=draft_school02&amp;ps_school=" xr:uid="{F4C2E1E4-7BCE-49E8-A7F7-264113BD52DD}"/>
    <hyperlink ref="A475" r:id="rId1420" display="https://statiz.sporki.com/player/?m=playerinfo&amp;p_no=14595" xr:uid="{B050668D-267F-41F8-801A-880D8B8E59D4}"/>
    <hyperlink ref="B475" r:id="rId1421" display="https://statiz.sporki.com/add/?m=draft_school01&amp;ps_school=50103" xr:uid="{231BF6E0-86C1-4A79-B725-9BA4AB6DEFB5}"/>
    <hyperlink ref="C475" r:id="rId1422" display="https://statiz.sporki.com/add/?m=draft_school02&amp;ps_school=" xr:uid="{263AA303-96F7-4350-861A-E4B7AD076A8B}"/>
    <hyperlink ref="A476" r:id="rId1423" display="https://statiz.sporki.com/player/?m=playerinfo&amp;p_no=14699" xr:uid="{6833D3D5-80E3-4D4A-92F9-5FA9010A49D7}"/>
    <hyperlink ref="B476" r:id="rId1424" display="https://statiz.sporki.com/add/?m=draft_school01&amp;ps_school=50802" xr:uid="{4A9FAD8F-1F7C-4FF6-B466-AF04BD279AB8}"/>
    <hyperlink ref="C476" r:id="rId1425" display="https://statiz.sporki.com/add/?m=draft_school02&amp;ps_school=" xr:uid="{F1F64309-87B5-4C82-A615-529270860380}"/>
    <hyperlink ref="A477" r:id="rId1426" display="https://statiz.sporki.com/player/?m=playerinfo&amp;p_no=14570" xr:uid="{E23B8E79-65D5-4634-9E30-77793FFD6C30}"/>
    <hyperlink ref="B477" r:id="rId1427" display="https://statiz.sporki.com/add/?m=draft_school01&amp;ps_school=50101" xr:uid="{B0EE3349-A2FF-45B9-92A0-937BA2ECDF93}"/>
    <hyperlink ref="C477" r:id="rId1428" display="https://statiz.sporki.com/add/?m=draft_school02&amp;ps_school=" xr:uid="{1C487113-B347-4816-9F3C-726F9549F270}"/>
    <hyperlink ref="A478" r:id="rId1429" display="https://statiz.sporki.com/player/?m=playerinfo&amp;p_no=14625" xr:uid="{B0EBDB5B-2375-47A9-889B-B4E8E7209571}"/>
    <hyperlink ref="B478" r:id="rId1430" display="https://statiz.sporki.com/add/?m=draft_school01&amp;ps_school=50402" xr:uid="{39D86BDD-3AB4-44F3-9394-931E998ACBA2}"/>
    <hyperlink ref="C478" r:id="rId1431" display="https://statiz.sporki.com/add/?m=draft_school02&amp;ps_school=" xr:uid="{2676F561-2E2C-4B7A-80BE-CC315BF6DEA1}"/>
    <hyperlink ref="A479" r:id="rId1432" display="https://statiz.sporki.com/player/?m=playerinfo&amp;p_no=14613" xr:uid="{A1965D5D-F93C-4B24-9657-F02CF7FB1FE5}"/>
    <hyperlink ref="B479" r:id="rId1433" display="https://statiz.sporki.com/add/?m=draft_school01&amp;ps_school=50208" xr:uid="{8EE11FD1-5349-496B-91C5-B86F4A250786}"/>
    <hyperlink ref="C479" r:id="rId1434" display="https://statiz.sporki.com/add/?m=draft_school02&amp;ps_school=" xr:uid="{DDB63245-9096-4BCA-B43C-BEE81CAC2BDF}"/>
    <hyperlink ref="A480" r:id="rId1435" display="https://statiz.sporki.com/player/?m=playerinfo&amp;p_no=14576" xr:uid="{7501FB28-DD84-479D-A51C-54AA0F92DC11}"/>
    <hyperlink ref="B480" r:id="rId1436" display="https://statiz.sporki.com/add/?m=draft_school01&amp;ps_school=50108" xr:uid="{9A83951F-4905-4AF5-A39B-46DC92D4788E}"/>
    <hyperlink ref="C480" r:id="rId1437" display="https://statiz.sporki.com/add/?m=draft_school02&amp;ps_school=" xr:uid="{2287A02E-0B78-4512-9F52-1C5CF0A58A35}"/>
    <hyperlink ref="A481" r:id="rId1438" display="https://statiz.sporki.com/player/?m=playerinfo&amp;p_no=14619" xr:uid="{A9A54135-93AD-442A-9E94-451A9B1D3737}"/>
    <hyperlink ref="B481" r:id="rId1439" display="https://statiz.sporki.com/add/?m=draft_school01&amp;ps_school=50810" xr:uid="{90392C22-A2D1-404D-ACE5-6998BE6446B4}"/>
    <hyperlink ref="C481" r:id="rId1440" display="https://statiz.sporki.com/add/?m=draft_school02&amp;ps_school=" xr:uid="{FFF47390-7BAD-4118-B2EF-B71E716F2634}"/>
    <hyperlink ref="A482" r:id="rId1441" display="https://statiz.sporki.com/player/?m=playerinfo&amp;p_no=14612" xr:uid="{5DD9667D-4BCA-4343-8DF5-B1FADE6C5A68}"/>
    <hyperlink ref="B482" r:id="rId1442" display="https://statiz.sporki.com/add/?m=draft_school01&amp;ps_school=50901" xr:uid="{12D08A0B-B5A3-4567-BBBB-5CC3D0702CE1}"/>
    <hyperlink ref="C482" r:id="rId1443" display="https://statiz.sporki.com/add/?m=draft_school02&amp;ps_school=" xr:uid="{E0848D4C-3C50-4849-971E-DF87C92A50AA}"/>
    <hyperlink ref="A483" r:id="rId1444" display="https://statiz.sporki.com/player/?m=playerinfo&amp;p_no=14606" xr:uid="{214BD969-F002-4F7F-AE13-54D9988DCCD9}"/>
    <hyperlink ref="B483" r:id="rId1445" display="https://statiz.sporki.com/add/?m=draft_school01&amp;ps_school=50604" xr:uid="{AB515056-B182-48CE-B992-A8FB3CCD8136}"/>
    <hyperlink ref="C483" r:id="rId1446" display="https://statiz.sporki.com/add/?m=draft_school02&amp;ps_school=60203" xr:uid="{A423D64D-3C0F-41C8-B7AD-9E6EDF8406A5}"/>
    <hyperlink ref="A484" r:id="rId1447" display="https://statiz.sporki.com/player/?m=playerinfo&amp;p_no=14591" xr:uid="{6FEF3038-C881-43EC-95F4-03F7DD6FA739}"/>
    <hyperlink ref="B484" r:id="rId1448" display="https://statiz.sporki.com/add/?m=draft_school01&amp;ps_school=50802" xr:uid="{169B16C5-5033-4F96-B988-1EB406761317}"/>
    <hyperlink ref="C484" r:id="rId1449" display="https://statiz.sporki.com/add/?m=draft_school02&amp;ps_school=" xr:uid="{3C9BEDD5-79E9-48A7-AE4E-B0E8B51D47DD}"/>
    <hyperlink ref="A485" r:id="rId1450" display="https://statiz.sporki.com/player/?m=playerinfo&amp;p_no=14597" xr:uid="{50EA0CF4-618A-4744-8DB2-931BAD9EE49E}"/>
    <hyperlink ref="B485" r:id="rId1451" display="https://statiz.sporki.com/add/?m=draft_school01&amp;ps_school=50602" xr:uid="{B92C4C12-8C7C-461F-8009-0BE203A91835}"/>
    <hyperlink ref="C485" r:id="rId1452" display="https://statiz.sporki.com/add/?m=draft_school02&amp;ps_school=" xr:uid="{8C4FC74D-9D7E-4016-A5EE-BBD6C8437CB0}"/>
    <hyperlink ref="A486" r:id="rId1453" display="https://statiz.sporki.com/player/?m=playerinfo&amp;p_no=14585" xr:uid="{2541AFB5-53D2-4EE3-9EAB-BE797F6EC8C8}"/>
    <hyperlink ref="B486" r:id="rId1454" display="https://statiz.sporki.com/add/?m=draft_school01&amp;ps_school=50101" xr:uid="{DCD8FF29-3850-42A7-B301-9E7999A67CFE}"/>
    <hyperlink ref="C486" r:id="rId1455" display="https://statiz.sporki.com/add/?m=draft_school02&amp;ps_school=" xr:uid="{2B0BAA2F-E742-4554-BC31-7FBAED83000D}"/>
    <hyperlink ref="A487" r:id="rId1456" display="https://statiz.sporki.com/player/?m=playerinfo&amp;p_no=14573" xr:uid="{CA09EBCC-84C2-447A-8525-38AFC4B869E9}"/>
    <hyperlink ref="B487" r:id="rId1457" display="https://statiz.sporki.com/add/?m=draft_school01&amp;ps_school=50401" xr:uid="{9E84958D-9D94-4126-973A-A7BF92AC2E9F}"/>
    <hyperlink ref="C487" r:id="rId1458" display="https://statiz.sporki.com/add/?m=draft_school02&amp;ps_school=" xr:uid="{EEADD211-16DB-4179-9AE7-E41DCBCD851B}"/>
    <hyperlink ref="A488" r:id="rId1459" display="https://statiz.sporki.com/player/?m=playerinfo&amp;p_no=14623" xr:uid="{EF89B39E-E205-432C-9841-64F3C767EFA6}"/>
    <hyperlink ref="B488" r:id="rId1460" display="https://statiz.sporki.com/add/?m=draft_school01&amp;ps_school=50502" xr:uid="{41FB6C8C-EE84-4764-94E6-021C920D81D8}"/>
    <hyperlink ref="C488" r:id="rId1461" display="https://statiz.sporki.com/add/?m=draft_school02&amp;ps_school=" xr:uid="{CA94F81A-A60B-4AB4-8794-E3BE1BDB7AF0}"/>
    <hyperlink ref="A489" r:id="rId1462" display="https://statiz.sporki.com/player/?m=playerinfo&amp;p_no=14618" xr:uid="{939A14CB-0754-4E02-A223-469C368DF2D0}"/>
    <hyperlink ref="B489" r:id="rId1463" display="https://statiz.sporki.com/add/?m=draft_school01&amp;ps_school=50215" xr:uid="{0752215D-F309-4436-AF9B-62357C41A7D2}"/>
    <hyperlink ref="C489" r:id="rId1464" display="https://statiz.sporki.com/add/?m=draft_school02&amp;ps_school=" xr:uid="{D69A93D8-D899-473A-9E76-C9F53CC3FDC0}"/>
    <hyperlink ref="A490" r:id="rId1465" display="https://statiz.sporki.com/player/?m=playerinfo&amp;p_no=14695" xr:uid="{A730524D-8544-49DA-BEDB-C224A928A4CA}"/>
    <hyperlink ref="B490" r:id="rId1466" display="https://statiz.sporki.com/add/?m=draft_school01&amp;ps_school=50703" xr:uid="{372F111E-7AC2-4726-8133-0F5D4373FBFF}"/>
    <hyperlink ref="C490" r:id="rId1467" display="https://statiz.sporki.com/add/?m=draft_school02&amp;ps_school=" xr:uid="{AE5043B1-87DC-4817-9317-EF6EC06596EA}"/>
    <hyperlink ref="A491" r:id="rId1468" display="https://statiz.sporki.com/player/?m=playerinfo&amp;p_no=14621" xr:uid="{2CFDD051-7C16-401F-AE42-80B23CA36E57}"/>
    <hyperlink ref="B491" r:id="rId1469" display="https://statiz.sporki.com/add/?m=draft_school01&amp;ps_school=50805" xr:uid="{5FF98D18-C1AF-4E43-8AF9-A6C16A52E6FF}"/>
    <hyperlink ref="C491" r:id="rId1470" display="https://statiz.sporki.com/add/?m=draft_school02&amp;ps_school=" xr:uid="{AB46EAD6-B4C3-4CE7-A9D1-D4F2D0613BBC}"/>
    <hyperlink ref="A492" r:id="rId1471" display="https://statiz.sporki.com/player/?m=playerinfo&amp;p_no=14655" xr:uid="{D5247FD4-8DBF-46BC-9251-1C661FA84272}"/>
    <hyperlink ref="B492" r:id="rId1472" display="https://statiz.sporki.com/add/?m=draft_school01&amp;ps_school=50116" xr:uid="{5428370F-3A1F-451B-A9CA-D31CF5476867}"/>
    <hyperlink ref="C492" r:id="rId1473" display="https://statiz.sporki.com/add/?m=draft_school02&amp;ps_school=" xr:uid="{E9A8BB6E-69D5-4703-85A3-234D444721D7}"/>
    <hyperlink ref="A493" r:id="rId1474" display="https://statiz.sporki.com/player/?m=playerinfo&amp;p_no=14601" xr:uid="{DBFF762C-2040-4D2E-9BE0-AC27B46C9F96}"/>
    <hyperlink ref="B493" r:id="rId1475" display="https://statiz.sporki.com/add/?m=draft_school01&amp;ps_school=50902" xr:uid="{4E00E031-9423-450A-BEE5-1BC7AE6D1D2C}"/>
    <hyperlink ref="C493" r:id="rId1476" display="https://statiz.sporki.com/add/?m=draft_school02&amp;ps_school=" xr:uid="{0E04E195-24A8-4C70-8349-9D8415FB5C17}"/>
    <hyperlink ref="A494" r:id="rId1477" display="https://statiz.sporki.com/player/?m=playerinfo&amp;p_no=14590" xr:uid="{6B2DE88A-6505-41C8-AEC5-44E949D9B896}"/>
    <hyperlink ref="B494" r:id="rId1478" display="https://statiz.sporki.com/add/?m=draft_school01&amp;ps_school=50216" xr:uid="{32236A56-B648-4C8F-8F66-F47163945FEF}"/>
    <hyperlink ref="C494" r:id="rId1479" display="https://statiz.sporki.com/add/?m=draft_school02&amp;ps_school=60114" xr:uid="{7978EC23-6147-4454-A7A2-73A0BD3E3C3D}"/>
    <hyperlink ref="A495" r:id="rId1480" display="https://statiz.sporki.com/player/?m=playerinfo&amp;p_no=14598" xr:uid="{42B085C9-8D8D-4368-8871-365CB97C19B9}"/>
    <hyperlink ref="B495" r:id="rId1481" display="https://statiz.sporki.com/add/?m=draft_school01&amp;ps_school=50207" xr:uid="{F5B8B6E9-8BE1-4970-8B50-23CE082A054A}"/>
    <hyperlink ref="C495" r:id="rId1482" display="https://statiz.sporki.com/add/?m=draft_school02&amp;ps_school=" xr:uid="{0F05800A-0F32-4014-B3F1-0C72C1B4B290}"/>
    <hyperlink ref="A496" r:id="rId1483" display="https://statiz.sporki.com/player/?m=playerinfo&amp;p_no=14587" xr:uid="{75E0DEBB-C2F6-4030-AF91-B5F0D87318FE}"/>
    <hyperlink ref="B496" r:id="rId1484" display="https://statiz.sporki.com/add/?m=draft_school01&amp;ps_school=50602" xr:uid="{0FA1E50D-A634-4FF4-96F9-99B81916A384}"/>
    <hyperlink ref="C496" r:id="rId1485" display="https://statiz.sporki.com/add/?m=draft_school02&amp;ps_school=60104" xr:uid="{B655FFCD-CB1C-48BC-BDFF-EB6BF37F3010}"/>
    <hyperlink ref="A497" r:id="rId1486" display="https://statiz.sporki.com/player/?m=playerinfo&amp;p_no=14574" xr:uid="{1AAC87A1-EA35-4FEB-92D2-E207E705AE97}"/>
    <hyperlink ref="B497" r:id="rId1487" display="https://statiz.sporki.com/add/?m=draft_school01&amp;ps_school=50801" xr:uid="{54872B3C-81A5-4638-AE27-BE04DDB6C26C}"/>
    <hyperlink ref="C497" r:id="rId1488" display="https://statiz.sporki.com/add/?m=draft_school02&amp;ps_school=" xr:uid="{098A5599-1E12-488C-9993-7C6D57141A11}"/>
    <hyperlink ref="A498" r:id="rId1489" display="https://statiz.sporki.com/player/?m=playerinfo&amp;p_no=14622" xr:uid="{08BD3F7A-91AE-4C57-AB83-519DC5191AF8}"/>
    <hyperlink ref="B498" r:id="rId1490" display="https://statiz.sporki.com/add/?m=draft_school01&amp;ps_school=50207" xr:uid="{63874F12-27B6-49E1-B3E4-4FB479A7C31E}"/>
    <hyperlink ref="C498" r:id="rId1491" display="https://statiz.sporki.com/add/?m=draft_school02&amp;ps_school=" xr:uid="{3D2BB157-3B8E-460D-A940-AFC850949429}"/>
    <hyperlink ref="A499" r:id="rId1492" display="https://statiz.sporki.com/player/?m=playerinfo&amp;p_no=14614" xr:uid="{F3D1E29F-AEB6-46B4-9589-7DF583AE24C9}"/>
    <hyperlink ref="B499" r:id="rId1493" display="https://statiz.sporki.com/add/?m=draft_school01&amp;ps_school=50203" xr:uid="{BA1F7D8B-F591-4977-9D7C-E5C7AE7CF156}"/>
    <hyperlink ref="C499" r:id="rId1494" display="https://statiz.sporki.com/add/?m=draft_school02&amp;ps_school=" xr:uid="{EB4CC2A2-10FC-4890-8D5E-683E61281F57}"/>
    <hyperlink ref="A500" r:id="rId1495" display="https://statiz.sporki.com/player/?m=playerinfo&amp;p_no=14674" xr:uid="{23797DD4-BFDB-49C0-A03C-44D3537EAA73}"/>
    <hyperlink ref="B500" r:id="rId1496" display="https://statiz.sporki.com/add/?m=draft_school01&amp;ps_school=50103" xr:uid="{116AA450-0D93-4FE2-B343-F7741CE89924}"/>
    <hyperlink ref="C500" r:id="rId1497" display="https://statiz.sporki.com/add/?m=draft_school02&amp;ps_school=" xr:uid="{1FA50B5B-8F5D-45DF-AD0C-32D3760ADAF5}"/>
    <hyperlink ref="A501" r:id="rId1498" display="https://statiz.sporki.com/player/?m=playerinfo&amp;p_no=14706" xr:uid="{81C4A8BE-F7CE-4E67-A952-E6D47AD4104B}"/>
    <hyperlink ref="B501" r:id="rId1499" display="https://statiz.sporki.com/add/?m=draft_school01&amp;ps_school=50403" xr:uid="{96DA80EF-3565-4D61-8C27-EB7F3CFC2B5D}"/>
    <hyperlink ref="C501" r:id="rId1500" display="https://statiz.sporki.com/add/?m=draft_school02&amp;ps_school=" xr:uid="{4690A7A8-1FBC-454A-8164-8E0114B4DAB7}"/>
    <hyperlink ref="A502" r:id="rId1501" display="https://statiz.sporki.com/player/?m=playerinfo&amp;p_no=14607" xr:uid="{9A913204-7B4A-4E1B-A33F-08D651C8B201}"/>
    <hyperlink ref="B502" r:id="rId1502" display="https://statiz.sporki.com/add/?m=draft_school01&amp;ps_school=50403" xr:uid="{09DD68DE-8F27-496F-AFA2-248BFDEFD802}"/>
    <hyperlink ref="C502" r:id="rId1503" display="https://statiz.sporki.com/add/?m=draft_school02&amp;ps_school=" xr:uid="{4459C49E-931B-4EE1-9114-09486F5BA95A}"/>
    <hyperlink ref="A503" r:id="rId1504" display="https://statiz.sporki.com/player/?m=playerinfo&amp;p_no=14605" xr:uid="{9E4861D0-B136-416C-8AA8-9127E66E7308}"/>
    <hyperlink ref="B503" r:id="rId1505" display="https://statiz.sporki.com/add/?m=draft_school01&amp;ps_school=50114" xr:uid="{F05909B2-6331-40C0-A91A-5F1C54044660}"/>
    <hyperlink ref="C503" r:id="rId1506" display="https://statiz.sporki.com/add/?m=draft_school02&amp;ps_school=" xr:uid="{63C81B46-0D67-4704-9EE5-9945562313FD}"/>
    <hyperlink ref="A504" r:id="rId1507" display="https://statiz.sporki.com/player/?m=playerinfo&amp;p_no=14660" xr:uid="{933F1A86-91DC-478E-9A06-1BC8D20BA80E}"/>
    <hyperlink ref="B504" r:id="rId1508" display="https://statiz.sporki.com/add/?m=draft_school01&amp;ps_school=50107" xr:uid="{7D88F885-2DA9-4D6D-82F2-C13942DFF0B3}"/>
    <hyperlink ref="C504" r:id="rId1509" display="https://statiz.sporki.com/add/?m=draft_school02&amp;ps_school=" xr:uid="{7AD396F5-0419-4709-B493-4A44076231BD}"/>
    <hyperlink ref="A505" r:id="rId1510" display="https://statiz.sporki.com/player/?m=playerinfo&amp;p_no=14594" xr:uid="{20E064F9-F24D-478D-B59C-A2788DEDE8D7}"/>
    <hyperlink ref="B505" r:id="rId1511" display="https://statiz.sporki.com/add/?m=draft_school01&amp;ps_school=50209" xr:uid="{AA0583DA-B321-4671-9B57-14A5C4AE9FE5}"/>
    <hyperlink ref="C505" r:id="rId1512" display="https://statiz.sporki.com/add/?m=draft_school02&amp;ps_school=" xr:uid="{D410FB4C-5B58-4061-BA11-431E3170D8C6}"/>
    <hyperlink ref="A506" r:id="rId1513" display="https://statiz.sporki.com/player/?m=playerinfo&amp;p_no=14584" xr:uid="{2A1605B5-DDBA-455D-B7D9-3E5A3AE66BF9}"/>
    <hyperlink ref="B506" r:id="rId1514" display="https://statiz.sporki.com/add/?m=draft_school01&amp;ps_school=50703" xr:uid="{818E80CD-7C1B-499A-8124-2C32653DCF4C}"/>
    <hyperlink ref="C506" r:id="rId1515" display="https://statiz.sporki.com/add/?m=draft_school02&amp;ps_school=" xr:uid="{AC507A69-A7D4-43D3-B293-E0371363717B}"/>
    <hyperlink ref="A507" r:id="rId1516" display="https://statiz.sporki.com/player/?m=playerinfo&amp;p_no=14732" xr:uid="{0D476BF5-E28A-498A-A71E-F2659ACE3D9C}"/>
    <hyperlink ref="B507" r:id="rId1517" display="https://statiz.sporki.com/add/?m=draft_school01&amp;ps_school=50807" xr:uid="{BD74C043-A028-4C20-AB36-FD2B11096D14}"/>
    <hyperlink ref="C507" r:id="rId1518" display="https://statiz.sporki.com/add/?m=draft_school02&amp;ps_school=" xr:uid="{818AE265-F90E-43C1-86F0-5D5D87BEE6AF}"/>
    <hyperlink ref="A508" r:id="rId1519" display="https://statiz.sporki.com/player/?m=playerinfo&amp;p_no=14628" xr:uid="{5688BB80-AD99-4271-B07B-75308341F1E9}"/>
    <hyperlink ref="B508" r:id="rId1520" display="https://statiz.sporki.com/add/?m=draft_school01&amp;ps_school=50602" xr:uid="{65F0C4A8-5CAF-479E-9C47-DC5A92B63FB4}"/>
    <hyperlink ref="C508" r:id="rId1521" display="https://statiz.sporki.com/add/?m=draft_school02&amp;ps_school=" xr:uid="{2F19DA0B-5F4A-4177-8A4A-DBD903ECB154}"/>
    <hyperlink ref="A509" r:id="rId1522" display="https://statiz.sporki.com/player/?m=playerinfo&amp;p_no=14616" xr:uid="{63C782C8-E821-4BE3-8EDB-602CFE467C2D}"/>
    <hyperlink ref="B509" r:id="rId1523" display="https://statiz.sporki.com/add/?m=draft_school01&amp;ps_school=50703" xr:uid="{441E71CA-4D58-49DE-9857-91E403532542}"/>
    <hyperlink ref="C509" r:id="rId1524" display="https://statiz.sporki.com/add/?m=draft_school02&amp;ps_school=" xr:uid="{AC0ABF3B-DFAB-4F01-A579-1C4F2C70D74B}"/>
    <hyperlink ref="A510" r:id="rId1525" display="https://statiz.sporki.com/player/?m=playerinfo&amp;p_no=14577" xr:uid="{174BBA62-19BB-4CC8-95F6-A32C9F225EE2}"/>
    <hyperlink ref="B510" r:id="rId1526" display="https://statiz.sporki.com/add/?m=draft_school01&amp;ps_school=50111" xr:uid="{DD01C212-0761-41E7-ABD2-5F16A4D24484}"/>
    <hyperlink ref="C510" r:id="rId1527" display="https://statiz.sporki.com/add/?m=draft_school02&amp;ps_school=" xr:uid="{BE48F228-1401-4303-8803-F94B49EB998F}"/>
    <hyperlink ref="A511" r:id="rId1528" display="https://statiz.sporki.com/player/?m=playerinfo&amp;p_no=14708" xr:uid="{ADDF0376-DC28-4578-B843-E7D2063F1725}"/>
    <hyperlink ref="B511" r:id="rId1529" display="https://statiz.sporki.com/add/?m=draft_school01&amp;ps_school=50807" xr:uid="{7E2FFDAF-C968-4682-92E6-E452ADB26882}"/>
    <hyperlink ref="C511" r:id="rId1530" display="https://statiz.sporki.com/add/?m=draft_school02&amp;ps_school=60203" xr:uid="{0635ABDF-C364-4C58-9254-7A10F397F30D}"/>
    <hyperlink ref="A512" r:id="rId1531" display="https://statiz.sporki.com/player/?m=playerinfo&amp;p_no=14645" xr:uid="{0A11E7A3-C14C-4B1D-89ED-9B8A742A76DC}"/>
    <hyperlink ref="B512" r:id="rId1532" display="https://statiz.sporki.com/add/?m=draft_school01&amp;ps_school=50403" xr:uid="{DD9E04B8-A51E-4A10-B515-0C592A4BA291}"/>
    <hyperlink ref="C512" r:id="rId1533" display="https://statiz.sporki.com/add/?m=draft_school02&amp;ps_school=" xr:uid="{B04BC984-A234-489F-B1E1-A137F4717588}"/>
    <hyperlink ref="A513" r:id="rId1534" display="https://statiz.sporki.com/player/?m=playerinfo&amp;p_no=14723" xr:uid="{08A58525-7067-40D5-8B2F-429B4C265638}"/>
    <hyperlink ref="B513" r:id="rId1535" display="https://statiz.sporki.com/add/?m=draft_school01&amp;ps_school=50110" xr:uid="{E3F20DB9-1F1A-4A1A-9CD0-E112CF25EC28}"/>
    <hyperlink ref="C513" r:id="rId1536" display="https://statiz.sporki.com/add/?m=draft_school02&amp;ps_school=" xr:uid="{BB6B4474-AF74-4AA5-82E3-CBCF8BAAB53C}"/>
    <hyperlink ref="A514" r:id="rId1537" display="https://statiz.sporki.com/player/?m=playerinfo&amp;p_no=14669" xr:uid="{1894285B-CCE1-4BD1-9EAA-6D707C1C885F}"/>
    <hyperlink ref="B514" r:id="rId1538" display="https://statiz.sporki.com/add/?m=draft_school01&amp;ps_school=50105" xr:uid="{E6A9C29C-2DC1-45F2-AF3E-9452F69BC75C}"/>
    <hyperlink ref="C514" r:id="rId1539" display="https://statiz.sporki.com/add/?m=draft_school02&amp;ps_school=60101" xr:uid="{ED98F7A6-7F03-42DB-A7FF-0805E4178919}"/>
    <hyperlink ref="A515" r:id="rId1540" display="https://statiz.sporki.com/player/?m=playerinfo&amp;p_no=14647" xr:uid="{B0EB27B7-883F-4299-AE20-C37B2F52618E}"/>
    <hyperlink ref="B515" r:id="rId1541" display="https://statiz.sporki.com/add/?m=draft_school01&amp;ps_school=50105" xr:uid="{2B30204B-933F-4D84-B91D-C79ED94B79BB}"/>
    <hyperlink ref="C515" r:id="rId1542" display="https://statiz.sporki.com/add/?m=draft_school02&amp;ps_school=" xr:uid="{28A133C1-0E35-4A5F-A1B0-ECFDBB5A0F2A}"/>
    <hyperlink ref="A516" r:id="rId1543" display="https://statiz.sporki.com/player/?m=playerinfo&amp;p_no=14684" xr:uid="{8CE8A19E-458E-43B5-B363-76864E516317}"/>
    <hyperlink ref="B516" r:id="rId1544" display="https://statiz.sporki.com/add/?m=draft_school01&amp;ps_school=50215" xr:uid="{01575CC9-156C-45D0-A2AC-724E34556538}"/>
    <hyperlink ref="C516" r:id="rId1545" display="https://statiz.sporki.com/add/?m=draft_school02&amp;ps_school=" xr:uid="{9CF3022C-6609-4992-94A1-6C19E7DB029F}"/>
    <hyperlink ref="A517" r:id="rId1546" display="https://statiz.sporki.com/player/?m=playerinfo&amp;p_no=14736" xr:uid="{0DD5F64B-CACC-4466-B574-F338558E7720}"/>
    <hyperlink ref="B517" r:id="rId1547" display="https://statiz.sporki.com/add/?m=draft_school01&amp;ps_school=50803" xr:uid="{8ABB3575-75EB-4468-8AC9-FF79D7C2BF67}"/>
    <hyperlink ref="C517" r:id="rId1548" display="https://statiz.sporki.com/add/?m=draft_school02&amp;ps_school=" xr:uid="{158B6FC2-3CA8-436E-85DC-292AA557375F}"/>
    <hyperlink ref="A518" r:id="rId1549" display="https://statiz.sporki.com/player/?m=playerinfo&amp;p_no=14642" xr:uid="{282A54CD-95E4-4DB9-98D9-833794C7C414}"/>
    <hyperlink ref="B518" r:id="rId1550" display="https://statiz.sporki.com/add/?m=draft_school01&amp;ps_school=50205" xr:uid="{C5897FB3-5DDB-4B37-8E8D-E28EC61B0102}"/>
    <hyperlink ref="C518" r:id="rId1551" display="https://statiz.sporki.com/add/?m=draft_school02&amp;ps_school=60801" xr:uid="{FD05F86E-6805-49D7-AB77-65128AFE41DE}"/>
    <hyperlink ref="A519" r:id="rId1552" display="https://statiz.sporki.com/player/?m=playerinfo&amp;p_no=14668" xr:uid="{5D61E41A-BFC3-422C-8DA7-75481D275F5F}"/>
    <hyperlink ref="B519" r:id="rId1553" display="https://statiz.sporki.com/add/?m=draft_school01&amp;ps_school=50116" xr:uid="{3F48D66C-1586-44F5-B382-F20DD8BA0AB1}"/>
    <hyperlink ref="C519" r:id="rId1554" display="https://statiz.sporki.com/add/?m=draft_school02&amp;ps_school=" xr:uid="{8C31396B-8944-49EE-B293-E45714CD19B9}"/>
    <hyperlink ref="A520" r:id="rId1555" display="https://statiz.sporki.com/player/?m=playerinfo&amp;p_no=14693" xr:uid="{794059B8-40EE-41D1-8DB0-A18F29763AD6}"/>
    <hyperlink ref="B520" r:id="rId1556" display="https://statiz.sporki.com/add/?m=draft_school01&amp;ps_school=50901" xr:uid="{3FAEA4E3-9834-4765-B080-752348D426BC}"/>
    <hyperlink ref="C520" r:id="rId1557" display="https://statiz.sporki.com/add/?m=draft_school02&amp;ps_school=60204" xr:uid="{C3365DB6-B741-4ECD-9F8F-39EC7C37CBEF}"/>
    <hyperlink ref="A521" r:id="rId1558" display="https://statiz.sporki.com/player/?m=playerinfo&amp;p_no=14714" xr:uid="{FCE22A7C-20A1-4003-BBD5-8C880170FD62}"/>
    <hyperlink ref="B521" r:id="rId1559" display="https://statiz.sporki.com/add/?m=draft_school01&amp;ps_school=50208" xr:uid="{F8B0DB67-EB13-45F7-A961-E468223C0008}"/>
    <hyperlink ref="C521" r:id="rId1560" display="https://statiz.sporki.com/add/?m=draft_school02&amp;ps_school=60104" xr:uid="{41FDFBDD-FD28-4A53-86A2-BC7BDEC1254A}"/>
    <hyperlink ref="A522" r:id="rId1561" display="https://statiz.sporki.com/player/?m=playerinfo&amp;p_no=14657" xr:uid="{290F4F82-591F-4765-A2C4-77874117BD37}"/>
    <hyperlink ref="B522" r:id="rId1562" display="https://statiz.sporki.com/add/?m=draft_school01&amp;ps_school=50802" xr:uid="{8A76A724-EBA9-46E9-9670-7C51FAE49BD7}"/>
    <hyperlink ref="C522" r:id="rId1563" display="https://statiz.sporki.com/add/?m=draft_school02&amp;ps_school=" xr:uid="{7D87005C-1C39-4987-A3C5-786210BF9CF3}"/>
    <hyperlink ref="A523" r:id="rId1564" display="https://statiz.sporki.com/player/?m=playerinfo&amp;p_no=14717" xr:uid="{B5441131-E9ED-4B25-BB0F-9E24C11C3E55}"/>
    <hyperlink ref="B523" r:id="rId1565" display="https://statiz.sporki.com/add/?m=draft_school01&amp;ps_school=50109" xr:uid="{CE1A2BF0-B04D-452C-8354-8C04DEAD5F92}"/>
    <hyperlink ref="C523" r:id="rId1566" display="https://statiz.sporki.com/add/?m=draft_school02&amp;ps_school=" xr:uid="{F0EAFA94-A6BA-4FCD-AEAC-DB33DDB737A6}"/>
    <hyperlink ref="A524" r:id="rId1567" display="https://statiz.sporki.com/player/?m=playerinfo&amp;p_no=14671" xr:uid="{FE5A79C1-F52D-4ADD-81B6-27FBA1AB90A7}"/>
    <hyperlink ref="B524" r:id="rId1568" display="https://statiz.sporki.com/add/?m=draft_school01&amp;ps_school=50903" xr:uid="{37A8F55E-CD38-4804-9520-675221BC73DA}"/>
    <hyperlink ref="C524" r:id="rId1569" display="https://statiz.sporki.com/add/?m=draft_school02&amp;ps_school=" xr:uid="{7A8288F1-FA0C-4BF3-BAEB-3AC8E11D74AC}"/>
    <hyperlink ref="A525" r:id="rId1570" display="https://statiz.sporki.com/player/?m=playerinfo&amp;p_no=14656" xr:uid="{32135674-661B-4E46-92D4-19A5A4507936}"/>
    <hyperlink ref="B525" r:id="rId1571" display="https://statiz.sporki.com/add/?m=draft_school01&amp;ps_school=50402" xr:uid="{F523EF8C-B933-4E8D-B1C0-320963E5EABB}"/>
    <hyperlink ref="C525" r:id="rId1572" display="https://statiz.sporki.com/add/?m=draft_school02&amp;ps_school=" xr:uid="{0F32B0A3-692D-427A-B047-7EFA125F09E6}"/>
    <hyperlink ref="A526" r:id="rId1573" display="https://statiz.sporki.com/player/?m=playerinfo&amp;p_no=14586" xr:uid="{8E559874-64DA-417D-B355-D1FAF48DEE85}"/>
    <hyperlink ref="B526" r:id="rId1574" display="https://statiz.sporki.com/add/?m=draft_school01&amp;ps_school=50705" xr:uid="{49CD62C2-78F7-4D36-AE9A-6EAAB462FAFA}"/>
    <hyperlink ref="C526" r:id="rId1575" display="https://statiz.sporki.com/add/?m=draft_school02&amp;ps_school=60108" xr:uid="{5DB3A237-F688-4F06-B169-491C01155E8A}"/>
    <hyperlink ref="A527" r:id="rId1576" display="https://statiz.sporki.com/player/?m=playerinfo&amp;p_no=14737" xr:uid="{1CC14760-6A58-4DD3-9FB2-EE0360F92AE7}"/>
    <hyperlink ref="B527" r:id="rId1577" display="https://statiz.sporki.com/add/?m=draft_school01&amp;ps_school=50403" xr:uid="{AC163AA3-A2DB-4149-B372-F9E15DCCBCFF}"/>
    <hyperlink ref="C527" r:id="rId1578" display="https://statiz.sporki.com/add/?m=draft_school02&amp;ps_school=" xr:uid="{29E1E018-546C-4532-AC00-F764FEA35D7A}"/>
    <hyperlink ref="A528" r:id="rId1579" display="https://statiz.sporki.com/player/?m=playerinfo&amp;p_no=14640" xr:uid="{D757BE80-1DC1-44CB-9106-A795C97528ED}"/>
    <hyperlink ref="B528" r:id="rId1580" display="https://statiz.sporki.com/add/?m=draft_school01&amp;ps_school=50111" xr:uid="{BB14E914-0D00-469E-B533-93659250F4D4}"/>
    <hyperlink ref="C528" r:id="rId1581" display="https://statiz.sporki.com/add/?m=draft_school02&amp;ps_school=" xr:uid="{7D22C0B4-6D3F-4BB2-99C2-DE55696AAFBB}"/>
    <hyperlink ref="A529" r:id="rId1582" display="https://statiz.sporki.com/player/?m=playerinfo&amp;p_no=14666" xr:uid="{683DDF5C-32B1-4686-8D8E-A1D59015BE14}"/>
    <hyperlink ref="B529" r:id="rId1583" display="https://statiz.sporki.com/add/?m=draft_school01&amp;ps_school=50218" xr:uid="{E720A8C0-74ED-4FE4-A891-48B68771F5B1}"/>
    <hyperlink ref="C529" r:id="rId1584" display="https://statiz.sporki.com/add/?m=draft_school02&amp;ps_school=" xr:uid="{44192615-B8E6-43B2-9A3A-CE6DE7FBF8C8}"/>
    <hyperlink ref="A530" r:id="rId1585" display="https://statiz.sporki.com/player/?m=playerinfo&amp;p_no=14578" xr:uid="{F5F950C0-C6D4-436F-B61B-60554661D5B9}"/>
    <hyperlink ref="B530" r:id="rId1586" display="https://statiz.sporki.com/add/?m=draft_school01&amp;ps_school=50114" xr:uid="{D4E6BA78-D655-45F8-BFA7-DCF87C0BA435}"/>
    <hyperlink ref="C530" r:id="rId1587" display="https://statiz.sporki.com/add/?m=draft_school02&amp;ps_school=" xr:uid="{7011AD76-BBD9-4857-BDC7-0A6B4BC6D99E}"/>
    <hyperlink ref="A531" r:id="rId1588" display="https://statiz.sporki.com/player/?m=playerinfo&amp;p_no=14707" xr:uid="{CBCC626D-9313-4D07-9FF6-0E7CC190A75A}"/>
    <hyperlink ref="B531" r:id="rId1589" display="https://statiz.sporki.com/add/?m=draft_school01&amp;ps_school=50710" xr:uid="{87F19A34-4684-414D-9F2D-45917EC4907F}"/>
    <hyperlink ref="C531" r:id="rId1590" display="https://statiz.sporki.com/add/?m=draft_school02&amp;ps_school=" xr:uid="{DA380A59-0C7B-4475-BC7F-D153C7DFCAF9}"/>
    <hyperlink ref="A532" r:id="rId1591" display="https://statiz.sporki.com/player/?m=playerinfo&amp;p_no=14673" xr:uid="{6A929457-B6B0-4D66-9570-AC1E08FDEAAA}"/>
    <hyperlink ref="B532" r:id="rId1592" display="https://statiz.sporki.com/add/?m=draft_school01&amp;ps_school=50702" xr:uid="{D0A55842-C8E5-4278-ADD0-AA405B982DE7}"/>
    <hyperlink ref="C532" r:id="rId1593" display="https://statiz.sporki.com/add/?m=draft_school02&amp;ps_school=60603" xr:uid="{305D780B-28B3-45FB-9FA1-2CF873F353A2}"/>
    <hyperlink ref="A533" r:id="rId1594" display="https://statiz.sporki.com/player/?m=playerinfo&amp;p_no=14604" xr:uid="{C907E82B-AC19-483B-9D10-40598A081604}"/>
    <hyperlink ref="B533" r:id="rId1595" display="https://statiz.sporki.com/add/?m=draft_school01&amp;ps_school=50110" xr:uid="{E2943A8B-C6B0-4B03-BEE3-3B9195BBB5E2}"/>
    <hyperlink ref="C533" r:id="rId1596" display="https://statiz.sporki.com/add/?m=draft_school02&amp;ps_school=" xr:uid="{D5761A7C-A260-405B-9448-B0C406B06AC7}"/>
    <hyperlink ref="A534" r:id="rId1597" display="https://statiz.sporki.com/player/?m=playerinfo&amp;p_no=14680" xr:uid="{3BC3E765-4AB3-4598-865D-F9C65BCCC08E}"/>
    <hyperlink ref="B534" r:id="rId1598" display="https://statiz.sporki.com/add/?m=draft_school01&amp;ps_school=50114" xr:uid="{10E49F3C-CDD4-4D32-9494-B63EF2F14429}"/>
    <hyperlink ref="C534" r:id="rId1599" display="https://statiz.sporki.com/add/?m=draft_school02&amp;ps_school=" xr:uid="{75C81B11-BAD6-41C4-B44D-307E170C4FF9}"/>
    <hyperlink ref="A535" r:id="rId1600" display="https://statiz.sporki.com/player/?m=playerinfo&amp;p_no=14716" xr:uid="{79C7DA10-7F76-4932-9B8A-699541197775}"/>
    <hyperlink ref="B535" r:id="rId1601" display="https://statiz.sporki.com/add/?m=draft_school01&amp;ps_school=50106" xr:uid="{E636FC9F-F260-482D-9982-265C1E5EFB74}"/>
    <hyperlink ref="C535" r:id="rId1602" display="https://statiz.sporki.com/add/?m=draft_school02&amp;ps_school=" xr:uid="{0B9C8DED-209B-4314-80D4-5635772D4FD4}"/>
    <hyperlink ref="A536" r:id="rId1603" display="https://statiz.sporki.com/player/?m=playerinfo&amp;p_no=14685" xr:uid="{E90FAF5C-6E86-4D06-BDA7-EB460E5E560A}"/>
    <hyperlink ref="B536" r:id="rId1604" display="https://statiz.sporki.com/add/?m=draft_school01&amp;ps_school=50207" xr:uid="{D5F8959F-8686-43A4-AB8A-5A958875650C}"/>
    <hyperlink ref="C536" r:id="rId1605" display="https://statiz.sporki.com/add/?m=draft_school02&amp;ps_school=" xr:uid="{EDC56A9F-9BF3-4D5A-B8EF-9AC0940B7879}"/>
    <hyperlink ref="A537" r:id="rId1606" display="https://statiz.sporki.com/player/?m=playerinfo&amp;p_no=14730" xr:uid="{EED56389-9C19-4694-A385-B4486AAB3AF2}"/>
    <hyperlink ref="B537" r:id="rId1607" display="https://statiz.sporki.com/add/?m=draft_school01&amp;ps_school=50604" xr:uid="{0512F701-0DA4-4A83-BEBC-FB7C35E8BFC1}"/>
    <hyperlink ref="C537" r:id="rId1608" display="https://statiz.sporki.com/add/?m=draft_school02&amp;ps_school=" xr:uid="{AAFF17B1-987E-4415-B0A6-97374C26D741}"/>
    <hyperlink ref="A538" r:id="rId1609" display="https://statiz.sporki.com/player/?m=playerinfo&amp;p_no=14631" xr:uid="{DD97F120-0A75-4DF9-9C55-2505DE6935C9}"/>
    <hyperlink ref="B538" r:id="rId1610" display="https://statiz.sporki.com/add/?m=draft_school01&amp;ps_school=50210" xr:uid="{1E30F7F1-FFA6-4469-9D5E-D315BF74F71B}"/>
    <hyperlink ref="C538" r:id="rId1611" display="https://statiz.sporki.com/add/?m=draft_school02&amp;ps_school=" xr:uid="{A9DCF9B2-FB68-4575-836E-B385C937E5B2}"/>
    <hyperlink ref="A539" r:id="rId1612" display="https://statiz.sporki.com/player/?m=playerinfo&amp;p_no=14698" xr:uid="{BC7A50D6-005E-42A4-B8A3-438D47160E7D}"/>
    <hyperlink ref="B539" r:id="rId1613" display="https://statiz.sporki.com/add/?m=draft_school01&amp;ps_school=50116" xr:uid="{32CA7115-B64D-41C6-BFD0-ACE335C8982C}"/>
    <hyperlink ref="C539" r:id="rId1614" display="https://statiz.sporki.com/add/?m=draft_school02&amp;ps_school=60109" xr:uid="{D79FFD74-6757-4BF0-B1A5-95993531F750}"/>
    <hyperlink ref="A540" r:id="rId1615" display="https://statiz.sporki.com/player/?m=playerinfo&amp;p_no=14701" xr:uid="{86E912BA-1CAF-4780-A01A-62C91613B282}"/>
    <hyperlink ref="B540" r:id="rId1616" display="https://statiz.sporki.com/add/?m=draft_school01&amp;ps_school=50107" xr:uid="{5F33463C-1F97-4354-938B-13359C916E12}"/>
    <hyperlink ref="C540" r:id="rId1617" display="https://statiz.sporki.com/add/?m=draft_school02&amp;ps_school=" xr:uid="{6D9EF397-701E-41A4-AC05-970CC6AD9A6E}"/>
    <hyperlink ref="A541" r:id="rId1618" display="https://statiz.sporki.com/player/?m=playerinfo&amp;p_no=14715" xr:uid="{F453C2BB-B385-4DF6-8C06-66BCCDFBA8E3}"/>
    <hyperlink ref="B541" r:id="rId1619" display="https://statiz.sporki.com/add/?m=draft_school01&amp;ps_school=50208" xr:uid="{A3240950-39E5-4409-80D6-36981779ED8E}"/>
    <hyperlink ref="C541" r:id="rId1620" display="https://statiz.sporki.com/add/?m=draft_school02&amp;ps_school=60104" xr:uid="{4B8FFD3B-1FC5-4AB1-828C-347B7816A221}"/>
    <hyperlink ref="A542" r:id="rId1621" display="https://statiz.sporki.com/player/?m=playerinfo&amp;p_no=14644" xr:uid="{DDB7C7E5-555F-4466-8264-7F2B27E692BB}"/>
    <hyperlink ref="B542" r:id="rId1622" display="https://statiz.sporki.com/add/?m=draft_school01&amp;ps_school=50111" xr:uid="{7CD3B0C0-0E70-4B71-8118-6692737C7C9B}"/>
    <hyperlink ref="C542" r:id="rId1623" display="https://statiz.sporki.com/add/?m=draft_school02&amp;ps_school=" xr:uid="{F3F96189-3FF4-467A-A8D3-60ACD6E16618}"/>
    <hyperlink ref="A543" r:id="rId1624" display="https://statiz.sporki.com/player/?m=playerinfo&amp;p_no=14720" xr:uid="{FA987B4B-0C25-45E0-815D-09DE71E85673}"/>
    <hyperlink ref="B543" r:id="rId1625" display="https://statiz.sporki.com/add/?m=draft_school01&amp;ps_school=50116" xr:uid="{D171EC70-BB06-496C-9418-E251926EB437}"/>
    <hyperlink ref="C543" r:id="rId1626" display="https://statiz.sporki.com/add/?m=draft_school02&amp;ps_school=" xr:uid="{CA01895E-5273-4036-A969-5D26BB29CDFC}"/>
    <hyperlink ref="A544" r:id="rId1627" display="https://statiz.sporki.com/player/?m=playerinfo&amp;p_no=14667" xr:uid="{98CCF70C-AEDF-4709-B50E-E5A44275326E}"/>
    <hyperlink ref="B544" r:id="rId1628" display="https://statiz.sporki.com/add/?m=draft_school01&amp;ps_school=50108" xr:uid="{DBC169B5-4E51-4952-8C57-38EE5152B993}"/>
    <hyperlink ref="C544" r:id="rId1629" display="https://statiz.sporki.com/add/?m=draft_school02&amp;ps_school=60109" xr:uid="{01F32B8B-BE75-425F-80C5-7CF504076AE9}"/>
    <hyperlink ref="A545" r:id="rId1630" display="https://statiz.sporki.com/player/?m=playerinfo&amp;p_no=14659" xr:uid="{4C55941D-5A94-497D-BD30-C10144D54795}"/>
    <hyperlink ref="B545" r:id="rId1631" display="https://statiz.sporki.com/add/?m=draft_school01&amp;ps_school=50801" xr:uid="{7580B4BA-8708-47AB-9E4E-B6DB77954B3B}"/>
    <hyperlink ref="C545" r:id="rId1632" display="https://statiz.sporki.com/add/?m=draft_school02&amp;ps_school=" xr:uid="{2D2DFE1E-CFFF-46D0-A6CC-35460593A27E}"/>
    <hyperlink ref="A546" r:id="rId1633" display="https://statiz.sporki.com/player/?m=playerinfo&amp;p_no=14689" xr:uid="{E2CA8377-F4FF-4F5F-9C1D-E4AB079B4278}"/>
    <hyperlink ref="B546" r:id="rId1634" display="https://statiz.sporki.com/add/?m=draft_school01&amp;ps_school=50210" xr:uid="{3A6D8897-42BB-4F88-BA4D-78601F4F628F}"/>
    <hyperlink ref="C546" r:id="rId1635" display="https://statiz.sporki.com/add/?m=draft_school02&amp;ps_school=" xr:uid="{405949A3-9AFA-418B-918B-54941291F638}"/>
    <hyperlink ref="A547" r:id="rId1636" display="https://statiz.sporki.com/player/?m=playerinfo&amp;p_no=14738" xr:uid="{EAE007D2-833A-4F51-B260-597C9D525825}"/>
    <hyperlink ref="B547" r:id="rId1637" display="https://statiz.sporki.com/add/?m=draft_school01&amp;ps_school=50111" xr:uid="{C5E2E1D9-92E6-4EF9-BC48-9A255DD257C5}"/>
    <hyperlink ref="C547" r:id="rId1638" display="https://statiz.sporki.com/add/?m=draft_school02&amp;ps_school=60203" xr:uid="{B1E15F6F-FE05-4D76-BFE6-6EECE6B7AC80}"/>
    <hyperlink ref="A548" r:id="rId1639" display="https://statiz.sporki.com/player/?m=playerinfo&amp;p_no=14643" xr:uid="{B3CA1840-9B19-4886-BEBA-64A9FFB81B3B}"/>
    <hyperlink ref="B548" r:id="rId1640" display="https://statiz.sporki.com/add/?m=draft_school01&amp;ps_school=50602" xr:uid="{ECC74DDA-6F62-4368-8AB7-38D35EBCE0F8}"/>
    <hyperlink ref="C548" r:id="rId1641" display="https://statiz.sporki.com/add/?m=draft_school02&amp;ps_school=" xr:uid="{CE61031A-7AF9-47D5-8763-5BA0D2B9D862}"/>
    <hyperlink ref="A549" r:id="rId1642" display="https://statiz.sporki.com/player/?m=playerinfo&amp;p_no=14696" xr:uid="{3AEC9254-4668-4FF3-B77A-959F6BF48616}"/>
    <hyperlink ref="B549" r:id="rId1643" display="https://statiz.sporki.com/add/?m=draft_school01&amp;ps_school=50801" xr:uid="{B5F888E6-7F83-4AC6-AC7A-BF5EB417F0D7}"/>
    <hyperlink ref="C549" r:id="rId1644" display="https://statiz.sporki.com/add/?m=draft_school02&amp;ps_school=" xr:uid="{B09AD42A-4003-4663-9894-1A6381583652}"/>
    <hyperlink ref="A550" r:id="rId1645" display="https://statiz.sporki.com/player/?m=playerinfo&amp;p_no=14683" xr:uid="{D4017234-9E32-4DFA-B9F5-AEA4AE7F956B}"/>
    <hyperlink ref="B550" r:id="rId1646" display="https://statiz.sporki.com/add/?m=draft_school01&amp;ps_school=50601" xr:uid="{314695D8-F0A4-406F-902E-C942A9302C7F}"/>
    <hyperlink ref="C550" r:id="rId1647" display="https://statiz.sporki.com/add/?m=draft_school02&amp;ps_school=" xr:uid="{E8838C5C-06EB-4A86-8D2E-DD295AF67411}"/>
    <hyperlink ref="A551" r:id="rId1648" display="https://statiz.sporki.com/player/?m=playerinfo&amp;p_no=14704" xr:uid="{5569732E-38FF-4470-AB3C-C309AB16BCAA}"/>
    <hyperlink ref="B551" r:id="rId1649" display="https://statiz.sporki.com/add/?m=draft_school01&amp;ps_school=50208" xr:uid="{5C303B3E-6313-4D7F-96EF-717C5435C74C}"/>
    <hyperlink ref="C551" r:id="rId1650" display="https://statiz.sporki.com/add/?m=draft_school02&amp;ps_school=" xr:uid="{B55DBA94-DA1B-4672-8AFC-D1A583854A76}"/>
    <hyperlink ref="A552" r:id="rId1651" display="https://statiz.sporki.com/player/?m=playerinfo&amp;p_no=14690" xr:uid="{7F8022B3-D1AE-4892-B9F2-F79760CEE803}"/>
    <hyperlink ref="B552" r:id="rId1652" display="https://statiz.sporki.com/add/?m=draft_school01&amp;ps_school=50901" xr:uid="{0E14FA63-38EA-4B20-9B08-3CBFFC2159BC}"/>
    <hyperlink ref="C552" r:id="rId1653" display="https://statiz.sporki.com/add/?m=draft_school02&amp;ps_school=60902" xr:uid="{6D96C80B-405B-4315-B99A-7358C75B872F}"/>
    <hyperlink ref="A553" r:id="rId1654" display="https://statiz.sporki.com/player/?m=playerinfo&amp;p_no=14718" xr:uid="{60237DE6-11D4-4CFA-BE30-DFFC993FEC3D}"/>
    <hyperlink ref="B553" r:id="rId1655" display="https://statiz.sporki.com/add/?m=draft_school01&amp;ps_school=50703" xr:uid="{293A6B0E-FA82-421A-AAF4-2C6AA7568DFD}"/>
    <hyperlink ref="C553" r:id="rId1656" display="https://statiz.sporki.com/add/?m=draft_school02&amp;ps_school=" xr:uid="{E5926F4D-394F-4F95-9D46-453BEC6C3D35}"/>
    <hyperlink ref="A554" r:id="rId1657" display="https://statiz.sporki.com/player/?m=playerinfo&amp;p_no=14678" xr:uid="{8E2AC1B2-7867-4D3C-86FB-8CFD0410AC66}"/>
    <hyperlink ref="B554" r:id="rId1658" display="https://statiz.sporki.com/add/?m=draft_school01&amp;ps_school=50802" xr:uid="{557EAA50-2DCC-420C-8094-4F4EA8308B3F}"/>
    <hyperlink ref="C554" r:id="rId1659" display="https://statiz.sporki.com/add/?m=draft_school02&amp;ps_school=" xr:uid="{7F886826-73A7-4AE3-9ED0-F26BD88ABC17}"/>
    <hyperlink ref="A555" r:id="rId1660" display="https://statiz.sporki.com/player/?m=playerinfo&amp;p_no=14651" xr:uid="{C06BAE4A-33F0-4D9D-AB2D-DB255F79A984}"/>
    <hyperlink ref="B555" r:id="rId1661" display="https://statiz.sporki.com/add/?m=draft_school01&amp;ps_school=50501" xr:uid="{0C6C14B9-ADFF-4BF3-B9BB-C31382FD2620}"/>
    <hyperlink ref="C555" r:id="rId1662" display="https://statiz.sporki.com/add/?m=draft_school02&amp;ps_school=" xr:uid="{2D6D04FC-B012-4638-91A1-1AEE9B90E87E}"/>
    <hyperlink ref="A556" r:id="rId1663" display="https://statiz.sporki.com/player/?m=playerinfo&amp;p_no=14692" xr:uid="{198F72A2-C6B1-46E8-A62C-7525ADA59B27}"/>
    <hyperlink ref="B556" r:id="rId1664" display="https://statiz.sporki.com/add/?m=draft_school01&amp;ps_school=50116" xr:uid="{2C3DB17C-1E58-4E69-BD3F-E724DE9151CF}"/>
    <hyperlink ref="C556" r:id="rId1665" display="https://statiz.sporki.com/add/?m=draft_school02&amp;ps_school=60114" xr:uid="{7F06795B-BF3E-45A6-9493-19666568BE3E}"/>
    <hyperlink ref="A557" r:id="rId1666" display="https://statiz.sporki.com/player/?m=playerinfo&amp;p_no=14733" xr:uid="{DF8B3596-B2B2-4C0D-A6F1-48E7C9BD25F8}"/>
    <hyperlink ref="B557" r:id="rId1667" display="https://statiz.sporki.com/add/?m=draft_school01&amp;ps_school=50805" xr:uid="{0571E26D-1E16-4B28-934D-961E331E68D8}"/>
    <hyperlink ref="C557" r:id="rId1668" display="https://statiz.sporki.com/add/?m=draft_school02&amp;ps_school=" xr:uid="{667F8E3B-C229-42A1-B572-F1ABD3C9BC28}"/>
    <hyperlink ref="A558" r:id="rId1669" display="https://statiz.sporki.com/player/?m=playerinfo&amp;p_no=14638" xr:uid="{54F660BE-605F-4DEB-98BA-94979214355B}"/>
    <hyperlink ref="B558" r:id="rId1670" display="https://statiz.sporki.com/add/?m=draft_school01&amp;ps_school=" xr:uid="{AA363360-18D1-447C-9ABF-2F0D42366874}"/>
    <hyperlink ref="C558" r:id="rId1671" display="https://statiz.sporki.com/add/?m=draft_school02&amp;ps_school=" xr:uid="{6E9F4479-19A9-472D-ADF2-F9F0A8789D75}"/>
    <hyperlink ref="A559" r:id="rId1672" display="https://statiz.sporki.com/player/?m=playerinfo&amp;p_no=14664" xr:uid="{53D70B8C-48CA-432E-9FC0-884651FB23B1}"/>
    <hyperlink ref="B559" r:id="rId1673" display="https://statiz.sporki.com/add/?m=draft_school01&amp;ps_school=50703" xr:uid="{B06343EB-5BEC-4B05-85A3-40452C126EE1}"/>
    <hyperlink ref="C559" r:id="rId1674" display="https://statiz.sporki.com/add/?m=draft_school02&amp;ps_school=" xr:uid="{DA4A6428-01E4-45F5-B481-E4713173A1BB}"/>
    <hyperlink ref="A560" r:id="rId1675" display="https://statiz.sporki.com/player/?m=playerinfo&amp;p_no=14700" xr:uid="{BB816F31-0876-45CB-A82D-AB05B12CDB59}"/>
    <hyperlink ref="B560" r:id="rId1676" display="https://statiz.sporki.com/add/?m=draft_school01&amp;ps_school=50605" xr:uid="{5652BDF1-312B-4C34-BACD-BA42CD92EB04}"/>
    <hyperlink ref="C560" r:id="rId1677" display="https://statiz.sporki.com/add/?m=draft_school02&amp;ps_school=" xr:uid="{4A7E054E-8342-4CDF-86C9-D06B10548253}"/>
    <hyperlink ref="A561" r:id="rId1678" display="https://statiz.sporki.com/player/?m=playerinfo&amp;p_no=14710" xr:uid="{4FB34ED6-F373-4FFE-984F-1E006204F893}"/>
    <hyperlink ref="B561" r:id="rId1679" display="https://statiz.sporki.com/add/?m=draft_school01&amp;ps_school=50114" xr:uid="{2148E327-6F4D-46DD-979C-22549323AA65}"/>
    <hyperlink ref="C561" r:id="rId1680" display="https://statiz.sporki.com/add/?m=draft_school02&amp;ps_school=" xr:uid="{E8D82020-FAFD-4656-BD84-685377ED814D}"/>
    <hyperlink ref="A562" r:id="rId1681" display="https://statiz.sporki.com/player/?m=playerinfo&amp;p_no=14658" xr:uid="{74CD2B57-CD6A-4D40-9227-405B45BDC8AF}"/>
    <hyperlink ref="B562" r:id="rId1682" display="https://statiz.sporki.com/add/?m=draft_school01&amp;ps_school=50806" xr:uid="{4605C5F4-206B-4575-ADBB-DEE47CB85A5F}"/>
    <hyperlink ref="C562" r:id="rId1683" display="https://statiz.sporki.com/add/?m=draft_school02&amp;ps_school=" xr:uid="{F0FA2239-AE7B-4663-8E18-2E40678EA5D1}"/>
    <hyperlink ref="A563" r:id="rId1684" display="https://statiz.sporki.com/player/?m=playerinfo&amp;p_no=14724" xr:uid="{2EFA1B00-219F-4156-8EF7-F67A80F5C3D0}"/>
    <hyperlink ref="B563" r:id="rId1685" display="https://statiz.sporki.com/add/?m=draft_school01&amp;ps_school=50211" xr:uid="{95DBFD40-6B69-4970-9497-AA2F3128E7F3}"/>
    <hyperlink ref="C563" r:id="rId1686" display="https://statiz.sporki.com/add/?m=draft_school02&amp;ps_school=" xr:uid="{B2E3286F-D636-4B5B-AD11-20710A8AF49C}"/>
    <hyperlink ref="A564" r:id="rId1687" display="https://statiz.sporki.com/player/?m=playerinfo&amp;p_no=14665" xr:uid="{D83B89AE-E116-4CD7-A3DC-46785A5B4EC9}"/>
    <hyperlink ref="B564" r:id="rId1688" display="https://statiz.sporki.com/add/?m=draft_school01&amp;ps_school=50709" xr:uid="{DDFD5C1E-0CCA-4216-ACE4-EEC70C651ABC}"/>
    <hyperlink ref="C564" r:id="rId1689" display="https://statiz.sporki.com/add/?m=draft_school02&amp;ps_school=" xr:uid="{BC9C58C0-7625-4FAB-A146-620C0BC6DB2B}"/>
    <hyperlink ref="A565" r:id="rId1690" display="https://statiz.sporki.com/player/?m=playerinfo&amp;p_no=14648" xr:uid="{DBC880A8-5469-4A4A-89E5-0EC26D57B81D}"/>
    <hyperlink ref="B565" r:id="rId1691" display="https://statiz.sporki.com/add/?m=draft_school01&amp;ps_school=50807" xr:uid="{9BFD25CE-1734-4CBC-B34D-DEC70AA325B9}"/>
    <hyperlink ref="C565" r:id="rId1692" display="https://statiz.sporki.com/add/?m=draft_school02&amp;ps_school=60804" xr:uid="{E2A4A78E-24F5-4625-B317-17F0A74000AA}"/>
    <hyperlink ref="A566" r:id="rId1693" display="https://statiz.sporki.com/player/?m=playerinfo&amp;p_no=14687" xr:uid="{D4231D04-54DC-48F4-BCE7-A7B9DF83A8FA}"/>
    <hyperlink ref="B566" r:id="rId1694" display="https://statiz.sporki.com/add/?m=draft_school01&amp;ps_school=50209" xr:uid="{989600E7-0440-4301-8D17-4DD853067BEF}"/>
    <hyperlink ref="C566" r:id="rId1695" display="https://statiz.sporki.com/add/?m=draft_school02&amp;ps_school=" xr:uid="{CFE3FAF5-CF78-4E93-843C-2D963744FCF8}"/>
    <hyperlink ref="A567" r:id="rId1696" display="https://statiz.sporki.com/player/?m=playerinfo&amp;p_no=14571" xr:uid="{19198101-8973-4038-97C6-6CDCA6E8E3BB}"/>
    <hyperlink ref="B567" r:id="rId1697" display="https://statiz.sporki.com/add/?m=draft_school01&amp;ps_school=" xr:uid="{AD02EFE2-766E-41FD-B599-A7DC12B6F8CF}"/>
    <hyperlink ref="C567" r:id="rId1698" display="https://statiz.sporki.com/add/?m=draft_school02&amp;ps_school=" xr:uid="{8559980D-E124-4349-ABBA-65C07E97B6AA}"/>
    <hyperlink ref="A568" r:id="rId1699" display="https://statiz.sporki.com/player/?m=playerinfo&amp;p_no=14637" xr:uid="{2BBAA7CA-E99E-4218-AB9A-CDF259A1DC36}"/>
    <hyperlink ref="B568" r:id="rId1700" display="https://statiz.sporki.com/add/?m=draft_school01&amp;ps_school=50901" xr:uid="{D0C5E6B2-C9B1-43B0-82A2-A369C59D0A65}"/>
    <hyperlink ref="C568" r:id="rId1701" display="https://statiz.sporki.com/add/?m=draft_school02&amp;ps_school=" xr:uid="{D70A8B10-18D5-4335-A8F3-86962D01177A}"/>
    <hyperlink ref="A569" r:id="rId1702" display="https://statiz.sporki.com/player/?m=playerinfo&amp;p_no=14694" xr:uid="{41C010F6-4821-425D-9FF6-1FF707658F1F}"/>
    <hyperlink ref="B569" r:id="rId1703" display="https://statiz.sporki.com/add/?m=draft_school01&amp;ps_school=50710" xr:uid="{87C36606-F60A-4C9E-952F-A822F3102132}"/>
    <hyperlink ref="C569" r:id="rId1704" display="https://statiz.sporki.com/add/?m=draft_school02&amp;ps_school=60108" xr:uid="{27759B11-F32B-4454-9B9E-F04168451560}"/>
    <hyperlink ref="A570" r:id="rId1705" display="https://statiz.sporki.com/player/?m=playerinfo&amp;p_no=14681" xr:uid="{9C340D63-8B49-480E-9EA4-E1504A76C54E}"/>
    <hyperlink ref="B570" r:id="rId1706" display="https://statiz.sporki.com/add/?m=draft_school01&amp;ps_school=50116" xr:uid="{9EFA78EF-24DD-486F-AAD0-EF727E566A4B}"/>
    <hyperlink ref="C570" r:id="rId1707" display="https://statiz.sporki.com/add/?m=draft_school02&amp;ps_school=60114" xr:uid="{5B3759D6-9D6E-4C0A-ABB4-D4B9E83D4BEE}"/>
    <hyperlink ref="A571" r:id="rId1708" display="https://statiz.sporki.com/player/?m=playerinfo&amp;p_no=14711" xr:uid="{5A4FFDA0-01F1-48B7-98CD-0882FB758B59}"/>
    <hyperlink ref="B571" r:id="rId1709" display="https://statiz.sporki.com/add/?m=draft_school01&amp;ps_school=50802" xr:uid="{AE3DD0E4-2893-443F-B336-569B8FDAC272}"/>
    <hyperlink ref="C571" r:id="rId1710" display="https://statiz.sporki.com/add/?m=draft_school02&amp;ps_school=" xr:uid="{58AF4450-C070-48A4-B283-041FF7834C09}"/>
    <hyperlink ref="A572" r:id="rId1711" display="https://statiz.sporki.com/player/?m=playerinfo&amp;p_no=14609" xr:uid="{C24195CB-EA54-4244-AEFD-E88DF2E35E77}"/>
    <hyperlink ref="B572" r:id="rId1712" display="https://statiz.sporki.com/add/?m=draft_school01&amp;ps_school=" xr:uid="{7FC2C9C5-0D61-4C07-9D2E-0862E986DDA1}"/>
    <hyperlink ref="C572" r:id="rId1713" display="https://statiz.sporki.com/add/?m=draft_school02&amp;ps_school=" xr:uid="{1E6C25B0-AFE6-4AC0-8BAB-F788B3CE3CF5}"/>
    <hyperlink ref="A573" r:id="rId1714" display="https://statiz.sporki.com/player/?m=playerinfo&amp;p_no=14610" xr:uid="{158300DC-8C68-4826-B2E5-CB58F3110825}"/>
    <hyperlink ref="B573" r:id="rId1715" display="https://statiz.sporki.com/add/?m=draft_school01&amp;ps_school=51113" xr:uid="{2685D06B-F2CB-4CFE-A0DE-554F917451FB}"/>
    <hyperlink ref="C573" r:id="rId1716" display="https://statiz.sporki.com/add/?m=draft_school02&amp;ps_school=61114" xr:uid="{FC8D7E02-5606-4613-B4E0-016CFAB18A7B}"/>
    <hyperlink ref="A574" r:id="rId1717" display="https://statiz.sporki.com/player/?m=playerinfo&amp;p_no=14602" xr:uid="{A8F74DFF-5E23-46AD-97F3-4B8D70AA0987}"/>
    <hyperlink ref="B574" r:id="rId1718" display="https://statiz.sporki.com/add/?m=draft_school01&amp;ps_school=51109" xr:uid="{D0D06E93-890B-4C70-9D10-8FF45DD5B7BD}"/>
    <hyperlink ref="C574" r:id="rId1719" display="https://statiz.sporki.com/add/?m=draft_school02&amp;ps_school=" xr:uid="{03EEADB7-519A-427E-8F9F-E76D00D388E1}"/>
    <hyperlink ref="A575" r:id="rId1720" display="https://statiz.sporki.com/player/?m=playerinfo&amp;p_no=14592" xr:uid="{C12248D2-26C9-402A-A38A-18B5F857F37A}"/>
    <hyperlink ref="B575" r:id="rId1721" display="https://statiz.sporki.com/add/?m=draft_school01&amp;ps_school=" xr:uid="{1B04747F-18FB-4269-AD32-BD8BD133B3F2}"/>
    <hyperlink ref="C575" r:id="rId1722" display="https://statiz.sporki.com/add/?m=draft_school02&amp;ps_school=61110" xr:uid="{0FC7900E-A6DB-44A2-A91C-DB8F19238D71}"/>
    <hyperlink ref="A576" r:id="rId1723" display="https://statiz.sporki.com/player/?m=playerinfo&amp;p_no=14596" xr:uid="{295E6742-04DB-43C5-A6AB-927B7632D434}"/>
    <hyperlink ref="B576" r:id="rId1724" display="https://statiz.sporki.com/add/?m=draft_school01&amp;ps_school=" xr:uid="{2A3707D9-9B82-4A68-A709-9F1CD59FA2B1}"/>
    <hyperlink ref="C576" r:id="rId1725" display="https://statiz.sporki.com/add/?m=draft_school02&amp;ps_school=" xr:uid="{BEAD1E14-D3B8-426B-B16D-70A233F650C1}"/>
    <hyperlink ref="A577" r:id="rId1726" display="https://statiz.sporki.com/player/?m=playerinfo&amp;p_no=14599" xr:uid="{AA35BA14-48C1-46DB-B146-9FC5D5B50586}"/>
    <hyperlink ref="B577" r:id="rId1727" display="https://statiz.sporki.com/add/?m=draft_school01&amp;ps_school=51107" xr:uid="{AF11BC39-3E4C-49F2-81D4-28AFCEC118F9}"/>
    <hyperlink ref="C577" r:id="rId1728" display="https://statiz.sporki.com/add/?m=draft_school02&amp;ps_school=" xr:uid="{C02FD14C-55F9-4446-8F2E-A18FDB3F7E2E}"/>
    <hyperlink ref="A578" r:id="rId1729" display="https://statiz.sporki.com/player/?m=playerinfo&amp;p_no=14582" xr:uid="{E7B8AEC3-5228-47E2-9C25-BFCF8134EF55}"/>
    <hyperlink ref="B578" r:id="rId1730" display="https://statiz.sporki.com/add/?m=draft_school01&amp;ps_school=51120" xr:uid="{390997C9-5B2E-4277-ACE9-7E58752A7BAB}"/>
    <hyperlink ref="C578" r:id="rId1731" display="https://statiz.sporki.com/add/?m=draft_school02&amp;ps_school=" xr:uid="{E01E68FF-FB2C-4F6B-BBB5-C0A422C1B216}"/>
    <hyperlink ref="A579" r:id="rId1732" display="https://statiz.sporki.com/player/?m=playerinfo&amp;p_no=14583" xr:uid="{68F11246-1FCF-4E62-B58B-12F0DBBB0F98}"/>
    <hyperlink ref="B579" r:id="rId1733" display="https://statiz.sporki.com/add/?m=draft_school01&amp;ps_school=" xr:uid="{DDDC9064-E99F-41D7-A439-28FB9F9ACB94}"/>
    <hyperlink ref="C579" r:id="rId1734" display="https://statiz.sporki.com/add/?m=draft_school02&amp;ps_school=" xr:uid="{B6747701-491E-409F-BEB0-9BDA7A3AA525}"/>
    <hyperlink ref="A580" r:id="rId1735" display="https://statiz.sporki.com/player/?m=playerinfo&amp;p_no=14744" xr:uid="{F6A1A98E-EE83-4C49-B0F3-3D0778F91F20}"/>
    <hyperlink ref="B580" r:id="rId1736" display="https://statiz.sporki.com/add/?m=draft_school01&amp;ps_school=" xr:uid="{8C88074C-2C4C-46F3-A140-4C7DABF944C1}"/>
    <hyperlink ref="C580" r:id="rId1737" display="https://statiz.sporki.com/add/?m=draft_school02&amp;ps_school=" xr:uid="{520AF7BD-8ED8-46C0-996D-CBDDC4CFCEC3}"/>
    <hyperlink ref="A581" r:id="rId1738" display="https://statiz.sporki.com/player/?m=playerinfo&amp;p_no=14575" xr:uid="{CA1AD11A-30F0-4C47-9FBF-24E3E37F307D}"/>
    <hyperlink ref="B581" r:id="rId1739" display="https://statiz.sporki.com/add/?m=draft_school01&amp;ps_school=" xr:uid="{8996853B-9ECB-4AB7-AA91-D345E5755876}"/>
    <hyperlink ref="C581" r:id="rId1740" display="https://statiz.sporki.com/add/?m=draft_school02&amp;ps_school=" xr:uid="{027DFC14-F845-4A30-9F2E-64DD7463C9F1}"/>
    <hyperlink ref="A582" r:id="rId1741" display="https://statiz.sporki.com/player/?m=playerinfo&amp;p_no=14626" xr:uid="{9DD057A2-70E5-4050-AE69-00FB17321D4D}"/>
    <hyperlink ref="B582" r:id="rId1742" display="https://statiz.sporki.com/add/?m=draft_school01&amp;ps_school=51100" xr:uid="{7002EB81-1868-4C70-AC72-F77801FAD661}"/>
    <hyperlink ref="C582" r:id="rId1743" display="https://statiz.sporki.com/add/?m=draft_school02&amp;ps_school=" xr:uid="{B21E85E7-B6FD-4364-9742-F8F61938BDA4}"/>
    <hyperlink ref="A583" r:id="rId1744" display="https://statiz.sporki.com/player/?m=playerinfo&amp;p_no=14629" xr:uid="{C04EC102-C6E8-4110-A2FC-338B7C14BE52}"/>
    <hyperlink ref="B583" r:id="rId1745" display="https://statiz.sporki.com/add/?m=draft_school01&amp;ps_school=51115" xr:uid="{40BFA550-83E0-46C9-8FB5-EB3E9A78E498}"/>
    <hyperlink ref="C583" r:id="rId1746" display="https://statiz.sporki.com/add/?m=draft_school02&amp;ps_school=" xr:uid="{D9A542F6-8466-41B3-AA65-4042C394A5BD}"/>
    <hyperlink ref="A584" r:id="rId1747" display="https://statiz.sporki.com/player/?m=playerinfo&amp;p_no=14627" xr:uid="{0EA671B6-1E30-4970-A0F0-ED4AC11F4ED0}"/>
    <hyperlink ref="B584" r:id="rId1748" display="https://statiz.sporki.com/add/?m=draft_school01&amp;ps_school=51114" xr:uid="{B93C8AD4-B981-47A1-8BE5-7404CAD1EE58}"/>
    <hyperlink ref="C584" r:id="rId1749" display="https://statiz.sporki.com/add/?m=draft_school02&amp;ps_school=61116" xr:uid="{8E508E71-36C6-462C-A857-22BE85DFAB4E}"/>
    <hyperlink ref="A585" r:id="rId1750" display="https://statiz.sporki.com/player/?m=playerinfo&amp;p_no=14630" xr:uid="{A05DFCE9-60EC-42CA-AA4A-3F0CFD0FD048}"/>
    <hyperlink ref="B585" r:id="rId1751" display="https://statiz.sporki.com/add/?m=draft_school01&amp;ps_school=" xr:uid="{46D0CC5C-9E99-412D-BE45-88B42EC6D53A}"/>
    <hyperlink ref="C585" r:id="rId1752" display="https://statiz.sporki.com/add/?m=draft_school02&amp;ps_school=" xr:uid="{E18CB258-2DFE-409C-8DBC-5B03EADD4A84}"/>
    <hyperlink ref="A586" r:id="rId1753" display="https://statiz.sporki.com/player/?m=playerinfo&amp;p_no=14617" xr:uid="{C72312CC-857C-4831-8DF1-FCDFBDAF0F0F}"/>
    <hyperlink ref="B586" r:id="rId1754" display="https://statiz.sporki.com/add/?m=draft_school01&amp;ps_school=" xr:uid="{8B6E8732-2344-4745-A831-6CF03D7D7E88}"/>
    <hyperlink ref="C586" r:id="rId1755" display="https://statiz.sporki.com/add/?m=draft_school02&amp;ps_school=61117" xr:uid="{21569768-2CD9-474A-A0BA-6CD9A6A26D9B}"/>
    <hyperlink ref="A587" r:id="rId1756" display="https://statiz.sporki.com/player/?m=playerinfo&amp;p_no=14743" xr:uid="{8328626D-55B8-40A9-B0CC-C7C028AC2E4A}"/>
    <hyperlink ref="B587" r:id="rId1757" display="https://statiz.sporki.com/add/?m=draft_school01&amp;ps_school=" xr:uid="{83E0093A-CF51-4931-B38B-C15C81362032}"/>
    <hyperlink ref="C587" r:id="rId1758" display="https://statiz.sporki.com/add/?m=draft_school02&amp;ps_school=" xr:uid="{7A7D287B-E3BF-497A-B46D-D259C62BCA50}"/>
    <hyperlink ref="A588" r:id="rId1759" display="https://statiz.sporki.com/player/?m=playerinfo&amp;p_no=14742" xr:uid="{9ABEA94D-DA96-49AD-95FD-329C4E38F5DB}"/>
    <hyperlink ref="B588" r:id="rId1760" display="https://statiz.sporki.com/add/?m=draft_school01&amp;ps_school=" xr:uid="{AE3E2F1C-24CC-428B-848C-79E6EB591D7F}"/>
    <hyperlink ref="C588" r:id="rId1761" display="https://statiz.sporki.com/add/?m=draft_school02&amp;ps_school=" xr:uid="{0A186F7F-1D2F-46C3-907D-7383B88D22B1}"/>
    <hyperlink ref="A589" r:id="rId1762" display="https://statiz.sporki.com/player/?m=playerinfo&amp;p_no=14579" xr:uid="{C1EF5E89-A7DC-4F96-8295-BD59BF7D0AA3}"/>
    <hyperlink ref="B589" r:id="rId1763" display="https://statiz.sporki.com/add/?m=draft_school01&amp;ps_school=" xr:uid="{9C62BFDC-3CE9-4691-A314-A76483C2FAED}"/>
    <hyperlink ref="C589" r:id="rId1764" display="https://statiz.sporki.com/add/?m=draft_school02&amp;ps_school=" xr:uid="{DDFF7214-3BE5-4E8E-B018-82D7E935FDCD}"/>
    <hyperlink ref="A590" r:id="rId1765" display="https://statiz.sporki.com/player/?m=playerinfo&amp;p_no=14741" xr:uid="{7BFA7461-BF8E-409F-91A5-6FD41E253479}"/>
    <hyperlink ref="B590" r:id="rId1766" display="https://statiz.sporki.com/add/?m=draft_school01&amp;ps_school=" xr:uid="{2FFA89A4-C0AA-4D6B-892D-9F82222E3D32}"/>
    <hyperlink ref="C590" r:id="rId1767" display="https://statiz.sporki.com/add/?m=draft_school02&amp;ps_school=" xr:uid="{2666D48E-9D90-451D-875D-ACC0EE152ED0}"/>
    <hyperlink ref="A591" r:id="rId1768" display="https://statiz.sporki.com/player/?m=playerinfo&amp;p_no=14825" xr:uid="{95DB79EF-136C-4D52-983A-0C9F36D9DCCD}"/>
    <hyperlink ref="B591" r:id="rId1769" display="https://statiz.sporki.com/add/?m=draft_school01&amp;ps_school=50101" xr:uid="{1E5566A3-9381-4230-AD99-1CE056DDD812}"/>
    <hyperlink ref="C591" r:id="rId1770" display="https://statiz.sporki.com/add/?m=draft_school02&amp;ps_school=60111" xr:uid="{321E5714-75E9-4C2B-A96C-86396EC00F84}"/>
    <hyperlink ref="A592" r:id="rId1771" display="https://statiz.sporki.com/player/?m=playerinfo&amp;p_no=14727" xr:uid="{798E4819-A596-4510-9BFD-055F13BA81CE}"/>
    <hyperlink ref="B592" r:id="rId1772" display="https://statiz.sporki.com/add/?m=draft_school01&amp;ps_school=50207" xr:uid="{AA21AEBA-46E3-4AF4-A4DC-065F04B78E42}"/>
    <hyperlink ref="C592" r:id="rId1773" display="https://statiz.sporki.com/add/?m=draft_school02&amp;ps_school=60114" xr:uid="{ED4C9F1A-A132-4470-BBCA-75E1155630C0}"/>
    <hyperlink ref="A593" r:id="rId1774" display="https://statiz.sporki.com/player/?m=playerinfo&amp;p_no=14728" xr:uid="{B86906EC-0112-462D-9528-65B54E13052A}"/>
    <hyperlink ref="B593" r:id="rId1775" display="https://statiz.sporki.com/add/?m=draft_school01&amp;ps_school=50101" xr:uid="{6548C137-C260-412F-952A-7DCF10BF907E}"/>
    <hyperlink ref="C593" r:id="rId1776" display="https://statiz.sporki.com/add/?m=draft_school02&amp;ps_school=60108" xr:uid="{4D4CABE9-02AC-477F-BC5B-483548F1F09E}"/>
    <hyperlink ref="A594" r:id="rId1777" display="https://statiz.sporki.com/player/?m=playerinfo&amp;p_no=14729" xr:uid="{0FA61D7E-08BF-4E44-A340-3EF3C2F9CB67}"/>
    <hyperlink ref="B594" r:id="rId1778" display="https://statiz.sporki.com/add/?m=draft_school01&amp;ps_school=50217" xr:uid="{93EE14D9-DF8B-4830-AD8E-28E68F1E5583}"/>
    <hyperlink ref="C594" r:id="rId1779" display="https://statiz.sporki.com/add/?m=draft_school02&amp;ps_school=60501" xr:uid="{B408F52E-A6E9-441C-B433-4E3B8A75DC4F}"/>
    <hyperlink ref="A595" r:id="rId1780" display="https://statiz.sporki.com/player/?m=playerinfo&amp;p_no=14726" xr:uid="{5EA94ACF-49D7-4F6F-86E4-B63D272FC968}"/>
    <hyperlink ref="B595" r:id="rId1781" display="https://statiz.sporki.com/add/?m=draft_school01&amp;ps_school=50211" xr:uid="{7790C9DF-AD5C-487D-9517-9C42E2B0DC45}"/>
    <hyperlink ref="C595" r:id="rId1782" display="https://statiz.sporki.com/add/?m=draft_school02&amp;ps_school=60114" xr:uid="{ECC4A8B1-427C-4778-8429-6ACFD0421E2A}"/>
    <hyperlink ref="A596" r:id="rId1783" display="https://statiz.sporki.com/player/?m=playerinfo&amp;p_no=14725" xr:uid="{C7B2A7AD-8446-4B43-AFC7-0D8784EA2910}"/>
    <hyperlink ref="B596" r:id="rId1784" display="https://statiz.sporki.com/add/?m=draft_school01&amp;ps_school=50109" xr:uid="{F35E4D68-2618-47D1-B13E-337FDB7B1F63}"/>
    <hyperlink ref="C596" r:id="rId1785" display="https://statiz.sporki.com/add/?m=draft_school02&amp;ps_school=60113" xr:uid="{8F1DDD1A-303E-4A51-892E-CA8F61C68925}"/>
    <hyperlink ref="A597" r:id="rId1786" display="https://statiz.sporki.com/player/?m=playerinfo&amp;p_no=14719" xr:uid="{A6040C04-F6BB-4486-88C9-7D781DDA3079}"/>
    <hyperlink ref="B597" r:id="rId1787" display="https://statiz.sporki.com/add/?m=draft_school01&amp;ps_school=50209" xr:uid="{E0484DD1-691A-43A2-B0CB-9DE6B347082F}"/>
    <hyperlink ref="C597" r:id="rId1788" display="https://statiz.sporki.com/add/?m=draft_school02&amp;ps_school=60902" xr:uid="{3C728FCE-CF71-4F3D-922A-C7FFEC863892}"/>
    <hyperlink ref="A598" r:id="rId1789" display="https://statiz.sporki.com/player/?m=playerinfo&amp;p_no=14672" xr:uid="{6AA3D624-0D34-4361-B925-52CF3C7C51FA}"/>
    <hyperlink ref="B598" r:id="rId1790" display="https://statiz.sporki.com/add/?m=draft_school01&amp;ps_school=50109" xr:uid="{580FE890-82CB-48C3-9828-304061638E3F}"/>
    <hyperlink ref="C598" r:id="rId1791" display="https://statiz.sporki.com/add/?m=draft_school02&amp;ps_school=" xr:uid="{9B30C3EC-A72D-4D52-B748-7EF0C1E3E0E2}"/>
    <hyperlink ref="A599" r:id="rId1792" display="https://statiz.sporki.com/player/?m=playerinfo&amp;p_no=14670" xr:uid="{ACF57E61-7594-404F-8CEF-5B32D5062514}"/>
    <hyperlink ref="B599" r:id="rId1793" display="https://statiz.sporki.com/add/?m=draft_school01&amp;ps_school=50401" xr:uid="{F34E04A4-802C-44EA-A0A7-595108946A1A}"/>
    <hyperlink ref="C599" r:id="rId1794" display="https://statiz.sporki.com/add/?m=draft_school02&amp;ps_school=60111" xr:uid="{66F11A10-35A5-4FE4-B77D-4EA6D5C35EB3}"/>
    <hyperlink ref="A600" r:id="rId1795" display="https://statiz.sporki.com/player/?m=playerinfo&amp;p_no=14675" xr:uid="{A08C7CCC-0C23-4296-A7A4-143D52A0EFCB}"/>
    <hyperlink ref="B600" r:id="rId1796" display="https://statiz.sporki.com/add/?m=draft_school01&amp;ps_school=50110" xr:uid="{C49E4C83-E4A5-47EE-8324-AD0AFC29F194}"/>
    <hyperlink ref="C600" r:id="rId1797" display="https://statiz.sporki.com/add/?m=draft_school02&amp;ps_school=60111" xr:uid="{610DC3D9-4E9F-4E43-A46F-44156A59F9F7}"/>
    <hyperlink ref="A601" r:id="rId1798" display="https://statiz.sporki.com/player/?m=playerinfo&amp;p_no=14661" xr:uid="{82D6DB64-4C3B-45D0-A5FC-C997D5179151}"/>
    <hyperlink ref="B601" r:id="rId1799" display="https://statiz.sporki.com/add/?m=draft_school01&amp;ps_school=50114" xr:uid="{47BA32CB-E3B0-48FF-9978-DD95B594F9F3}"/>
    <hyperlink ref="C601" r:id="rId1800" display="https://statiz.sporki.com/add/?m=draft_school02&amp;ps_school=60102" xr:uid="{ABEEE3EF-984E-4D85-8C23-5C237F9667D5}"/>
    <hyperlink ref="A602" r:id="rId1801" display="https://statiz.sporki.com/player/?m=playerinfo&amp;p_no=13677" xr:uid="{3F3C1CFA-A12A-490B-8DB7-3BB39F066658}"/>
    <hyperlink ref="B602" r:id="rId1802" display="https://statiz.sporki.com/add/?m=draft_school01&amp;ps_school=50811" xr:uid="{5BF124A3-A2CB-4858-AAB1-4B7065B215AF}"/>
    <hyperlink ref="C602" r:id="rId1803" display="https://statiz.sporki.com/add/?m=draft_school02&amp;ps_school=" xr:uid="{937630F2-5878-4534-812C-0814A582E7E6}"/>
    <hyperlink ref="A603" r:id="rId1804" display="https://statiz.sporki.com/player/?m=playerinfo&amp;p_no=14691" xr:uid="{6003990F-8314-4EE9-8A95-06BD0C6CF042}"/>
    <hyperlink ref="B603" r:id="rId1805" display="https://statiz.sporki.com/add/?m=draft_school01&amp;ps_school=50114" xr:uid="{4FFC01D5-4382-47A1-A1CD-7474013DD26B}"/>
    <hyperlink ref="C603" r:id="rId1806" display="https://statiz.sporki.com/add/?m=draft_school02&amp;ps_school=60104" xr:uid="{8E56447B-31ED-4D32-8722-6F8C6F1115EC}"/>
    <hyperlink ref="A604" r:id="rId1807" display="https://statiz.sporki.com/player/?m=playerinfo&amp;p_no=14688" xr:uid="{97B54101-751B-4F6C-BF7E-F6DB09A259EF}"/>
    <hyperlink ref="B604" r:id="rId1808" display="https://statiz.sporki.com/add/?m=draft_school01&amp;ps_school=50101" xr:uid="{B8C9A67E-68C5-4403-B08F-7B81C6C89744}"/>
    <hyperlink ref="C604" r:id="rId1809" display="https://statiz.sporki.com/add/?m=draft_school02&amp;ps_school=60104" xr:uid="{98CD74ED-1635-44B2-8986-C7363C6D3241}"/>
    <hyperlink ref="A605" r:id="rId1810" display="https://statiz.sporki.com/player/?m=playerinfo&amp;p_no=14682" xr:uid="{9055A2E1-5D2A-435D-A642-3433C3C48338}"/>
    <hyperlink ref="B605" r:id="rId1811" display="https://statiz.sporki.com/add/?m=draft_school01&amp;ps_school=50605" xr:uid="{8C673E60-58D5-4DC1-95F3-052EACAAF1F1}"/>
    <hyperlink ref="C605" r:id="rId1812" display="https://statiz.sporki.com/add/?m=draft_school02&amp;ps_school=60803" xr:uid="{9AEFA449-6B70-4CEA-897F-EB4160CFF4B7}"/>
    <hyperlink ref="A606" r:id="rId1813" display="https://statiz.sporki.com/player/?m=playerinfo&amp;p_no=14886" xr:uid="{D447F3F5-DAEB-4D27-B4F7-2437FBEFA07D}"/>
    <hyperlink ref="B606" r:id="rId1814" display="https://statiz.sporki.com/add/?m=draft_school01&amp;ps_school=50705" xr:uid="{48BA3820-89AC-497C-9DFB-0DACD5ADFA96}"/>
    <hyperlink ref="C606" r:id="rId1815" display="https://statiz.sporki.com/add/?m=draft_school02&amp;ps_school=60113" xr:uid="{145B070B-E267-494C-AB59-0383B7753BF2}"/>
    <hyperlink ref="A607" r:id="rId1816" display="https://statiz.sporki.com/player/?m=playerinfo&amp;p_no=14735" xr:uid="{5C63A8B1-6A61-4423-97D0-2A26075C4BDD}"/>
    <hyperlink ref="B607" r:id="rId1817" display="https://statiz.sporki.com/add/?m=draft_school01&amp;ps_school=50803" xr:uid="{6A2CE98C-44A7-466A-A326-75EEA43A4EE4}"/>
    <hyperlink ref="C607" r:id="rId1818" display="https://statiz.sporki.com/add/?m=draft_school02&amp;ps_school=" xr:uid="{4CC03D89-45BD-469E-93F9-0A48AE5D3A10}"/>
    <hyperlink ref="A608" r:id="rId1819" display="https://statiz.sporki.com/player/?m=playerinfo&amp;p_no=14731" xr:uid="{1BD15F2E-73BB-464F-A8CE-4FA2ABFC0B36}"/>
    <hyperlink ref="B608" r:id="rId1820" display="https://statiz.sporki.com/add/?m=draft_school01&amp;ps_school=50802" xr:uid="{F9103FE5-2192-4E77-839D-A1C025CE0117}"/>
    <hyperlink ref="C608" r:id="rId1821" display="https://statiz.sporki.com/add/?m=draft_school02&amp;ps_school=60902" xr:uid="{DF28AD92-43E0-4493-841C-2557FEACC3A6}"/>
    <hyperlink ref="A609" r:id="rId1822" display="https://statiz.sporki.com/player/?m=playerinfo&amp;p_no=14734" xr:uid="{1AAEB907-889D-44BD-AB54-68FD03FECC8B}"/>
    <hyperlink ref="B609" r:id="rId1823" display="https://statiz.sporki.com/add/?m=draft_school01&amp;ps_school=50102" xr:uid="{5C30B61D-51A9-4E7B-9FDE-29F05E0ABF49}"/>
    <hyperlink ref="C609" r:id="rId1824" display="https://statiz.sporki.com/add/?m=draft_school02&amp;ps_school=61001" xr:uid="{FF1E2FF0-F496-46BA-B43D-C67572D0B4D3}"/>
    <hyperlink ref="A610" r:id="rId1825" display="https://statiz.sporki.com/player/?m=playerinfo&amp;p_no=13665" xr:uid="{121EBE0B-0839-4C0F-B228-447E00A506FE}"/>
    <hyperlink ref="B610" r:id="rId1826" display="https://statiz.sporki.com/add/?m=draft_school01&amp;ps_school=50103" xr:uid="{674CDDC6-FF39-462A-A933-81C021AE7351}"/>
    <hyperlink ref="C610" r:id="rId1827" display="https://statiz.sporki.com/add/?m=draft_school02&amp;ps_school=" xr:uid="{8F548672-E0C5-472C-BC4C-C9DAF55342E1}"/>
    <hyperlink ref="A611" r:id="rId1828" display="https://statiz.sporki.com/player/?m=playerinfo&amp;p_no=14636" xr:uid="{86C7BB5D-E2FB-46FF-9E90-8FEBBBCD0ED1}"/>
    <hyperlink ref="B611" r:id="rId1829" display="https://statiz.sporki.com/add/?m=draft_school01&amp;ps_school=50105" xr:uid="{51BE875A-8BA6-4AAB-9C2D-A6A7FBF760D8}"/>
    <hyperlink ref="C611" r:id="rId1830" display="https://statiz.sporki.com/add/?m=draft_school02&amp;ps_school=60114" xr:uid="{95D2877E-F6E8-429F-96E6-A466532ED152}"/>
    <hyperlink ref="A612" r:id="rId1831" display="https://statiz.sporki.com/player/?m=playerinfo&amp;p_no=14635" xr:uid="{0C7DF01E-9B2B-4E21-BF1F-601951129847}"/>
    <hyperlink ref="B612" r:id="rId1832" display="https://statiz.sporki.com/add/?m=draft_school01&amp;ps_school=50802" xr:uid="{A16731E2-287C-4572-834A-537A94F36975}"/>
    <hyperlink ref="C612" r:id="rId1833" display="https://statiz.sporki.com/add/?m=draft_school02&amp;ps_school=60111" xr:uid="{C3118369-16DE-48D0-8370-B2F1864D1EB8}"/>
    <hyperlink ref="A613" r:id="rId1834" display="https://statiz.sporki.com/player/?m=playerinfo&amp;p_no=14641" xr:uid="{77D4E5C3-455A-40C2-9AA7-86DE92BC6C72}"/>
    <hyperlink ref="B613" r:id="rId1835" display="https://statiz.sporki.com/add/?m=draft_school01&amp;ps_school=50606" xr:uid="{BEA2B347-8BD0-41D1-B0F3-0D19445A8EC1}"/>
    <hyperlink ref="C613" r:id="rId1836" display="https://statiz.sporki.com/add/?m=draft_school02&amp;ps_school=60804" xr:uid="{37477527-41FB-4AAE-AC1E-5D58D41DC280}"/>
    <hyperlink ref="A614" r:id="rId1837" display="https://statiz.sporki.com/player/?m=playerinfo&amp;p_no=14703" xr:uid="{9F1D68DD-4521-43D7-B621-942009F78D0C}"/>
    <hyperlink ref="B614" r:id="rId1838" display="https://statiz.sporki.com/add/?m=draft_school01&amp;ps_school=50302" xr:uid="{8622884F-126E-4881-AC29-2AC520ACF1EC}"/>
    <hyperlink ref="C614" r:id="rId1839" display="https://statiz.sporki.com/add/?m=draft_school02&amp;ps_school=60703" xr:uid="{BCDF5F0F-9598-4FC9-A561-849AC1DE430A}"/>
    <hyperlink ref="A615" r:id="rId1840" display="https://statiz.sporki.com/player/?m=playerinfo&amp;p_no=14705" xr:uid="{1D7A64DE-2CCD-4BC5-9D30-6002F9FF94D3}"/>
    <hyperlink ref="B615" r:id="rId1841" display="https://statiz.sporki.com/add/?m=draft_school01&amp;ps_school=50301" xr:uid="{E11F99CC-0570-4D0B-8E88-016F680D56D7}"/>
    <hyperlink ref="C615" r:id="rId1842" display="https://statiz.sporki.com/add/?m=draft_school02&amp;ps_school=60803" xr:uid="{17FF1531-581B-4830-AEEF-C9836774798E}"/>
    <hyperlink ref="A616" r:id="rId1843" display="https://statiz.sporki.com/player/?m=playerinfo&amp;p_no=14712" xr:uid="{6D503248-F658-41BD-9900-11CA3A152789}"/>
    <hyperlink ref="B616" r:id="rId1844" display="https://statiz.sporki.com/add/?m=draft_school01&amp;ps_school=50703" xr:uid="{21D64119-D94C-4F73-BB34-936A5BE44A09}"/>
    <hyperlink ref="C616" r:id="rId1845" display="https://statiz.sporki.com/add/?m=draft_school02&amp;ps_school=60703" xr:uid="{6D5A8FD7-8BC4-493F-841A-91CCD7CC697D}"/>
    <hyperlink ref="A617" r:id="rId1846" display="https://statiz.sporki.com/player/?m=playerinfo&amp;p_no=14176" xr:uid="{4C00FB6A-ACD4-43D9-BEFE-CF867433D15F}"/>
    <hyperlink ref="B617" r:id="rId1847" display="https://statiz.sporki.com/add/?m=draft_school01&amp;ps_school=50601" xr:uid="{A90FCF86-B46D-466B-BF6D-6A0E2458CDC4}"/>
    <hyperlink ref="C617" r:id="rId1848" display="https://statiz.sporki.com/add/?m=draft_school02&amp;ps_school=" xr:uid="{FA878DF4-5133-4298-999E-37C5AF38F78E}"/>
    <hyperlink ref="A618" r:id="rId1849" display="https://statiz.sporki.com/player/?m=playerinfo&amp;p_no=14106" xr:uid="{C98D7295-53D1-4F93-81DC-3B36C3A47308}"/>
    <hyperlink ref="B618" r:id="rId1850" display="https://statiz.sporki.com/add/?m=draft_school01&amp;ps_school=50206" xr:uid="{3E45CDB4-E00E-453E-8C6F-07FC7D8FF3DF}"/>
    <hyperlink ref="C618" r:id="rId1851" display="https://statiz.sporki.com/add/?m=draft_school02&amp;ps_school=" xr:uid="{24BF7BFC-F9A6-408C-BB21-0269051EC278}"/>
    <hyperlink ref="A619" r:id="rId1852" display="https://statiz.sporki.com/player/?m=playerinfo&amp;p_no=14134" xr:uid="{81A57A9C-D95D-4797-AD73-804746B68E57}"/>
    <hyperlink ref="B619" r:id="rId1853" display="https://statiz.sporki.com/add/?m=draft_school01&amp;ps_school=50108" xr:uid="{A16A3300-7E19-4ADA-AACA-822A73418CF5}"/>
    <hyperlink ref="C619" r:id="rId1854" display="https://statiz.sporki.com/add/?m=draft_school02&amp;ps_school=60803" xr:uid="{DB30785E-E6A2-4D2E-9D44-06A97E5C65A0}"/>
    <hyperlink ref="A620" r:id="rId1855" display="https://statiz.sporki.com/player/?m=playerinfo&amp;p_no=14188" xr:uid="{307CEF43-4298-4B03-A9FC-6C52E05C485A}"/>
    <hyperlink ref="B620" r:id="rId1856" display="https://statiz.sporki.com/add/?m=draft_school01&amp;ps_school=50807" xr:uid="{1FAADFE2-8DB7-4B91-BA91-92CCC6F5E1CE}"/>
    <hyperlink ref="C620" r:id="rId1857" display="https://statiz.sporki.com/add/?m=draft_school02&amp;ps_school=" xr:uid="{6EC60FF2-C75F-4866-8DBD-11C0EBBDDFD3}"/>
    <hyperlink ref="A621" r:id="rId1858" display="https://statiz.sporki.com/player/?m=playerinfo&amp;p_no=14145" xr:uid="{4FC37A3B-6495-4360-B9F6-DB161932A80B}"/>
    <hyperlink ref="B621" r:id="rId1859" display="https://statiz.sporki.com/add/?m=draft_school01&amp;ps_school=50209" xr:uid="{AA579989-AB57-4535-9795-E66B6ACDB1BA}"/>
    <hyperlink ref="C621" r:id="rId1860" display="https://statiz.sporki.com/add/?m=draft_school02&amp;ps_school=" xr:uid="{58416BC1-CE44-45FA-AFF0-3D2EA306D962}"/>
    <hyperlink ref="A622" r:id="rId1861" display="https://statiz.sporki.com/player/?m=playerinfo&amp;p_no=14130" xr:uid="{83188C0A-02C3-4D44-8E8B-45A8FE6A23C4}"/>
    <hyperlink ref="B622" r:id="rId1862" display="https://statiz.sporki.com/add/?m=draft_school01&amp;ps_school=50101" xr:uid="{C8A09975-C3D0-48E2-9FD7-35AAE7ACE6BC}"/>
    <hyperlink ref="C622" r:id="rId1863" display="https://statiz.sporki.com/add/?m=draft_school02&amp;ps_school=" xr:uid="{959634D9-755E-4F8A-92AD-9B050E42E527}"/>
    <hyperlink ref="A623" r:id="rId1864" display="https://statiz.sporki.com/player/?m=playerinfo&amp;p_no=14170" xr:uid="{EAE98AD3-3717-49B8-A844-0EAED6FA36EB}"/>
    <hyperlink ref="B623" r:id="rId1865" display="https://statiz.sporki.com/add/?m=draft_school01&amp;ps_school=50116" xr:uid="{5C2DC8A4-BC0A-4872-A612-E7B1F7071F86}"/>
    <hyperlink ref="C623" r:id="rId1866" display="https://statiz.sporki.com/add/?m=draft_school02&amp;ps_school=" xr:uid="{677ED248-799E-4286-90EE-CEF631660D21}"/>
    <hyperlink ref="A624" r:id="rId1867" display="https://statiz.sporki.com/player/?m=playerinfo&amp;p_no=14159" xr:uid="{E3DD93D2-E438-4E36-8EBE-6ECEC72BD86C}"/>
    <hyperlink ref="B624" r:id="rId1868" display="https://statiz.sporki.com/add/?m=draft_school01&amp;ps_school=50802" xr:uid="{CECEC4DF-7471-4D2A-A863-4994F008F764}"/>
    <hyperlink ref="C624" r:id="rId1869" display="https://statiz.sporki.com/add/?m=draft_school02&amp;ps_school=" xr:uid="{11EB8586-A032-4488-BC74-431DF80FFDE6}"/>
    <hyperlink ref="A625" r:id="rId1870" display="https://statiz.sporki.com/player/?m=playerinfo&amp;p_no=14113" xr:uid="{6B240E81-5E00-4680-968A-36CB5252D9EE}"/>
    <hyperlink ref="B625" r:id="rId1871" display="https://statiz.sporki.com/add/?m=draft_school01&amp;ps_school=50701" xr:uid="{AECB4E99-6B14-400D-8208-FEC4D7594E18}"/>
    <hyperlink ref="C625" r:id="rId1872" display="https://statiz.sporki.com/add/?m=draft_school02&amp;ps_school=" xr:uid="{C3627BC0-C32B-458E-8917-D7CD84076CC9}"/>
    <hyperlink ref="A626" r:id="rId1873" display="https://statiz.sporki.com/player/?m=playerinfo&amp;p_no=14124" xr:uid="{C22259FF-D22A-4D15-95FE-FA06300FDAA9}"/>
    <hyperlink ref="B626" r:id="rId1874" display="https://statiz.sporki.com/add/?m=draft_school01&amp;ps_school=50403" xr:uid="{71762AB4-0A7A-4862-9DC4-ED811B1856A2}"/>
    <hyperlink ref="C626" r:id="rId1875" display="https://statiz.sporki.com/add/?m=draft_school02&amp;ps_school=" xr:uid="{FB19385C-F73F-43E1-8AA2-A37AACEA0243}"/>
    <hyperlink ref="A627" r:id="rId1876" display="https://statiz.sporki.com/player/?m=playerinfo&amp;p_no=14177" xr:uid="{6DE69210-1010-4358-B1D9-6D511E0F6ED3}"/>
    <hyperlink ref="B627" r:id="rId1877" display="https://statiz.sporki.com/add/?m=draft_school01&amp;ps_school=50103" xr:uid="{CB78D70C-05BF-4966-90B3-B517DD7670AC}"/>
    <hyperlink ref="C627" r:id="rId1878" display="https://statiz.sporki.com/add/?m=draft_school02&amp;ps_school=" xr:uid="{C85E9F2D-7D47-485B-994A-112A9B637BD5}"/>
    <hyperlink ref="A628" r:id="rId1879" display="https://statiz.sporki.com/player/?m=playerinfo&amp;p_no=11907" xr:uid="{2A98BA28-DB91-4634-9C09-B0749DD0F65E}"/>
    <hyperlink ref="B628" r:id="rId1880" display="https://statiz.sporki.com/add/?m=draft_school01&amp;ps_school=50110" xr:uid="{EB474979-1B74-4376-8566-07EC701AF5E0}"/>
    <hyperlink ref="C628" r:id="rId1881" display="https://statiz.sporki.com/add/?m=draft_school02&amp;ps_school=" xr:uid="{6DDE33C5-E7E4-49B5-9ED2-F7B32CCC42C3}"/>
    <hyperlink ref="A629" r:id="rId1882" display="https://statiz.sporki.com/player/?m=playerinfo&amp;p_no=14135" xr:uid="{912F9853-6046-418B-963B-716DE9928574}"/>
    <hyperlink ref="B629" r:id="rId1883" display="https://statiz.sporki.com/add/?m=draft_school01&amp;ps_school=50805" xr:uid="{8824381B-7489-4023-AC0A-EBCAEA0A9FB1}"/>
    <hyperlink ref="C629" r:id="rId1884" display="https://statiz.sporki.com/add/?m=draft_school02&amp;ps_school=" xr:uid="{92BD60FA-8470-425F-8C60-03A4A6DA2BE0}"/>
    <hyperlink ref="A630" r:id="rId1885" display="https://statiz.sporki.com/player/?m=playerinfo&amp;p_no=14155" xr:uid="{E5181C43-A6B2-4EDD-90F7-4F837363BD80}"/>
    <hyperlink ref="B630" r:id="rId1886" display="https://statiz.sporki.com/add/?m=draft_school01&amp;ps_school=50111" xr:uid="{A57D4617-0E57-4CF5-9368-9026D8911A50}"/>
    <hyperlink ref="C630" r:id="rId1887" display="https://statiz.sporki.com/add/?m=draft_school02&amp;ps_school=" xr:uid="{0F18C844-060E-46F1-AA50-52263D569078}"/>
    <hyperlink ref="A631" r:id="rId1888" display="https://statiz.sporki.com/player/?m=playerinfo&amp;p_no=14146" xr:uid="{7FCC5D9B-A04A-4705-AD1A-B4812F33B1C9}"/>
    <hyperlink ref="B631" r:id="rId1889" display="https://statiz.sporki.com/add/?m=draft_school01&amp;ps_school=50602" xr:uid="{A6581272-4E26-4A41-8624-0F4138CE094C}"/>
    <hyperlink ref="C631" r:id="rId1890" display="https://statiz.sporki.com/add/?m=draft_school02&amp;ps_school=" xr:uid="{1591EB17-6B58-4A5E-96B3-D5F1CA5D967A}"/>
    <hyperlink ref="A632" r:id="rId1891" display="https://statiz.sporki.com/player/?m=playerinfo&amp;p_no=14131" xr:uid="{81C57864-FB4B-496A-929A-03FD5BBA8689}"/>
    <hyperlink ref="B632" r:id="rId1892" display="https://statiz.sporki.com/add/?m=draft_school01&amp;ps_school=50301" xr:uid="{F9497E6B-462C-4C27-80CB-4594D6F58B1D}"/>
    <hyperlink ref="C632" r:id="rId1893" display="https://statiz.sporki.com/add/?m=draft_school02&amp;ps_school=" xr:uid="{43B83FB9-EA8B-4707-A40F-51C2EE23336C}"/>
    <hyperlink ref="A633" r:id="rId1894" display="https://statiz.sporki.com/player/?m=playerinfo&amp;p_no=14171" xr:uid="{D05FCFA7-4F84-4287-BE24-62F4A89BE7A1}"/>
    <hyperlink ref="B633" r:id="rId1895" display="https://statiz.sporki.com/add/?m=draft_school01&amp;ps_school=50203" xr:uid="{C193BCF6-1476-4696-A237-773232AF8AD1}"/>
    <hyperlink ref="C633" r:id="rId1896" display="https://statiz.sporki.com/add/?m=draft_school02&amp;ps_school=" xr:uid="{BCDAD397-133A-4E9B-BDF0-8AFFE3E8BCAE}"/>
    <hyperlink ref="A634" r:id="rId1897" display="https://statiz.sporki.com/player/?m=playerinfo&amp;p_no=14160" xr:uid="{07B7A733-0BDB-417B-B955-01EB688743AC}"/>
    <hyperlink ref="B634" r:id="rId1898" display="https://statiz.sporki.com/add/?m=draft_school01&amp;ps_school=50403" xr:uid="{67F5D65E-64EF-4433-86B5-48733B2836B6}"/>
    <hyperlink ref="C634" r:id="rId1899" display="https://statiz.sporki.com/add/?m=draft_school02&amp;ps_school=" xr:uid="{F4444252-B2B0-46EB-8CD6-1C2ADC13479E}"/>
    <hyperlink ref="A635" r:id="rId1900" display="https://statiz.sporki.com/player/?m=playerinfo&amp;p_no=14114" xr:uid="{FC1ADF9D-FFF3-4218-BE51-F0B126A61118}"/>
    <hyperlink ref="B635" r:id="rId1901" display="https://statiz.sporki.com/add/?m=draft_school01&amp;ps_school=50114" xr:uid="{36082069-EDD0-4D97-8BDA-9E7864304888}"/>
    <hyperlink ref="C635" r:id="rId1902" display="https://statiz.sporki.com/add/?m=draft_school02&amp;ps_school=" xr:uid="{27AAC7A9-3F04-480F-A310-C00358DBE8EE}"/>
    <hyperlink ref="A636" r:id="rId1903" display="https://statiz.sporki.com/player/?m=playerinfo&amp;p_no=14125" xr:uid="{DFEFD974-763B-4724-9CAC-241438772D9E}"/>
    <hyperlink ref="B636" r:id="rId1904" display="https://statiz.sporki.com/add/?m=draft_school01&amp;ps_school=50802" xr:uid="{89D3AE27-9AE5-45CB-AD77-F3CFC58D69DC}"/>
    <hyperlink ref="C636" r:id="rId1905" display="https://statiz.sporki.com/add/?m=draft_school02&amp;ps_school=" xr:uid="{73677673-917B-41DD-B0BE-999D5144178C}"/>
    <hyperlink ref="A637" r:id="rId1906" display="https://statiz.sporki.com/player/?m=playerinfo&amp;p_no=14178" xr:uid="{34BC7F53-1921-4B43-A1A4-DA89FBAEBDEA}"/>
    <hyperlink ref="B637" r:id="rId1907" display="https://statiz.sporki.com/add/?m=draft_school01&amp;ps_school=50108" xr:uid="{D55340A8-5FB6-416A-ACA8-B336D5EAB019}"/>
    <hyperlink ref="C637" r:id="rId1908" display="https://statiz.sporki.com/add/?m=draft_school02&amp;ps_school=" xr:uid="{29ADB65B-F947-41B7-88C5-607ED834673B}"/>
    <hyperlink ref="A638" r:id="rId1909" display="https://statiz.sporki.com/player/?m=playerinfo&amp;p_no=14107" xr:uid="{6189D3A2-B550-4F72-B6FD-BE00B3C9BBF8}"/>
    <hyperlink ref="B638" r:id="rId1910" display="https://statiz.sporki.com/add/?m=draft_school01&amp;ps_school=50802" xr:uid="{8C15296D-5CED-4261-8ECC-F8D57E801806}"/>
    <hyperlink ref="C638" r:id="rId1911" display="https://statiz.sporki.com/add/?m=draft_school02&amp;ps_school=" xr:uid="{030B28A1-B599-4CA6-B1BC-943326EF7E5D}"/>
    <hyperlink ref="A639" r:id="rId1912" display="https://statiz.sporki.com/player/?m=playerinfo&amp;p_no=14136" xr:uid="{07F11556-2802-43BA-A17A-011984B4C46F}"/>
    <hyperlink ref="B639" r:id="rId1913" display="https://statiz.sporki.com/add/?m=draft_school01&amp;ps_school=50107" xr:uid="{C8472A0B-3622-44A0-B23B-3280FA6310B5}"/>
    <hyperlink ref="C639" r:id="rId1914" display="https://statiz.sporki.com/add/?m=draft_school02&amp;ps_school=" xr:uid="{55DC453F-BCF1-4FB0-8249-DD9C248982D6}"/>
    <hyperlink ref="A640" r:id="rId1915" display="https://statiz.sporki.com/player/?m=playerinfo&amp;p_no=14156" xr:uid="{B54314E2-6ACD-439E-A5F4-6B9C2F1F4622}"/>
    <hyperlink ref="B640" r:id="rId1916" display="https://statiz.sporki.com/add/?m=draft_school01&amp;ps_school=50810" xr:uid="{5EF17942-5338-43F4-9407-A6C4707B4339}"/>
    <hyperlink ref="C640" r:id="rId1917" display="https://statiz.sporki.com/add/?m=draft_school02&amp;ps_school=" xr:uid="{666D1932-70D9-4E4D-852C-928F415369A5}"/>
    <hyperlink ref="A641" r:id="rId1918" display="https://statiz.sporki.com/player/?m=playerinfo&amp;p_no=14147" xr:uid="{4A09ADBF-DDEF-4D24-9DB3-4B9C2E9FA30B}"/>
    <hyperlink ref="B641" r:id="rId1919" display="https://statiz.sporki.com/add/?m=draft_school01&amp;ps_school=50807" xr:uid="{FC314EF9-D606-4850-A1D5-E994B108D646}"/>
    <hyperlink ref="C641" r:id="rId1920" display="https://statiz.sporki.com/add/?m=draft_school02&amp;ps_school=" xr:uid="{49754F6E-0FDB-4F0F-B63D-CEA493B9A41F}"/>
    <hyperlink ref="A642" r:id="rId1921" display="https://statiz.sporki.com/player/?m=playerinfo&amp;p_no=14132" xr:uid="{E9A02103-C712-44B0-8CE3-D132C0FE6062}"/>
    <hyperlink ref="B642" r:id="rId1922" display="https://statiz.sporki.com/add/?m=draft_school01&amp;ps_school=50213" xr:uid="{78DFA12F-E154-4414-A90B-912AA0B75F65}"/>
    <hyperlink ref="C642" r:id="rId1923" display="https://statiz.sporki.com/add/?m=draft_school02&amp;ps_school=" xr:uid="{14146A21-5242-4115-9415-4E7FB106F24C}"/>
    <hyperlink ref="A643" r:id="rId1924" display="https://statiz.sporki.com/player/?m=playerinfo&amp;p_no=14172" xr:uid="{1D068200-7F5C-4D43-9DE1-E4E4EBBA8A9F}"/>
    <hyperlink ref="B643" r:id="rId1925" display="https://statiz.sporki.com/add/?m=draft_school01&amp;ps_school=50107" xr:uid="{A5F50039-A809-45AA-AEFA-0139AE5048FA}"/>
    <hyperlink ref="C643" r:id="rId1926" display="https://statiz.sporki.com/add/?m=draft_school02&amp;ps_school=" xr:uid="{C9DC1630-9D3E-4886-81EB-2C4405F59F58}"/>
    <hyperlink ref="A644" r:id="rId1927" display="https://statiz.sporki.com/player/?m=playerinfo&amp;p_no=14161" xr:uid="{94302A73-4F47-46E5-A9FB-3B131084DF7F}"/>
    <hyperlink ref="B644" r:id="rId1928" display="https://statiz.sporki.com/add/?m=draft_school01&amp;ps_school=50108" xr:uid="{EF7DD074-3588-4A95-A8F8-4738336AF35F}"/>
    <hyperlink ref="C644" r:id="rId1929" display="https://statiz.sporki.com/add/?m=draft_school02&amp;ps_school=" xr:uid="{3B2EAFDF-32E2-41C7-9D51-3EF6DCC46FAF}"/>
    <hyperlink ref="A645" r:id="rId1930" display="https://statiz.sporki.com/player/?m=playerinfo&amp;p_no=14115" xr:uid="{294559C7-4B31-48C4-A420-5B672C6A9333}"/>
    <hyperlink ref="B645" r:id="rId1931" display="https://statiz.sporki.com/add/?m=draft_school01&amp;ps_school=50110" xr:uid="{F54E9160-FAB1-4690-BC82-5EEC2F63983F}"/>
    <hyperlink ref="C645" r:id="rId1932" display="https://statiz.sporki.com/add/?m=draft_school02&amp;ps_school=" xr:uid="{B86FCD2D-D0FF-4373-84A1-0DC483540420}"/>
    <hyperlink ref="A646" r:id="rId1933" display="https://statiz.sporki.com/player/?m=playerinfo&amp;p_no=14126" xr:uid="{6EB068FC-4E10-4366-AB77-06CB35D64561}"/>
    <hyperlink ref="B646" r:id="rId1934" display="https://statiz.sporki.com/add/?m=draft_school01&amp;ps_school=50602" xr:uid="{E130DEB5-D44B-44AD-AFCA-419A5066190E}"/>
    <hyperlink ref="C646" r:id="rId1935" display="https://statiz.sporki.com/add/?m=draft_school02&amp;ps_school=" xr:uid="{BC6824E6-C32D-4153-95A0-41F2D908DC7B}"/>
    <hyperlink ref="A647" r:id="rId1936" display="https://statiz.sporki.com/player/?m=playerinfo&amp;p_no=14179" xr:uid="{552A076A-E6B9-4ADF-B0DD-2E6E3B206297}"/>
    <hyperlink ref="B647" r:id="rId1937" display="https://statiz.sporki.com/add/?m=draft_school01&amp;ps_school=50211" xr:uid="{156BBC98-4A91-45AD-AC2B-37464CDBEED4}"/>
    <hyperlink ref="C647" r:id="rId1938" display="https://statiz.sporki.com/add/?m=draft_school02&amp;ps_school=" xr:uid="{D52BB68B-719D-485D-BCF2-42194FD54C04}"/>
    <hyperlink ref="A648" r:id="rId1939" display="https://statiz.sporki.com/player/?m=playerinfo&amp;p_no=14108" xr:uid="{8126602D-BA6C-4F23-BA39-6933DBB48A98}"/>
    <hyperlink ref="B648" r:id="rId1940" display="https://statiz.sporki.com/add/?m=draft_school01&amp;ps_school=50108" xr:uid="{BB90B1B9-79FE-4ADB-AA32-7E63E1468220}"/>
    <hyperlink ref="C648" r:id="rId1941" display="https://statiz.sporki.com/add/?m=draft_school02&amp;ps_school=" xr:uid="{7A2FB0D9-8BDD-40E7-8DDB-F1B3A0D7FF91}"/>
    <hyperlink ref="A649" r:id="rId1942" display="https://statiz.sporki.com/player/?m=playerinfo&amp;p_no=14137" xr:uid="{8EB4BAC7-A2F2-48A2-B994-A21C9BCD3D72}"/>
    <hyperlink ref="B649" r:id="rId1943" display="https://statiz.sporki.com/add/?m=draft_school01&amp;ps_school=50110" xr:uid="{B3B29634-2F00-442F-8868-D88A6ED311BE}"/>
    <hyperlink ref="C649" r:id="rId1944" display="https://statiz.sporki.com/add/?m=draft_school02&amp;ps_school=" xr:uid="{F983EF1D-AEEB-429E-BBE3-91CB9D1EE993}"/>
    <hyperlink ref="A650" r:id="rId1945" display="https://statiz.sporki.com/player/?m=playerinfo&amp;p_no=14157" xr:uid="{80C9086E-11EF-4D72-880A-6368AEBCF6E1}"/>
    <hyperlink ref="B650" r:id="rId1946" display="https://statiz.sporki.com/add/?m=draft_school01&amp;ps_school=50403" xr:uid="{A63FFD49-F498-4768-B41C-43DEAAAA53F2}"/>
    <hyperlink ref="C650" r:id="rId1947" display="https://statiz.sporki.com/add/?m=draft_school02&amp;ps_school=" xr:uid="{C8144E07-135E-4EE8-9A13-5909B05B8803}"/>
    <hyperlink ref="A651" r:id="rId1948" display="https://statiz.sporki.com/player/?m=playerinfo&amp;p_no=14148" xr:uid="{4AB38BBC-F678-430D-B1E2-146EF46BE922}"/>
    <hyperlink ref="B651" r:id="rId1949" display="https://statiz.sporki.com/add/?m=draft_school01&amp;ps_school=50403" xr:uid="{F13C4066-BBF6-48EE-BD01-5A9116E2917F}"/>
    <hyperlink ref="C651" r:id="rId1950" display="https://statiz.sporki.com/add/?m=draft_school02&amp;ps_school=" xr:uid="{826D031C-49D7-4BE5-A3C6-8673BCB6C975}"/>
    <hyperlink ref="A652" r:id="rId1951" display="https://statiz.sporki.com/player/?m=playerinfo&amp;p_no=14133" xr:uid="{853E44D7-BA3E-43BC-99B0-D9E8AEC9C22B}"/>
    <hyperlink ref="B652" r:id="rId1952" display="https://statiz.sporki.com/add/?m=draft_school01&amp;ps_school=50801" xr:uid="{2A42229D-B94A-4DD6-9113-F0358BF42296}"/>
    <hyperlink ref="C652" r:id="rId1953" display="https://statiz.sporki.com/add/?m=draft_school02&amp;ps_school=" xr:uid="{94B6FE44-6EB0-4380-A446-A5E6E21064AE}"/>
    <hyperlink ref="A653" r:id="rId1954" display="https://statiz.sporki.com/player/?m=playerinfo&amp;p_no=14173" xr:uid="{27FEF3FF-1A3D-4E7C-825B-0D413681E458}"/>
    <hyperlink ref="B653" r:id="rId1955" display="https://statiz.sporki.com/add/?m=draft_school01&amp;ps_school=50107" xr:uid="{BD810E22-1609-4C9B-A5E5-32E8D029A4FC}"/>
    <hyperlink ref="C653" r:id="rId1956" display="https://statiz.sporki.com/add/?m=draft_school02&amp;ps_school=" xr:uid="{496D4F6F-52A0-4279-839E-A1F836D0EAF5}"/>
    <hyperlink ref="A654" r:id="rId1957" display="https://statiz.sporki.com/player/?m=playerinfo&amp;p_no=14162" xr:uid="{D955D9CB-BBF7-408B-8736-263BA912092B}"/>
    <hyperlink ref="B654" r:id="rId1958" display="https://statiz.sporki.com/add/?m=draft_school01&amp;ps_school=50111" xr:uid="{8E7D8E99-BE11-4C66-B017-27E6F3332299}"/>
    <hyperlink ref="C654" r:id="rId1959" display="https://statiz.sporki.com/add/?m=draft_school02&amp;ps_school=" xr:uid="{6433DDD3-87E4-4810-8CD3-BB5E04F78B38}"/>
    <hyperlink ref="A655" r:id="rId1960" display="https://statiz.sporki.com/player/?m=playerinfo&amp;p_no=14116" xr:uid="{5FA56233-53A8-458D-AD87-B9246E6F3956}"/>
    <hyperlink ref="B655" r:id="rId1961" display="https://statiz.sporki.com/add/?m=draft_school01&amp;ps_school=50114" xr:uid="{8E2C3AEC-E30E-48AD-B22F-029755BC816F}"/>
    <hyperlink ref="C655" r:id="rId1962" display="https://statiz.sporki.com/add/?m=draft_school02&amp;ps_school=" xr:uid="{6480A162-05E8-4589-BD81-D99F5F743357}"/>
    <hyperlink ref="A656" r:id="rId1963" display="https://statiz.sporki.com/player/?m=playerinfo&amp;p_no=14127" xr:uid="{96790DC7-6008-4FCC-A743-94F9EB912B12}"/>
    <hyperlink ref="B656" r:id="rId1964" display="https://statiz.sporki.com/add/?m=draft_school01&amp;ps_school=50805" xr:uid="{F6F053D3-FF02-4B01-9F20-2E6E92AF8C60}"/>
    <hyperlink ref="C656" r:id="rId1965" display="https://statiz.sporki.com/add/?m=draft_school02&amp;ps_school=" xr:uid="{7974BCE0-0D55-463D-9975-759F2EA792E9}"/>
    <hyperlink ref="A657" r:id="rId1966" display="https://statiz.sporki.com/player/?m=playerinfo&amp;p_no=14180" xr:uid="{D5399E0E-F319-46E3-BC63-AC097B9873E7}"/>
    <hyperlink ref="B657" r:id="rId1967" display="https://statiz.sporki.com/add/?m=draft_school01&amp;ps_school=50604" xr:uid="{A7E7EA28-B81F-4F5D-A3AD-0540F5463AA2}"/>
    <hyperlink ref="C657" r:id="rId1968" display="https://statiz.sporki.com/add/?m=draft_school02&amp;ps_school=60501" xr:uid="{FA4A7331-81DB-4450-BB16-19A3FD6ABBA6}"/>
    <hyperlink ref="A658" r:id="rId1969" display="https://statiz.sporki.com/player/?m=playerinfo&amp;p_no=14109" xr:uid="{6732899B-4F96-47B7-8FD7-E239F06AEA2B}"/>
    <hyperlink ref="B658" r:id="rId1970" display="https://statiz.sporki.com/add/?m=draft_school01&amp;ps_school=50701" xr:uid="{A5646B7D-19BC-4E7E-A4B7-0B055CEA259F}"/>
    <hyperlink ref="C658" r:id="rId1971" display="https://statiz.sporki.com/add/?m=draft_school02&amp;ps_school=60703" xr:uid="{C391F4B7-4B99-4E82-835D-157671F78835}"/>
    <hyperlink ref="A659" r:id="rId1972" display="https://statiz.sporki.com/player/?m=playerinfo&amp;p_no=14138" xr:uid="{7DD5DF2B-E21B-4C81-828B-5E05510F846C}"/>
    <hyperlink ref="B659" r:id="rId1973" display="https://statiz.sporki.com/add/?m=draft_school01&amp;ps_school=50804" xr:uid="{A7C7170C-3A96-4F0C-9FC8-CD7BBFF40D64}"/>
    <hyperlink ref="C659" r:id="rId1974" display="https://statiz.sporki.com/add/?m=draft_school02&amp;ps_school=60501" xr:uid="{CCE3439B-B5FE-4DC3-B520-7E3D873F79FA}"/>
    <hyperlink ref="A660" r:id="rId1975" display="https://statiz.sporki.com/player/?m=playerinfo&amp;p_no=14158" xr:uid="{477CF718-A2E3-45B7-B260-DA445217D393}"/>
    <hyperlink ref="B660" r:id="rId1976" display="https://statiz.sporki.com/add/?m=draft_school01&amp;ps_school=50705" xr:uid="{CD2621F8-06AD-486E-9D43-15A8739A4824}"/>
    <hyperlink ref="C660" r:id="rId1977" display="https://statiz.sporki.com/add/?m=draft_school02&amp;ps_school=" xr:uid="{D2615112-D778-4EAE-8A89-329C957699B9}"/>
    <hyperlink ref="A661" r:id="rId1978" display="https://statiz.sporki.com/player/?m=playerinfo&amp;p_no=14149" xr:uid="{72DD7697-B9CB-4BDF-810D-71B1D6EDD2FC}"/>
    <hyperlink ref="B661" r:id="rId1979" display="https://statiz.sporki.com/add/?m=draft_school01&amp;ps_school=50401" xr:uid="{E7C3DDEC-794A-405A-8BC6-8BB5907D672C}"/>
    <hyperlink ref="C661" r:id="rId1980" display="https://statiz.sporki.com/add/?m=draft_school02&amp;ps_school=" xr:uid="{EE328C9A-B3EA-4F6C-81E9-97438319DDD0}"/>
    <hyperlink ref="A662" r:id="rId1981" display="https://statiz.sporki.com/player/?m=playerinfo&amp;p_no=14480" xr:uid="{17F84AE8-FF89-4851-8214-228FB281C95B}"/>
    <hyperlink ref="B662" r:id="rId1982" display="https://statiz.sporki.com/add/?m=draft_school01&amp;ps_school=50502" xr:uid="{12B2BA21-0FD7-41BB-9118-C85408672BFF}"/>
    <hyperlink ref="C662" r:id="rId1983" display="https://statiz.sporki.com/add/?m=draft_school02&amp;ps_school=" xr:uid="{F07A9ED0-B3BB-44F5-80A8-513219AA4F3B}"/>
    <hyperlink ref="A663" r:id="rId1984" display="https://statiz.sporki.com/player/?m=playerinfo&amp;p_no=14174" xr:uid="{0FB4C434-596D-4BD4-9216-216D1986698A}"/>
    <hyperlink ref="B663" r:id="rId1985" display="https://statiz.sporki.com/add/?m=draft_school01&amp;ps_school=50111" xr:uid="{C2448233-058E-4F06-9121-7B73C6653EA1}"/>
    <hyperlink ref="C663" r:id="rId1986" display="https://statiz.sporki.com/add/?m=draft_school02&amp;ps_school=60205" xr:uid="{10027A96-0179-48BC-B9DF-F2667246F265}"/>
    <hyperlink ref="A664" r:id="rId1987" display="https://statiz.sporki.com/player/?m=playerinfo&amp;p_no=14163" xr:uid="{638FD6AF-7370-4815-829F-79C064BD0A6B}"/>
    <hyperlink ref="B664" r:id="rId1988" display="https://statiz.sporki.com/add/?m=draft_school01&amp;ps_school=50805" xr:uid="{642078F1-F61A-4C55-81F1-9CE1B8A6A260}"/>
    <hyperlink ref="C664" r:id="rId1989" display="https://statiz.sporki.com/add/?m=draft_school02&amp;ps_school=" xr:uid="{7CA0F218-2E45-4C0F-87B8-89C23D2DDBB4}"/>
    <hyperlink ref="A665" r:id="rId1990" display="https://statiz.sporki.com/player/?m=playerinfo&amp;p_no=14117" xr:uid="{601CE356-6F89-4DD5-9B18-166FB98A5702}"/>
    <hyperlink ref="B665" r:id="rId1991" display="https://statiz.sporki.com/add/?m=draft_school01&amp;ps_school=50210" xr:uid="{C806EB06-E470-4C16-B80F-0BF9D331E213}"/>
    <hyperlink ref="C665" r:id="rId1992" display="https://statiz.sporki.com/add/?m=draft_school02&amp;ps_school=" xr:uid="{86CE654D-63E5-4063-8FC5-78C1682F1928}"/>
    <hyperlink ref="A666" r:id="rId1993" display="https://statiz.sporki.com/player/?m=playerinfo&amp;p_no=14128" xr:uid="{ACC2A1CF-552A-47F3-A396-5F0DDCDD2BE6}"/>
    <hyperlink ref="B666" r:id="rId1994" display="https://statiz.sporki.com/add/?m=draft_school01&amp;ps_school=50110" xr:uid="{DE041AAC-D856-421D-9458-96116EC1FDED}"/>
    <hyperlink ref="C666" r:id="rId1995" display="https://statiz.sporki.com/add/?m=draft_school02&amp;ps_school=" xr:uid="{64C81E1B-571A-4557-B3EA-AB82562D3A70}"/>
    <hyperlink ref="A667" r:id="rId1996" display="https://statiz.sporki.com/player/?m=playerinfo&amp;p_no=14181" xr:uid="{B12D4319-C9AF-4AFF-9366-E35B0051FA00}"/>
    <hyperlink ref="B667" r:id="rId1997" display="https://statiz.sporki.com/add/?m=draft_school01&amp;ps_school=50105" xr:uid="{EF86ADBB-8814-4094-81A3-DC8F5C80123E}"/>
    <hyperlink ref="C667" r:id="rId1998" display="https://statiz.sporki.com/add/?m=draft_school02&amp;ps_school=60204" xr:uid="{E9A4A9F9-F014-42EE-9266-87245F21CB21}"/>
    <hyperlink ref="A668" r:id="rId1999" display="https://statiz.sporki.com/player/?m=playerinfo&amp;p_no=14110" xr:uid="{F6835128-253F-4668-BC84-B6DB183C20A5}"/>
    <hyperlink ref="B668" r:id="rId2000" display="https://statiz.sporki.com/add/?m=draft_school01&amp;ps_school=50111" xr:uid="{07530AA3-CF46-4F59-90EB-9F423B3905B0}"/>
    <hyperlink ref="C668" r:id="rId2001" display="https://statiz.sporki.com/add/?m=draft_school02&amp;ps_school=" xr:uid="{96338EDB-BFFC-4024-BC06-B072310923E6}"/>
    <hyperlink ref="A669" r:id="rId2002" display="https://statiz.sporki.com/player/?m=playerinfo&amp;p_no=14139" xr:uid="{D1606421-BD78-46DB-B286-D9DA14A491D8}"/>
    <hyperlink ref="B669" r:id="rId2003" display="https://statiz.sporki.com/add/?m=draft_school01&amp;ps_school=50208" xr:uid="{ED643840-18A5-4F52-A540-D6B5E086C4E6}"/>
    <hyperlink ref="C669" r:id="rId2004" display="https://statiz.sporki.com/add/?m=draft_school02&amp;ps_school=" xr:uid="{29C64785-87A5-4D0C-82EB-34CD563ABEE3}"/>
    <hyperlink ref="A670" r:id="rId2005" display="https://statiz.sporki.com/player/?m=playerinfo&amp;p_no=14222" xr:uid="{C2C37D93-6323-4F3F-980B-695A22CE6D63}"/>
    <hyperlink ref="B670" r:id="rId2006" display="https://statiz.sporki.com/add/?m=draft_school01&amp;ps_school=50703" xr:uid="{7ACC8BC3-9CA6-475A-A47C-5891E8E22DD3}"/>
    <hyperlink ref="C670" r:id="rId2007" display="https://statiz.sporki.com/add/?m=draft_school02&amp;ps_school=" xr:uid="{8925C729-5408-4764-8902-30894E86090C}"/>
    <hyperlink ref="A671" r:id="rId2008" display="https://statiz.sporki.com/player/?m=playerinfo&amp;p_no=14150" xr:uid="{1932FFD5-C1E5-4F4E-AF1E-9565772195F1}"/>
    <hyperlink ref="B671" r:id="rId2009" display="https://statiz.sporki.com/add/?m=draft_school01&amp;ps_school=50207" xr:uid="{ECB49060-35F0-40AD-9164-5D0461DD237B}"/>
    <hyperlink ref="C671" r:id="rId2010" display="https://statiz.sporki.com/add/?m=draft_school02&amp;ps_school=" xr:uid="{08A8779E-0E53-463D-A401-EBEE3F521D62}"/>
    <hyperlink ref="A672" r:id="rId2011" display="https://statiz.sporki.com/player/?m=playerinfo&amp;p_no=14212" xr:uid="{A9999DE2-E996-429C-9705-7B9703AA1BD2}"/>
    <hyperlink ref="B672" r:id="rId2012" display="https://statiz.sporki.com/add/?m=draft_school01&amp;ps_school=50601" xr:uid="{05DDB787-5F2A-4691-BBDB-D92548CD8A00}"/>
    <hyperlink ref="C672" r:id="rId2013" display="https://statiz.sporki.com/add/?m=draft_school02&amp;ps_school=" xr:uid="{F509DB4B-9F6C-4DD6-9367-703EC3B3616F}"/>
    <hyperlink ref="A673" r:id="rId2014" display="https://statiz.sporki.com/player/?m=playerinfo&amp;p_no=14175" xr:uid="{7F8F91FD-C0CB-4C2B-A950-C57870F4A226}"/>
    <hyperlink ref="B673" r:id="rId2015" display="https://statiz.sporki.com/add/?m=draft_school01&amp;ps_school=50105" xr:uid="{7A02A19F-5C1B-49FB-BBAD-014692918995}"/>
    <hyperlink ref="C673" r:id="rId2016" display="https://statiz.sporki.com/add/?m=draft_school02&amp;ps_school=60101" xr:uid="{EF1F6F27-BF87-491E-8C0E-3C05AC7B63BB}"/>
    <hyperlink ref="A674" r:id="rId2017" display="https://statiz.sporki.com/player/?m=playerinfo&amp;p_no=14164" xr:uid="{506ACF4B-E93D-4792-8D2A-24B79D82D603}"/>
    <hyperlink ref="B674" r:id="rId2018" display="https://statiz.sporki.com/add/?m=draft_school01&amp;ps_school=50703" xr:uid="{4CC1B254-E590-4250-9A3C-879CEBB5130F}"/>
    <hyperlink ref="C674" r:id="rId2019" display="https://statiz.sporki.com/add/?m=draft_school02&amp;ps_school=" xr:uid="{D5F81FD2-C7FE-4A84-A6D3-8B43FE1DE653}"/>
    <hyperlink ref="A675" r:id="rId2020" display="https://statiz.sporki.com/player/?m=playerinfo&amp;p_no=14118" xr:uid="{E17CA67F-4842-49DA-A145-B89B50437BE4}"/>
    <hyperlink ref="B675" r:id="rId2021" display="https://statiz.sporki.com/add/?m=draft_school01&amp;ps_school=50701" xr:uid="{E3BCF11D-84C6-431C-B34A-C5FC81FD10EB}"/>
    <hyperlink ref="C675" r:id="rId2022" display="https://statiz.sporki.com/add/?m=draft_school02&amp;ps_school=" xr:uid="{69EEE4F5-BAF6-40A0-97CC-D9424F403D97}"/>
    <hyperlink ref="A676" r:id="rId2023" display="https://statiz.sporki.com/player/?m=playerinfo&amp;p_no=14209" xr:uid="{71D30AD9-6848-4160-A253-66FA44E0E119}"/>
    <hyperlink ref="B676" r:id="rId2024" display="https://statiz.sporki.com/add/?m=draft_school01&amp;ps_school=50802" xr:uid="{3D00D2CD-89E9-4A33-A4BA-C61D78F9B10A}"/>
    <hyperlink ref="C676" r:id="rId2025" display="https://statiz.sporki.com/add/?m=draft_school02&amp;ps_school=" xr:uid="{B328E24D-DBE7-494A-B229-C1FA37FF162B}"/>
    <hyperlink ref="A677" r:id="rId2026" display="https://statiz.sporki.com/player/?m=playerinfo&amp;p_no=14182" xr:uid="{9AEEFB2A-A3E3-4E2F-8CB2-4B8D33D10A72}"/>
    <hyperlink ref="B677" r:id="rId2027" display="https://statiz.sporki.com/add/?m=draft_school01&amp;ps_school=50709" xr:uid="{B6954CF5-621F-40D2-AF8B-2C6CD497ED1D}"/>
    <hyperlink ref="C677" r:id="rId2028" display="https://statiz.sporki.com/add/?m=draft_school02&amp;ps_school=" xr:uid="{94EC7119-1BE0-4594-9991-E4B4822BBAE6}"/>
    <hyperlink ref="A678" r:id="rId2029" display="https://statiz.sporki.com/player/?m=playerinfo&amp;p_no=14191" xr:uid="{6B9F97FF-343B-4DC2-B1E9-39DB81BCF4BD}"/>
    <hyperlink ref="B678" r:id="rId2030" display="https://statiz.sporki.com/add/?m=draft_school01&amp;ps_school=50701" xr:uid="{703B05B2-D56C-4508-831B-BF886850C056}"/>
    <hyperlink ref="C678" r:id="rId2031" display="https://statiz.sporki.com/add/?m=draft_school02&amp;ps_school=" xr:uid="{E8E27ADE-B02D-47CF-B9CE-5B23B91CF44F}"/>
    <hyperlink ref="A679" r:id="rId2032" display="https://statiz.sporki.com/player/?m=playerinfo&amp;p_no=14140" xr:uid="{91F3E1B4-DCF8-41D0-90EB-55AE5BB2B2DE}"/>
    <hyperlink ref="B679" r:id="rId2033" display="https://statiz.sporki.com/add/?m=draft_school01&amp;ps_school=50111" xr:uid="{8A7B8EBB-EC50-40C6-BD72-271A36F87194}"/>
    <hyperlink ref="C679" r:id="rId2034" display="https://statiz.sporki.com/add/?m=draft_school02&amp;ps_school=60104" xr:uid="{0ABEDE56-EEBF-41C6-B47B-44C580A37B94}"/>
    <hyperlink ref="A680" r:id="rId2035" display="https://statiz.sporki.com/player/?m=playerinfo&amp;p_no=14654" xr:uid="{2E624886-A731-45AC-81FE-D5C41924C48F}"/>
    <hyperlink ref="B680" r:id="rId2036" display="https://statiz.sporki.com/add/?m=draft_school01&amp;ps_school=50804" xr:uid="{C4D84F73-7D4F-43F6-BC38-B2F04FE0AF92}"/>
    <hyperlink ref="C680" r:id="rId2037" display="https://statiz.sporki.com/add/?m=draft_school02&amp;ps_school=" xr:uid="{E5314FD6-0C74-4EFD-9575-3C1ACFA86A0D}"/>
    <hyperlink ref="A681" r:id="rId2038" display="https://statiz.sporki.com/player/?m=playerinfo&amp;p_no=14151" xr:uid="{4CE07A56-E40B-465E-A043-B43DC8C77C11}"/>
    <hyperlink ref="B681" r:id="rId2039" display="https://statiz.sporki.com/add/?m=draft_school01&amp;ps_school=50701" xr:uid="{6E9854FE-4422-44CA-B79F-6C4F744AF6BD}"/>
    <hyperlink ref="C681" r:id="rId2040" display="https://statiz.sporki.com/add/?m=draft_school02&amp;ps_school=60114" xr:uid="{A28CA220-B7A9-4015-BE88-2E4846F4D1F5}"/>
    <hyperlink ref="A682" r:id="rId2041" display="https://statiz.sporki.com/player/?m=playerinfo&amp;p_no=14211" xr:uid="{E7F6A35D-2E5A-4823-BEFC-4407AD718516}"/>
    <hyperlink ref="B682" r:id="rId2042" display="https://statiz.sporki.com/add/?m=draft_school01&amp;ps_school=50602" xr:uid="{419D8FF2-C8B0-4D4E-BEBD-EBA033F76E5F}"/>
    <hyperlink ref="C682" r:id="rId2043" display="https://statiz.sporki.com/add/?m=draft_school02&amp;ps_school=" xr:uid="{D2F0617C-8D0D-4177-9DC4-82E942C4ED17}"/>
    <hyperlink ref="A683" r:id="rId2044" display="https://statiz.sporki.com/player/?m=playerinfo&amp;p_no=14569" xr:uid="{429C956A-C61F-40B7-B176-173B3E84C80E}"/>
    <hyperlink ref="B683" r:id="rId2045" display="https://statiz.sporki.com/add/?m=draft_school01&amp;ps_school=50212" xr:uid="{FBD9376C-3418-40A1-B03D-4EA3FE5E4541}"/>
    <hyperlink ref="C683" r:id="rId2046" display="https://statiz.sporki.com/add/?m=draft_school02&amp;ps_school=" xr:uid="{2DB44A1D-85DF-4EB3-8C38-8105A1CE96EC}"/>
    <hyperlink ref="A684" r:id="rId2047" display="https://statiz.sporki.com/player/?m=playerinfo&amp;p_no=14165" xr:uid="{04C6BBD3-3608-463D-9FC8-24A15217EA81}"/>
    <hyperlink ref="B684" r:id="rId2048" display="https://statiz.sporki.com/add/?m=draft_school01&amp;ps_school=50710" xr:uid="{4D466E4C-0121-488C-9651-F374D5C1E66E}"/>
    <hyperlink ref="C684" r:id="rId2049" display="https://statiz.sporki.com/add/?m=draft_school02&amp;ps_school=" xr:uid="{03F393B2-D190-41FF-B331-F5AB92603129}"/>
    <hyperlink ref="A685" r:id="rId2050" display="https://statiz.sporki.com/player/?m=playerinfo&amp;p_no=14119" xr:uid="{CCB22C91-62A3-4203-BE8B-223D98C7A347}"/>
    <hyperlink ref="B685" r:id="rId2051" display="https://statiz.sporki.com/add/?m=draft_school01&amp;ps_school=50701" xr:uid="{1457F5E7-DEC6-4A60-B992-0495DC5E41BD}"/>
    <hyperlink ref="C685" r:id="rId2052" display="https://statiz.sporki.com/add/?m=draft_school02&amp;ps_school=" xr:uid="{8D209280-FEB1-44F7-B8FC-59C66E2095C6}"/>
    <hyperlink ref="A686" r:id="rId2053" display="https://statiz.sporki.com/player/?m=playerinfo&amp;p_no=14713" xr:uid="{F66F5447-FF59-4E9A-BF11-A802395E6852}"/>
    <hyperlink ref="B686" r:id="rId2054" display="https://statiz.sporki.com/add/?m=draft_school01&amp;ps_school=50604" xr:uid="{A4BBD9EA-4D2B-45C4-B04F-A898536938C7}"/>
    <hyperlink ref="C686" r:id="rId2055" display="https://statiz.sporki.com/add/?m=draft_school02&amp;ps_school=" xr:uid="{DDC18764-BB9A-4862-B93B-7FD21468BD3D}"/>
    <hyperlink ref="A687" r:id="rId2056" display="https://statiz.sporki.com/player/?m=playerinfo&amp;p_no=14183" xr:uid="{9300E1F9-1C23-4532-8D5B-25DF2545D319}"/>
    <hyperlink ref="B687" r:id="rId2057" display="https://statiz.sporki.com/add/?m=draft_school01&amp;ps_school=50802" xr:uid="{3365EADF-109D-48C1-92DD-9F01A8EAAB19}"/>
    <hyperlink ref="C687" r:id="rId2058" display="https://statiz.sporki.com/add/?m=draft_school02&amp;ps_school=" xr:uid="{53CE99E4-F59E-4F1E-90BC-6ECCA71320DB}"/>
    <hyperlink ref="A688" r:id="rId2059" display="https://statiz.sporki.com/player/?m=playerinfo&amp;p_no=14111" xr:uid="{8A1F65F6-CCB3-48F9-A85C-184BE9011BCA}"/>
    <hyperlink ref="B688" r:id="rId2060" display="https://statiz.sporki.com/add/?m=draft_school01&amp;ps_school=50208" xr:uid="{6CF1AA9A-5ACC-4A79-89CF-A429D1638C8C}"/>
    <hyperlink ref="C688" r:id="rId2061" display="https://statiz.sporki.com/add/?m=draft_school02&amp;ps_school=" xr:uid="{31F2D3B3-2595-4C70-B57F-F2E8CF14EB44}"/>
    <hyperlink ref="A689" r:id="rId2062" display="https://statiz.sporki.com/player/?m=playerinfo&amp;p_no=14141" xr:uid="{A4587AD2-0B05-484F-8CBD-83B5C8C807AB}"/>
    <hyperlink ref="B689" r:id="rId2063" display="https://statiz.sporki.com/add/?m=draft_school01&amp;ps_school=50207" xr:uid="{5F465BF6-E45D-4C53-BD00-78ED19A41D12}"/>
    <hyperlink ref="C689" r:id="rId2064" display="https://statiz.sporki.com/add/?m=draft_school02&amp;ps_school=" xr:uid="{1065C07B-4142-420B-9ECC-05939FEE45DB}"/>
    <hyperlink ref="A690" r:id="rId2065" display="https://statiz.sporki.com/player/?m=playerinfo&amp;p_no=14221" xr:uid="{A50976C8-225D-4C97-80A4-DF6F84B3131D}"/>
    <hyperlink ref="B690" r:id="rId2066" display="https://statiz.sporki.com/add/?m=draft_school01&amp;ps_school=50302" xr:uid="{3495A341-D95F-49CF-B9BB-DB87836014F1}"/>
    <hyperlink ref="C690" r:id="rId2067" display="https://statiz.sporki.com/add/?m=draft_school02&amp;ps_school=" xr:uid="{3B92EDEB-A6EF-4D0A-9630-2EF29FA46DC1}"/>
    <hyperlink ref="A691" r:id="rId2068" display="https://statiz.sporki.com/player/?m=playerinfo&amp;p_no=14152" xr:uid="{7871599F-A626-4DB1-9278-A31599042481}"/>
    <hyperlink ref="B691" r:id="rId2069" display="https://statiz.sporki.com/add/?m=draft_school01&amp;ps_school=50709" xr:uid="{1E68A036-3409-4FD9-8446-D444A0776624}"/>
    <hyperlink ref="C691" r:id="rId2070" display="https://statiz.sporki.com/add/?m=draft_school02&amp;ps_school=" xr:uid="{F9496F34-3AE0-4F05-92CF-5A4223866E7F}"/>
    <hyperlink ref="A692" r:id="rId2071" display="https://statiz.sporki.com/player/?m=playerinfo&amp;p_no=14677" xr:uid="{FCDE42EC-969A-4BAA-9564-E5119A2D6AF0}"/>
    <hyperlink ref="B692" r:id="rId2072" display="https://statiz.sporki.com/add/?m=draft_school01&amp;ps_school=50202" xr:uid="{EAFE4224-E038-49EC-93E0-B490F2DD362F}"/>
    <hyperlink ref="C692" r:id="rId2073" display="https://statiz.sporki.com/add/?m=draft_school02&amp;ps_school=60205" xr:uid="{8110754C-4B8A-4ED2-B6F0-DB6FC3A34B1E}"/>
    <hyperlink ref="A693" r:id="rId2074" display="https://statiz.sporki.com/player/?m=playerinfo&amp;p_no=14166" xr:uid="{2C547916-DABC-492A-9888-CCB99E3593CE}"/>
    <hyperlink ref="B693" r:id="rId2075" display="https://statiz.sporki.com/add/?m=draft_school01&amp;ps_school=50807" xr:uid="{C6ABDDDF-C82C-47F4-B4BF-3D67922485E2}"/>
    <hyperlink ref="C693" r:id="rId2076" display="https://statiz.sporki.com/add/?m=draft_school02&amp;ps_school=" xr:uid="{996D4BC2-F20D-4B6C-98E2-14162751AC8B}"/>
    <hyperlink ref="A694" r:id="rId2077" display="https://statiz.sporki.com/player/?m=playerinfo&amp;p_no=14120" xr:uid="{091C5F83-C1F9-4F56-AE8F-180F46AABF74}"/>
    <hyperlink ref="B694" r:id="rId2078" display="https://statiz.sporki.com/add/?m=draft_school01&amp;ps_school=50901" xr:uid="{C1E4BEAB-31D9-4482-9949-290271240FB1}"/>
    <hyperlink ref="C694" r:id="rId2079" display="https://statiz.sporki.com/add/?m=draft_school02&amp;ps_school=" xr:uid="{8AF42CFC-9EEA-446A-88D8-A17C61DFC568}"/>
    <hyperlink ref="A695" r:id="rId2080" display="https://statiz.sporki.com/player/?m=playerinfo&amp;p_no=14709" xr:uid="{A91A407B-DA3A-4B44-A1E9-604103D0F48C}"/>
    <hyperlink ref="B695" r:id="rId2081" display="https://statiz.sporki.com/add/?m=draft_school01&amp;ps_school=50215" xr:uid="{D2268D54-A75F-4CCA-B505-81B4D3E31114}"/>
    <hyperlink ref="C695" r:id="rId2082" display="https://statiz.sporki.com/add/?m=draft_school02&amp;ps_school=" xr:uid="{3184BEB1-B1D4-43AB-932B-B729FB8BDB74}"/>
    <hyperlink ref="A696" r:id="rId2083" display="https://statiz.sporki.com/player/?m=playerinfo&amp;p_no=14184" xr:uid="{B050A256-7985-42CA-95E9-4F87AC6040E6}"/>
    <hyperlink ref="B696" r:id="rId2084" display="https://statiz.sporki.com/add/?m=draft_school01&amp;ps_school=50701" xr:uid="{AE53A7FD-21D3-407D-A748-CAED4665EFC0}"/>
    <hyperlink ref="C696" r:id="rId2085" display="https://statiz.sporki.com/add/?m=draft_school02&amp;ps_school=60109" xr:uid="{515BB56C-6BD0-4675-835B-D7F2332ACC2D}"/>
    <hyperlink ref="A697" r:id="rId2086" display="https://statiz.sporki.com/player/?m=playerinfo&amp;p_no=14112" xr:uid="{3B7F320E-5924-4926-BDC2-A1909FDFF3BE}"/>
    <hyperlink ref="B697" r:id="rId2087" display="https://statiz.sporki.com/add/?m=draft_school01&amp;ps_school=50805" xr:uid="{357C9B23-E749-40FE-B48E-B705DB34FA32}"/>
    <hyperlink ref="C697" r:id="rId2088" display="https://statiz.sporki.com/add/?m=draft_school02&amp;ps_school=60802" xr:uid="{0D9FCB76-339B-4E26-90AE-B507AF22C796}"/>
    <hyperlink ref="A698" r:id="rId2089" display="https://statiz.sporki.com/player/?m=playerinfo&amp;p_no=14142" xr:uid="{DFC7C301-0074-4A05-8F13-5C6461D38F44}"/>
    <hyperlink ref="B698" r:id="rId2090" display="https://statiz.sporki.com/add/?m=draft_school01&amp;ps_school=50604" xr:uid="{6209C247-EAF3-45D0-AD2E-72246669A1E0}"/>
    <hyperlink ref="C698" r:id="rId2091" display="https://statiz.sporki.com/add/?m=draft_school02&amp;ps_school=" xr:uid="{B1178521-B67D-4777-9C61-A29520EA269D}"/>
    <hyperlink ref="A699" r:id="rId2092" display="https://statiz.sporki.com/player/?m=playerinfo&amp;p_no=14650" xr:uid="{32DFB201-041D-4B71-88E5-D20A30D62536}"/>
    <hyperlink ref="B699" r:id="rId2093" display="https://statiz.sporki.com/add/?m=draft_school01&amp;ps_school=50805" xr:uid="{FCF54CB7-1ED0-46A0-86A2-C573CD60D1FD}"/>
    <hyperlink ref="C699" r:id="rId2094" display="https://statiz.sporki.com/add/?m=draft_school02&amp;ps_school=" xr:uid="{111283F5-DE91-473A-967F-C3C85C4B4FB8}"/>
    <hyperlink ref="A700" r:id="rId2095" display="https://statiz.sporki.com/player/?m=playerinfo&amp;p_no=14153" xr:uid="{E7584AD4-0779-4CB2-8ADE-1B49CAD79535}"/>
    <hyperlink ref="B700" r:id="rId2096" display="https://statiz.sporki.com/add/?m=draft_school01&amp;ps_school=50705" xr:uid="{DBFFDFD2-9888-43E6-9930-C3499AA9E795}"/>
    <hyperlink ref="C700" r:id="rId2097" display="https://statiz.sporki.com/add/?m=draft_school02&amp;ps_school=60607" xr:uid="{7079D645-A150-41E7-8166-4B15DAF05CF6}"/>
    <hyperlink ref="A701" r:id="rId2098" display="https://statiz.sporki.com/player/?m=playerinfo&amp;p_no=14218" xr:uid="{A74C1A0B-5E09-418A-A5F5-B15A44DE0F09}"/>
    <hyperlink ref="B701" r:id="rId2099" display="https://statiz.sporki.com/add/?m=draft_school01&amp;ps_school=50210" xr:uid="{768292EC-D7B9-4370-A421-E39E6ADC0732}"/>
    <hyperlink ref="C701" r:id="rId2100" display="https://statiz.sporki.com/add/?m=draft_school02&amp;ps_school=" xr:uid="{F1842EB6-A474-49E8-8AF9-65999640A650}"/>
    <hyperlink ref="A702" r:id="rId2101" display="https://statiz.sporki.com/player/?m=playerinfo&amp;p_no=14205" xr:uid="{77D5E698-6D81-4838-BBC4-DAB79AA6E055}"/>
    <hyperlink ref="B702" r:id="rId2102" display="https://statiz.sporki.com/add/?m=draft_school01&amp;ps_school=50703" xr:uid="{1C1FDAD7-C14C-43B3-BEF9-E12988259D9B}"/>
    <hyperlink ref="C702" r:id="rId2103" display="https://statiz.sporki.com/add/?m=draft_school02&amp;ps_school=60902" xr:uid="{C8A591A5-15CE-4971-969A-A9DD78295A88}"/>
    <hyperlink ref="A703" r:id="rId2104" display="https://statiz.sporki.com/player/?m=playerinfo&amp;p_no=14167" xr:uid="{13139A0C-E579-4C21-9E9D-C5F62E100BB3}"/>
    <hyperlink ref="B703" r:id="rId2105" display="https://statiz.sporki.com/add/?m=draft_school01&amp;ps_school=50103" xr:uid="{3532F5D8-EB73-469A-ABBF-C07303A434A8}"/>
    <hyperlink ref="C703" r:id="rId2106" display="https://statiz.sporki.com/add/?m=draft_school02&amp;ps_school=" xr:uid="{BABCD25D-ED85-45B7-AD5C-05BF0094B3E4}"/>
    <hyperlink ref="A704" r:id="rId2107" display="https://statiz.sporki.com/player/?m=playerinfo&amp;p_no=14121" xr:uid="{903C4A07-CD3C-4A48-BEA1-2A5BF3748170}"/>
    <hyperlink ref="B704" r:id="rId2108" display="https://statiz.sporki.com/add/?m=draft_school01&amp;ps_school=50209" xr:uid="{546BD0CE-DF6B-4FF8-A961-F1F3641E6680}"/>
    <hyperlink ref="C704" r:id="rId2109" display="https://statiz.sporki.com/add/?m=draft_school02&amp;ps_school=" xr:uid="{C7E9496A-46C1-48D4-AB2E-94B7707EB677}"/>
    <hyperlink ref="A705" r:id="rId2110" display="https://statiz.sporki.com/player/?m=playerinfo&amp;p_no=14210" xr:uid="{94C76C32-DC73-47B0-9625-5474A8DD3FFA}"/>
    <hyperlink ref="B705" r:id="rId2111" display="https://statiz.sporki.com/add/?m=draft_school01&amp;ps_school=50402" xr:uid="{4AC0DB5B-6E45-4BC7-9845-A363CB09E72F}"/>
    <hyperlink ref="C705" r:id="rId2112" display="https://statiz.sporki.com/add/?m=draft_school02&amp;ps_school=" xr:uid="{4AB0215E-1611-4E1F-8F29-07E9A8AD5624}"/>
    <hyperlink ref="A706" r:id="rId2113" display="https://statiz.sporki.com/player/?m=playerinfo&amp;p_no=14185" xr:uid="{ADD405FC-48C6-4379-BD8A-4CFF7B07EAB7}"/>
    <hyperlink ref="B706" r:id="rId2114" display="https://statiz.sporki.com/add/?m=draft_school01&amp;ps_school=50101" xr:uid="{629CF9ED-CF9B-4F0C-9F64-F8994A137864}"/>
    <hyperlink ref="C706" r:id="rId2115" display="https://statiz.sporki.com/add/?m=draft_school02&amp;ps_school=" xr:uid="{A2F2C2C7-D3EA-4E66-8D01-EF3BA9469F80}"/>
    <hyperlink ref="A707" r:id="rId2116" display="https://statiz.sporki.com/player/?m=playerinfo&amp;p_no=14190" xr:uid="{31E64EFB-E700-42A2-9799-D82BC5D47D89}"/>
    <hyperlink ref="B707" r:id="rId2117" display="https://statiz.sporki.com/add/?m=draft_school01&amp;ps_school=51001" xr:uid="{0EFC899B-61BF-4587-97E6-BDFD20BA2111}"/>
    <hyperlink ref="C707" r:id="rId2118" display="https://statiz.sporki.com/add/?m=draft_school02&amp;ps_school=" xr:uid="{6BE61B50-1AAD-400F-810D-DCE1FE8A1399}"/>
    <hyperlink ref="A708" r:id="rId2119" display="https://statiz.sporki.com/player/?m=playerinfo&amp;p_no=14143" xr:uid="{22B6EA4C-5BF8-4BC9-9CE2-B97BDA5164A3}"/>
    <hyperlink ref="B708" r:id="rId2120" display="https://statiz.sporki.com/add/?m=draft_school01&amp;ps_school=50205" xr:uid="{BF5856A6-04FA-49CE-AA1D-BD4B435A2CD1}"/>
    <hyperlink ref="C708" r:id="rId2121" display="https://statiz.sporki.com/add/?m=draft_school02&amp;ps_school=" xr:uid="{0DCB460A-BA22-430F-9A66-6135CE9AB797}"/>
    <hyperlink ref="A709" r:id="rId2122" display="https://statiz.sporki.com/player/?m=playerinfo&amp;p_no=14220" xr:uid="{02F1BFE3-DFC6-4C8E-BA72-BBF4023C6A35}"/>
    <hyperlink ref="B709" r:id="rId2123" display="https://statiz.sporki.com/add/?m=draft_school01&amp;ps_school=50606" xr:uid="{0A01626B-1312-4E33-951A-5BDB27292DD1}"/>
    <hyperlink ref="C709" r:id="rId2124" display="https://statiz.sporki.com/add/?m=draft_school02&amp;ps_school=60804" xr:uid="{47F8C466-7810-40E3-94A9-E02ABC889773}"/>
    <hyperlink ref="A710" r:id="rId2125" display="https://statiz.sporki.com/player/?m=playerinfo&amp;p_no=14154" xr:uid="{549097B1-8382-4A8E-AFBA-7D3E01BED089}"/>
    <hyperlink ref="B710" r:id="rId2126" display="https://statiz.sporki.com/add/?m=draft_school01&amp;ps_school=50202" xr:uid="{1CAE1165-75A1-4DF4-91F0-DB033012B13C}"/>
    <hyperlink ref="C710" r:id="rId2127" display="https://statiz.sporki.com/add/?m=draft_school02&amp;ps_school=60109" xr:uid="{5D918600-BAA4-4DE9-88D1-0B4A3DB7DD40}"/>
    <hyperlink ref="A711" r:id="rId2128" display="https://statiz.sporki.com/player/?m=playerinfo&amp;p_no=14216" xr:uid="{9005F2A3-0459-4A08-9952-B531BE5176B3}"/>
    <hyperlink ref="B711" r:id="rId2129" display="https://statiz.sporki.com/add/?m=draft_school01&amp;ps_school=50212" xr:uid="{80CCCE4D-5CBB-4ECE-9EB4-069026B26F9C}"/>
    <hyperlink ref="C711" r:id="rId2130" display="https://statiz.sporki.com/add/?m=draft_school02&amp;ps_school=" xr:uid="{F1BD250B-C86E-43A0-8AD8-F0BBA4107AD6}"/>
    <hyperlink ref="A712" r:id="rId2131" display="https://statiz.sporki.com/player/?m=playerinfo&amp;p_no=14652" xr:uid="{F522CC4C-96F7-43F7-B8A2-78855B3401C2}"/>
    <hyperlink ref="B712" r:id="rId2132" display="https://statiz.sporki.com/add/?m=draft_school01&amp;ps_school=50116" xr:uid="{2CF7F2AE-454D-4226-83C5-355BF4D9C743}"/>
    <hyperlink ref="C712" r:id="rId2133" display="https://statiz.sporki.com/add/?m=draft_school02&amp;ps_school=" xr:uid="{3EA97D51-C5B2-4BC5-BD58-FEE0333F7382}"/>
    <hyperlink ref="A713" r:id="rId2134" display="https://statiz.sporki.com/player/?m=playerinfo&amp;p_no=14168" xr:uid="{B811DD94-D400-447D-A99B-CA8819A1D5DD}"/>
    <hyperlink ref="B713" r:id="rId2135" display="https://statiz.sporki.com/add/?m=draft_school01&amp;ps_school=50803" xr:uid="{9F1F5F2B-8123-4096-BBCC-627AD105F2B2}"/>
    <hyperlink ref="C713" r:id="rId2136" display="https://statiz.sporki.com/add/?m=draft_school02&amp;ps_school=" xr:uid="{C4256337-E76D-4041-A2C2-1FE28D692351}"/>
    <hyperlink ref="A714" r:id="rId2137" display="https://statiz.sporki.com/player/?m=playerinfo&amp;p_no=14122" xr:uid="{7412E3DF-747F-4198-889E-5478BB8BBA65}"/>
    <hyperlink ref="B714" r:id="rId2138" display="https://statiz.sporki.com/add/?m=draft_school01&amp;ps_school=50101" xr:uid="{45540EA7-1582-41D2-8D82-CF63058FA67D}"/>
    <hyperlink ref="C714" r:id="rId2139" display="https://statiz.sporki.com/add/?m=draft_school02&amp;ps_school=" xr:uid="{78D97265-9538-4D15-ACEE-33F0CA95CB7B}"/>
    <hyperlink ref="A715" r:id="rId2140" display="https://statiz.sporki.com/player/?m=playerinfo&amp;p_no=14204" xr:uid="{1A697B14-1978-4E3B-B5E1-23A6CA6F7A96}"/>
    <hyperlink ref="B715" r:id="rId2141" display="https://statiz.sporki.com/add/?m=draft_school01&amp;ps_school=50101" xr:uid="{AE5C85A5-093B-43B1-B29B-3F9EF29B95B9}"/>
    <hyperlink ref="C715" r:id="rId2142" display="https://statiz.sporki.com/add/?m=draft_school02&amp;ps_school=" xr:uid="{5CEA69DB-BC33-4D09-AF2E-5B028B813CE1}"/>
    <hyperlink ref="A716" r:id="rId2143" display="https://statiz.sporki.com/player/?m=playerinfo&amp;p_no=14186" xr:uid="{8A97927F-89F3-42FE-8BAA-7C087EE63E0C}"/>
    <hyperlink ref="B716" r:id="rId2144" display="https://statiz.sporki.com/add/?m=draft_school01&amp;ps_school=50403" xr:uid="{7EBB034D-F37D-460F-B6CC-58B43E347B4B}"/>
    <hyperlink ref="C716" r:id="rId2145" display="https://statiz.sporki.com/add/?m=draft_school02&amp;ps_school=60603" xr:uid="{BCDB51A1-4982-4D9B-BB30-08136DE2DB55}"/>
    <hyperlink ref="A717" r:id="rId2146" display="https://statiz.sporki.com/player/?m=playerinfo&amp;p_no=14192" xr:uid="{6D39F7C3-613D-4200-8FF0-0824A52C6D1B}"/>
    <hyperlink ref="B717" r:id="rId2147" display="https://statiz.sporki.com/add/?m=draft_school01&amp;ps_school=50601" xr:uid="{4FFFCCD3-60FC-4F23-894E-4D9D23562089}"/>
    <hyperlink ref="C717" r:id="rId2148" display="https://statiz.sporki.com/add/?m=draft_school02&amp;ps_school=" xr:uid="{F4CA9390-062E-45E7-8E00-546F88AEFBF6}"/>
    <hyperlink ref="A718" r:id="rId2149" display="https://statiz.sporki.com/player/?m=playerinfo&amp;p_no=14144" xr:uid="{775A359C-1C5A-475F-B4E1-393C8F46E72A}"/>
    <hyperlink ref="B718" r:id="rId2150" display="https://statiz.sporki.com/add/?m=draft_school01&amp;ps_school=50214" xr:uid="{C399D0CE-6943-4FAF-9667-1C7BD9DD00F7}"/>
    <hyperlink ref="C718" r:id="rId2151" display="https://statiz.sporki.com/add/?m=draft_school02&amp;ps_school=" xr:uid="{3014EB76-F3A2-40FB-A803-375C69792D74}"/>
    <hyperlink ref="A719" r:id="rId2152" display="https://statiz.sporki.com/player/?m=playerinfo&amp;p_no=14649" xr:uid="{94B29DD2-FD87-4B7F-8841-51A703BA5449}"/>
    <hyperlink ref="B719" r:id="rId2153" display="https://statiz.sporki.com/add/?m=draft_school01&amp;ps_school=50807" xr:uid="{F8B39553-27E9-482B-8917-3D79724FE07D}"/>
    <hyperlink ref="C719" r:id="rId2154" display="https://statiz.sporki.com/add/?m=draft_school02&amp;ps_school=" xr:uid="{EC0A7875-3BF2-4C51-8ECE-EE3CC2FC0443}"/>
    <hyperlink ref="A720" r:id="rId2155" display="https://statiz.sporki.com/player/?m=playerinfo&amp;p_no=14214" xr:uid="{EEB08F8F-3179-4E74-8D99-540540030255}"/>
    <hyperlink ref="B720" r:id="rId2156" display="https://statiz.sporki.com/add/?m=draft_school01&amp;ps_school=50802" xr:uid="{614649F8-3D93-4D9B-9194-86FB8EB44E24}"/>
    <hyperlink ref="C720" r:id="rId2157" display="https://statiz.sporki.com/add/?m=draft_school02&amp;ps_school=60114" xr:uid="{BADC4A57-8F73-499D-B938-EB11F4153909}"/>
    <hyperlink ref="A721" r:id="rId2158" display="https://statiz.sporki.com/player/?m=playerinfo&amp;p_no=14653" xr:uid="{D6535435-47B9-4584-A8C7-062571A490E7}"/>
    <hyperlink ref="B721" r:id="rId2159" display="https://statiz.sporki.com/add/?m=draft_school01&amp;ps_school=50501" xr:uid="{BE17FA83-4D3F-447B-B44E-886DD571BCD3}"/>
    <hyperlink ref="C721" r:id="rId2160" display="https://statiz.sporki.com/add/?m=draft_school02&amp;ps_school=" xr:uid="{B31DF58B-CDE2-47EC-9C7A-20677E7FB276}"/>
    <hyperlink ref="A722" r:id="rId2161" display="https://statiz.sporki.com/player/?m=playerinfo&amp;p_no=14169" xr:uid="{7CB3942B-0AB3-4038-8EF4-BC9F1CE50C88}"/>
    <hyperlink ref="B722" r:id="rId2162" display="https://statiz.sporki.com/add/?m=draft_school01&amp;ps_school=50803" xr:uid="{E4348A0B-0721-4D4B-9005-1B28DDDE0320}"/>
    <hyperlink ref="C722" r:id="rId2163" display="https://statiz.sporki.com/add/?m=draft_school02&amp;ps_school=60804" xr:uid="{C564B06D-A798-4787-8726-4F4B7931FA45}"/>
    <hyperlink ref="A723" r:id="rId2164" display="https://statiz.sporki.com/player/?m=playerinfo&amp;p_no=14123" xr:uid="{63C374D2-9771-4880-A2DF-8D699230F284}"/>
    <hyperlink ref="B723" r:id="rId2165" display="https://statiz.sporki.com/add/?m=draft_school01&amp;ps_school=50111" xr:uid="{80079698-947D-4CB1-9703-8CE947CA2FD1}"/>
    <hyperlink ref="C723" r:id="rId2166" display="https://statiz.sporki.com/add/?m=draft_school02&amp;ps_school=" xr:uid="{79470ED3-E594-4794-BCB3-B242F934DDF6}"/>
    <hyperlink ref="A724" r:id="rId2167" display="https://statiz.sporki.com/player/?m=playerinfo&amp;p_no=14129" xr:uid="{C690CB49-C4AF-4C72-A1B6-5F8C118B316B}"/>
    <hyperlink ref="B724" r:id="rId2168" display="https://statiz.sporki.com/add/?m=draft_school01&amp;ps_school=50107" xr:uid="{3793E36E-A188-4CB1-AE79-6BED42F8CBC0}"/>
    <hyperlink ref="C724" r:id="rId2169" display="https://statiz.sporki.com/add/?m=draft_school02&amp;ps_school=60109" xr:uid="{C5AB5A8E-13E8-48B9-9A47-6B216946978C}"/>
    <hyperlink ref="A725" r:id="rId2170" display="https://statiz.sporki.com/player/?m=playerinfo&amp;p_no=14224" xr:uid="{DC8F38B7-367D-43ED-94D9-3600B6159BA3}"/>
    <hyperlink ref="B725" r:id="rId2171" display="https://statiz.sporki.com/add/?m=draft_school01&amp;ps_school=" xr:uid="{089A2BED-8D04-4A2C-8F88-84A7616DBCCD}"/>
    <hyperlink ref="C725" r:id="rId2172" display="https://statiz.sporki.com/add/?m=draft_school02&amp;ps_school=61113" xr:uid="{7647F1CB-0B21-43B8-A01C-B828283263C8}"/>
    <hyperlink ref="A726" r:id="rId2173" display="https://statiz.sporki.com/player/?m=playerinfo&amp;p_no=13924" xr:uid="{349CC6EB-5473-46EA-9AF4-1E9D0C28ADA4}"/>
    <hyperlink ref="B726" r:id="rId2174" display="https://statiz.sporki.com/add/?m=draft_school01&amp;ps_school=" xr:uid="{1C76369E-B040-46FE-83A5-E9271120FB0C}"/>
    <hyperlink ref="C726" r:id="rId2175" display="https://statiz.sporki.com/add/?m=draft_school02&amp;ps_school=" xr:uid="{06115F17-B669-40C4-A92C-67CE738ADD00}"/>
    <hyperlink ref="A727" r:id="rId2176" display="https://statiz.sporki.com/player/?m=playerinfo&amp;p_no=13926" xr:uid="{B10EC5E3-ED1B-4EE1-A48B-D2E543416B7C}"/>
    <hyperlink ref="B727" r:id="rId2177" display="https://statiz.sporki.com/add/?m=draft_school01&amp;ps_school=" xr:uid="{CAED8F91-91D0-408B-8147-AA8657C8AEF9}"/>
    <hyperlink ref="C727" r:id="rId2178" display="https://statiz.sporki.com/add/?m=draft_school02&amp;ps_school=" xr:uid="{F4B7EAD5-E4DA-4E93-9531-A9A538A54363}"/>
    <hyperlink ref="A728" r:id="rId2179" display="https://statiz.sporki.com/player/?m=playerinfo&amp;p_no=13925" xr:uid="{8046A04D-76B6-4CAC-AE9C-48E7AB38C720}"/>
    <hyperlink ref="B728" r:id="rId2180" display="https://statiz.sporki.com/add/?m=draft_school01&amp;ps_school=" xr:uid="{DAA3E664-7EC5-4609-A48E-83DE455A75AD}"/>
    <hyperlink ref="C728" r:id="rId2181" display="https://statiz.sporki.com/add/?m=draft_school02&amp;ps_school=" xr:uid="{DDD19688-9C5C-4927-AE9A-3E3AFBE103AF}"/>
    <hyperlink ref="A729" r:id="rId2182" display="https://statiz.sporki.com/player/?m=playerinfo&amp;p_no=13942" xr:uid="{6978829B-1FD0-4418-A98E-37D337E92ABB}"/>
    <hyperlink ref="B729" r:id="rId2183" display="https://statiz.sporki.com/add/?m=draft_school01&amp;ps_school=" xr:uid="{BD056C00-1578-4FEB-9DBA-2F866882F1B9}"/>
    <hyperlink ref="C729" r:id="rId2184" display="https://statiz.sporki.com/add/?m=draft_school02&amp;ps_school=61108" xr:uid="{EBBADE3D-1F60-494E-97AD-B7D5FE4186C0}"/>
    <hyperlink ref="A730" r:id="rId2185" display="https://statiz.sporki.com/player/?m=playerinfo&amp;p_no=13941" xr:uid="{660F79FB-9112-467E-9675-CEFF28698535}"/>
    <hyperlink ref="B730" r:id="rId2186" display="https://statiz.sporki.com/add/?m=draft_school01&amp;ps_school=" xr:uid="{E4425AE6-1B46-464B-B195-4A843F75C4F0}"/>
    <hyperlink ref="C730" r:id="rId2187" display="https://statiz.sporki.com/add/?m=draft_school02&amp;ps_school=" xr:uid="{377312EE-B920-49DA-A979-0B1C5F98AB2A}"/>
    <hyperlink ref="A731" r:id="rId2188" display="https://statiz.sporki.com/player/?m=playerinfo&amp;p_no=13934" xr:uid="{4C0E254C-0265-4229-80CE-6CE2E528EC95}"/>
    <hyperlink ref="B731" r:id="rId2189" display="https://statiz.sporki.com/add/?m=draft_school01&amp;ps_school=51111" xr:uid="{1C2C0B3E-FE90-4782-B828-D3F0ED039A61}"/>
    <hyperlink ref="C731" r:id="rId2190" display="https://statiz.sporki.com/add/?m=draft_school02&amp;ps_school=" xr:uid="{FD70768F-8E5A-4EDD-9488-CD8BA8618A0F}"/>
    <hyperlink ref="A732" r:id="rId2191" display="https://statiz.sporki.com/player/?m=playerinfo&amp;p_no=14228" xr:uid="{95654692-83FC-4C06-B4B4-DA9624A72744}"/>
    <hyperlink ref="B732" r:id="rId2192" display="https://statiz.sporki.com/add/?m=draft_school01&amp;ps_school=" xr:uid="{12AF349A-4213-4343-A986-419C2B2530A5}"/>
    <hyperlink ref="C732" r:id="rId2193" display="https://statiz.sporki.com/add/?m=draft_school02&amp;ps_school=" xr:uid="{0877171F-85BB-4AB6-B46B-E4800BEEE59A}"/>
    <hyperlink ref="A733" r:id="rId2194" display="https://statiz.sporki.com/player/?m=playerinfo&amp;p_no=13935" xr:uid="{349E0CEE-FA17-4D46-8FBC-73D271DB760D}"/>
    <hyperlink ref="B733" r:id="rId2195" display="https://statiz.sporki.com/add/?m=draft_school01&amp;ps_school=" xr:uid="{5484AC4A-1923-4399-9A40-19299559E109}"/>
    <hyperlink ref="C733" r:id="rId2196" display="https://statiz.sporki.com/add/?m=draft_school02&amp;ps_school=" xr:uid="{A960AEC9-6659-4733-9A56-8BBEB4F63AFD}"/>
    <hyperlink ref="A734" r:id="rId2197" display="https://statiz.sporki.com/player/?m=playerinfo&amp;p_no=13932" xr:uid="{89ACE517-78E3-4DF9-B8DA-3D933D6C51BC}"/>
    <hyperlink ref="B734" r:id="rId2198" display="https://statiz.sporki.com/add/?m=draft_school01&amp;ps_school=51105" xr:uid="{A0EE6033-D969-445E-8E80-F8C232E12DC3}"/>
    <hyperlink ref="C734" r:id="rId2199" display="https://statiz.sporki.com/add/?m=draft_school02&amp;ps_school=61106" xr:uid="{DB1B908E-09E8-4763-A554-0763B1521497}"/>
    <hyperlink ref="A735" r:id="rId2200" display="https://statiz.sporki.com/player/?m=playerinfo&amp;p_no=13930" xr:uid="{2EE0EA52-F321-488C-B909-FB063399B75F}"/>
    <hyperlink ref="B735" r:id="rId2201" display="https://statiz.sporki.com/add/?m=draft_school01&amp;ps_school=" xr:uid="{4BDF28DB-A572-48CB-BC02-C88E3066B020}"/>
    <hyperlink ref="C735" r:id="rId2202" display="https://statiz.sporki.com/add/?m=draft_school02&amp;ps_school=" xr:uid="{F6847025-4396-4C59-B79D-AE35A5BA5CDB}"/>
    <hyperlink ref="A736" r:id="rId2203" display="https://statiz.sporki.com/player/?m=playerinfo&amp;p_no=13931" xr:uid="{A02F5252-AB2D-41C6-BAAA-9522AB73D548}"/>
    <hyperlink ref="B736" r:id="rId2204" display="https://statiz.sporki.com/add/?m=draft_school01&amp;ps_school=" xr:uid="{4039B120-7C38-4298-9A9C-4006143DA0B7}"/>
    <hyperlink ref="C736" r:id="rId2205" display="https://statiz.sporki.com/add/?m=draft_school02&amp;ps_school=" xr:uid="{1E1A868A-25F7-45AC-9FD7-88B150433FA7}"/>
    <hyperlink ref="A737" r:id="rId2206" display="https://statiz.sporki.com/player/?m=playerinfo&amp;p_no=14226" xr:uid="{51794A10-009B-43E9-8E6C-0624B8CF74BB}"/>
    <hyperlink ref="B737" r:id="rId2207" display="https://statiz.sporki.com/add/?m=draft_school01&amp;ps_school=" xr:uid="{DD87DD3E-0946-4959-8CE4-575A210742B6}"/>
    <hyperlink ref="C737" r:id="rId2208" display="https://statiz.sporki.com/add/?m=draft_school02&amp;ps_school=" xr:uid="{0FDC56C5-A8FD-40B7-938C-BC1E96304F8A}"/>
    <hyperlink ref="A738" r:id="rId2209" display="https://statiz.sporki.com/player/?m=playerinfo&amp;p_no=14227" xr:uid="{47564E52-D040-4851-86F0-6C4CDB4B2E4C}"/>
    <hyperlink ref="B738" r:id="rId2210" display="https://statiz.sporki.com/add/?m=draft_school01&amp;ps_school=" xr:uid="{2389FF73-69F5-480F-98F6-573F884BA838}"/>
    <hyperlink ref="C738" r:id="rId2211" display="https://statiz.sporki.com/add/?m=draft_school02&amp;ps_school=" xr:uid="{1A183461-2687-4DBC-BDA2-788251BC91E7}"/>
    <hyperlink ref="A739" r:id="rId2212" display="https://statiz.sporki.com/player/?m=playerinfo&amp;p_no=13933" xr:uid="{259978AA-1F7A-4051-B5FC-DF918850FE53}"/>
    <hyperlink ref="B739" r:id="rId2213" display="https://statiz.sporki.com/add/?m=draft_school01&amp;ps_school=" xr:uid="{FC1ED850-863E-4F48-88F4-D7A058CDF607}"/>
    <hyperlink ref="C739" r:id="rId2214" display="https://statiz.sporki.com/add/?m=draft_school02&amp;ps_school=" xr:uid="{34388958-57BB-49DF-83E1-BA1B8F9BAD7E}"/>
    <hyperlink ref="A740" r:id="rId2215" display="https://statiz.sporki.com/player/?m=playerinfo&amp;p_no=13940" xr:uid="{37540444-58C1-4B77-8574-C68611A64D19}"/>
    <hyperlink ref="B740" r:id="rId2216" display="https://statiz.sporki.com/add/?m=draft_school01&amp;ps_school=" xr:uid="{CDD85717-B1B5-43C3-A4D6-9A4BDCD23898}"/>
    <hyperlink ref="C740" r:id="rId2217" display="https://statiz.sporki.com/add/?m=draft_school02&amp;ps_school=61112" xr:uid="{CA0FD75F-BD05-4560-AABC-B68E8B8065DF}"/>
    <hyperlink ref="A741" r:id="rId2218" display="https://statiz.sporki.com/player/?m=playerinfo&amp;p_no=13927" xr:uid="{FDC2C9ED-1F72-44D4-8273-E69429756351}"/>
    <hyperlink ref="B741" r:id="rId2219" display="https://statiz.sporki.com/add/?m=draft_school01&amp;ps_school=" xr:uid="{D9065368-DD87-4C77-82E9-41D5E5CC06AE}"/>
    <hyperlink ref="C741" r:id="rId2220" display="https://statiz.sporki.com/add/?m=draft_school02&amp;ps_school=" xr:uid="{D6AD10D7-E4E9-4811-A175-C971C23BE13F}"/>
    <hyperlink ref="A742" r:id="rId2221" display="https://statiz.sporki.com/player/?m=playerinfo&amp;p_no=13929" xr:uid="{A9F8815A-FBE4-4114-A4D4-31EC7B23E69B}"/>
    <hyperlink ref="B742" r:id="rId2222" display="https://statiz.sporki.com/add/?m=draft_school01&amp;ps_school=" xr:uid="{7E05AD57-295F-4E6C-A8DC-ED70E2FAFBED}"/>
    <hyperlink ref="C742" r:id="rId2223" display="https://statiz.sporki.com/add/?m=draft_school02&amp;ps_school=" xr:uid="{17F1A4DF-A113-4E2D-BDBE-62315A468127}"/>
    <hyperlink ref="A743" r:id="rId2224" display="https://statiz.sporki.com/player/?m=playerinfo&amp;p_no=13928" xr:uid="{07541701-51FE-4F39-8236-202F11072256}"/>
    <hyperlink ref="B743" r:id="rId2225" display="https://statiz.sporki.com/add/?m=draft_school01&amp;ps_school=" xr:uid="{BDEF15F6-D1E8-4C1C-8E47-960C9764D194}"/>
    <hyperlink ref="C743" r:id="rId2226" display="https://statiz.sporki.com/add/?m=draft_school02&amp;ps_school=" xr:uid="{DC0FBBDA-8EB1-4C1B-B678-6FD2ECF931C5}"/>
    <hyperlink ref="A744" r:id="rId2227" display="https://statiz.sporki.com/player/?m=playerinfo&amp;p_no=14225" xr:uid="{572F4349-42B1-4631-AEA7-024994F8C855}"/>
    <hyperlink ref="B744" r:id="rId2228" display="https://statiz.sporki.com/add/?m=draft_school01&amp;ps_school=" xr:uid="{CC8927EE-37B9-4C96-A717-1AEF9C2A01DB}"/>
    <hyperlink ref="C744" r:id="rId2229" display="https://statiz.sporki.com/add/?m=draft_school02&amp;ps_school=" xr:uid="{E709DB7C-875C-48E1-8188-F74B3A06A6AF}"/>
    <hyperlink ref="A745" r:id="rId2230" display="https://statiz.sporki.com/player/?m=playerinfo&amp;p_no=13936" xr:uid="{2DC25336-D062-4CCC-9B14-2DF9653B8FE3}"/>
    <hyperlink ref="B745" r:id="rId2231" display="https://statiz.sporki.com/add/?m=draft_school01&amp;ps_school=" xr:uid="{6F1E5C32-72B8-4073-881E-7C755B55ED04}"/>
    <hyperlink ref="C745" r:id="rId2232" display="https://statiz.sporki.com/add/?m=draft_school02&amp;ps_school=" xr:uid="{CE26D18C-B93E-4AA4-82CC-2133FA5FD04B}"/>
    <hyperlink ref="A746" r:id="rId2233" display="https://statiz.sporki.com/player/?m=playerinfo&amp;p_no=13937" xr:uid="{ED2D923D-5B65-4137-BE80-AC9198FDF1D7}"/>
    <hyperlink ref="B746" r:id="rId2234" display="https://statiz.sporki.com/add/?m=draft_school01&amp;ps_school=" xr:uid="{427FD9B3-6ABC-47D1-B3C8-4D05FBA6B5E5}"/>
    <hyperlink ref="C746" r:id="rId2235" display="https://statiz.sporki.com/add/?m=draft_school02&amp;ps_school=" xr:uid="{6EBB3CE5-03E8-45EE-BC08-CE11EB57EA4A}"/>
    <hyperlink ref="A747" r:id="rId2236" display="https://statiz.sporki.com/player/?m=playerinfo&amp;p_no=14232" xr:uid="{D03B5AE4-F090-46D1-BF7B-4FBFCC04F2D6}"/>
    <hyperlink ref="B747" r:id="rId2237" display="https://statiz.sporki.com/add/?m=draft_school01&amp;ps_school=" xr:uid="{981EA467-BAC6-4396-A0C7-DA616DCB0242}"/>
    <hyperlink ref="C747" r:id="rId2238" display="https://statiz.sporki.com/add/?m=draft_school02&amp;ps_school=61118" xr:uid="{16108274-2203-4731-BEFB-88F99070E055}"/>
    <hyperlink ref="A748" r:id="rId2239" display="https://statiz.sporki.com/player/?m=playerinfo&amp;p_no=14230" xr:uid="{BB9CC555-5924-4D95-8403-283CDA869834}"/>
    <hyperlink ref="B748" r:id="rId2240" display="https://statiz.sporki.com/add/?m=draft_school01&amp;ps_school=" xr:uid="{4D5C47C7-4F35-4AB3-8F8F-A6AA88717AB2}"/>
    <hyperlink ref="C748" r:id="rId2241" display="https://statiz.sporki.com/add/?m=draft_school02&amp;ps_school=" xr:uid="{A19A4EA1-D0E6-414A-ABB4-B8DFE1BB33EF}"/>
    <hyperlink ref="A749" r:id="rId2242" display="https://statiz.sporki.com/player/?m=playerinfo&amp;p_no=13939" xr:uid="{6F3331DB-E3C5-4A6E-9B92-938A04C24F49}"/>
    <hyperlink ref="B749" r:id="rId2243" display="https://statiz.sporki.com/add/?m=draft_school01&amp;ps_school=" xr:uid="{9757959E-DF2E-40A2-9B96-776852E924F6}"/>
    <hyperlink ref="C749" r:id="rId2244" display="https://statiz.sporki.com/add/?m=draft_school02&amp;ps_school=" xr:uid="{14FCFD33-965A-442A-93BB-F5F0C1DB16DB}"/>
    <hyperlink ref="A750" r:id="rId2245" display="https://statiz.sporki.com/player/?m=playerinfo&amp;p_no=13938" xr:uid="{56EBD37C-1C93-4DDA-81E9-BF5829E7E139}"/>
    <hyperlink ref="B750" r:id="rId2246" display="https://statiz.sporki.com/add/?m=draft_school01&amp;ps_school=" xr:uid="{E4A74452-3659-414A-9BEB-40752E42C5FD}"/>
    <hyperlink ref="C750" r:id="rId2247" display="https://statiz.sporki.com/add/?m=draft_school02&amp;ps_school=" xr:uid="{6C377C3D-4035-4D55-AD66-984FDA0A0FF2}"/>
    <hyperlink ref="A751" r:id="rId2248" display="https://statiz.sporki.com/player/?m=playerinfo&amp;p_no=14679" xr:uid="{AC0EC92F-A2AB-492F-90D2-F2F9377BAB86}"/>
    <hyperlink ref="B751" r:id="rId2249" display="https://statiz.sporki.com/add/?m=draft_school01&amp;ps_school=50210" xr:uid="{BE993679-4E7A-4DF1-90A2-943ACB2E775C}"/>
    <hyperlink ref="C751" r:id="rId2250" display="https://statiz.sporki.com/add/?m=draft_school02&amp;ps_school=" xr:uid="{F1DA808D-8A9F-4CDB-A970-EE6DFE6720A2}"/>
    <hyperlink ref="A752" r:id="rId2251" display="https://statiz.sporki.com/player/?m=playerinfo&amp;p_no=14189" xr:uid="{2E7E719C-B02D-44F9-AD3A-022AAA31CE3E}"/>
    <hyperlink ref="B752" r:id="rId2252" display="https://statiz.sporki.com/add/?m=draft_school01&amp;ps_school=50102" xr:uid="{55362866-44C4-44E6-BBD2-95700DA95D11}"/>
    <hyperlink ref="C752" r:id="rId2253" display="https://statiz.sporki.com/add/?m=draft_school02&amp;ps_school=60501" xr:uid="{3AF80115-5835-4B09-B0C3-47BED3DA3E11}"/>
    <hyperlink ref="A753" r:id="rId2254" display="https://statiz.sporki.com/player/?m=playerinfo&amp;p_no=14219" xr:uid="{7748BB61-EEE3-45D9-98B3-D4EB9E839195}"/>
    <hyperlink ref="B753" r:id="rId2255" display="https://statiz.sporki.com/add/?m=draft_school01&amp;ps_school=50901" xr:uid="{0FACD82D-7694-41DD-947B-E80CC96AE1B0}"/>
    <hyperlink ref="C753" r:id="rId2256" display="https://statiz.sporki.com/add/?m=draft_school02&amp;ps_school=60803" xr:uid="{A37B954B-F89B-4EC5-B368-231A226BE3BD}"/>
    <hyperlink ref="A754" r:id="rId2257" display="https://statiz.sporki.com/player/?m=playerinfo&amp;p_no=14200" xr:uid="{B910D251-CE51-4A3F-BBCA-FF7045DF4EFC}"/>
    <hyperlink ref="B754" r:id="rId2258" display="https://statiz.sporki.com/add/?m=draft_school01&amp;ps_school=50103" xr:uid="{947CFFAA-48A9-4A80-BD6B-FD6A93EF27EB}"/>
    <hyperlink ref="C754" r:id="rId2259" display="https://statiz.sporki.com/add/?m=draft_school02&amp;ps_school=60103" xr:uid="{5C1ED878-4C0A-4162-800C-EC0A95ABDC46}"/>
    <hyperlink ref="A755" r:id="rId2260" display="https://statiz.sporki.com/player/?m=playerinfo&amp;p_no=14199" xr:uid="{BA53E4F6-3CE1-4AB6-8652-53B332A0D963}"/>
    <hyperlink ref="B755" r:id="rId2261" display="https://statiz.sporki.com/add/?m=draft_school01&amp;ps_school=50101" xr:uid="{BA1C666A-7D37-4878-B1E4-948C513DD7F0}"/>
    <hyperlink ref="C755" r:id="rId2262" display="https://statiz.sporki.com/add/?m=draft_school02&amp;ps_school=60108" xr:uid="{F2087BA9-9BF9-4673-BB6B-0FE378423A62}"/>
    <hyperlink ref="A756" r:id="rId2263" display="https://statiz.sporki.com/player/?m=playerinfo&amp;p_no=14198" xr:uid="{1A0C39E6-B90C-49BE-99B7-AE51402D7700}"/>
    <hyperlink ref="B756" r:id="rId2264" display="https://statiz.sporki.com/add/?m=draft_school01&amp;ps_school=50114" xr:uid="{76CE6ACC-67CF-4823-9773-E3490CD65C69}"/>
    <hyperlink ref="C756" r:id="rId2265" display="https://statiz.sporki.com/add/?m=draft_school02&amp;ps_school=60104" xr:uid="{E48E7219-BE7F-4FC7-B614-27F0D6E15D8B}"/>
    <hyperlink ref="A757" r:id="rId2266" display="https://statiz.sporki.com/player/?m=playerinfo&amp;p_no=14213" xr:uid="{AD17C7B9-962B-4914-A397-38D9B407F1D6}"/>
    <hyperlink ref="B757" r:id="rId2267" display="https://statiz.sporki.com/add/?m=draft_school01&amp;ps_school=50807" xr:uid="{34148564-530A-4023-8172-E453EA8D964D}"/>
    <hyperlink ref="C757" r:id="rId2268" display="https://statiz.sporki.com/add/?m=draft_school02&amp;ps_school=60803" xr:uid="{24C09417-A02C-4892-84A1-697F53DE8493}"/>
    <hyperlink ref="A758" r:id="rId2269" display="https://statiz.sporki.com/player/?m=playerinfo&amp;p_no=14196" xr:uid="{23B5DA3E-F4A6-4BDA-9191-D5C6C52BABD2}"/>
    <hyperlink ref="B758" r:id="rId2270" display="https://statiz.sporki.com/add/?m=draft_school01&amp;ps_school=50503" xr:uid="{349F6D31-1A3A-4221-91E0-3D5798FC64E0}"/>
    <hyperlink ref="C758" r:id="rId2271" display="https://statiz.sporki.com/add/?m=draft_school02&amp;ps_school=" xr:uid="{77B09F13-72B9-4991-8CE1-7EF92131A74A}"/>
    <hyperlink ref="A759" r:id="rId2272" display="https://statiz.sporki.com/player/?m=playerinfo&amp;p_no=14195" xr:uid="{29E0B583-D015-4FDE-B867-74F7B1E4D665}"/>
    <hyperlink ref="B759" r:id="rId2273" display="https://statiz.sporki.com/add/?m=draft_school01&amp;ps_school=50208" xr:uid="{D7FD3077-560B-45F9-8ADF-0202E0694645}"/>
    <hyperlink ref="C759" r:id="rId2274" display="https://statiz.sporki.com/add/?m=draft_school02&amp;ps_school=60205" xr:uid="{4901741F-72F7-4BE0-9250-F566209AD326}"/>
    <hyperlink ref="A760" r:id="rId2275" display="https://statiz.sporki.com/player/?m=playerinfo&amp;p_no=14202" xr:uid="{72C0D460-DDF3-4742-ABF7-BB0C5D78B03B}"/>
    <hyperlink ref="B760" r:id="rId2276" display="https://statiz.sporki.com/add/?m=draft_school01&amp;ps_school=50113" xr:uid="{0334ADA6-2A7F-478A-A08E-7D3583BBB8C3}"/>
    <hyperlink ref="C760" r:id="rId2277" display="https://statiz.sporki.com/add/?m=draft_school02&amp;ps_school=60113" xr:uid="{A0DB79BA-9F02-477C-B86F-7FA8923A6DB3}"/>
    <hyperlink ref="A761" r:id="rId2278" display="https://statiz.sporki.com/player/?m=playerinfo&amp;p_no=14201" xr:uid="{1E03D9BE-8F1A-4E9C-A6FF-89CA9613C450}"/>
    <hyperlink ref="B761" r:id="rId2279" display="https://statiz.sporki.com/add/?m=draft_school01&amp;ps_school=50116" xr:uid="{7A8F7946-686A-410E-BB0E-4BF9D516FF65}"/>
    <hyperlink ref="C761" r:id="rId2280" display="https://statiz.sporki.com/add/?m=draft_school02&amp;ps_school=60902" xr:uid="{D8FB5A77-3097-4157-B678-403FF60E9458}"/>
    <hyperlink ref="A762" r:id="rId2281" display="https://statiz.sporki.com/player/?m=playerinfo&amp;p_no=14215" xr:uid="{A22130DA-D71C-4E3A-89EC-0E1AA2ECD9AB}"/>
    <hyperlink ref="B762" r:id="rId2282" display="https://statiz.sporki.com/add/?m=draft_school01&amp;ps_school=50209" xr:uid="{BA500955-8E0F-4557-B7AB-767D933175B7}"/>
    <hyperlink ref="C762" r:id="rId2283" display="https://statiz.sporki.com/add/?m=draft_school02&amp;ps_school=60114" xr:uid="{6A7AE3F6-22D5-46F8-80F5-A38807FFA810}"/>
    <hyperlink ref="A763" r:id="rId2284" display="https://statiz.sporki.com/player/?m=playerinfo&amp;p_no=14206" xr:uid="{E0AEA8AC-6B0A-4681-8DA1-24AC1E633B68}"/>
    <hyperlink ref="B763" r:id="rId2285" display="https://statiz.sporki.com/add/?m=draft_school01&amp;ps_school=50207" xr:uid="{83F7EF80-950F-4A56-9414-62202C420F47}"/>
    <hyperlink ref="C763" r:id="rId2286" display="https://statiz.sporki.com/add/?m=draft_school02&amp;ps_school=60101" xr:uid="{0FC10035-F437-4854-A460-51CDAE6F394D}"/>
    <hyperlink ref="A764" r:id="rId2287" display="https://statiz.sporki.com/player/?m=playerinfo&amp;p_no=14207" xr:uid="{F32099B7-6C75-4CDA-8534-A537435238ED}"/>
    <hyperlink ref="B764" r:id="rId2288" display="https://statiz.sporki.com/add/?m=draft_school01&amp;ps_school=50110" xr:uid="{2B895E74-F055-42AA-AED7-741499BDA6C2}"/>
    <hyperlink ref="C764" r:id="rId2289" display="https://statiz.sporki.com/add/?m=draft_school02&amp;ps_school=60102" xr:uid="{152BC6F1-4A8A-4AA0-A456-1606CA769C88}"/>
    <hyperlink ref="A765" r:id="rId2290" display="https://statiz.sporki.com/player/?m=playerinfo&amp;p_no=13113" xr:uid="{DF172358-6492-47EF-B172-4CE625C9F8B4}"/>
    <hyperlink ref="B765" r:id="rId2291" display="https://statiz.sporki.com/add/?m=draft_school01&amp;ps_school=50601" xr:uid="{2ABC8EA3-CA3F-48DE-88F8-1E67CDDC51CC}"/>
    <hyperlink ref="C765" r:id="rId2292" display="https://statiz.sporki.com/add/?m=draft_school02&amp;ps_school=" xr:uid="{E14B03A1-7F89-4558-8E8E-7A88F80E4C32}"/>
    <hyperlink ref="A766" r:id="rId2293" display="https://statiz.sporki.com/player/?m=playerinfo&amp;p_no=13167" xr:uid="{23EB9AB1-5809-46E7-B82C-AEFF3055D8BD}"/>
    <hyperlink ref="B766" r:id="rId2294" display="https://statiz.sporki.com/add/?m=draft_school01&amp;ps_school=50208" xr:uid="{02D583DC-D0B3-49C2-8C03-ED18B0A4B3DA}"/>
    <hyperlink ref="C766" r:id="rId2295" display="https://statiz.sporki.com/add/?m=draft_school02&amp;ps_school=" xr:uid="{7DF93BDC-FF17-4F14-8694-9AE4AB59BC02}"/>
    <hyperlink ref="A767" r:id="rId2296" display="https://statiz.sporki.com/player/?m=playerinfo&amp;p_no=13102" xr:uid="{FF32EC36-1228-4F85-965A-EA1E730507BD}"/>
    <hyperlink ref="B767" r:id="rId2297" display="https://statiz.sporki.com/add/?m=draft_school01&amp;ps_school=50109" xr:uid="{E28D7A24-8FB6-4ACA-A478-81C359B792D8}"/>
    <hyperlink ref="C767" r:id="rId2298" display="https://statiz.sporki.com/add/?m=draft_school02&amp;ps_school=" xr:uid="{E88EE88D-9FDA-4CED-ABE7-3FE1D9FE6BF6}"/>
    <hyperlink ref="A768" r:id="rId2299" display="https://statiz.sporki.com/player/?m=playerinfo&amp;p_no=13080" xr:uid="{8A206428-62A1-4EA2-892C-DF517EF614AA}"/>
    <hyperlink ref="B768" r:id="rId2300" display="https://statiz.sporki.com/add/?m=draft_school01&amp;ps_school=50803" xr:uid="{D4EE2F96-2F13-42EA-A900-CAF372D47EB6}"/>
    <hyperlink ref="C768" r:id="rId2301" display="https://statiz.sporki.com/add/?m=draft_school02&amp;ps_school=" xr:uid="{BDC1CD86-BF81-4204-B33A-6216423786CB}"/>
    <hyperlink ref="A769" r:id="rId2302" display="https://statiz.sporki.com/player/?m=playerinfo&amp;p_no=13124" xr:uid="{0CB9E1E2-8F3F-4F66-87F2-CF20B426AEF9}"/>
    <hyperlink ref="B769" r:id="rId2303" display="https://statiz.sporki.com/add/?m=draft_school01&amp;ps_school=50202" xr:uid="{28A7BE70-58C4-4C95-AB6B-EAFBD4D5ABBA}"/>
    <hyperlink ref="C769" r:id="rId2304" display="https://statiz.sporki.com/add/?m=draft_school02&amp;ps_school=" xr:uid="{218F10B6-56D6-4D83-AB88-64EF516C8BED}"/>
    <hyperlink ref="A770" r:id="rId2305" display="https://statiz.sporki.com/player/?m=playerinfo&amp;p_no=13091" xr:uid="{CAACD8F0-AE8B-436C-81F3-066440CC0E00}"/>
    <hyperlink ref="B770" r:id="rId2306" display="https://statiz.sporki.com/add/?m=draft_school01&amp;ps_school=50116" xr:uid="{264EE0AB-F990-4935-84BA-C485D0301E3A}"/>
    <hyperlink ref="C770" r:id="rId2307" display="https://statiz.sporki.com/add/?m=draft_school02&amp;ps_school=" xr:uid="{AD32B168-51F3-46B6-B9BD-5445659CC5A9}"/>
    <hyperlink ref="A771" r:id="rId2308" display="https://statiz.sporki.com/player/?m=playerinfo&amp;p_no=13061" xr:uid="{E85606C1-6A2D-415F-A7B5-EBF2DBF2703B}"/>
    <hyperlink ref="B771" r:id="rId2309" display="https://statiz.sporki.com/add/?m=draft_school01&amp;ps_school=50105" xr:uid="{69403543-42B8-4209-9504-EA7B190FC04C}"/>
    <hyperlink ref="C771" r:id="rId2310" display="https://statiz.sporki.com/add/?m=draft_school02&amp;ps_school=" xr:uid="{025E933D-A79F-4E5C-8D84-CAC543CD6514}"/>
    <hyperlink ref="A772" r:id="rId2311" display="https://statiz.sporki.com/player/?m=playerinfo&amp;p_no=13145" xr:uid="{429E1579-5B99-413C-99E6-5A9E6DA90E23}"/>
    <hyperlink ref="B772" r:id="rId2312" display="https://statiz.sporki.com/add/?m=draft_school01&amp;ps_school=50802" xr:uid="{211F7006-90D8-4BCB-812E-7F9A67305C15}"/>
    <hyperlink ref="C772" r:id="rId2313" display="https://statiz.sporki.com/add/?m=draft_school02&amp;ps_school=" xr:uid="{552A2B2B-1311-47E3-A526-C6E5AC69CDF9}"/>
    <hyperlink ref="A773" r:id="rId2314" display="https://statiz.sporki.com/player/?m=playerinfo&amp;p_no=13156" xr:uid="{8CD07943-A9B1-402D-84C3-EBA62F0D2B51}"/>
    <hyperlink ref="B773" r:id="rId2315" display="https://statiz.sporki.com/add/?m=draft_school01&amp;ps_school=50705" xr:uid="{E11F1A97-CCD2-41CC-AC51-771885A18625}"/>
    <hyperlink ref="C773" r:id="rId2316" display="https://statiz.sporki.com/add/?m=draft_school02&amp;ps_school=60113" xr:uid="{D96B4D9F-F028-4ADB-AD70-409C4ADAD272}"/>
    <hyperlink ref="A774" r:id="rId2317" display="https://statiz.sporki.com/player/?m=playerinfo&amp;p_no=13134" xr:uid="{09A386EF-BC89-4082-BBB5-1E55CBAC5B7B}"/>
    <hyperlink ref="B774" r:id="rId2318" display="https://statiz.sporki.com/add/?m=draft_school01&amp;ps_school=50403" xr:uid="{8494BE42-330C-4079-B368-6F56A155F651}"/>
    <hyperlink ref="C774" r:id="rId2319" display="https://statiz.sporki.com/add/?m=draft_school02&amp;ps_school=" xr:uid="{C7EB5C3C-FFF0-4C44-B347-99E34064B7B2}"/>
    <hyperlink ref="A775" r:id="rId2320" display="https://statiz.sporki.com/player/?m=playerinfo&amp;p_no=13114" xr:uid="{23A9994E-F779-41BC-BB4E-96B639117D1F}"/>
    <hyperlink ref="B775" r:id="rId2321" display="https://statiz.sporki.com/add/?m=draft_school01&amp;ps_school=50301" xr:uid="{E6894161-22A1-4944-960E-7A07C85AEE3A}"/>
    <hyperlink ref="C775" r:id="rId2322" display="https://statiz.sporki.com/add/?m=draft_school02&amp;ps_school=" xr:uid="{86CD5465-D725-4A6E-B497-2ABC1E2CD623}"/>
    <hyperlink ref="A776" r:id="rId2323" display="https://statiz.sporki.com/player/?m=playerinfo&amp;p_no=13168" xr:uid="{6A5C4A40-849A-4008-BDD8-B7C9992B02D5}"/>
    <hyperlink ref="B776" r:id="rId2324" display="https://statiz.sporki.com/add/?m=draft_school01&amp;ps_school=50107" xr:uid="{190843A0-F43F-47CF-97EE-178AE7B82D5E}"/>
    <hyperlink ref="C776" r:id="rId2325" display="https://statiz.sporki.com/add/?m=draft_school02&amp;ps_school=" xr:uid="{D735908C-DA73-424A-8A9A-747F62A4BA71}"/>
    <hyperlink ref="A777" r:id="rId2326" display="https://statiz.sporki.com/player/?m=playerinfo&amp;p_no=13103" xr:uid="{25DC052E-0D2C-4611-B3C9-5B346AC59388}"/>
    <hyperlink ref="B777" r:id="rId2327" display="https://statiz.sporki.com/add/?m=draft_school01&amp;ps_school=50111" xr:uid="{8CF5BD1C-C810-4A1E-AA5A-30DC417136C8}"/>
    <hyperlink ref="C777" r:id="rId2328" display="https://statiz.sporki.com/add/?m=draft_school02&amp;ps_school=" xr:uid="{E608C772-B72D-4E91-8060-19249B735180}"/>
    <hyperlink ref="A778" r:id="rId2329" display="https://statiz.sporki.com/player/?m=playerinfo&amp;p_no=13081" xr:uid="{9E60956B-A57E-4598-ACA8-3F5F4BF5AF47}"/>
    <hyperlink ref="B778" r:id="rId2330" display="https://statiz.sporki.com/add/?m=draft_school01&amp;ps_school=50301" xr:uid="{5EB87D63-2875-4E2E-BDBC-A83C700E0AB4}"/>
    <hyperlink ref="C778" r:id="rId2331" display="https://statiz.sporki.com/add/?m=draft_school02&amp;ps_school=" xr:uid="{E4CD48CB-6DE3-4154-B4AA-9A22EB3EC615}"/>
    <hyperlink ref="A779" r:id="rId2332" display="https://statiz.sporki.com/player/?m=playerinfo&amp;p_no=13125" xr:uid="{706F12E9-00D9-4308-9C34-7F7D16FFF7BE}"/>
    <hyperlink ref="B779" r:id="rId2333" display="https://statiz.sporki.com/add/?m=draft_school01&amp;ps_school=50113" xr:uid="{0CA19162-D802-4E3F-A78C-A0F62C8D25B5}"/>
    <hyperlink ref="C779" r:id="rId2334" display="https://statiz.sporki.com/add/?m=draft_school02&amp;ps_school=" xr:uid="{38339B60-C2BB-4C10-8B2F-C005EC99B6BA}"/>
    <hyperlink ref="A780" r:id="rId2335" display="https://statiz.sporki.com/player/?m=playerinfo&amp;p_no=13092" xr:uid="{B40837C7-E96D-471C-A2E2-6739A10BC1A2}"/>
    <hyperlink ref="B780" r:id="rId2336" display="https://statiz.sporki.com/add/?m=draft_school01&amp;ps_school=50301" xr:uid="{A034033C-8B8A-4D5F-8E04-C40DC8CA4106}"/>
    <hyperlink ref="C780" r:id="rId2337" display="https://statiz.sporki.com/add/?m=draft_school02&amp;ps_school=" xr:uid="{16CF6D01-9EAA-4D74-A5F4-B208537345AA}"/>
    <hyperlink ref="A781" r:id="rId2338" display="https://statiz.sporki.com/player/?m=playerinfo&amp;p_no=13070" xr:uid="{28F5AEF9-8E59-467B-BAB6-C61E830B7C3C}"/>
    <hyperlink ref="B781" r:id="rId2339" display="https://statiz.sporki.com/add/?m=draft_school01&amp;ps_school=50101" xr:uid="{84F77357-066C-43C4-BFED-B784F4477C92}"/>
    <hyperlink ref="C781" r:id="rId2340" display="https://statiz.sporki.com/add/?m=draft_school02&amp;ps_school=" xr:uid="{85498455-B7D6-41A7-B6F1-E90D78B44696}"/>
    <hyperlink ref="A782" r:id="rId2341" display="https://statiz.sporki.com/player/?m=playerinfo&amp;p_no=13146" xr:uid="{98B11675-483C-46E8-B787-8A482B4D412A}"/>
    <hyperlink ref="B782" r:id="rId2342" display="https://statiz.sporki.com/add/?m=draft_school01&amp;ps_school=50807" xr:uid="{E02470A3-F09C-49F8-B6ED-AA8D9C9314BE}"/>
    <hyperlink ref="C782" r:id="rId2343" display="https://statiz.sporki.com/add/?m=draft_school02&amp;ps_school=" xr:uid="{093B1FA7-FCED-4FAC-9DAE-AB7BD782FFE5}"/>
    <hyperlink ref="A783" r:id="rId2344" display="https://statiz.sporki.com/player/?m=playerinfo&amp;p_no=13157" xr:uid="{FBD8A033-A79E-41E1-8D81-523A1E14FF19}"/>
    <hyperlink ref="B783" r:id="rId2345" display="https://statiz.sporki.com/add/?m=draft_school01&amp;ps_school=50103" xr:uid="{B25C45C3-2F08-4CDA-B065-B8D46ED2CCA3}"/>
    <hyperlink ref="C783" r:id="rId2346" display="https://statiz.sporki.com/add/?m=draft_school02&amp;ps_school=" xr:uid="{103879E3-8969-4977-BA05-BEA94E66FEA7}"/>
    <hyperlink ref="A784" r:id="rId2347" display="https://statiz.sporki.com/player/?m=playerinfo&amp;p_no=13135" xr:uid="{AE84BD24-8105-470E-BEFF-2204254D847A}"/>
    <hyperlink ref="B784" r:id="rId2348" display="https://statiz.sporki.com/add/?m=draft_school01&amp;ps_school=50207" xr:uid="{7FECC2EF-328C-48D9-91D1-00F01B1EBEF7}"/>
    <hyperlink ref="C784" r:id="rId2349" display="https://statiz.sporki.com/add/?m=draft_school02&amp;ps_school=" xr:uid="{375B2F2B-363D-4127-AA24-7509B89D16BC}"/>
    <hyperlink ref="A785" r:id="rId2350" display="https://statiz.sporki.com/player/?m=playerinfo&amp;p_no=13115" xr:uid="{7BE2B7BF-9093-4BA9-AFA2-38D8F4D90D68}"/>
    <hyperlink ref="B785" r:id="rId2351" display="https://statiz.sporki.com/add/?m=draft_school01&amp;ps_school=50108" xr:uid="{FC9384A7-9A5B-45CD-9789-97CD15C6B780}"/>
    <hyperlink ref="C785" r:id="rId2352" display="https://statiz.sporki.com/add/?m=draft_school02&amp;ps_school=" xr:uid="{AAB44B39-312B-4263-A609-A3CFE802F480}"/>
    <hyperlink ref="A786" r:id="rId2353" display="https://statiz.sporki.com/player/?m=playerinfo&amp;p_no=13169" xr:uid="{8285E3F8-3237-40B4-AAC5-71F5F0350DFC}"/>
    <hyperlink ref="B786" r:id="rId2354" display="https://statiz.sporki.com/add/?m=draft_school01&amp;ps_school=50111" xr:uid="{F57B64A4-0EBA-4596-9D11-21F2A5C4B1FC}"/>
    <hyperlink ref="C786" r:id="rId2355" display="https://statiz.sporki.com/add/?m=draft_school02&amp;ps_school=" xr:uid="{2DDAD906-7F53-4DDB-A5D7-46F915666F0D}"/>
    <hyperlink ref="A787" r:id="rId2356" display="https://statiz.sporki.com/player/?m=playerinfo&amp;p_no=13104" xr:uid="{F4793822-7C41-4A14-AB25-4550934AFE35}"/>
    <hyperlink ref="B787" r:id="rId2357" display="https://statiz.sporki.com/add/?m=draft_school01&amp;ps_school=50107" xr:uid="{C10A9CE4-A53F-453F-8A81-C53587EA23D5}"/>
    <hyperlink ref="C787" r:id="rId2358" display="https://statiz.sporki.com/add/?m=draft_school02&amp;ps_school=" xr:uid="{5906ADF7-BA16-4957-BF3A-F364527BD633}"/>
    <hyperlink ref="A788" r:id="rId2359" display="https://statiz.sporki.com/player/?m=playerinfo&amp;p_no=13082" xr:uid="{DD638322-C18A-47E1-954C-2F889F2E15DD}"/>
    <hyperlink ref="B788" r:id="rId2360" display="https://statiz.sporki.com/add/?m=draft_school01&amp;ps_school=50807" xr:uid="{2C0B21C5-B31B-4918-9D74-5F3FD8A8A231}"/>
    <hyperlink ref="C788" r:id="rId2361" display="https://statiz.sporki.com/add/?m=draft_school02&amp;ps_school=" xr:uid="{0B0B9905-7D87-4591-B4CF-72F6905CE7ED}"/>
    <hyperlink ref="A789" r:id="rId2362" display="https://statiz.sporki.com/player/?m=playerinfo&amp;p_no=13126" xr:uid="{8E32BA76-1071-4766-82DC-2E2E28A93DC1}"/>
    <hyperlink ref="B789" r:id="rId2363" display="https://statiz.sporki.com/add/?m=draft_school01&amp;ps_school=50802" xr:uid="{BDE78200-845C-4CD8-8266-F0322525F1C7}"/>
    <hyperlink ref="C789" r:id="rId2364" display="https://statiz.sporki.com/add/?m=draft_school02&amp;ps_school=" xr:uid="{D2AF030C-8289-4A5D-975E-AFD4FAB2AE6C}"/>
    <hyperlink ref="A790" r:id="rId2365" display="https://statiz.sporki.com/player/?m=playerinfo&amp;p_no=13093" xr:uid="{D90AC754-7687-4680-B16F-F949136D1AFC}"/>
    <hyperlink ref="B790" r:id="rId2366" display="https://statiz.sporki.com/add/?m=draft_school01&amp;ps_school=50802" xr:uid="{A7F78EB8-409E-4BA5-81B6-4FA00F481A7C}"/>
    <hyperlink ref="C790" r:id="rId2367" display="https://statiz.sporki.com/add/?m=draft_school02&amp;ps_school=" xr:uid="{A0E58F25-990E-499A-B6C2-15EE84DA60E9}"/>
    <hyperlink ref="A791" r:id="rId2368" display="https://statiz.sporki.com/player/?m=playerinfo&amp;p_no=13071" xr:uid="{18D786C3-BDBC-4BBF-A0F7-4947A901B161}"/>
    <hyperlink ref="B791" r:id="rId2369" display="https://statiz.sporki.com/add/?m=draft_school01&amp;ps_school=50206" xr:uid="{2F4C7226-A3BF-4B11-AEA4-2F7CC5B37569}"/>
    <hyperlink ref="C791" r:id="rId2370" display="https://statiz.sporki.com/add/?m=draft_school02&amp;ps_school=" xr:uid="{501685EB-C8BA-4272-9567-A78AF2737F4B}"/>
    <hyperlink ref="A792" r:id="rId2371" display="https://statiz.sporki.com/player/?m=playerinfo&amp;p_no=13147" xr:uid="{2A9D13EE-2B49-4D23-9E54-1513121FDF8A}"/>
    <hyperlink ref="B792" r:id="rId2372" display="https://statiz.sporki.com/add/?m=draft_school01&amp;ps_school=50602" xr:uid="{DC0F93C1-20E9-47EA-AF36-72E82969B040}"/>
    <hyperlink ref="C792" r:id="rId2373" display="https://statiz.sporki.com/add/?m=draft_school02&amp;ps_school=60204" xr:uid="{E1C8D210-9732-4F84-9197-1F9D66259496}"/>
    <hyperlink ref="A793" r:id="rId2374" display="https://statiz.sporki.com/player/?m=playerinfo&amp;p_no=13158" xr:uid="{F2F17911-38AE-4E93-9905-CD3AC3CEC5BA}"/>
    <hyperlink ref="B793" r:id="rId2375" display="https://statiz.sporki.com/add/?m=draft_school01&amp;ps_school=50701" xr:uid="{5E73E179-5330-4686-BA2A-C893CDA1F132}"/>
    <hyperlink ref="C793" r:id="rId2376" display="https://statiz.sporki.com/add/?m=draft_school02&amp;ps_school=" xr:uid="{EFA99840-254B-496C-A6F5-59D8B11C5AA0}"/>
    <hyperlink ref="A794" r:id="rId2377" display="https://statiz.sporki.com/player/?m=playerinfo&amp;p_no=13136" xr:uid="{5FE2B6E3-9BA1-4C61-8C97-214F2FCACE83}"/>
    <hyperlink ref="B794" r:id="rId2378" display="https://statiz.sporki.com/add/?m=draft_school01&amp;ps_school=50602" xr:uid="{F0F13530-DA40-4A38-93A2-E976F2595A3B}"/>
    <hyperlink ref="C794" r:id="rId2379" display="https://statiz.sporki.com/add/?m=draft_school02&amp;ps_school=" xr:uid="{317ECE1F-9738-4D9E-B06B-3F2D35D102D5}"/>
    <hyperlink ref="A795" r:id="rId2380" display="https://statiz.sporki.com/player/?m=playerinfo&amp;p_no=13116" xr:uid="{A99BD399-2E34-4C78-8F7A-D85867143D23}"/>
    <hyperlink ref="B795" r:id="rId2381" display="https://statiz.sporki.com/add/?m=draft_school01&amp;ps_school=50805" xr:uid="{6B82B15D-4E1B-4536-BB98-7CA0392AD4F4}"/>
    <hyperlink ref="C795" r:id="rId2382" display="https://statiz.sporki.com/add/?m=draft_school02&amp;ps_school=" xr:uid="{5EFA139D-8C2B-4F31-8678-85377F4A1B2A}"/>
    <hyperlink ref="A796" r:id="rId2383" display="https://statiz.sporki.com/player/?m=playerinfo&amp;p_no=13170" xr:uid="{E730A915-8E2C-4C22-B1C5-ACE3975BC0E8}"/>
    <hyperlink ref="B796" r:id="rId2384" display="https://statiz.sporki.com/add/?m=draft_school01&amp;ps_school=50807" xr:uid="{86B5A5A8-D616-4BE0-AB4B-91ED421BA1CA}"/>
    <hyperlink ref="C796" r:id="rId2385" display="https://statiz.sporki.com/add/?m=draft_school02&amp;ps_school=" xr:uid="{D2F38F16-3E55-4175-8636-4E1418870082}"/>
    <hyperlink ref="A797" r:id="rId2386" display="https://statiz.sporki.com/player/?m=playerinfo&amp;p_no=13105" xr:uid="{CE47BB5D-9A50-49DB-8957-B12A4807F8DC}"/>
    <hyperlink ref="B797" r:id="rId2387" display="https://statiz.sporki.com/add/?m=draft_school01&amp;ps_school=50107" xr:uid="{CB953ABF-95F7-4DC2-B73C-9860D4896E17}"/>
    <hyperlink ref="C797" r:id="rId2388" display="https://statiz.sporki.com/add/?m=draft_school02&amp;ps_school=" xr:uid="{4D4EDD0D-B8BB-4FDE-9AF8-508E030219B5}"/>
    <hyperlink ref="A798" r:id="rId2389" display="https://statiz.sporki.com/player/?m=playerinfo&amp;p_no=13083" xr:uid="{42E2CC3A-E876-4B7D-BB54-AB432846FFFD}"/>
    <hyperlink ref="B798" r:id="rId2390" display="https://statiz.sporki.com/add/?m=draft_school01&amp;ps_school=50212" xr:uid="{C3144C17-84E8-4722-ADED-B788BC8AF15B}"/>
    <hyperlink ref="C798" r:id="rId2391" display="https://statiz.sporki.com/add/?m=draft_school02&amp;ps_school=" xr:uid="{6F9BDBF9-E403-49F0-970F-635DA5025DE1}"/>
    <hyperlink ref="A799" r:id="rId2392" display="https://statiz.sporki.com/player/?m=playerinfo&amp;p_no=13127" xr:uid="{C6F2E8E0-F285-4695-B1CB-06E9954F1D57}"/>
    <hyperlink ref="B799" r:id="rId2393" display="https://statiz.sporki.com/add/?m=draft_school01&amp;ps_school=50108" xr:uid="{8698CA04-B95C-49AE-8D7F-5F2EEC796EBB}"/>
    <hyperlink ref="C799" r:id="rId2394" display="https://statiz.sporki.com/add/?m=draft_school02&amp;ps_school=" xr:uid="{9D6919EC-3D55-4EB2-AF32-9E1E89FB0B14}"/>
    <hyperlink ref="A800" r:id="rId2395" display="https://statiz.sporki.com/player/?m=playerinfo&amp;p_no=13094" xr:uid="{1C13410A-F94D-4FEC-A3F2-EED3AF48D378}"/>
    <hyperlink ref="B800" r:id="rId2396" display="https://statiz.sporki.com/add/?m=draft_school01&amp;ps_school=50110" xr:uid="{723D5F17-07BA-4163-BDFB-16A0E6AA2552}"/>
    <hyperlink ref="C800" r:id="rId2397" display="https://statiz.sporki.com/add/?m=draft_school02&amp;ps_school=" xr:uid="{91147F50-08A4-48D9-A690-AD333C6E62DF}"/>
    <hyperlink ref="A801" r:id="rId2398" display="https://statiz.sporki.com/player/?m=playerinfo&amp;p_no=13072" xr:uid="{34097F9A-B5C3-4919-94E4-75B2281C0B86}"/>
    <hyperlink ref="B801" r:id="rId2399" display="https://statiz.sporki.com/add/?m=draft_school01&amp;ps_school=50116" xr:uid="{986D6138-FCA6-43D7-A1D7-44292A24A2EE}"/>
    <hyperlink ref="C801" r:id="rId2400" display="https://statiz.sporki.com/add/?m=draft_school02&amp;ps_school=" xr:uid="{38DC893F-05A7-426C-A276-C6AA1502BFD9}"/>
    <hyperlink ref="A802" r:id="rId2401" display="https://statiz.sporki.com/player/?m=playerinfo&amp;p_no=13148" xr:uid="{8B0F8AF6-B8D6-4F67-B9C3-8A67D63F36CF}"/>
    <hyperlink ref="B802" r:id="rId2402" display="https://statiz.sporki.com/add/?m=draft_school01&amp;ps_school=50206" xr:uid="{2514E656-0147-491E-9F39-5842290D6573}"/>
    <hyperlink ref="C802" r:id="rId2403" display="https://statiz.sporki.com/add/?m=draft_school02&amp;ps_school=" xr:uid="{D8ED9459-9187-4B2B-9E5C-934448B99D0B}"/>
    <hyperlink ref="A803" r:id="rId2404" display="https://statiz.sporki.com/player/?m=playerinfo&amp;p_no=13159" xr:uid="{840C0536-3129-46F4-A307-A50DA4290EB1}"/>
    <hyperlink ref="B803" r:id="rId2405" display="https://statiz.sporki.com/add/?m=draft_school01&amp;ps_school=50602" xr:uid="{24C29F10-8957-479E-BABD-8604CFDF91A7}"/>
    <hyperlink ref="C803" r:id="rId2406" display="https://statiz.sporki.com/add/?m=draft_school02&amp;ps_school=" xr:uid="{2519CDEC-8987-46F7-9DC0-65AEF32EFA07}"/>
    <hyperlink ref="A804" r:id="rId2407" display="https://statiz.sporki.com/player/?m=playerinfo&amp;p_no=13137" xr:uid="{9EF76AF3-B793-46EE-A391-46D00478506C}"/>
    <hyperlink ref="B804" r:id="rId2408" display="https://statiz.sporki.com/add/?m=draft_school01&amp;ps_school=50209" xr:uid="{E97444AA-8312-482C-9B00-FAA027A3A914}"/>
    <hyperlink ref="C804" r:id="rId2409" display="https://statiz.sporki.com/add/?m=draft_school02&amp;ps_school=" xr:uid="{A21054B9-FBC9-48A9-BCE7-BFF787D93849}"/>
    <hyperlink ref="A805" r:id="rId2410" display="https://statiz.sporki.com/player/?m=playerinfo&amp;p_no=13117" xr:uid="{6B77588C-22F2-4959-AF55-4CAAB68F3325}"/>
    <hyperlink ref="B805" r:id="rId2411" display="https://statiz.sporki.com/add/?m=draft_school01&amp;ps_school=50101" xr:uid="{A14C754D-68A4-432D-9892-037EF3BD83D7}"/>
    <hyperlink ref="C805" r:id="rId2412" display="https://statiz.sporki.com/add/?m=draft_school02&amp;ps_school=" xr:uid="{076F95BF-7EDD-4CBF-B543-F2CF96164328}"/>
    <hyperlink ref="A806" r:id="rId2413" display="https://statiz.sporki.com/player/?m=playerinfo&amp;p_no=13171" xr:uid="{13F66B41-DE0F-413B-9495-21966ABD6909}"/>
    <hyperlink ref="B806" r:id="rId2414" display="https://statiz.sporki.com/add/?m=draft_school01&amp;ps_school=50501" xr:uid="{36D8839E-4592-4EF9-BAD3-092D6288B69B}"/>
    <hyperlink ref="C806" r:id="rId2415" display="https://statiz.sporki.com/add/?m=draft_school02&amp;ps_school=" xr:uid="{BECDD925-C865-4493-8850-10C399569CFD}"/>
    <hyperlink ref="A807" r:id="rId2416" display="https://statiz.sporki.com/player/?m=playerinfo&amp;p_no=13106" xr:uid="{3CDA9CDB-8833-498D-B512-DB482961D643}"/>
    <hyperlink ref="B807" r:id="rId2417" display="https://statiz.sporki.com/add/?m=draft_school01&amp;ps_school=50118" xr:uid="{8D2F94A1-46D1-4AE1-B403-93701AFBDA28}"/>
    <hyperlink ref="C807" r:id="rId2418" display="https://statiz.sporki.com/add/?m=draft_school02&amp;ps_school=" xr:uid="{5C79A539-B5CC-4550-B3E4-F9E42B598079}"/>
    <hyperlink ref="A808" r:id="rId2419" display="https://statiz.sporki.com/player/?m=playerinfo&amp;p_no=13084" xr:uid="{A2CB94CB-759A-49DC-9EA2-909709AA6ABC}"/>
    <hyperlink ref="B808" r:id="rId2420" display="https://statiz.sporki.com/add/?m=draft_school01&amp;ps_school=50114" xr:uid="{9770F5F4-8ECF-4F07-BF6D-421D83524362}"/>
    <hyperlink ref="C808" r:id="rId2421" display="https://statiz.sporki.com/add/?m=draft_school02&amp;ps_school=" xr:uid="{0D3BBE2B-4248-4360-80D1-94E3494F229D}"/>
    <hyperlink ref="A809" r:id="rId2422" display="https://statiz.sporki.com/player/?m=playerinfo&amp;p_no=13128" xr:uid="{C33C10C3-F463-4CD1-B3C6-D4A0FDC615E2}"/>
    <hyperlink ref="B809" r:id="rId2423" display="https://statiz.sporki.com/add/?m=draft_school01&amp;ps_school=50111" xr:uid="{695867E2-72CA-454B-BE42-5EB5D439C409}"/>
    <hyperlink ref="C809" r:id="rId2424" display="https://statiz.sporki.com/add/?m=draft_school02&amp;ps_school=" xr:uid="{E4CAE52E-93C3-479F-A2F3-33E03283C909}"/>
    <hyperlink ref="A810" r:id="rId2425" display="https://statiz.sporki.com/player/?m=playerinfo&amp;p_no=13095" xr:uid="{3B871815-A27B-4094-8E3F-6A1A39913693}"/>
    <hyperlink ref="B810" r:id="rId2426" display="https://statiz.sporki.com/add/?m=draft_school01&amp;ps_school=50701" xr:uid="{D043267B-9A53-4382-85BD-CA93F4CAE1B6}"/>
    <hyperlink ref="C810" r:id="rId2427" display="https://statiz.sporki.com/add/?m=draft_school02&amp;ps_school=" xr:uid="{11E41B61-A7B5-4548-A4F7-B7FB530F125D}"/>
    <hyperlink ref="A811" r:id="rId2428" display="https://statiz.sporki.com/player/?m=playerinfo&amp;p_no=13073" xr:uid="{71082C05-DE52-4EEC-A914-4BD31EEB703D}"/>
    <hyperlink ref="B811" r:id="rId2429" display="https://statiz.sporki.com/add/?m=draft_school01&amp;ps_school=50402" xr:uid="{E94277ED-E5DE-493B-A159-F824628BA608}"/>
    <hyperlink ref="C811" r:id="rId2430" display="https://statiz.sporki.com/add/?m=draft_school02&amp;ps_school=" xr:uid="{861B1EF5-60E7-4345-BBFC-8D88482D5730}"/>
    <hyperlink ref="A812" r:id="rId2431" display="https://statiz.sporki.com/player/?m=playerinfo&amp;p_no=13149" xr:uid="{1BA110BF-26AE-43EE-AA0F-45C0DA73BC2E}"/>
    <hyperlink ref="B812" r:id="rId2432" display="https://statiz.sporki.com/add/?m=draft_school01&amp;ps_school=50207" xr:uid="{C2CDC1DB-BC07-493C-9972-982495FB6C28}"/>
    <hyperlink ref="C812" r:id="rId2433" display="https://statiz.sporki.com/add/?m=draft_school02&amp;ps_school=60109" xr:uid="{703F12E1-7538-4C77-A836-1511040E00D9}"/>
    <hyperlink ref="A813" r:id="rId2434" display="https://statiz.sporki.com/player/?m=playerinfo&amp;p_no=13160" xr:uid="{BA8D263B-0059-4B31-BAB9-EF935ED0E37E}"/>
    <hyperlink ref="B813" r:id="rId2435" display="https://statiz.sporki.com/add/?m=draft_school01&amp;ps_school=50601" xr:uid="{35BB545E-F35C-4A3E-90AF-B2DB6C86082D}"/>
    <hyperlink ref="C813" r:id="rId2436" display="https://statiz.sporki.com/add/?m=draft_school02&amp;ps_school=60114" xr:uid="{A91F5CFC-B520-44AC-9AB7-45A13F361331}"/>
    <hyperlink ref="A814" r:id="rId2437" display="https://statiz.sporki.com/player/?m=playerinfo&amp;p_no=13138" xr:uid="{780A034B-82F3-468A-BD1F-612AF5A41570}"/>
    <hyperlink ref="B814" r:id="rId2438" display="https://statiz.sporki.com/add/?m=draft_school01&amp;ps_school=50114" xr:uid="{B9E3636C-8890-4C3C-96FE-458E3964CCE7}"/>
    <hyperlink ref="C814" r:id="rId2439" display="https://statiz.sporki.com/add/?m=draft_school02&amp;ps_school=" xr:uid="{CEB00275-C2D1-444E-9022-1B478118A9E2}"/>
    <hyperlink ref="A815" r:id="rId2440" display="https://statiz.sporki.com/player/?m=playerinfo&amp;p_no=13118" xr:uid="{3984EA33-004B-4CF6-BE4E-AB20B80401AB}"/>
    <hyperlink ref="B815" r:id="rId2441" display="https://statiz.sporki.com/add/?m=draft_school01&amp;ps_school=50107" xr:uid="{90ED4F88-4F5F-49D7-ADD8-6A34E9A181F3}"/>
    <hyperlink ref="C815" r:id="rId2442" display="https://statiz.sporki.com/add/?m=draft_school02&amp;ps_school=60802" xr:uid="{964E3875-DBC8-45DA-B2C7-39611318A33F}"/>
    <hyperlink ref="A816" r:id="rId2443" display="https://statiz.sporki.com/player/?m=playerinfo&amp;p_no=13172" xr:uid="{7DBB9A26-C007-469B-B96A-FB83A66B516F}"/>
    <hyperlink ref="B816" r:id="rId2444" display="https://statiz.sporki.com/add/?m=draft_school01&amp;ps_school=50809" xr:uid="{9D5F3AEF-B5E4-4C09-B801-13D0F51BAE2E}"/>
    <hyperlink ref="C816" r:id="rId2445" display="https://statiz.sporki.com/add/?m=draft_school02&amp;ps_school=" xr:uid="{1E0D2116-882C-46EF-BDCA-38F8308EB47C}"/>
    <hyperlink ref="A817" r:id="rId2446" display="https://statiz.sporki.com/player/?m=playerinfo&amp;p_no=13107" xr:uid="{7BD4542D-3E38-4C3E-924A-E73EE89C6A36}"/>
    <hyperlink ref="B817" r:id="rId2447" display="https://statiz.sporki.com/add/?m=draft_school01&amp;ps_school=50114" xr:uid="{43F56285-5056-4237-B540-4CE8A72B7F94}"/>
    <hyperlink ref="C817" r:id="rId2448" display="https://statiz.sporki.com/add/?m=draft_school02&amp;ps_school=60109" xr:uid="{A2F0B28B-D4EF-4070-8BCD-EF467359EBD5}"/>
    <hyperlink ref="A818" r:id="rId2449" display="https://statiz.sporki.com/player/?m=playerinfo&amp;p_no=13085" xr:uid="{811E5B01-AC20-4EDC-95F3-420F65D94F9F}"/>
    <hyperlink ref="B818" r:id="rId2450" display="https://statiz.sporki.com/add/?m=draft_school01&amp;ps_school=50207" xr:uid="{B7D4C4CB-9DBB-4879-AE33-5CC15654E6F0}"/>
    <hyperlink ref="C818" r:id="rId2451" display="https://statiz.sporki.com/add/?m=draft_school02&amp;ps_school=" xr:uid="{2918B33C-1826-4DCC-B7D5-4D45DEE6556C}"/>
    <hyperlink ref="A819" r:id="rId2452" display="https://statiz.sporki.com/player/?m=playerinfo&amp;p_no=13129" xr:uid="{55443B88-AE17-4035-8C5C-00BB9AE98E2C}"/>
    <hyperlink ref="B819" r:id="rId2453" display="https://statiz.sporki.com/add/?m=draft_school01&amp;ps_school=50108" xr:uid="{34025B2F-31DC-430F-B16C-20D34A176E5C}"/>
    <hyperlink ref="C819" r:id="rId2454" display="https://statiz.sporki.com/add/?m=draft_school02&amp;ps_school=" xr:uid="{9D374224-9CAC-4E44-AEE5-6DDFA7DD1E81}"/>
    <hyperlink ref="A820" r:id="rId2455" display="https://statiz.sporki.com/player/?m=playerinfo&amp;p_no=13096" xr:uid="{20880518-539D-4211-AA72-CFA3D1AD83FA}"/>
    <hyperlink ref="B820" r:id="rId2456" display="https://statiz.sporki.com/add/?m=draft_school01&amp;ps_school=50210" xr:uid="{138307EC-888B-4FBD-BB8D-1C8B7C1FB6A3}"/>
    <hyperlink ref="C820" r:id="rId2457" display="https://statiz.sporki.com/add/?m=draft_school02&amp;ps_school=" xr:uid="{B346DB30-9CB0-43D0-9E18-609ECBB410BC}"/>
    <hyperlink ref="A821" r:id="rId2458" display="https://statiz.sporki.com/player/?m=playerinfo&amp;p_no=13074" xr:uid="{52423C46-6871-4146-B8DA-8DE0B4CE717F}"/>
    <hyperlink ref="B821" r:id="rId2459" display="https://statiz.sporki.com/add/?m=draft_school01&amp;ps_school=50701" xr:uid="{CF60E05A-C81F-4678-A92E-0DD5FC5A8519}"/>
    <hyperlink ref="C821" r:id="rId2460" display="https://statiz.sporki.com/add/?m=draft_school02&amp;ps_school=" xr:uid="{163E3006-35C6-45E7-8575-1EC94908821F}"/>
    <hyperlink ref="A822" r:id="rId2461" display="https://statiz.sporki.com/player/?m=playerinfo&amp;p_no=13150" xr:uid="{047D9453-521D-4B9E-BEAB-BB4D5A691084}"/>
    <hyperlink ref="B822" r:id="rId2462" display="https://statiz.sporki.com/add/?m=draft_school01&amp;ps_school=50705" xr:uid="{E7FC58D3-E488-4CB3-8CC1-43733248D6F5}"/>
    <hyperlink ref="C822" r:id="rId2463" display="https://statiz.sporki.com/add/?m=draft_school02&amp;ps_school=" xr:uid="{E8A66741-D2FB-4A4D-A65C-9631B6A890EC}"/>
    <hyperlink ref="A823" r:id="rId2464" display="https://statiz.sporki.com/player/?m=playerinfo&amp;p_no=13161" xr:uid="{1996041E-24F6-4254-B5B0-B15C7744BE10}"/>
    <hyperlink ref="B823" r:id="rId2465" display="https://statiz.sporki.com/add/?m=draft_school01&amp;ps_school=50203" xr:uid="{C62F1D96-2C4E-4D30-A215-D9757B5C031B}"/>
    <hyperlink ref="C823" r:id="rId2466" display="https://statiz.sporki.com/add/?m=draft_school02&amp;ps_school=" xr:uid="{521EA03A-DDEC-41A9-B076-767238BDDA5B}"/>
    <hyperlink ref="A824" r:id="rId2467" display="https://statiz.sporki.com/player/?m=playerinfo&amp;p_no=13139" xr:uid="{065D3DF3-516A-4537-ABE2-B186E07EC741}"/>
    <hyperlink ref="B824" r:id="rId2468" display="https://statiz.sporki.com/add/?m=draft_school01&amp;ps_school=50501" xr:uid="{89475B6B-6675-4CD1-9115-92E2E111E71E}"/>
    <hyperlink ref="C824" r:id="rId2469" display="https://statiz.sporki.com/add/?m=draft_school02&amp;ps_school=" xr:uid="{919C4A59-4CEC-4C93-9E25-DE81B6FC19B0}"/>
    <hyperlink ref="A825" r:id="rId2470" display="https://statiz.sporki.com/player/?m=playerinfo&amp;p_no=13119" xr:uid="{EA146A84-1450-4650-96BD-028F01E768DB}"/>
    <hyperlink ref="B825" r:id="rId2471" display="https://statiz.sporki.com/add/?m=draft_school01&amp;ps_school=50202" xr:uid="{AE540BCD-6B06-4139-83D0-36C28FD2E1EC}"/>
    <hyperlink ref="C825" r:id="rId2472" display="https://statiz.sporki.com/add/?m=draft_school02&amp;ps_school=" xr:uid="{9CA31488-94D1-4496-AA11-0017BB22E5E5}"/>
    <hyperlink ref="A826" r:id="rId2473" display="https://statiz.sporki.com/player/?m=playerinfo&amp;p_no=13173" xr:uid="{AA2E70F5-F412-4871-BAEC-E7C1D297E14A}"/>
    <hyperlink ref="B826" r:id="rId2474" display="https://statiz.sporki.com/add/?m=draft_school01&amp;ps_school=50116" xr:uid="{191B2262-DE02-4E56-8693-41D0B2A8E620}"/>
    <hyperlink ref="C826" r:id="rId2475" display="https://statiz.sporki.com/add/?m=draft_school02&amp;ps_school=60203" xr:uid="{36DBCEFC-92E2-430F-A83A-54358700EAB1}"/>
    <hyperlink ref="A827" r:id="rId2476" display="https://statiz.sporki.com/player/?m=playerinfo&amp;p_no=13108" xr:uid="{55A0E9D9-4246-4C6E-9423-0EF2BC033ADC}"/>
    <hyperlink ref="B827" r:id="rId2477" display="https://statiz.sporki.com/add/?m=draft_school01&amp;ps_school=50601" xr:uid="{02ACD3A0-543E-4148-A13B-F2C83DE65FDE}"/>
    <hyperlink ref="C827" r:id="rId2478" display="https://statiz.sporki.com/add/?m=draft_school02&amp;ps_school=" xr:uid="{8EA8EC22-BE96-4B34-A471-CF8EBCE6059B}"/>
    <hyperlink ref="A828" r:id="rId2479" display="https://statiz.sporki.com/player/?m=playerinfo&amp;p_no=13086" xr:uid="{5F872EC6-D34E-46A8-9C52-215BA053A4A3}"/>
    <hyperlink ref="B828" r:id="rId2480" display="https://statiz.sporki.com/add/?m=draft_school01&amp;ps_school=50809" xr:uid="{E50463D0-757C-4D01-BDEE-C8FBD2F02209}"/>
    <hyperlink ref="C828" r:id="rId2481" display="https://statiz.sporki.com/add/?m=draft_school02&amp;ps_school=60802" xr:uid="{7CB87564-C360-4101-90C7-A08BF00415EC}"/>
    <hyperlink ref="A829" r:id="rId2482" display="https://statiz.sporki.com/player/?m=playerinfo&amp;p_no=13130" xr:uid="{4455A67A-7296-4ED1-BEC0-3471B6D86ADF}"/>
    <hyperlink ref="B829" r:id="rId2483" display="https://statiz.sporki.com/add/?m=draft_school01&amp;ps_school=50807" xr:uid="{FF4EC985-665D-4475-BF76-93F9A0DDD1AC}"/>
    <hyperlink ref="C829" r:id="rId2484" display="https://statiz.sporki.com/add/?m=draft_school02&amp;ps_school=" xr:uid="{87596947-A999-40E0-B10E-CEC135A54612}"/>
    <hyperlink ref="A830" r:id="rId2485" display="https://statiz.sporki.com/player/?m=playerinfo&amp;p_no=13097" xr:uid="{52C135B9-F4F9-4627-938C-2062607E76F1}"/>
    <hyperlink ref="B830" r:id="rId2486" display="https://statiz.sporki.com/add/?m=draft_school01&amp;ps_school=50701" xr:uid="{96EC33C1-5497-4B84-BBD6-70C46A7407D6}"/>
    <hyperlink ref="C830" r:id="rId2487" display="https://statiz.sporki.com/add/?m=draft_school02&amp;ps_school=" xr:uid="{9F43393D-06CB-404A-B750-57792F0C1E4C}"/>
    <hyperlink ref="A831" r:id="rId2488" display="https://statiz.sporki.com/player/?m=playerinfo&amp;p_no=13075" xr:uid="{16097C31-52FF-4C65-B853-8694B54FEF1B}"/>
    <hyperlink ref="B831" r:id="rId2489" display="https://statiz.sporki.com/add/?m=draft_school01&amp;ps_school=50111" xr:uid="{24401238-5BB1-4CA2-98AB-01E3EC1CC281}"/>
    <hyperlink ref="C831" r:id="rId2490" display="https://statiz.sporki.com/add/?m=draft_school02&amp;ps_school=60104" xr:uid="{AD4597C4-BCB5-420C-B687-06EEA5006B27}"/>
    <hyperlink ref="A832" r:id="rId2491" display="https://statiz.sporki.com/player/?m=playerinfo&amp;p_no=13151" xr:uid="{A57C9699-ABF3-42A7-8485-AAB7AB4B6284}"/>
    <hyperlink ref="B832" r:id="rId2492" display="https://statiz.sporki.com/add/?m=draft_school01&amp;ps_school=50602" xr:uid="{EE15BAEB-0732-4217-8211-FCFA64F18624}"/>
    <hyperlink ref="C832" r:id="rId2493" display="https://statiz.sporki.com/add/?m=draft_school02&amp;ps_school=60108" xr:uid="{71920ECD-E95A-4F92-98F1-BB46100E87DE}"/>
    <hyperlink ref="A833" r:id="rId2494" display="https://statiz.sporki.com/player/?m=playerinfo&amp;p_no=13162" xr:uid="{0CE3265F-AE54-4231-B40E-1AC86856D935}"/>
    <hyperlink ref="B833" r:id="rId2495" display="https://statiz.sporki.com/add/?m=draft_school01&amp;ps_school=50403" xr:uid="{3EB0F9F1-889A-49E3-913E-1681F8D0B6C7}"/>
    <hyperlink ref="C833" r:id="rId2496" display="https://statiz.sporki.com/add/?m=draft_school02&amp;ps_school=" xr:uid="{40BBA3DD-B728-44CA-8099-92F7BDB9838C}"/>
    <hyperlink ref="A834" r:id="rId2497" display="https://statiz.sporki.com/player/?m=playerinfo&amp;p_no=13140" xr:uid="{E7CCBEC5-954A-4084-A951-B81092175010}"/>
    <hyperlink ref="B834" r:id="rId2498" display="https://statiz.sporki.com/add/?m=draft_school01&amp;ps_school=50211" xr:uid="{1AB03270-0255-4601-8E46-2DA6E1FB5E0F}"/>
    <hyperlink ref="C834" r:id="rId2499" display="https://statiz.sporki.com/add/?m=draft_school02&amp;ps_school=" xr:uid="{BAFA5AB1-B0E7-4498-B1D9-250B279F50F1}"/>
    <hyperlink ref="A835" r:id="rId2500" display="https://statiz.sporki.com/player/?m=playerinfo&amp;p_no=13120" xr:uid="{FFD36EB2-4929-488C-BDC3-2750F1FD0111}"/>
    <hyperlink ref="B835" r:id="rId2501" display="https://statiz.sporki.com/add/?m=draft_school01&amp;ps_school=50103" xr:uid="{553BB027-074F-4074-AE1C-9B5B4FCF7745}"/>
    <hyperlink ref="C835" r:id="rId2502" display="https://statiz.sporki.com/add/?m=draft_school02&amp;ps_school=" xr:uid="{05E03046-7A2C-45EB-89FB-7F3F649E8B70}"/>
    <hyperlink ref="A836" r:id="rId2503" display="https://statiz.sporki.com/player/?m=playerinfo&amp;p_no=13174" xr:uid="{E0ADEF3A-7FC8-47F5-89AE-69D7BB6DCA5E}"/>
    <hyperlink ref="B836" r:id="rId2504" display="https://statiz.sporki.com/add/?m=draft_school01&amp;ps_school=50705" xr:uid="{8DD6BEB0-F663-4C68-9138-1A7F510233EA}"/>
    <hyperlink ref="C836" r:id="rId2505" display="https://statiz.sporki.com/add/?m=draft_school02&amp;ps_school=" xr:uid="{3C72FE02-56CE-4530-9373-FB22E4CACB5C}"/>
    <hyperlink ref="A837" r:id="rId2506" display="https://statiz.sporki.com/player/?m=playerinfo&amp;p_no=13109" xr:uid="{3F9D0021-38C2-4B42-B89B-4F03C1CD1AAB}"/>
    <hyperlink ref="B837" r:id="rId2507" display="https://statiz.sporki.com/add/?m=draft_school01&amp;ps_school=50109" xr:uid="{C920C099-148B-4CC8-BA2B-550807D10A40}"/>
    <hyperlink ref="C837" r:id="rId2508" display="https://statiz.sporki.com/add/?m=draft_school02&amp;ps_school=" xr:uid="{4723B30E-D553-4A9F-9B38-01F8740D5C50}"/>
    <hyperlink ref="A838" r:id="rId2509" display="https://statiz.sporki.com/player/?m=playerinfo&amp;p_no=13087" xr:uid="{1B1DF60A-EF73-43B7-A40B-C989A0D9D9BA}"/>
    <hyperlink ref="B838" r:id="rId2510" display="https://statiz.sporki.com/add/?m=draft_school01&amp;ps_school=50801" xr:uid="{5A22E6F1-98D8-427B-8192-1F7175572344}"/>
    <hyperlink ref="C838" r:id="rId2511" display="https://statiz.sporki.com/add/?m=draft_school02&amp;ps_school=" xr:uid="{5F707ADE-0C16-4338-8881-625AF6780C3B}"/>
    <hyperlink ref="A839" r:id="rId2512" display="https://statiz.sporki.com/player/?m=playerinfo&amp;p_no=13131" xr:uid="{C04FAB2F-8885-4BE7-B592-F2B67CA4ECEA}"/>
    <hyperlink ref="B839" r:id="rId2513" display="https://statiz.sporki.com/add/?m=draft_school01&amp;ps_school=50706" xr:uid="{AFC85CA6-5F10-45C6-ADB8-14A4282DF8EF}"/>
    <hyperlink ref="C839" r:id="rId2514" display="https://statiz.sporki.com/add/?m=draft_school02&amp;ps_school=" xr:uid="{E68E5445-DA82-4FEC-9A5C-F78017EAEAB6}"/>
    <hyperlink ref="A840" r:id="rId2515" display="https://statiz.sporki.com/player/?m=playerinfo&amp;p_no=13098" xr:uid="{14212F56-5731-4C50-91BE-C82F239019BC}"/>
    <hyperlink ref="B840" r:id="rId2516" display="https://statiz.sporki.com/add/?m=draft_school01&amp;ps_school=50301" xr:uid="{D40CEB15-D312-45CD-A483-FC8740073E3C}"/>
    <hyperlink ref="C840" r:id="rId2517" display="https://statiz.sporki.com/add/?m=draft_school02&amp;ps_school=" xr:uid="{64B6B6D0-D46C-4CDC-B6E7-542A2D498E69}"/>
    <hyperlink ref="A841" r:id="rId2518" display="https://statiz.sporki.com/player/?m=playerinfo&amp;p_no=13076" xr:uid="{798A9762-F0A5-4A95-A1F2-9489B5A065D4}"/>
    <hyperlink ref="B841" r:id="rId2519" display="https://statiz.sporki.com/add/?m=draft_school01&amp;ps_school=50501" xr:uid="{88887B12-BC2B-4E19-B975-34A8EF643D23}"/>
    <hyperlink ref="C841" r:id="rId2520" display="https://statiz.sporki.com/add/?m=draft_school02&amp;ps_school=60204" xr:uid="{9A332ECE-F432-446A-BF9A-E8A511DF1A10}"/>
    <hyperlink ref="A842" r:id="rId2521" display="https://statiz.sporki.com/player/?m=playerinfo&amp;p_no=13152" xr:uid="{782A1345-FA9A-4825-8EB8-75F5464C0EC8}"/>
    <hyperlink ref="B842" r:id="rId2522" display="https://statiz.sporki.com/add/?m=draft_school01&amp;ps_school=50101" xr:uid="{5673B67C-BE42-425C-9E4D-109E31600BF7}"/>
    <hyperlink ref="C842" r:id="rId2523" display="https://statiz.sporki.com/add/?m=draft_school02&amp;ps_school=" xr:uid="{B935A786-E88B-4B24-AEA3-B349B3065F19}"/>
    <hyperlink ref="A843" r:id="rId2524" display="https://statiz.sporki.com/player/?m=playerinfo&amp;p_no=13163" xr:uid="{703DB227-F078-4BB5-9B64-E977F494E359}"/>
    <hyperlink ref="B843" r:id="rId2525" display="https://statiz.sporki.com/add/?m=draft_school01&amp;ps_school=50103" xr:uid="{D09F7408-040B-4F7E-A6E3-AFEAC8F32561}"/>
    <hyperlink ref="C843" r:id="rId2526" display="https://statiz.sporki.com/add/?m=draft_school02&amp;ps_school=" xr:uid="{623440E2-8FE9-46E6-8296-D15BB37BC42C}"/>
    <hyperlink ref="A844" r:id="rId2527" display="https://statiz.sporki.com/player/?m=playerinfo&amp;p_no=13141" xr:uid="{499CB8AF-A445-4013-ABA9-F8711FCEBBCA}"/>
    <hyperlink ref="B844" r:id="rId2528" display="https://statiz.sporki.com/add/?m=draft_school01&amp;ps_school=50103" xr:uid="{C3FF30FA-DADD-4EBD-BA2A-8240C8CE9AC0}"/>
    <hyperlink ref="C844" r:id="rId2529" display="https://statiz.sporki.com/add/?m=draft_school02&amp;ps_school=" xr:uid="{21B004F7-81C2-4354-9679-28C75212B6D6}"/>
    <hyperlink ref="A845" r:id="rId2530" display="https://statiz.sporki.com/player/?m=playerinfo&amp;p_no=13121" xr:uid="{84CE1755-2427-4A76-BF12-16D79E069DC9}"/>
    <hyperlink ref="B845" r:id="rId2531" display="https://statiz.sporki.com/add/?m=draft_school01&amp;ps_school=50106" xr:uid="{5B5A6686-0BB7-408B-B58C-A71626A58BB5}"/>
    <hyperlink ref="C845" r:id="rId2532" display="https://statiz.sporki.com/add/?m=draft_school02&amp;ps_school=" xr:uid="{86FA09A5-79D8-444F-9200-B64283C83D09}"/>
    <hyperlink ref="A846" r:id="rId2533" display="https://statiz.sporki.com/player/?m=playerinfo&amp;p_no=13175" xr:uid="{70B1E0E8-C51B-426F-A401-8E7CC4929577}"/>
    <hyperlink ref="B846" r:id="rId2534" display="https://statiz.sporki.com/add/?m=draft_school01&amp;ps_school=50114" xr:uid="{E5AC3EE5-26AA-436B-9D73-BDAC7AB25084}"/>
    <hyperlink ref="C846" r:id="rId2535" display="https://statiz.sporki.com/add/?m=draft_school02&amp;ps_school=" xr:uid="{9711EAB9-2C07-4FEA-90F3-9B3B242F6049}"/>
    <hyperlink ref="A847" r:id="rId2536" display="https://statiz.sporki.com/player/?m=playerinfo&amp;p_no=13110" xr:uid="{9359C88A-F789-40ED-ACAA-D9028433FFC1}"/>
    <hyperlink ref="B847" r:id="rId2537" display="https://statiz.sporki.com/add/?m=draft_school01&amp;ps_school=50114" xr:uid="{86A567BF-046D-439D-BBD9-7FE7E242957D}"/>
    <hyperlink ref="C847" r:id="rId2538" display="https://statiz.sporki.com/add/?m=draft_school02&amp;ps_school=" xr:uid="{53560E2F-E099-44E6-B8C4-B4A47F65321A}"/>
    <hyperlink ref="A848" r:id="rId2539" display="https://statiz.sporki.com/player/?m=playerinfo&amp;p_no=13088" xr:uid="{4409BCA9-AFE7-48EF-902A-6C04950D7E65}"/>
    <hyperlink ref="B848" r:id="rId2540" display="https://statiz.sporki.com/add/?m=draft_school01&amp;ps_school=50602" xr:uid="{AE197883-65E6-459F-AF5D-83BB2FFAD015}"/>
    <hyperlink ref="C848" r:id="rId2541" display="https://statiz.sporki.com/add/?m=draft_school02&amp;ps_school=" xr:uid="{0A1472F4-24B2-47D5-A104-9ECA2E58199F}"/>
    <hyperlink ref="A849" r:id="rId2542" display="https://statiz.sporki.com/player/?m=playerinfo&amp;p_no=13132" xr:uid="{C709B7EF-D550-4DF6-9AD6-E1AC667EEA23}"/>
    <hyperlink ref="B849" r:id="rId2543" display="https://statiz.sporki.com/add/?m=draft_school01&amp;ps_school=50807" xr:uid="{414C771D-1682-4AC4-BCDA-AABE5D624BA6}"/>
    <hyperlink ref="C849" r:id="rId2544" display="https://statiz.sporki.com/add/?m=draft_school02&amp;ps_school=" xr:uid="{296E3F7C-F249-43FC-94E9-94B173B62696}"/>
    <hyperlink ref="A850" r:id="rId2545" display="https://statiz.sporki.com/player/?m=playerinfo&amp;p_no=13099" xr:uid="{910C50C2-BB47-46A9-9939-1C39D8E7F1D7}"/>
    <hyperlink ref="B850" r:id="rId2546" display="https://statiz.sporki.com/add/?m=draft_school01&amp;ps_school=50105" xr:uid="{E6519F4C-B233-432B-B47A-B67856E78A8E}"/>
    <hyperlink ref="C850" r:id="rId2547" display="https://statiz.sporki.com/add/?m=draft_school02&amp;ps_school=" xr:uid="{96AA5A56-285F-4F1F-BAA9-30A5FC3081E1}"/>
    <hyperlink ref="A851" r:id="rId2548" display="https://statiz.sporki.com/player/?m=playerinfo&amp;p_no=13077" xr:uid="{A68E8704-9C85-4133-8369-250CBD0DBD3F}"/>
    <hyperlink ref="B851" r:id="rId2549" display="https://statiz.sporki.com/add/?m=draft_school01&amp;ps_school=50402" xr:uid="{0BEFB603-9015-4AF6-8C6B-67201B115F86}"/>
    <hyperlink ref="C851" r:id="rId2550" display="https://statiz.sporki.com/add/?m=draft_school02&amp;ps_school=" xr:uid="{0A10E42B-F80F-4B5F-AE43-3AF2D33506F9}"/>
    <hyperlink ref="A852" r:id="rId2551" display="https://statiz.sporki.com/player/?m=playerinfo&amp;p_no=13153" xr:uid="{4BBE8848-58B7-4857-B554-AD91C9D8D559}"/>
    <hyperlink ref="B852" r:id="rId2552" display="https://statiz.sporki.com/add/?m=draft_school01&amp;ps_school=50805" xr:uid="{6A7122D8-7240-48F0-A634-BB53CE81D824}"/>
    <hyperlink ref="C852" r:id="rId2553" display="https://statiz.sporki.com/add/?m=draft_school02&amp;ps_school=60703" xr:uid="{14F294BD-8B7E-466D-87E7-C7E5F7BD8E0F}"/>
    <hyperlink ref="A853" r:id="rId2554" display="https://statiz.sporki.com/player/?m=playerinfo&amp;p_no=13164" xr:uid="{BF7ED955-0970-487F-A970-E8B49EE5B269}"/>
    <hyperlink ref="B853" r:id="rId2555" display="https://statiz.sporki.com/add/?m=draft_school01&amp;ps_school=50209" xr:uid="{D3A0EACA-3B82-4205-B348-57F74C499631}"/>
    <hyperlink ref="C853" r:id="rId2556" display="https://statiz.sporki.com/add/?m=draft_school02&amp;ps_school=" xr:uid="{F30DF139-72C2-465F-B3B4-228408689190}"/>
    <hyperlink ref="A854" r:id="rId2557" display="https://statiz.sporki.com/player/?m=playerinfo&amp;p_no=13142" xr:uid="{CABA940E-D3FC-4475-B9CD-542414769B0A}"/>
    <hyperlink ref="B854" r:id="rId2558" display="https://statiz.sporki.com/add/?m=draft_school01&amp;ps_school=50606" xr:uid="{6669DC09-C8AA-4835-B949-8DEB0A33F270}"/>
    <hyperlink ref="C854" r:id="rId2559" display="https://statiz.sporki.com/add/?m=draft_school02&amp;ps_school=" xr:uid="{6ABE4247-D9DD-451E-82E2-978CD6E5C727}"/>
    <hyperlink ref="A855" r:id="rId2560" display="https://statiz.sporki.com/player/?m=playerinfo&amp;p_no=13122" xr:uid="{FD510A87-E25C-47C8-BE8D-D178CA30509D}"/>
    <hyperlink ref="B855" r:id="rId2561" display="https://statiz.sporki.com/add/?m=draft_school01&amp;ps_school=50602" xr:uid="{B37D0EAA-0969-4BEC-B2FA-67CE32CF2688}"/>
    <hyperlink ref="C855" r:id="rId2562" display="https://statiz.sporki.com/add/?m=draft_school02&amp;ps_school=60108" xr:uid="{E871E66F-FB23-4BC3-89BB-C857E8F9C879}"/>
    <hyperlink ref="A856" r:id="rId2563" display="https://statiz.sporki.com/player/?m=playerinfo&amp;p_no=13176" xr:uid="{25F70DF1-B1A3-467D-876D-4B0621445C53}"/>
    <hyperlink ref="B856" r:id="rId2564" display="https://statiz.sporki.com/add/?m=draft_school01&amp;ps_school=50705" xr:uid="{F3923DED-7F9F-4B0E-AE52-A371EDD5E520}"/>
    <hyperlink ref="C856" r:id="rId2565" display="https://statiz.sporki.com/add/?m=draft_school02&amp;ps_school=60113" xr:uid="{29ECAF90-3145-4B0F-8F98-054824B25BC4}"/>
    <hyperlink ref="A857" r:id="rId2566" display="https://statiz.sporki.com/player/?m=playerinfo&amp;p_no=13111" xr:uid="{AEAC50A0-0C1A-45E5-BEE1-9A212752B286}"/>
    <hyperlink ref="B857" r:id="rId2567" display="https://statiz.sporki.com/add/?m=draft_school01&amp;ps_school=50107" xr:uid="{F2AFE9F9-B2D9-4225-B206-5C5142352BED}"/>
    <hyperlink ref="C857" r:id="rId2568" display="https://statiz.sporki.com/add/?m=draft_school02&amp;ps_school=60114" xr:uid="{0DF1D43C-B5B2-433F-9293-6DE29632DF59}"/>
    <hyperlink ref="A858" r:id="rId2569" display="https://statiz.sporki.com/player/?m=playerinfo&amp;p_no=13089" xr:uid="{1A57F7FB-218B-481D-A90D-D8A5205B320E}"/>
    <hyperlink ref="B858" r:id="rId2570" display="https://statiz.sporki.com/add/?m=draft_school01&amp;ps_school=50110" xr:uid="{C8CE73F1-91E4-42C3-AD44-A43401B64E66}"/>
    <hyperlink ref="C858" r:id="rId2571" display="https://statiz.sporki.com/add/?m=draft_school02&amp;ps_school=60103" xr:uid="{9CA90ED9-6DFF-4861-83DD-0F2E15B117A3}"/>
    <hyperlink ref="A859" r:id="rId2572" display="https://statiz.sporki.com/player/?m=playerinfo&amp;p_no=13133" xr:uid="{C97006E9-05F5-4E24-A2B7-F7B46004F370}"/>
    <hyperlink ref="B859" r:id="rId2573" display="https://statiz.sporki.com/add/?m=draft_school01&amp;ps_school=50701" xr:uid="{63C926A4-E601-4C10-8E4D-BFE32E1A7CBA}"/>
    <hyperlink ref="C859" r:id="rId2574" display="https://statiz.sporki.com/add/?m=draft_school02&amp;ps_school=" xr:uid="{C669252A-DE95-4DCB-8633-86279EB3E740}"/>
    <hyperlink ref="A860" r:id="rId2575" display="https://statiz.sporki.com/player/?m=playerinfo&amp;p_no=13100" xr:uid="{41762F4E-8F19-4172-A990-BCC7890E2751}"/>
    <hyperlink ref="B860" r:id="rId2576" display="https://statiz.sporki.com/add/?m=draft_school01&amp;ps_school=50203" xr:uid="{E9CE4C26-E283-48B0-B624-45391BB2DCE4}"/>
    <hyperlink ref="C860" r:id="rId2577" display="https://statiz.sporki.com/add/?m=draft_school02&amp;ps_school=" xr:uid="{8065AB66-9EAE-4390-B1EB-1896930D5C5E}"/>
    <hyperlink ref="A861" r:id="rId2578" display="https://statiz.sporki.com/player/?m=playerinfo&amp;p_no=13078" xr:uid="{852C17C1-F989-435D-A9BA-9839D968F4C7}"/>
    <hyperlink ref="B861" r:id="rId2579" display="https://statiz.sporki.com/add/?m=draft_school01&amp;ps_school=50110" xr:uid="{9A3CB660-ABD1-4561-97FF-43893B650C8A}"/>
    <hyperlink ref="C861" r:id="rId2580" display="https://statiz.sporki.com/add/?m=draft_school02&amp;ps_school=" xr:uid="{BD403304-0445-4BC5-ABC1-5444301F6FE6}"/>
    <hyperlink ref="A862" r:id="rId2581" display="https://statiz.sporki.com/player/?m=playerinfo&amp;p_no=13154" xr:uid="{D1285980-7C64-4DD1-8F00-842331D482D5}"/>
    <hyperlink ref="B862" r:id="rId2582" display="https://statiz.sporki.com/add/?m=draft_school01&amp;ps_school=50802" xr:uid="{3936223E-A274-407C-BFDD-AA96AFAE92AE}"/>
    <hyperlink ref="C862" r:id="rId2583" display="https://statiz.sporki.com/add/?m=draft_school02&amp;ps_school=" xr:uid="{E50D23D4-3273-433E-82DD-65212F2966C8}"/>
    <hyperlink ref="A863" r:id="rId2584" display="https://statiz.sporki.com/player/?m=playerinfo&amp;p_no=13165" xr:uid="{DA06E662-B240-45A1-BB37-6FF2A66F6216}"/>
    <hyperlink ref="B863" r:id="rId2585" display="https://statiz.sporki.com/add/?m=draft_school01&amp;ps_school=50402" xr:uid="{16C4A8AE-34AE-4B15-94A5-27E8E3FFC88E}"/>
    <hyperlink ref="C863" r:id="rId2586" display="https://statiz.sporki.com/add/?m=draft_school02&amp;ps_school=" xr:uid="{903BCDB4-1C1A-4616-905C-2D279459F75E}"/>
    <hyperlink ref="A864" r:id="rId2587" display="https://statiz.sporki.com/player/?m=playerinfo&amp;p_no=13143" xr:uid="{C487FC99-76B1-4DEE-BC36-EE61959F7A78}"/>
    <hyperlink ref="B864" r:id="rId2588" display="https://statiz.sporki.com/add/?m=draft_school01&amp;ps_school=50107" xr:uid="{B25AE3B8-436A-49B3-A132-948C384522B0}"/>
    <hyperlink ref="C864" r:id="rId2589" display="https://statiz.sporki.com/add/?m=draft_school02&amp;ps_school=" xr:uid="{4A2FA9FA-228E-4191-84BF-46B0A4CAB18E}"/>
    <hyperlink ref="A865" r:id="rId2590" display="https://statiz.sporki.com/player/?m=playerinfo&amp;p_no=13123" xr:uid="{1C18386E-3723-4AC7-8A00-D0B2D43C6CA4}"/>
    <hyperlink ref="B865" r:id="rId2591" display="https://statiz.sporki.com/add/?m=draft_school01&amp;ps_school=50606" xr:uid="{BC5E0972-1ACD-42B0-95D0-6E5C7514CC02}"/>
    <hyperlink ref="C865" r:id="rId2592" display="https://statiz.sporki.com/add/?m=draft_school02&amp;ps_school=60804" xr:uid="{EB92537B-5626-4900-82EE-521027C3A1C6}"/>
    <hyperlink ref="A866" r:id="rId2593" display="https://statiz.sporki.com/player/?m=playerinfo&amp;p_no=13177" xr:uid="{8FBD1B6F-D460-41F1-94DA-F9CFAE701B3C}"/>
    <hyperlink ref="B866" r:id="rId2594" display="https://statiz.sporki.com/add/?m=draft_school01&amp;ps_school=50208" xr:uid="{A2B6370E-749C-4902-A3DF-C999F1963245}"/>
    <hyperlink ref="C866" r:id="rId2595" display="https://statiz.sporki.com/add/?m=draft_school02&amp;ps_school=" xr:uid="{B6E771DC-CE0A-4247-9394-DA8B80288E69}"/>
    <hyperlink ref="A867" r:id="rId2596" display="https://statiz.sporki.com/player/?m=playerinfo&amp;p_no=13112" xr:uid="{781FDEEB-F55D-40C7-8B81-6F88A3256446}"/>
    <hyperlink ref="B867" r:id="rId2597" display="https://statiz.sporki.com/add/?m=draft_school01&amp;ps_school=50701" xr:uid="{F4248B6D-06A8-483B-B83A-80B0F9B072B2}"/>
    <hyperlink ref="C867" r:id="rId2598" display="https://statiz.sporki.com/add/?m=draft_school02&amp;ps_school=60902" xr:uid="{001117C1-A76D-4DCE-9A13-2A5A1CBC8E6E}"/>
    <hyperlink ref="A868" r:id="rId2599" display="https://statiz.sporki.com/player/?m=playerinfo&amp;p_no=13090" xr:uid="{1AF5C471-8BB6-4821-9459-F5BFF5D4B01C}"/>
    <hyperlink ref="B868" r:id="rId2600" display="https://statiz.sporki.com/add/?m=draft_school01&amp;ps_school=50103" xr:uid="{3EAEE266-8430-4443-8CED-7272C04E7473}"/>
    <hyperlink ref="C868" r:id="rId2601" display="https://statiz.sporki.com/add/?m=draft_school02&amp;ps_school=" xr:uid="{4FBAA719-B2C6-4BFD-B9F8-C3C22E7FD06D}"/>
    <hyperlink ref="A869" r:id="rId2602" display="https://statiz.sporki.com/player/?m=playerinfo&amp;p_no=13101" xr:uid="{321C7719-E5EB-4346-AD1D-E5EED39B5E92}"/>
    <hyperlink ref="B869" r:id="rId2603" display="https://statiz.sporki.com/add/?m=draft_school01&amp;ps_school=50209" xr:uid="{ABBD0A46-E9E8-48F7-977E-23FDD106231F}"/>
    <hyperlink ref="C869" r:id="rId2604" display="https://statiz.sporki.com/add/?m=draft_school02&amp;ps_school=60501" xr:uid="{8A78B760-E21E-43A4-8FEE-9704045B1AF8}"/>
    <hyperlink ref="A870" r:id="rId2605" display="https://statiz.sporki.com/player/?m=playerinfo&amp;p_no=13079" xr:uid="{3B332700-B143-4DAC-9D16-4C12E7E62E87}"/>
    <hyperlink ref="B870" r:id="rId2606" display="https://statiz.sporki.com/add/?m=draft_school01&amp;ps_school=50901" xr:uid="{8389148D-7027-43BE-8630-6C8DDBFD8F43}"/>
    <hyperlink ref="C870" r:id="rId2607" display="https://statiz.sporki.com/add/?m=draft_school02&amp;ps_school=" xr:uid="{C8E9590B-466F-42BB-B683-33B66B2C1541}"/>
    <hyperlink ref="A871" r:id="rId2608" display="https://statiz.sporki.com/player/?m=playerinfo&amp;p_no=13155" xr:uid="{6E2766E2-642D-4C81-B832-426BA7917253}"/>
    <hyperlink ref="B871" r:id="rId2609" display="https://statiz.sporki.com/add/?m=draft_school01&amp;ps_school=50202" xr:uid="{895FD651-B687-44BC-8619-343FAA3D7763}"/>
    <hyperlink ref="C871" r:id="rId2610" display="https://statiz.sporki.com/add/?m=draft_school02&amp;ps_school=" xr:uid="{8358E328-9CF1-4356-B6BD-AF8BA0268959}"/>
    <hyperlink ref="A872" r:id="rId2611" display="https://statiz.sporki.com/player/?m=playerinfo&amp;p_no=13166" xr:uid="{6A66DA83-5148-46FC-BAB3-F2C72B7478DB}"/>
    <hyperlink ref="B872" r:id="rId2612" display="https://statiz.sporki.com/add/?m=draft_school01&amp;ps_school=50105" xr:uid="{F6932A94-412E-4371-83C5-0AEB408AFE67}"/>
    <hyperlink ref="C872" r:id="rId2613" display="https://statiz.sporki.com/add/?m=draft_school02&amp;ps_school=" xr:uid="{08EB2B1E-B232-4564-9838-3EA2F74E0B50}"/>
    <hyperlink ref="A873" r:id="rId2614" display="https://statiz.sporki.com/player/?m=playerinfo&amp;p_no=13144" xr:uid="{85F57436-C957-45C0-A713-E5FCF0384624}"/>
    <hyperlink ref="B873" r:id="rId2615" display="https://statiz.sporki.com/add/?m=draft_school01&amp;ps_school=50208" xr:uid="{A7733543-4B2D-43D0-81AE-60F3540CDE04}"/>
    <hyperlink ref="C873" r:id="rId2616" display="https://statiz.sporki.com/add/?m=draft_school02&amp;ps_school=" xr:uid="{23AB362D-D3CF-4866-AC1B-CB26138F509E}"/>
    <hyperlink ref="A874" r:id="rId2617" display="https://statiz.sporki.com/player/?m=playerinfo&amp;p_no=13060" xr:uid="{8E557E13-FE80-4035-A73E-1E313869550D}"/>
    <hyperlink ref="B874" r:id="rId2618" display="https://statiz.sporki.com/add/?m=draft_school01&amp;ps_school=" xr:uid="{8D79641F-7D90-42E5-8575-83E214E6C4E3}"/>
    <hyperlink ref="C874" r:id="rId2619" display="https://statiz.sporki.com/add/?m=draft_school02&amp;ps_school=" xr:uid="{2071D66B-5CCA-44A7-915B-1CA699BAFDEA}"/>
    <hyperlink ref="A875" r:id="rId2620" display="https://statiz.sporki.com/player/?m=playerinfo&amp;p_no=13062" xr:uid="{34A11904-6900-406B-8020-6D5F26A0FE9E}"/>
    <hyperlink ref="B875" r:id="rId2621" display="https://statiz.sporki.com/add/?m=draft_school01&amp;ps_school=" xr:uid="{44B2A7DE-BABB-4C0F-8A3D-FA304E6B241F}"/>
    <hyperlink ref="C875" r:id="rId2622" display="https://statiz.sporki.com/add/?m=draft_school02&amp;ps_school=61119" xr:uid="{59FCF95D-99F1-468F-A62D-2652095BAA1E}"/>
    <hyperlink ref="A876" r:id="rId2623" display="https://statiz.sporki.com/player/?m=playerinfo&amp;p_no=13066" xr:uid="{56B4A69E-4807-4EC7-B6DE-5B32E89FCD0F}"/>
    <hyperlink ref="B876" r:id="rId2624" display="https://statiz.sporki.com/add/?m=draft_school01&amp;ps_school=" xr:uid="{2E16A30D-50C3-47C3-9593-3A0E57F14CCE}"/>
    <hyperlink ref="C876" r:id="rId2625" display="https://statiz.sporki.com/add/?m=draft_school02&amp;ps_school=" xr:uid="{F564B08C-1A63-4E73-A027-C90ECB04101B}"/>
    <hyperlink ref="A877" r:id="rId2626" display="https://statiz.sporki.com/player/?m=playerinfo&amp;p_no=12783" xr:uid="{0C483AE1-D055-4B0E-9601-18AE5FA2B409}"/>
    <hyperlink ref="B877" r:id="rId2627" display="https://statiz.sporki.com/add/?m=draft_school01&amp;ps_school=" xr:uid="{C66D8CDC-E14E-4263-982E-8FE496458853}"/>
    <hyperlink ref="C877" r:id="rId2628" display="https://statiz.sporki.com/add/?m=draft_school02&amp;ps_school=" xr:uid="{335B4557-2E46-4361-9684-48D487F85944}"/>
    <hyperlink ref="A878" r:id="rId2629" display="https://statiz.sporki.com/player/?m=playerinfo&amp;p_no=13063" xr:uid="{F8F84EEE-CFD5-44DE-809E-A0BEC2F28AE3}"/>
    <hyperlink ref="B878" r:id="rId2630" display="https://statiz.sporki.com/add/?m=draft_school01&amp;ps_school=" xr:uid="{3CF90B42-B48C-4E74-BB06-27E5AD73426C}"/>
    <hyperlink ref="C878" r:id="rId2631" display="https://statiz.sporki.com/add/?m=draft_school02&amp;ps_school=" xr:uid="{C99BF87B-DA6F-4B2D-BC2D-D7C7814B4094}"/>
    <hyperlink ref="A879" r:id="rId2632" display="https://statiz.sporki.com/player/?m=playerinfo&amp;p_no=13288" xr:uid="{6F073C9A-C5D7-42D2-A8A9-D410DCC3C569}"/>
    <hyperlink ref="B879" r:id="rId2633" display="https://statiz.sporki.com/add/?m=draft_school01&amp;ps_school=" xr:uid="{66F39218-7A69-4DCF-A4C0-5BF8DD0F2491}"/>
    <hyperlink ref="C879" r:id="rId2634" display="https://statiz.sporki.com/add/?m=draft_school02&amp;ps_school=" xr:uid="{124C7EAD-A917-4965-AB4C-C40C06CE5379}"/>
    <hyperlink ref="A880" r:id="rId2635" display="https://statiz.sporki.com/player/?m=playerinfo&amp;p_no=13059" xr:uid="{4B542947-AD5D-492A-8D8C-438FCB0378E3}"/>
    <hyperlink ref="B880" r:id="rId2636" display="https://statiz.sporki.com/add/?m=draft_school01&amp;ps_school=" xr:uid="{67A7F00E-F071-4B37-BB78-13AF1480A5D4}"/>
    <hyperlink ref="C880" r:id="rId2637" display="https://statiz.sporki.com/add/?m=draft_school02&amp;ps_school=" xr:uid="{B8189470-A2EB-4804-899D-CB88D7FD857F}"/>
    <hyperlink ref="A881" r:id="rId2638" display="https://statiz.sporki.com/player/?m=playerinfo&amp;p_no=13286" xr:uid="{EBD42D7D-FEAB-4E5C-A1D3-B8D4108A638A}"/>
    <hyperlink ref="B881" r:id="rId2639" display="https://statiz.sporki.com/add/?m=draft_school01&amp;ps_school=" xr:uid="{8DE3A89E-AC08-43AD-9E5B-B6DDE3AB5F6F}"/>
    <hyperlink ref="C881" r:id="rId2640" display="https://statiz.sporki.com/add/?m=draft_school02&amp;ps_school=" xr:uid="{DFBB2AC0-F4F8-4F19-B816-78DC86FA23C6}"/>
    <hyperlink ref="A882" r:id="rId2641" display="https://statiz.sporki.com/player/?m=playerinfo&amp;p_no=13058" xr:uid="{9FF8B070-8D27-4704-8F17-6D08DACC260F}"/>
    <hyperlink ref="B882" r:id="rId2642" display="https://statiz.sporki.com/add/?m=draft_school01&amp;ps_school=" xr:uid="{162D3C62-1755-48C1-B8F7-B648ECED4D80}"/>
    <hyperlink ref="C882" r:id="rId2643" display="https://statiz.sporki.com/add/?m=draft_school02&amp;ps_school=" xr:uid="{6A894ADC-97ED-4A8D-82A9-2838922EE37C}"/>
    <hyperlink ref="A883" r:id="rId2644" display="https://statiz.sporki.com/player/?m=playerinfo&amp;p_no=13067" xr:uid="{12886C83-6148-4581-812D-15378CAD1E8E}"/>
    <hyperlink ref="B883" r:id="rId2645" display="https://statiz.sporki.com/add/?m=draft_school01&amp;ps_school=" xr:uid="{4FA5B488-48DD-4C75-9950-6E8B97836D44}"/>
    <hyperlink ref="C883" r:id="rId2646" display="https://statiz.sporki.com/add/?m=draft_school02&amp;ps_school=" xr:uid="{94DE3BE4-B982-4D3E-8021-DB195B05EDF7}"/>
    <hyperlink ref="A884" r:id="rId2647" display="https://statiz.sporki.com/player/?m=playerinfo&amp;p_no=13178" xr:uid="{5BEACF3A-48D5-4074-8841-FD63403824F8}"/>
    <hyperlink ref="B884" r:id="rId2648" display="https://statiz.sporki.com/add/?m=draft_school01&amp;ps_school=" xr:uid="{55B0BCD2-CB8E-4C69-9770-0A8E8360E30D}"/>
    <hyperlink ref="C884" r:id="rId2649" display="https://statiz.sporki.com/add/?m=draft_school02&amp;ps_school=" xr:uid="{9B8382E0-8786-497A-AEB6-04CB07236C9A}"/>
    <hyperlink ref="A885" r:id="rId2650" display="https://statiz.sporki.com/player/?m=playerinfo&amp;p_no=13064" xr:uid="{2C7257BD-F2D7-4E51-AD03-0991F90073C7}"/>
    <hyperlink ref="B885" r:id="rId2651" display="https://statiz.sporki.com/add/?m=draft_school01&amp;ps_school=" xr:uid="{42021156-88AF-4E6D-8705-A1E81E17ECB5}"/>
    <hyperlink ref="C885" r:id="rId2652" display="https://statiz.sporki.com/add/?m=draft_school02&amp;ps_school=" xr:uid="{785299CE-CC78-4CAB-A213-52A43B777857}"/>
    <hyperlink ref="A886" r:id="rId2653" display="https://statiz.sporki.com/player/?m=playerinfo&amp;p_no=13069" xr:uid="{BA9E3231-F55F-4F7A-8FB2-F3ADD0C8A9CE}"/>
    <hyperlink ref="B886" r:id="rId2654" display="https://statiz.sporki.com/add/?m=draft_school01&amp;ps_school=" xr:uid="{374C1E55-BCB3-4CAA-9BD9-26424F0769C7}"/>
    <hyperlink ref="C886" r:id="rId2655" display="https://statiz.sporki.com/add/?m=draft_school02&amp;ps_school=" xr:uid="{9B634886-EACD-4623-9203-FE1D72836516}"/>
    <hyperlink ref="A887" r:id="rId2656" display="https://statiz.sporki.com/player/?m=playerinfo&amp;p_no=13068" xr:uid="{0BB0690F-07A6-46D2-94DE-C2BDF84B33C6}"/>
    <hyperlink ref="B887" r:id="rId2657" display="https://statiz.sporki.com/add/?m=draft_school01&amp;ps_school=" xr:uid="{D934FF8D-2610-49D4-A765-1A3C95AC747D}"/>
    <hyperlink ref="C887" r:id="rId2658" display="https://statiz.sporki.com/add/?m=draft_school02&amp;ps_school=" xr:uid="{C9885FE9-BFFC-4CAD-92BF-0F4BCF2D8FC3}"/>
    <hyperlink ref="A888" r:id="rId2659" display="https://statiz.sporki.com/player/?m=playerinfo&amp;p_no=13287" xr:uid="{F8639702-B22E-4A6E-9C56-51DFA0615E6E}"/>
    <hyperlink ref="B888" r:id="rId2660" display="https://statiz.sporki.com/add/?m=draft_school01&amp;ps_school=" xr:uid="{0AA4003A-B1D2-4E22-BC71-A551EE0FD3A0}"/>
    <hyperlink ref="C888" r:id="rId2661" display="https://statiz.sporki.com/add/?m=draft_school02&amp;ps_school=" xr:uid="{1E530D26-CD72-4510-9F0B-1DFBED4B050A}"/>
    <hyperlink ref="A889" r:id="rId2662" display="https://statiz.sporki.com/player/?m=playerinfo&amp;p_no=13065" xr:uid="{64B8ABA0-6E7D-4CF4-B11B-4FD3BC9166D6}"/>
    <hyperlink ref="B889" r:id="rId2663" display="https://statiz.sporki.com/add/?m=draft_school01&amp;ps_school=" xr:uid="{EE96EB46-BC82-4232-90AA-237348186D98}"/>
    <hyperlink ref="C889" r:id="rId2664" display="https://statiz.sporki.com/add/?m=draft_school02&amp;ps_school=" xr:uid="{7D813141-03C9-4BDA-B566-9ECD46CCB009}"/>
    <hyperlink ref="A890" r:id="rId2665" display="https://statiz.sporki.com/player/?m=playerinfo&amp;p_no=13253" xr:uid="{40FD4108-6048-4C27-9ECC-203AB8E0D3E3}"/>
    <hyperlink ref="B890" r:id="rId2666" display="https://statiz.sporki.com/add/?m=draft_school01&amp;ps_school=50210" xr:uid="{F929DB4A-2D92-4CD7-BC99-1146C9B287EF}"/>
    <hyperlink ref="C890" r:id="rId2667" display="https://statiz.sporki.com/add/?m=draft_school02&amp;ps_school=" xr:uid="{5D522962-E13E-4AFB-B923-81577DFB21A9}"/>
    <hyperlink ref="A891" r:id="rId2668" display="https://statiz.sporki.com/player/?m=playerinfo&amp;p_no=14194" xr:uid="{F7F93090-F047-4356-8FDC-0C8FFD91FCBA}"/>
    <hyperlink ref="B891" r:id="rId2669" display="https://statiz.sporki.com/add/?m=draft_school01&amp;ps_school=50602" xr:uid="{3C4B96F3-0C07-4DE2-912D-20C1F4B4A748}"/>
    <hyperlink ref="C891" r:id="rId2670" display="https://statiz.sporki.com/add/?m=draft_school02&amp;ps_school=" xr:uid="{7AA1D30D-A975-4BCD-9F2A-26C88D476186}"/>
    <hyperlink ref="A892" r:id="rId2671" display="https://statiz.sporki.com/player/?m=playerinfo&amp;p_no=13232" xr:uid="{62C3BCA9-AC41-40AB-92F4-09DE2CE3069E}"/>
    <hyperlink ref="B892" r:id="rId2672" display="https://statiz.sporki.com/add/?m=draft_school01&amp;ps_school=50113" xr:uid="{568959C6-56A6-46B4-A44D-DC08863D8548}"/>
    <hyperlink ref="C892" r:id="rId2673" display="https://statiz.sporki.com/add/?m=draft_school02&amp;ps_school=" xr:uid="{8CB8BFD7-0217-4F4A-A8F0-CC466E785C9D}"/>
    <hyperlink ref="A893" r:id="rId2674" display="https://statiz.sporki.com/player/?m=playerinfo&amp;p_no=13228" xr:uid="{604477B7-ACEA-4835-891C-34368E0E6015}"/>
    <hyperlink ref="B893" r:id="rId2675" display="https://statiz.sporki.com/add/?m=draft_school01&amp;ps_school=50602" xr:uid="{E5A8123F-1A82-43FE-8114-1E0920538ACB}"/>
    <hyperlink ref="C893" r:id="rId2676" display="https://statiz.sporki.com/add/?m=draft_school02&amp;ps_school=" xr:uid="{BE9B436F-5800-42EE-9873-7D31441A2AB4}"/>
    <hyperlink ref="A894" r:id="rId2677" display="https://statiz.sporki.com/player/?m=playerinfo&amp;p_no=13231" xr:uid="{F3185B68-DCC5-4703-9086-5F9EE9BF4BAE}"/>
    <hyperlink ref="B894" r:id="rId2678" display="https://statiz.sporki.com/add/?m=draft_school01&amp;ps_school=50201" xr:uid="{521602A6-7671-4D05-A1ED-471059110589}"/>
    <hyperlink ref="C894" r:id="rId2679" display="https://statiz.sporki.com/add/?m=draft_school02&amp;ps_school=60804" xr:uid="{4C24C0E5-405E-4D76-92BE-E713933D09F2}"/>
    <hyperlink ref="A895" r:id="rId2680" display="https://statiz.sporki.com/player/?m=playerinfo&amp;p_no=13233" xr:uid="{33CAB144-BAEC-4970-9508-9684080B1CBC}"/>
    <hyperlink ref="B895" r:id="rId2681" display="https://statiz.sporki.com/add/?m=draft_school01&amp;ps_school=50107" xr:uid="{2E3E63CC-09D4-4158-9C52-287ABBA0B27B}"/>
    <hyperlink ref="C895" r:id="rId2682" display="https://statiz.sporki.com/add/?m=draft_school02&amp;ps_school=" xr:uid="{4E0FCB8F-07AC-4FF1-87E3-512CA0736919}"/>
    <hyperlink ref="A896" r:id="rId2683" display="https://statiz.sporki.com/player/?m=playerinfo&amp;p_no=13252" xr:uid="{A4B4C001-7CEE-4D36-96BF-170E9C71C456}"/>
    <hyperlink ref="B896" r:id="rId2684" display="https://statiz.sporki.com/add/?m=draft_school01&amp;ps_school=50201" xr:uid="{F7B2F620-6176-4BBC-9E0E-A9D319A3A0CA}"/>
    <hyperlink ref="C896" r:id="rId2685" display="https://statiz.sporki.com/add/?m=draft_school02&amp;ps_school=60204" xr:uid="{E66A202F-9D3B-4207-A25F-F126074F6AF3}"/>
    <hyperlink ref="A897" r:id="rId2686" display="https://statiz.sporki.com/player/?m=playerinfo&amp;p_no=13186" xr:uid="{30B0279C-3C7F-4D35-8763-7310C84C9263}"/>
    <hyperlink ref="B897" r:id="rId2687" display="https://statiz.sporki.com/add/?m=draft_school01&amp;ps_school=50804" xr:uid="{99F9AD57-7441-4A27-A6B3-9FB9870FD024}"/>
    <hyperlink ref="C897" r:id="rId2688" display="https://statiz.sporki.com/add/?m=draft_school02&amp;ps_school=60803" xr:uid="{331AD5E3-645D-494F-BFD7-2377220FEAA5}"/>
    <hyperlink ref="A898" r:id="rId2689" display="https://statiz.sporki.com/player/?m=playerinfo&amp;p_no=13254" xr:uid="{7770C930-BDC8-4688-80E7-FF906FA59AC1}"/>
    <hyperlink ref="B898" r:id="rId2690" display="https://statiz.sporki.com/add/?m=draft_school01&amp;ps_school=50901" xr:uid="{DA758C85-D0BF-4311-98F5-85FEECC72299}"/>
    <hyperlink ref="C898" r:id="rId2691" display="https://statiz.sporki.com/add/?m=draft_school02&amp;ps_school=60101" xr:uid="{83EDD51B-6A7F-41E1-B997-FFEDD3271C56}"/>
    <hyperlink ref="A899" r:id="rId2692" display="https://statiz.sporki.com/player/?m=playerinfo&amp;p_no=13264" xr:uid="{6C166221-654E-4588-8427-F53F5DDF1FF5}"/>
    <hyperlink ref="B899" r:id="rId2693" display="https://statiz.sporki.com/add/?m=draft_school01&amp;ps_school=50401" xr:uid="{B22051BF-6B56-441C-9AC2-10A8B032C927}"/>
    <hyperlink ref="C899" r:id="rId2694" display="https://statiz.sporki.com/add/?m=draft_school02&amp;ps_school=60111" xr:uid="{D6805440-839A-43A4-BBF3-B0A49C44D744}"/>
    <hyperlink ref="A900" r:id="rId2695" display="https://statiz.sporki.com/player/?m=playerinfo&amp;p_no=13195" xr:uid="{FF80C36D-1D9B-4184-86C3-330E359F0040}"/>
    <hyperlink ref="B900" r:id="rId2696" display="https://statiz.sporki.com/add/?m=draft_school01&amp;ps_school=50403" xr:uid="{7A606E94-D199-406C-9E1E-27E02C8E08D8}"/>
    <hyperlink ref="C900" r:id="rId2697" display="https://statiz.sporki.com/add/?m=draft_school02&amp;ps_school=" xr:uid="{09FF2498-9B2A-449D-AC61-2616ED323EF8}"/>
    <hyperlink ref="A901" r:id="rId2698" display="https://statiz.sporki.com/player/?m=playerinfo&amp;p_no=13192" xr:uid="{F1461BD9-5078-4125-966C-60DDE3C4FFBF}"/>
    <hyperlink ref="B901" r:id="rId2699" display="https://statiz.sporki.com/add/?m=draft_school01&amp;ps_school=50102" xr:uid="{8412C151-9AAF-4861-8FAC-FF9158A20A32}"/>
    <hyperlink ref="C901" r:id="rId2700" display="https://statiz.sporki.com/add/?m=draft_school02&amp;ps_school=60501" xr:uid="{0F5092A4-24D2-4BF2-8691-FF3B95B9AA83}"/>
    <hyperlink ref="A902" r:id="rId2701" display="https://statiz.sporki.com/player/?m=playerinfo&amp;p_no=13223" xr:uid="{FF7E5F20-4131-4AB6-B86F-CA1231F035DD}"/>
    <hyperlink ref="B902" r:id="rId2702" display="https://statiz.sporki.com/add/?m=draft_school01&amp;ps_school=50210" xr:uid="{84A78E6B-6DF2-40AE-BDCC-1288CDD578B6}"/>
    <hyperlink ref="C902" r:id="rId2703" display="https://statiz.sporki.com/add/?m=draft_school02&amp;ps_school=60205" xr:uid="{07673190-751F-4B18-B470-CC5DE2650B9C}"/>
    <hyperlink ref="A903" r:id="rId2704" display="https://statiz.sporki.com/player/?m=playerinfo&amp;p_no=13433" xr:uid="{3BAD45FF-6F41-4F25-BFA8-8BAEC5D041C5}"/>
    <hyperlink ref="B903" r:id="rId2705" display="https://statiz.sporki.com/add/?m=draft_school01&amp;ps_school=50103" xr:uid="{8A0586BA-4E38-4495-BBC8-404B1A95873B}"/>
    <hyperlink ref="C903" r:id="rId2706" display="https://statiz.sporki.com/add/?m=draft_school02&amp;ps_school=60109" xr:uid="{6182B7D1-A721-4696-86E3-73BE5F6F40E4}"/>
    <hyperlink ref="A904" r:id="rId2707" display="https://statiz.sporki.com/player/?m=playerinfo&amp;p_no=13196" xr:uid="{027326B6-5DFE-42FC-84D1-857F06B5D50C}"/>
    <hyperlink ref="B904" r:id="rId2708" display="https://statiz.sporki.com/add/?m=draft_school01&amp;ps_school=50707" xr:uid="{2EB96940-BB74-481C-B83B-799532DACF59}"/>
    <hyperlink ref="C904" r:id="rId2709" display="https://statiz.sporki.com/add/?m=draft_school02&amp;ps_school=" xr:uid="{122D6955-E895-4862-BDB9-C1574BF9574A}"/>
    <hyperlink ref="A905" r:id="rId2710" display="https://statiz.sporki.com/player/?m=playerinfo&amp;p_no=13225" xr:uid="{E28DA7D7-62E5-409A-AA15-325BA3F8A1C7}"/>
    <hyperlink ref="B905" r:id="rId2711" display="https://statiz.sporki.com/add/?m=draft_school01&amp;ps_school=50114" xr:uid="{063BAEA4-2CB3-49BD-9C6D-6268FF2DF106}"/>
    <hyperlink ref="C905" r:id="rId2712" display="https://statiz.sporki.com/add/?m=draft_school02&amp;ps_school=60109" xr:uid="{D1608C3F-2FA9-48BA-9139-40C75CF4D458}"/>
    <hyperlink ref="A906" r:id="rId2713" display="https://statiz.sporki.com/player/?m=playerinfo&amp;p_no=13224" xr:uid="{F8E011A8-E3A2-465A-9DEF-414D2BCA8D33}"/>
    <hyperlink ref="B906" r:id="rId2714" display="https://statiz.sporki.com/add/?m=draft_school01&amp;ps_school=50903" xr:uid="{74274A75-59B7-4F86-99F4-88A5BCF9C923}"/>
    <hyperlink ref="C906" r:id="rId2715" display="https://statiz.sporki.com/add/?m=draft_school02&amp;ps_school=60113" xr:uid="{3D309F4F-ADFA-4CB0-B860-0481C24BA084}"/>
    <hyperlink ref="A907" r:id="rId2716" display="https://statiz.sporki.com/player/?m=playerinfo&amp;p_no=13271" xr:uid="{E70F5E38-524C-4D91-8B8B-8D0A9CE869FA}"/>
    <hyperlink ref="B907" r:id="rId2717" display="https://statiz.sporki.com/add/?m=draft_school01&amp;ps_school=51101" xr:uid="{00200550-AFEE-4D92-AC74-998316C4AD2D}"/>
    <hyperlink ref="C907" r:id="rId2718" display="https://statiz.sporki.com/add/?m=draft_school02&amp;ps_school=" xr:uid="{9550B83E-5C38-45A9-B19C-311FCF3EF441}"/>
    <hyperlink ref="A908" r:id="rId2719" display="https://statiz.sporki.com/player/?m=playerinfo&amp;p_no=13268" xr:uid="{A6502586-150A-4946-BD13-C9AF7BE546BB}"/>
    <hyperlink ref="B908" r:id="rId2720" display="https://statiz.sporki.com/add/?m=draft_school01&amp;ps_school=50206" xr:uid="{7C5556E4-5019-4B71-AE21-7711E0D188C4}"/>
    <hyperlink ref="C908" r:id="rId2721" display="https://statiz.sporki.com/add/?m=draft_school02&amp;ps_school=" xr:uid="{742240EC-67F6-4559-B9B4-09B181AE4107}"/>
    <hyperlink ref="A909" r:id="rId2722" display="https://statiz.sporki.com/player/?m=playerinfo&amp;p_no=13260" xr:uid="{2044FD65-1CD7-4FF7-83E4-ABA472A54294}"/>
    <hyperlink ref="B909" r:id="rId2723" display="https://statiz.sporki.com/add/?m=draft_school01&amp;ps_school=50805" xr:uid="{586BA6B0-C846-49E1-89A9-F12B83DE0AA9}"/>
    <hyperlink ref="C909" r:id="rId2724" display="https://statiz.sporki.com/add/?m=draft_school02&amp;ps_school=60802" xr:uid="{F2DB9526-B59F-4EA3-85FE-4C8FF57948CC}"/>
    <hyperlink ref="A910" r:id="rId2725" display="https://statiz.sporki.com/player/?m=playerinfo&amp;p_no=13259" xr:uid="{3D166B9C-F408-4D50-BC29-8D475D079C47}"/>
    <hyperlink ref="B910" r:id="rId2726" display="https://statiz.sporki.com/add/?m=draft_school01&amp;ps_school=50703" xr:uid="{7D3C2A06-4BE7-479B-9A0B-4B09D73E8411}"/>
    <hyperlink ref="C910" r:id="rId2727" display="https://statiz.sporki.com/add/?m=draft_school02&amp;ps_school=60703" xr:uid="{F84373FE-6585-4D59-AF19-DE38C53EABF5}"/>
    <hyperlink ref="A911" r:id="rId2728" display="https://statiz.sporki.com/player/?m=playerinfo&amp;p_no=13258" xr:uid="{548D3C3B-97B6-44B4-AA2F-ABFC6D66FD3C}"/>
    <hyperlink ref="B911" r:id="rId2729" display="https://statiz.sporki.com/add/?m=draft_school01&amp;ps_school=50111" xr:uid="{201429A9-1A84-4FFB-92EE-BD3AC183EC9D}"/>
    <hyperlink ref="C911" r:id="rId2730" display="https://statiz.sporki.com/add/?m=draft_school02&amp;ps_school=60114" xr:uid="{42CD4EE3-2E96-4D86-BC5F-B03DBE00B49E}"/>
    <hyperlink ref="A912" r:id="rId2731" display="https://statiz.sporki.com/player/?m=playerinfo&amp;p_no=13257" xr:uid="{D99332BC-A59C-49AD-BFF7-DBF8F4954B4A}"/>
    <hyperlink ref="B912" r:id="rId2732" display="https://statiz.sporki.com/add/?m=draft_school01&amp;ps_school=50103" xr:uid="{E428EEC9-07EB-4A7C-9743-4E953ECF8D97}"/>
    <hyperlink ref="C912" r:id="rId2733" display="https://statiz.sporki.com/add/?m=draft_school02&amp;ps_school=" xr:uid="{CD4C76AA-F494-4C8D-A22A-9A699C30D10B}"/>
    <hyperlink ref="A913" r:id="rId2734" display="https://statiz.sporki.com/player/?m=playerinfo&amp;p_no=13236" xr:uid="{5A3A9822-3310-487B-8F15-B3F14B8A85CF}"/>
    <hyperlink ref="B913" r:id="rId2735" display="https://statiz.sporki.com/add/?m=draft_school01&amp;ps_school=50201" xr:uid="{941C67DE-36A7-4C41-B9D9-5AFFE9D6AEAE}"/>
    <hyperlink ref="C913" r:id="rId2736" display="https://statiz.sporki.com/add/?m=draft_school02&amp;ps_school=60109" xr:uid="{110493B3-0BCA-4A59-B58E-2869DAD60598}"/>
    <hyperlink ref="A914" r:id="rId2737" display="https://statiz.sporki.com/player/?m=playerinfo&amp;p_no=13256" xr:uid="{7E1A8E56-0242-4E7D-A04B-A00A5000779D}"/>
    <hyperlink ref="B914" r:id="rId2738" display="https://statiz.sporki.com/add/?m=draft_school01&amp;ps_school=50401" xr:uid="{A72435EE-5F1D-4094-B7E8-37447C353F3A}"/>
    <hyperlink ref="C914" r:id="rId2739" display="https://statiz.sporki.com/add/?m=draft_school02&amp;ps_school=60113" xr:uid="{143C683B-D5FE-43B5-8129-506B2BA6EDE1}"/>
    <hyperlink ref="A915" r:id="rId2740" display="https://statiz.sporki.com/player/?m=playerinfo&amp;p_no=12914" xr:uid="{8E3FEDFE-4B10-4BA6-9FAE-5B8F10A7088C}"/>
    <hyperlink ref="B915" r:id="rId2741" display="https://statiz.sporki.com/add/?m=draft_school01&amp;ps_school=50606" xr:uid="{8DE316E8-CF0C-4C24-BCAA-028160078733}"/>
    <hyperlink ref="C915" r:id="rId2742" display="https://statiz.sporki.com/add/?m=draft_school02&amp;ps_school=" xr:uid="{90567CD5-6AED-4647-B2CA-34F6CCC29492}"/>
    <hyperlink ref="A916" r:id="rId2743" display="https://statiz.sporki.com/player/?m=playerinfo&amp;p_no=12939" xr:uid="{00AB7039-210E-4DD2-A7A6-109B30B9666B}"/>
    <hyperlink ref="B916" r:id="rId2744" display="https://statiz.sporki.com/add/?m=draft_school01&amp;ps_school=50211" xr:uid="{57921C4B-4D4D-4F01-8647-667CB756F6F8}"/>
    <hyperlink ref="C916" r:id="rId2745" display="https://statiz.sporki.com/add/?m=draft_school02&amp;ps_school=" xr:uid="{5DA07AAE-63BD-43B0-AB06-8AB007DB2571}"/>
    <hyperlink ref="A917" r:id="rId2746" display="https://statiz.sporki.com/player/?m=playerinfo&amp;p_no=12907" xr:uid="{B7E8826F-E87D-4ED9-B247-6E607A98AA7A}"/>
    <hyperlink ref="B917" r:id="rId2747" display="https://statiz.sporki.com/add/?m=draft_school01&amp;ps_school=50114" xr:uid="{1A14D5FC-3C50-4938-B44C-6AD8D572F060}"/>
    <hyperlink ref="C917" r:id="rId2748" display="https://statiz.sporki.com/add/?m=draft_school02&amp;ps_school=" xr:uid="{BC7751F7-0794-4FD9-B52B-F4D11DBA0D4B}"/>
    <hyperlink ref="A918" r:id="rId2749" display="https://statiz.sporki.com/player/?m=playerinfo&amp;p_no=12898" xr:uid="{A0BA0B79-162B-4C54-8407-47340E9DC9B9}"/>
    <hyperlink ref="B918" r:id="rId2750" display="https://statiz.sporki.com/add/?m=draft_school01&amp;ps_school=50809" xr:uid="{8951C2F5-796C-4A6C-BAE7-48C10D19E756}"/>
    <hyperlink ref="C918" r:id="rId2751" display="https://statiz.sporki.com/add/?m=draft_school02&amp;ps_school=" xr:uid="{D71D70B7-E1D7-4FC8-9C2D-D907748374F0}"/>
    <hyperlink ref="A919" r:id="rId2752" display="https://statiz.sporki.com/player/?m=playerinfo&amp;p_no=12920" xr:uid="{2FA2C94E-7AD7-4852-A8DA-821717AC1922}"/>
    <hyperlink ref="B919" r:id="rId2753" display="https://statiz.sporki.com/add/?m=draft_school01&amp;ps_school=50207" xr:uid="{00549D9D-2ACC-408D-AD51-97DAEDB6AFD2}"/>
    <hyperlink ref="C919" r:id="rId2754" display="https://statiz.sporki.com/add/?m=draft_school02&amp;ps_school=" xr:uid="{78ACB7E8-4472-4327-B47A-03D2DD7B5743}"/>
    <hyperlink ref="A920" r:id="rId2755" display="https://statiz.sporki.com/player/?m=playerinfo&amp;p_no=12906" xr:uid="{200B270B-CF5C-4A62-8616-2799371A4A23}"/>
    <hyperlink ref="B920" r:id="rId2756" display="https://statiz.sporki.com/add/?m=draft_school01&amp;ps_school=50116" xr:uid="{F8105840-B366-4459-BA52-E3DA2C63CD9B}"/>
    <hyperlink ref="C920" r:id="rId2757" display="https://statiz.sporki.com/add/?m=draft_school02&amp;ps_school=" xr:uid="{40F00209-22C2-4EC6-9583-FD5254247643}"/>
    <hyperlink ref="A921" r:id="rId2758" display="https://statiz.sporki.com/player/?m=playerinfo&amp;p_no=12852" xr:uid="{44179B87-7148-431D-903F-0624556CB687}"/>
    <hyperlink ref="B921" r:id="rId2759" display="https://statiz.sporki.com/add/?m=draft_school01&amp;ps_school=50110" xr:uid="{6E9D96EB-4AD7-485B-93EC-C4CFE84A7C83}"/>
    <hyperlink ref="C921" r:id="rId2760" display="https://statiz.sporki.com/add/?m=draft_school02&amp;ps_school=60104" xr:uid="{E6E519C6-4B05-43E2-B973-07AA8FA4D75E}"/>
    <hyperlink ref="A922" r:id="rId2761" display="https://statiz.sporki.com/player/?m=playerinfo&amp;p_no=12928" xr:uid="{A4271D5C-62C3-4C2A-B7F6-6E3C7E8366A8}"/>
    <hyperlink ref="B922" r:id="rId2762" display="https://statiz.sporki.com/add/?m=draft_school01&amp;ps_school=50805" xr:uid="{DB0AADF5-DFD1-4EAB-9D94-FD3D10F4B039}"/>
    <hyperlink ref="C922" r:id="rId2763" display="https://statiz.sporki.com/add/?m=draft_school02&amp;ps_school=" xr:uid="{5CBAF560-F8C5-44D2-AB76-4AB1221A581C}"/>
    <hyperlink ref="A923" r:id="rId2764" display="https://statiz.sporki.com/player/?m=playerinfo&amp;p_no=12933" xr:uid="{15C64759-C778-45CF-8170-2ECD8EFD4664}"/>
    <hyperlink ref="B923" r:id="rId2765" display="https://statiz.sporki.com/add/?m=draft_school01&amp;ps_school=50702" xr:uid="{49E2F668-E392-4BE6-BD25-47886D2A28C3}"/>
    <hyperlink ref="C923" r:id="rId2766" display="https://statiz.sporki.com/add/?m=draft_school02&amp;ps_school=" xr:uid="{EAC7A1FC-E905-4287-9FFC-5BAE435A755F}"/>
    <hyperlink ref="A924" r:id="rId2767" display="https://statiz.sporki.com/player/?m=playerinfo&amp;p_no=12923" xr:uid="{B88A4A4E-F37C-4543-AB04-A46BDD3DB8CA}"/>
    <hyperlink ref="B924" r:id="rId2768" display="https://statiz.sporki.com/add/?m=draft_school01&amp;ps_school=50403" xr:uid="{C6B3EC6D-AA32-4E17-B1F2-2A872CCCC5D3}"/>
    <hyperlink ref="C924" r:id="rId2769" display="https://statiz.sporki.com/add/?m=draft_school02&amp;ps_school=" xr:uid="{6677E594-BD4A-4E3D-A0DE-69158511E7CF}"/>
    <hyperlink ref="A925" r:id="rId2770" display="https://statiz.sporki.com/player/?m=playerinfo&amp;p_no=12865" xr:uid="{746F1553-C613-4BFE-AFE3-91CFB44015E6}"/>
    <hyperlink ref="B925" r:id="rId2771" display="https://statiz.sporki.com/add/?m=draft_school01&amp;ps_school=50802" xr:uid="{18DE12BE-C0B1-484F-907A-B9FD5CA1BF4A}"/>
    <hyperlink ref="C925" r:id="rId2772" display="https://statiz.sporki.com/add/?m=draft_school02&amp;ps_school=" xr:uid="{D65E4EA7-8FF6-4007-8BDD-1335BA056C6A}"/>
    <hyperlink ref="A926" r:id="rId2773" display="https://statiz.sporki.com/player/?m=playerinfo&amp;p_no=12937" xr:uid="{6A59A23B-4C22-4674-8DF2-AD59D9F39F83}"/>
    <hyperlink ref="B926" r:id="rId2774" display="https://statiz.sporki.com/add/?m=draft_school01&amp;ps_school=50807" xr:uid="{B3352674-5AFA-4898-BA7A-BA72C3B65929}"/>
    <hyperlink ref="C926" r:id="rId2775" display="https://statiz.sporki.com/add/?m=draft_school02&amp;ps_school=" xr:uid="{AB6B8C31-8A99-44C0-9A34-ACF54470B740}"/>
    <hyperlink ref="A927" r:id="rId2776" display="https://statiz.sporki.com/player/?m=playerinfo&amp;p_no=12908" xr:uid="{D0ADC871-2070-4E33-A60A-BFBEE2F05EB0}"/>
    <hyperlink ref="B927" r:id="rId2777" display="https://statiz.sporki.com/add/?m=draft_school01&amp;ps_school=50802" xr:uid="{126A5603-CFAB-4F9A-A4C6-11570F7A5550}"/>
    <hyperlink ref="C927" r:id="rId2778" display="https://statiz.sporki.com/add/?m=draft_school02&amp;ps_school=" xr:uid="{7C3FEAB4-A7BF-48DB-A0DE-FE5143C08532}"/>
    <hyperlink ref="A928" r:id="rId2779" display="https://statiz.sporki.com/player/?m=playerinfo&amp;p_no=12901" xr:uid="{3A697E75-4D2D-4B19-BFD1-0222B7B5298E}"/>
    <hyperlink ref="B928" r:id="rId2780" display="https://statiz.sporki.com/add/?m=draft_school01&amp;ps_school=50605" xr:uid="{C02AEAAB-4967-4D30-84B0-2DB7BF2A74FE}"/>
    <hyperlink ref="C928" r:id="rId2781" display="https://statiz.sporki.com/add/?m=draft_school02&amp;ps_school=" xr:uid="{C81ACEA8-6777-45B8-9330-F330549A7A53}"/>
    <hyperlink ref="A929" r:id="rId2782" display="https://statiz.sporki.com/player/?m=playerinfo&amp;p_no=12918" xr:uid="{96D09E69-6297-4CFA-AEA9-2FDB88765965}"/>
    <hyperlink ref="B929" r:id="rId2783" display="https://statiz.sporki.com/add/?m=draft_school01&amp;ps_school=50705" xr:uid="{D91BE6F4-AA93-4872-BA83-3E491E14580C}"/>
    <hyperlink ref="C929" r:id="rId2784" display="https://statiz.sporki.com/add/?m=draft_school02&amp;ps_school=" xr:uid="{B015FE98-AB52-454E-AA48-099693E40062}"/>
    <hyperlink ref="A930" r:id="rId2785" display="https://statiz.sporki.com/player/?m=playerinfo&amp;p_no=12905" xr:uid="{377C8A5E-98FA-4F05-9D89-614C89706A28}"/>
    <hyperlink ref="B930" r:id="rId2786" display="https://statiz.sporki.com/add/?m=draft_school01&amp;ps_school=50202" xr:uid="{F0BC091D-61E6-417D-978E-1D2753D725C3}"/>
    <hyperlink ref="C930" r:id="rId2787" display="https://statiz.sporki.com/add/?m=draft_school02&amp;ps_school=" xr:uid="{24FF5F85-CB5D-486F-853B-5A322F31D210}"/>
    <hyperlink ref="A931" r:id="rId2788" display="https://statiz.sporki.com/player/?m=playerinfo&amp;p_no=12850" xr:uid="{64E97E01-9AA7-49BE-92E6-BE42FF378B83}"/>
    <hyperlink ref="B931" r:id="rId2789" display="https://statiz.sporki.com/add/?m=draft_school01&amp;ps_school=50210" xr:uid="{3F224A87-4299-4535-AAFB-ED517F2BA59A}"/>
    <hyperlink ref="C931" r:id="rId2790" display="https://statiz.sporki.com/add/?m=draft_school02&amp;ps_school=" xr:uid="{D38E6B5C-91E0-42A1-8941-7A2169B36F97}"/>
    <hyperlink ref="A932" r:id="rId2791" display="https://statiz.sporki.com/player/?m=playerinfo&amp;p_no=12930" xr:uid="{3883B981-48F3-4842-9315-7FF0ABEF8424}"/>
    <hyperlink ref="B932" r:id="rId2792" display="https://statiz.sporki.com/add/?m=draft_school01&amp;ps_school=50807" xr:uid="{F3C02A9A-90C7-46D6-8770-48CB5A5D03E3}"/>
    <hyperlink ref="C932" r:id="rId2793" display="https://statiz.sporki.com/add/?m=draft_school02&amp;ps_school=" xr:uid="{5C6E2C95-DA6F-4FF7-8E27-44B7912C1998}"/>
    <hyperlink ref="A933" r:id="rId2794" display="https://statiz.sporki.com/player/?m=playerinfo&amp;p_no=12934" xr:uid="{587D13CD-986A-4B97-9BD0-558BA10103A1}"/>
    <hyperlink ref="B933" r:id="rId2795" display="https://statiz.sporki.com/add/?m=draft_school01&amp;ps_school=50805" xr:uid="{7381ACFF-74DD-4CC7-8EDD-473CE98BA6AF}"/>
    <hyperlink ref="C933" r:id="rId2796" display="https://statiz.sporki.com/add/?m=draft_school02&amp;ps_school=" xr:uid="{7771796A-76C1-444F-8CD4-D6B18AB336E8}"/>
    <hyperlink ref="A934" r:id="rId2797" display="https://statiz.sporki.com/player/?m=playerinfo&amp;p_no=12926" xr:uid="{D26D3415-BDC5-4AE6-B309-507F4D7B8C4D}"/>
    <hyperlink ref="B934" r:id="rId2798" display="https://statiz.sporki.com/add/?m=draft_school01&amp;ps_school=50103" xr:uid="{C64CA93B-FABF-4F03-B4A4-77E386CF36A5}"/>
    <hyperlink ref="C934" r:id="rId2799" display="https://statiz.sporki.com/add/?m=draft_school02&amp;ps_school=" xr:uid="{080394D6-0DF1-45E1-9FA2-8D988A891940}"/>
    <hyperlink ref="A935" r:id="rId2800" display="https://statiz.sporki.com/player/?m=playerinfo&amp;p_no=12913" xr:uid="{0B59F012-D66A-4701-BDBE-2BB5A29C37FF}"/>
    <hyperlink ref="B935" r:id="rId2801" display="https://statiz.sporki.com/add/?m=draft_school01&amp;ps_school=50108" xr:uid="{F6A7606A-3AA9-4464-A494-7172F46D4833}"/>
    <hyperlink ref="C935" r:id="rId2802" display="https://statiz.sporki.com/add/?m=draft_school02&amp;ps_school=60101" xr:uid="{15099447-9FF5-4267-8EDC-EFC402FBB7A4}"/>
    <hyperlink ref="A936" r:id="rId2803" display="https://statiz.sporki.com/player/?m=playerinfo&amp;p_no=12938" xr:uid="{000AC3BA-CAAD-41B1-876E-38C7C099E8E5}"/>
    <hyperlink ref="B936" r:id="rId2804" display="https://statiz.sporki.com/add/?m=draft_school01&amp;ps_school=50703" xr:uid="{19380638-69C7-4DDE-83A0-9EE5DF89C16F}"/>
    <hyperlink ref="C936" r:id="rId2805" display="https://statiz.sporki.com/add/?m=draft_school02&amp;ps_school=" xr:uid="{A3B08648-8166-4FB0-972B-3A36478EF6F7}"/>
    <hyperlink ref="A937" r:id="rId2806" display="https://statiz.sporki.com/player/?m=playerinfo&amp;p_no=12910" xr:uid="{5746B41F-F8DB-4AAF-B9DE-B4A8184FF564}"/>
    <hyperlink ref="B937" r:id="rId2807" display="https://statiz.sporki.com/add/?m=draft_school01&amp;ps_school=50710" xr:uid="{5F686D05-C357-4A44-B3E2-65007F2B7319}"/>
    <hyperlink ref="C937" r:id="rId2808" display="https://statiz.sporki.com/add/?m=draft_school02&amp;ps_school=" xr:uid="{31711A7E-E08A-4E94-911D-A03EAD2C2E3C}"/>
    <hyperlink ref="A938" r:id="rId2809" display="https://statiz.sporki.com/player/?m=playerinfo&amp;p_no=12897" xr:uid="{93CC8C09-C2A2-4290-A63A-7AA1AEA2A69D}"/>
    <hyperlink ref="B938" r:id="rId2810" display="https://statiz.sporki.com/add/?m=draft_school01&amp;ps_school=50601" xr:uid="{782C8CDF-4464-44E9-8EC6-911F65ED5BAE}"/>
    <hyperlink ref="C938" r:id="rId2811" display="https://statiz.sporki.com/add/?m=draft_school02&amp;ps_school=" xr:uid="{BDA3DB4F-4166-4FE4-973E-0F57A4FB348E}"/>
    <hyperlink ref="A939" r:id="rId2812" display="https://statiz.sporki.com/player/?m=playerinfo&amp;p_no=12922" xr:uid="{B8FEA327-3512-4898-8274-F911CCB22A8E}"/>
    <hyperlink ref="B939" r:id="rId2813" display="https://statiz.sporki.com/add/?m=draft_school01&amp;ps_school=50606" xr:uid="{690CBE66-69A4-4D6E-8292-CAB27A60C9A1}"/>
    <hyperlink ref="C939" r:id="rId2814" display="https://statiz.sporki.com/add/?m=draft_school02&amp;ps_school=" xr:uid="{28535E44-6ABB-4725-8DA7-520D8C157812}"/>
    <hyperlink ref="A940" r:id="rId2815" display="https://statiz.sporki.com/player/?m=playerinfo&amp;p_no=12854" xr:uid="{3099435F-B648-451E-81B2-1A50A929A580}"/>
    <hyperlink ref="B940" r:id="rId2816" display="https://statiz.sporki.com/add/?m=draft_school01&amp;ps_school=50111" xr:uid="{50830F34-6FAD-4DA1-A56F-DC03D47C9A3C}"/>
    <hyperlink ref="C940" r:id="rId2817" display="https://statiz.sporki.com/add/?m=draft_school02&amp;ps_school=" xr:uid="{4344EE56-F6B7-48CE-9775-09931128596A}"/>
    <hyperlink ref="A941" r:id="rId2818" display="https://statiz.sporki.com/player/?m=playerinfo&amp;p_no=12847" xr:uid="{BBAB12AF-A69F-4BF9-BF81-12A5318D1AE4}"/>
    <hyperlink ref="B941" r:id="rId2819" display="https://statiz.sporki.com/add/?m=draft_school01&amp;ps_school=50701" xr:uid="{8CDD15D2-4632-43C0-85D5-0FF104AEDADE}"/>
    <hyperlink ref="C941" r:id="rId2820" display="https://statiz.sporki.com/add/?m=draft_school02&amp;ps_school=60802" xr:uid="{21FF4F76-FC36-4AA9-A5FB-4EDC4FCA5333}"/>
    <hyperlink ref="A942" r:id="rId2821" display="https://statiz.sporki.com/player/?m=playerinfo&amp;p_no=12931" xr:uid="{E9975AED-A189-487B-92DC-9E62D1FC5C3C}"/>
    <hyperlink ref="B942" r:id="rId2822" display="https://statiz.sporki.com/add/?m=draft_school01&amp;ps_school=50210" xr:uid="{E90F7C3C-9203-4885-A179-D95671A64DC0}"/>
    <hyperlink ref="C942" r:id="rId2823" display="https://statiz.sporki.com/add/?m=draft_school02&amp;ps_school=" xr:uid="{EA0F1425-DDCA-4C59-95C7-56036B607A0B}"/>
    <hyperlink ref="A943" r:id="rId2824" display="https://statiz.sporki.com/player/?m=playerinfo&amp;p_no=12935" xr:uid="{B0EDD4E4-5EEC-449B-A925-F8FF11586C5F}"/>
    <hyperlink ref="B943" r:id="rId2825" display="https://statiz.sporki.com/add/?m=draft_school01&amp;ps_school=50301" xr:uid="{0DCFF3AD-B7CD-451B-8F0B-90263DA8BB41}"/>
    <hyperlink ref="C943" r:id="rId2826" display="https://statiz.sporki.com/add/?m=draft_school02&amp;ps_school=60114" xr:uid="{0A0A0890-D71F-4847-9249-AB9FDD1C6095}"/>
    <hyperlink ref="A944" r:id="rId2827" display="https://statiz.sporki.com/player/?m=playerinfo&amp;p_no=12924" xr:uid="{250D7F40-899A-47DF-8FE7-987D84004CDE}"/>
    <hyperlink ref="B944" r:id="rId2828" display="https://statiz.sporki.com/add/?m=draft_school01&amp;ps_school=50101" xr:uid="{6A0FACE2-3ECA-4DF7-9085-3BB9D38543DF}"/>
    <hyperlink ref="C944" r:id="rId2829" display="https://statiz.sporki.com/add/?m=draft_school02&amp;ps_school=" xr:uid="{C7429666-8A23-4A8F-AFDF-7B4090C90E41}"/>
    <hyperlink ref="A945" r:id="rId2830" display="https://statiz.sporki.com/player/?m=playerinfo&amp;p_no=12917" xr:uid="{677A31D7-13DC-4895-AAFB-3AA894B101B0}"/>
    <hyperlink ref="B945" r:id="rId2831" display="https://statiz.sporki.com/add/?m=draft_school01&amp;ps_school=50601" xr:uid="{92DACDD3-DB85-4B54-BAD1-F914DD4A37A5}"/>
    <hyperlink ref="C945" r:id="rId2832" display="https://statiz.sporki.com/add/?m=draft_school02&amp;ps_school=" xr:uid="{F79E06E5-36FA-4434-BD9B-D46782DBA1B4}"/>
    <hyperlink ref="A946" r:id="rId2833" display="https://statiz.sporki.com/player/?m=playerinfo&amp;p_no=12941" xr:uid="{85085A64-B4B7-411E-8A7D-88D3E1DFD474}"/>
    <hyperlink ref="B946" r:id="rId2834" display="https://statiz.sporki.com/add/?m=draft_school01&amp;ps_school=50208" xr:uid="{58870B88-060C-485D-A7C3-603C6BA035B0}"/>
    <hyperlink ref="C946" r:id="rId2835" display="https://statiz.sporki.com/add/?m=draft_school02&amp;ps_school=" xr:uid="{30E301B9-FED5-43D4-97DD-01BA8014BF9C}"/>
    <hyperlink ref="A947" r:id="rId2836" display="https://statiz.sporki.com/player/?m=playerinfo&amp;p_no=12909" xr:uid="{7A580541-6942-466C-8A25-08F66B390D91}"/>
    <hyperlink ref="B947" r:id="rId2837" display="https://statiz.sporki.com/add/?m=draft_school01&amp;ps_school=50107" xr:uid="{C30A0968-5139-4A4D-ACD5-A293ECC9B0B1}"/>
    <hyperlink ref="C947" r:id="rId2838" display="https://statiz.sporki.com/add/?m=draft_school02&amp;ps_school=" xr:uid="{AFA4BA88-AFB7-4F29-8F07-8FD159EADF44}"/>
    <hyperlink ref="A948" r:id="rId2839" display="https://statiz.sporki.com/player/?m=playerinfo&amp;p_no=12900" xr:uid="{8EDB20A4-67A1-4843-829C-B7B48CCF89C1}"/>
    <hyperlink ref="B948" r:id="rId2840" display="https://statiz.sporki.com/add/?m=draft_school01&amp;ps_school=50117" xr:uid="{9A358A36-5316-40CF-81AA-CE7841EA13F1}"/>
    <hyperlink ref="C948" r:id="rId2841" display="https://statiz.sporki.com/add/?m=draft_school02&amp;ps_school=" xr:uid="{0F38D0C4-0E73-4E02-89EC-33F447894A7E}"/>
    <hyperlink ref="A949" r:id="rId2842" display="https://statiz.sporki.com/player/?m=playerinfo&amp;p_no=12921" xr:uid="{9CE56F62-5A9D-47CD-96EA-B541DF57C2EF}"/>
    <hyperlink ref="B949" r:id="rId2843" display="https://statiz.sporki.com/add/?m=draft_school01&amp;ps_school=50210" xr:uid="{EAE5341D-E2B0-454B-BAE3-9C6DD6899331}"/>
    <hyperlink ref="C949" r:id="rId2844" display="https://statiz.sporki.com/add/?m=draft_school02&amp;ps_school=" xr:uid="{D0D1026F-94A2-4BE2-9789-9CE00DC1B073}"/>
    <hyperlink ref="A950" r:id="rId2845" display="https://statiz.sporki.com/player/?m=playerinfo&amp;p_no=12855" xr:uid="{5A561653-8C4B-48C1-A693-DBA5747B8AE9}"/>
    <hyperlink ref="B950" r:id="rId2846" display="https://statiz.sporki.com/add/?m=draft_school01&amp;ps_school=50803" xr:uid="{1DE17F22-514F-4E12-801E-72F192DCBAB7}"/>
    <hyperlink ref="C950" r:id="rId2847" display="https://statiz.sporki.com/add/?m=draft_school02&amp;ps_school=" xr:uid="{B1D98200-F84D-4981-A7E5-AEA821C373A6}"/>
    <hyperlink ref="A951" r:id="rId2848" display="https://statiz.sporki.com/player/?m=playerinfo&amp;p_no=12891" xr:uid="{FA8DD2E3-9EAA-4F81-B04A-5BF87595BCFD}"/>
    <hyperlink ref="B951" r:id="rId2849" display="https://statiz.sporki.com/add/?m=draft_school01&amp;ps_school=50210" xr:uid="{045390C1-81B3-41B7-842F-4D092A09BD25}"/>
    <hyperlink ref="C951" r:id="rId2850" display="https://statiz.sporki.com/add/?m=draft_school02&amp;ps_school=" xr:uid="{F4EA2D28-A4DE-4496-B3EF-5F15543D68A2}"/>
    <hyperlink ref="A952" r:id="rId2851" display="https://statiz.sporki.com/player/?m=playerinfo&amp;p_no=12927" xr:uid="{E8639E25-717C-4919-B550-7F316308C319}"/>
    <hyperlink ref="B952" r:id="rId2852" display="https://statiz.sporki.com/add/?m=draft_school01&amp;ps_school=50106" xr:uid="{479290F7-6A46-4E3F-B6F2-DDD1D374C914}"/>
    <hyperlink ref="C952" r:id="rId2853" display="https://statiz.sporki.com/add/?m=draft_school02&amp;ps_school=60501" xr:uid="{51182667-D125-4BF1-B95D-192B4C0D2F82}"/>
    <hyperlink ref="A953" r:id="rId2854" display="https://statiz.sporki.com/player/?m=playerinfo&amp;p_no=12932" xr:uid="{FB588E44-380C-4127-8299-3C427D8E7E13}"/>
    <hyperlink ref="B953" r:id="rId2855" display="https://statiz.sporki.com/add/?m=draft_school01&amp;ps_school=50901" xr:uid="{79F6249A-301E-4544-8BBD-DC4CC32E89C2}"/>
    <hyperlink ref="C953" r:id="rId2856" display="https://statiz.sporki.com/add/?m=draft_school02&amp;ps_school=" xr:uid="{5BA01E8F-9523-4D39-9169-F86655258E04}"/>
    <hyperlink ref="A954" r:id="rId2857" display="https://statiz.sporki.com/player/?m=playerinfo&amp;p_no=12871" xr:uid="{7C3619FB-2414-43E0-A762-BE9FE2F13813}"/>
    <hyperlink ref="B954" r:id="rId2858" display="https://statiz.sporki.com/add/?m=draft_school01&amp;ps_school=50116" xr:uid="{7E65DBD1-AC18-4D01-B8BE-8A03F9EF980B}"/>
    <hyperlink ref="C954" r:id="rId2859" display="https://statiz.sporki.com/add/?m=draft_school02&amp;ps_school=60109" xr:uid="{AC64DA5A-94BA-4621-967D-3AA8D0519784}"/>
    <hyperlink ref="A955" r:id="rId2860" display="https://statiz.sporki.com/player/?m=playerinfo&amp;p_no=12866" xr:uid="{3C21314E-22A9-4EA1-B6CF-70634FFE3706}"/>
    <hyperlink ref="B955" r:id="rId2861" display="https://statiz.sporki.com/add/?m=draft_school01&amp;ps_school=50201" xr:uid="{B4D2324F-7915-4612-AFC4-55B217DD8B7B}"/>
    <hyperlink ref="C955" r:id="rId2862" display="https://statiz.sporki.com/add/?m=draft_school02&amp;ps_school=" xr:uid="{6A64EC94-4D55-43EC-AA25-6A53429EA5DF}"/>
    <hyperlink ref="A956" r:id="rId2863" display="https://statiz.sporki.com/player/?m=playerinfo&amp;p_no=13226" xr:uid="{361422E1-F9D5-4904-8E54-038B3292ACBF}"/>
    <hyperlink ref="B956" r:id="rId2864" display="https://statiz.sporki.com/add/?m=draft_school01&amp;ps_school=50805" xr:uid="{01FCC5D9-B94D-48B5-9E91-05A48486EF96}"/>
    <hyperlink ref="C956" r:id="rId2865" display="https://statiz.sporki.com/add/?m=draft_school02&amp;ps_school=60102" xr:uid="{9523DCAD-F56A-40B3-88B1-541DAC4439B5}"/>
    <hyperlink ref="A957" r:id="rId2866" display="https://statiz.sporki.com/player/?m=playerinfo&amp;p_no=12911" xr:uid="{7C286724-51C5-4C81-95A7-3E59870945F1}"/>
    <hyperlink ref="B957" r:id="rId2867" display="https://statiz.sporki.com/add/?m=draft_school01&amp;ps_school=50108" xr:uid="{2FEB6929-F399-45B9-9D58-BAB0A66602B4}"/>
    <hyperlink ref="C957" r:id="rId2868" display="https://statiz.sporki.com/add/?m=draft_school02&amp;ps_school=" xr:uid="{F6DD748B-E22A-433D-8979-5BAE0752ADA5}"/>
    <hyperlink ref="A958" r:id="rId2869" display="https://statiz.sporki.com/player/?m=playerinfo&amp;p_no=12853" xr:uid="{B03C82F0-A422-41CC-8958-AC078D16505C}"/>
    <hyperlink ref="B958" r:id="rId2870" display="https://statiz.sporki.com/add/?m=draft_school01&amp;ps_school=50501" xr:uid="{5570E2B3-B73F-47B4-BBB2-C1EF41829776}"/>
    <hyperlink ref="C958" r:id="rId2871" display="https://statiz.sporki.com/add/?m=draft_school02&amp;ps_school=" xr:uid="{ECA410B7-C9EB-4311-A629-11A17CD30072}"/>
    <hyperlink ref="A959" r:id="rId2872" display="https://statiz.sporki.com/player/?m=playerinfo&amp;p_no=13189" xr:uid="{0D58E805-FC23-4DBC-BD9B-97B94169078A}"/>
    <hyperlink ref="B959" r:id="rId2873" display="https://statiz.sporki.com/add/?m=draft_school01&amp;ps_school=50702" xr:uid="{6F953A4F-B1CB-4DEE-B424-E7902A227A93}"/>
    <hyperlink ref="C959" r:id="rId2874" display="https://statiz.sporki.com/add/?m=draft_school02&amp;ps_school=" xr:uid="{F65D568B-30FA-4C0C-AC21-901DACECB7E7}"/>
    <hyperlink ref="A960" r:id="rId2875" display="https://statiz.sporki.com/player/?m=playerinfo&amp;p_no=12856" xr:uid="{7F91E53D-C331-4104-808D-FBD2A8BEB42A}"/>
    <hyperlink ref="B960" r:id="rId2876" display="https://statiz.sporki.com/add/?m=draft_school01&amp;ps_school=50209" xr:uid="{CF7D0A89-A00A-4D9A-B0EB-4A85F32F1F95}"/>
    <hyperlink ref="C960" r:id="rId2877" display="https://statiz.sporki.com/add/?m=draft_school02&amp;ps_school=" xr:uid="{A92E29D8-2285-4BD3-83FD-9532D4CE50A3}"/>
    <hyperlink ref="A961" r:id="rId2878" display="https://statiz.sporki.com/player/?m=playerinfo&amp;p_no=12848" xr:uid="{61B72457-CA90-42C7-AD99-B92BC6BAB8ED}"/>
    <hyperlink ref="B961" r:id="rId2879" display="https://statiz.sporki.com/add/?m=draft_school01&amp;ps_school=50901" xr:uid="{9CC3F1BB-5B6B-4938-9110-F035F407822D}"/>
    <hyperlink ref="C961" r:id="rId2880" display="https://statiz.sporki.com/add/?m=draft_school02&amp;ps_school=" xr:uid="{E0343AD4-9745-4224-AEAF-DE254BAD8628}"/>
    <hyperlink ref="A962" r:id="rId2881" display="https://statiz.sporki.com/player/?m=playerinfo&amp;p_no=12878" xr:uid="{A3F53322-3C15-4580-9097-67BEF4B3BAA5}"/>
    <hyperlink ref="B962" r:id="rId2882" display="https://statiz.sporki.com/add/?m=draft_school01&amp;ps_school=50808" xr:uid="{6DBF4AC1-DF24-4DDE-A1BD-DE2BA2CE8116}"/>
    <hyperlink ref="C962" r:id="rId2883" display="https://statiz.sporki.com/add/?m=draft_school02&amp;ps_school=" xr:uid="{35F630ED-A02A-49BD-86CC-2687C13C891C}"/>
    <hyperlink ref="A963" r:id="rId2884" display="https://statiz.sporki.com/player/?m=playerinfo&amp;p_no=12936" xr:uid="{02DC961B-0DB6-49D8-8192-50D9F1DE5588}"/>
    <hyperlink ref="B963" r:id="rId2885" display="https://statiz.sporki.com/add/?m=draft_school01&amp;ps_school=50706" xr:uid="{49D0A18B-1F2A-44DD-BD6B-C1D6892BE0EF}"/>
    <hyperlink ref="C963" r:id="rId2886" display="https://statiz.sporki.com/add/?m=draft_school02&amp;ps_school=" xr:uid="{3E39FC41-095F-4B99-A175-B01DE61F9690}"/>
    <hyperlink ref="A964" r:id="rId2887" display="https://statiz.sporki.com/player/?m=playerinfo&amp;p_no=12872" xr:uid="{3D9D08EE-02D2-4BF3-9B0C-2781B56124E4}"/>
    <hyperlink ref="B964" r:id="rId2888" display="https://statiz.sporki.com/add/?m=draft_school01&amp;ps_school=50111" xr:uid="{E391E1EC-64F9-4507-AAC0-D509EB306024}"/>
    <hyperlink ref="C964" r:id="rId2889" display="https://statiz.sporki.com/add/?m=draft_school02&amp;ps_school=60114" xr:uid="{278D133F-6C85-467A-9BDC-BDB3F606082C}"/>
    <hyperlink ref="A965" r:id="rId2890" display="https://statiz.sporki.com/player/?m=playerinfo&amp;p_no=13194" xr:uid="{38BCF348-79E1-4BC8-91D9-7580172C325F}"/>
    <hyperlink ref="B965" r:id="rId2891" display="https://statiz.sporki.com/add/?m=draft_school01&amp;ps_school=50209" xr:uid="{558F2CF9-6423-46AC-8BD5-7A0B16625C95}"/>
    <hyperlink ref="C965" r:id="rId2892" display="https://statiz.sporki.com/add/?m=draft_school02&amp;ps_school=" xr:uid="{70CC7074-D0DC-4AA1-B2CC-FFD786C716CE}"/>
    <hyperlink ref="A966" r:id="rId2893" display="https://statiz.sporki.com/player/?m=playerinfo&amp;p_no=12867" xr:uid="{8CF6A83C-2B48-4066-BFCC-EBDD6D424F43}"/>
    <hyperlink ref="B966" r:id="rId2894" display="https://statiz.sporki.com/add/?m=draft_school01&amp;ps_school=50801" xr:uid="{197D72F0-0FBC-439F-A02D-73210E253937}"/>
    <hyperlink ref="C966" r:id="rId2895" display="https://statiz.sporki.com/add/?m=draft_school02&amp;ps_school=" xr:uid="{A7471E66-7589-4A05-9898-B8F2C2227EEB}"/>
    <hyperlink ref="A967" r:id="rId2896" display="https://statiz.sporki.com/player/?m=playerinfo&amp;p_no=13227" xr:uid="{4EDEDD31-FC5D-4233-8AE3-221349C9B347}"/>
    <hyperlink ref="B967" r:id="rId2897" display="https://statiz.sporki.com/add/?m=draft_school01&amp;ps_school=50802" xr:uid="{17E272D2-F39D-479C-B72F-3DF8734BD2BA}"/>
    <hyperlink ref="C967" r:id="rId2898" display="https://statiz.sporki.com/add/?m=draft_school02&amp;ps_school=" xr:uid="{5176E0EA-28ED-44D1-91FC-B1B7D4C06533}"/>
    <hyperlink ref="A968" r:id="rId2899" display="https://statiz.sporki.com/player/?m=playerinfo&amp;p_no=12912" xr:uid="{B56BE97A-7961-42ED-9524-6621D0BA126B}"/>
    <hyperlink ref="B968" r:id="rId2900" display="https://statiz.sporki.com/add/?m=draft_school01&amp;ps_school=50702" xr:uid="{995C7460-8E2D-4AD5-B54F-DEA78D69B559}"/>
    <hyperlink ref="C968" r:id="rId2901" display="https://statiz.sporki.com/add/?m=draft_school02&amp;ps_school=" xr:uid="{24D58DA5-6D0E-4AB0-9015-87F9F7BAF8A5}"/>
    <hyperlink ref="A969" r:id="rId2902" display="https://statiz.sporki.com/player/?m=playerinfo&amp;p_no=12902" xr:uid="{8C66C969-C229-4D1D-AE92-CD06CEC5A672}"/>
    <hyperlink ref="B969" r:id="rId2903" display="https://statiz.sporki.com/add/?m=draft_school01&amp;ps_school=50106" xr:uid="{4298C488-AD7F-4018-B183-D53CCA8678F4}"/>
    <hyperlink ref="C969" r:id="rId2904" display="https://statiz.sporki.com/add/?m=draft_school02&amp;ps_school=" xr:uid="{43A9BD98-0010-45A1-B74E-2BE1FCB8C56B}"/>
    <hyperlink ref="A970" r:id="rId2905" display="https://statiz.sporki.com/player/?m=playerinfo&amp;p_no=12857" xr:uid="{6B6E3F67-AB88-4988-AABC-38AEA445AFC7}"/>
    <hyperlink ref="B970" r:id="rId2906" display="https://statiz.sporki.com/add/?m=draft_school01&amp;ps_school=50111" xr:uid="{E8F09CA1-E7F3-47D8-99AC-8E398511AE3D}"/>
    <hyperlink ref="C970" r:id="rId2907" display="https://statiz.sporki.com/add/?m=draft_school02&amp;ps_school=" xr:uid="{AAC8EDB4-AB89-4FC8-8A5C-D08580C55023}"/>
    <hyperlink ref="A971" r:id="rId2908" display="https://statiz.sporki.com/player/?m=playerinfo&amp;p_no=12894" xr:uid="{59F27FD9-8A0D-474F-905B-B8A23035CC21}"/>
    <hyperlink ref="B971" r:id="rId2909" display="https://statiz.sporki.com/add/?m=draft_school01&amp;ps_school=50403" xr:uid="{19A0D20B-7EBC-4325-AF06-F86B4BF5919F}"/>
    <hyperlink ref="C971" r:id="rId2910" display="https://statiz.sporki.com/add/?m=draft_school02&amp;ps_school=" xr:uid="{35871FF2-4FD4-46D6-85C5-896E87023989}"/>
    <hyperlink ref="A972" r:id="rId2911" display="https://statiz.sporki.com/player/?m=playerinfo&amp;p_no=12879" xr:uid="{73BE87DF-A35A-4377-9DF8-EA36BD4053E4}"/>
    <hyperlink ref="B972" r:id="rId2912" display="https://statiz.sporki.com/add/?m=draft_school01&amp;ps_school=50807" xr:uid="{F7F23FF7-77D7-40C1-82FD-19CA942F8354}"/>
    <hyperlink ref="C972" r:id="rId2913" display="https://statiz.sporki.com/add/?m=draft_school02&amp;ps_school=" xr:uid="{A7D054F3-D176-4EA9-B947-3003852182BE}"/>
    <hyperlink ref="A973" r:id="rId2914" display="https://statiz.sporki.com/player/?m=playerinfo&amp;p_no=12884" xr:uid="{A9CAB6FA-2CB4-4CE0-899A-39BB1B8E5A7D}"/>
    <hyperlink ref="B973" r:id="rId2915" display="https://statiz.sporki.com/add/?m=draft_school01&amp;ps_school=50402" xr:uid="{3DEE9762-69FB-4832-8330-24D4243BC9CF}"/>
    <hyperlink ref="C973" r:id="rId2916" display="https://statiz.sporki.com/add/?m=draft_school02&amp;ps_school=61001" xr:uid="{F88E9CC1-45EF-490A-A422-9C0242A257B1}"/>
    <hyperlink ref="A974" r:id="rId2917" display="https://statiz.sporki.com/player/?m=playerinfo&amp;p_no=12873" xr:uid="{275BF4F7-48A7-45B8-B407-DEB32877F814}"/>
    <hyperlink ref="B974" r:id="rId2918" display="https://statiz.sporki.com/add/?m=draft_school01&amp;ps_school=50108" xr:uid="{DF46A2BA-CFA4-4835-ADA4-AB3274771EAA}"/>
    <hyperlink ref="C974" r:id="rId2919" display="https://statiz.sporki.com/add/?m=draft_school02&amp;ps_school=" xr:uid="{303F58D5-C529-40CD-8C3A-815495F88EC5}"/>
    <hyperlink ref="A975" r:id="rId2920" display="https://statiz.sporki.com/player/?m=playerinfo&amp;p_no=12868" xr:uid="{CCE577FB-9A52-4626-95F8-FB8892770DE4}"/>
    <hyperlink ref="B975" r:id="rId2921" display="https://statiz.sporki.com/add/?m=draft_school01&amp;ps_school=50103" xr:uid="{A99F0C2C-1A2E-4B93-B970-E7BCC5818568}"/>
    <hyperlink ref="C975" r:id="rId2922" display="https://statiz.sporki.com/add/?m=draft_school02&amp;ps_school=60108" xr:uid="{2016D456-1C51-470C-A36B-24F184875FE2}"/>
    <hyperlink ref="A976" r:id="rId2923" display="https://statiz.sporki.com/player/?m=playerinfo&amp;p_no=13006" xr:uid="{108D0AD1-E9A0-4B69-930B-D35E8FE66F3A}"/>
    <hyperlink ref="B976" r:id="rId2924" display="https://statiz.sporki.com/add/?m=draft_school01&amp;ps_school=50403" xr:uid="{13808BBB-9A09-467A-A4E1-CB6981D59CB7}"/>
    <hyperlink ref="C976" r:id="rId2925" display="https://statiz.sporki.com/add/?m=draft_school02&amp;ps_school=" xr:uid="{3254711B-50CD-44D1-8161-08FB487FFB0F}"/>
    <hyperlink ref="A977" r:id="rId2926" display="https://statiz.sporki.com/player/?m=playerinfo&amp;p_no=12860" xr:uid="{CD76B990-BBA1-45C2-9A35-C1C1F11E3C8B}"/>
    <hyperlink ref="B977" r:id="rId2927" display="https://statiz.sporki.com/add/?m=draft_school01&amp;ps_school=51001" xr:uid="{E6CCF545-F021-4CA8-9C32-358EF96D2EC5}"/>
    <hyperlink ref="C977" r:id="rId2928" display="https://statiz.sporki.com/add/?m=draft_school02&amp;ps_school=" xr:uid="{72431E8E-D10D-4077-85A0-EA65E792DE30}"/>
    <hyperlink ref="A978" r:id="rId2929" display="https://statiz.sporki.com/player/?m=playerinfo&amp;p_no=12904" xr:uid="{F054EC8B-5B46-4774-8204-00730887E394}"/>
    <hyperlink ref="B978" r:id="rId2930" display="https://statiz.sporki.com/add/?m=draft_school01&amp;ps_school=50210" xr:uid="{6D513209-7E54-40AF-A9BD-44FB2A1C8F3F}"/>
    <hyperlink ref="C978" r:id="rId2931" display="https://statiz.sporki.com/add/?m=draft_school02&amp;ps_school=" xr:uid="{9EADA8E9-4B48-4EF1-9238-68E4C4D44D5D}"/>
    <hyperlink ref="A979" r:id="rId2932" display="https://statiz.sporki.com/player/?m=playerinfo&amp;p_no=12919" xr:uid="{5C8FD59A-C6EF-41A5-B0B2-8A4D95EAD20E}"/>
    <hyperlink ref="B979" r:id="rId2933" display="https://statiz.sporki.com/add/?m=draft_school01&amp;ps_school=50110" xr:uid="{54717D4D-FFE2-4623-A12C-0A3E0D0A7F0E}"/>
    <hyperlink ref="C979" r:id="rId2934" display="https://statiz.sporki.com/add/?m=draft_school02&amp;ps_school=" xr:uid="{4BE6F491-F56D-4121-B02F-0A58AA745A8E}"/>
    <hyperlink ref="A980" r:id="rId2935" display="https://statiz.sporki.com/player/?m=playerinfo&amp;p_no=12858" xr:uid="{0D66E653-1411-437C-8734-54115A8B398A}"/>
    <hyperlink ref="B980" r:id="rId2936" display="https://statiz.sporki.com/add/?m=draft_school01&amp;ps_school=50103" xr:uid="{A5741CF9-E708-4717-8562-FEAD92210272}"/>
    <hyperlink ref="C980" r:id="rId2937" display="https://statiz.sporki.com/add/?m=draft_school02&amp;ps_school=" xr:uid="{27C4543C-20BB-4B65-9FAC-C58B44E5DA15}"/>
    <hyperlink ref="A981" r:id="rId2938" display="https://statiz.sporki.com/player/?m=playerinfo&amp;p_no=12892" xr:uid="{130A3606-6786-43E9-97F6-CED7B2D17C08}"/>
    <hyperlink ref="B981" r:id="rId2939" display="https://statiz.sporki.com/add/?m=draft_school01&amp;ps_school=50202" xr:uid="{A6759CCC-22FB-481C-8606-E022CAD26957}"/>
    <hyperlink ref="C981" r:id="rId2940" display="https://statiz.sporki.com/add/?m=draft_school02&amp;ps_school=" xr:uid="{FE676CDA-B1DC-403F-8C92-903B576D33C3}"/>
    <hyperlink ref="A982" r:id="rId2941" display="https://statiz.sporki.com/player/?m=playerinfo&amp;p_no=12929" xr:uid="{5F78518F-23F9-4EA3-ACF0-F81A9A0D1711}"/>
    <hyperlink ref="B982" r:id="rId2942" display="https://statiz.sporki.com/add/?m=draft_school01&amp;ps_school=50207" xr:uid="{EA5BAE41-6C81-46FC-B39D-DD28F0682407}"/>
    <hyperlink ref="C982" r:id="rId2943" display="https://statiz.sporki.com/add/?m=draft_school02&amp;ps_school=60103" xr:uid="{58C5CC41-EA17-4C5C-92AF-968C07452125}"/>
    <hyperlink ref="A983" r:id="rId2944" display="https://statiz.sporki.com/player/?m=playerinfo&amp;p_no=12885" xr:uid="{9EF3B6EF-976F-4DE3-A344-C102A4989A0A}"/>
    <hyperlink ref="B983" r:id="rId2945" display="https://statiz.sporki.com/add/?m=draft_school01&amp;ps_school=50113" xr:uid="{7794C639-EF30-4C12-B36C-9CA7DE6560B1}"/>
    <hyperlink ref="C983" r:id="rId2946" display="https://statiz.sporki.com/add/?m=draft_school02&amp;ps_school=60206" xr:uid="{8E51D9F1-D0F7-4D93-9A29-9B912989873F}"/>
    <hyperlink ref="A984" r:id="rId2947" display="https://statiz.sporki.com/player/?m=playerinfo&amp;p_no=12925" xr:uid="{E77BDD54-EC0B-4622-9EAC-49DA39BDA377}"/>
    <hyperlink ref="B984" r:id="rId2948" display="https://statiz.sporki.com/add/?m=draft_school01&amp;ps_school=50205" xr:uid="{9761E654-FC42-4A02-892E-EB3B47797E77}"/>
    <hyperlink ref="C984" r:id="rId2949" display="https://statiz.sporki.com/add/?m=draft_school02&amp;ps_school=" xr:uid="{AB9E4DD3-4B0F-47A9-A6B9-AC8E9BA26DB6}"/>
    <hyperlink ref="A985" r:id="rId2950" display="https://statiz.sporki.com/player/?m=playerinfo&amp;p_no=12869" xr:uid="{DD96CC71-A62D-4B92-9CB1-FE0851E48B6D}"/>
    <hyperlink ref="B985" r:id="rId2951" display="https://statiz.sporki.com/add/?m=draft_school01&amp;ps_school=50103" xr:uid="{D8ABC510-F7DB-4CEF-BBAF-0663F120E347}"/>
    <hyperlink ref="C985" r:id="rId2952" display="https://statiz.sporki.com/add/?m=draft_school02&amp;ps_school=" xr:uid="{A073258E-B616-4DB8-8A37-334CB11395C9}"/>
    <hyperlink ref="A986" r:id="rId2953" display="https://statiz.sporki.com/player/?m=playerinfo&amp;p_no=12940" xr:uid="{2DB6A2E8-A88C-4124-AC30-59DF8B7DA080}"/>
    <hyperlink ref="B986" r:id="rId2954" display="https://statiz.sporki.com/add/?m=draft_school01&amp;ps_school=51001" xr:uid="{31713B03-06E1-4DAD-A62A-800E56093BF1}"/>
    <hyperlink ref="C986" r:id="rId2955" display="https://statiz.sporki.com/add/?m=draft_school02&amp;ps_school=60802" xr:uid="{24B21409-61D9-4C5C-98A6-E818625EBEB0}"/>
    <hyperlink ref="A987" r:id="rId2956" display="https://statiz.sporki.com/player/?m=playerinfo&amp;p_no=12861" xr:uid="{B9EC8B23-74DF-443F-884D-ADC30933BAC0}"/>
    <hyperlink ref="B987" r:id="rId2957" display="https://statiz.sporki.com/add/?m=draft_school01&amp;ps_school=50402" xr:uid="{0745F6AC-18A3-4D05-AC24-7A970065170E}"/>
    <hyperlink ref="C987" r:id="rId2958" display="https://statiz.sporki.com/add/?m=draft_school02&amp;ps_school=" xr:uid="{3CBDB62B-7EDD-4ACA-AFEC-268D3D047CE9}"/>
    <hyperlink ref="A988" r:id="rId2959" display="https://statiz.sporki.com/player/?m=playerinfo&amp;p_no=12903" xr:uid="{94C88EDD-F215-4FDF-93FB-1B7E55DD5C5D}"/>
    <hyperlink ref="B988" r:id="rId2960" display="https://statiz.sporki.com/add/?m=draft_school01&amp;ps_school=50805" xr:uid="{97D41C23-9C72-44C5-BFC0-FA458BCC4EB5}"/>
    <hyperlink ref="C988" r:id="rId2961" display="https://statiz.sporki.com/add/?m=draft_school02&amp;ps_school=" xr:uid="{A7A10661-81E7-464F-9207-2C5E48FC4860}"/>
    <hyperlink ref="A989" r:id="rId2962" display="https://statiz.sporki.com/player/?m=playerinfo&amp;p_no=13193" xr:uid="{5C8671C8-947B-4FED-B2A7-7BB33FC6CE30}"/>
    <hyperlink ref="B989" r:id="rId2963" display="https://statiz.sporki.com/add/?m=draft_school01&amp;ps_school=50111" xr:uid="{03B8B7F4-2360-4DDB-8B30-3271A8EF9553}"/>
    <hyperlink ref="C989" r:id="rId2964" display="https://statiz.sporki.com/add/?m=draft_school02&amp;ps_school=60109" xr:uid="{C7AE4415-437B-4E70-BEE4-F2817EAF3BAA}"/>
    <hyperlink ref="A990" r:id="rId2965" display="https://statiz.sporki.com/player/?m=playerinfo&amp;p_no=12859" xr:uid="{B94110E0-43E6-4FD4-8179-AA05850648DA}"/>
    <hyperlink ref="B990" r:id="rId2966" display="https://statiz.sporki.com/add/?m=draft_school01&amp;ps_school=50106" xr:uid="{CE2B53D3-4E8A-4070-BFC5-0B77A2A1F015}"/>
    <hyperlink ref="C990" r:id="rId2967" display="https://statiz.sporki.com/add/?m=draft_school02&amp;ps_school=60607" xr:uid="{8EED717B-3767-4B84-82D5-CD611BE780B5}"/>
    <hyperlink ref="A991" r:id="rId2968" display="https://statiz.sporki.com/player/?m=playerinfo&amp;p_no=12893" xr:uid="{AF4D535E-29B7-4941-8A58-86DD3FBBE61A}"/>
    <hyperlink ref="B991" r:id="rId2969" display="https://statiz.sporki.com/add/?m=draft_school01&amp;ps_school=50211" xr:uid="{D3FC5515-72EF-485B-AFE8-0773541D9695}"/>
    <hyperlink ref="C991" r:id="rId2970" display="https://statiz.sporki.com/add/?m=draft_school02&amp;ps_school=" xr:uid="{7EA0DE1E-CC7F-4303-8F3D-C22D1E986B70}"/>
    <hyperlink ref="A992" r:id="rId2971" display="https://statiz.sporki.com/player/?m=playerinfo&amp;p_no=12880" xr:uid="{4945F10A-FE08-41DA-AD50-8895626C3944}"/>
    <hyperlink ref="B992" r:id="rId2972" display="https://statiz.sporki.com/add/?m=draft_school01&amp;ps_school=50209" xr:uid="{CB7366CF-75E2-4265-BA59-C6CEAA54278E}"/>
    <hyperlink ref="C992" r:id="rId2973" display="https://statiz.sporki.com/add/?m=draft_school02&amp;ps_school=" xr:uid="{82642928-82EE-4F3A-87DC-7F3CC74EAC49}"/>
    <hyperlink ref="A993" r:id="rId2974" display="https://statiz.sporki.com/player/?m=playerinfo&amp;p_no=12886" xr:uid="{82B775B8-D839-4906-B6B6-B2EBFE03C217}"/>
    <hyperlink ref="B993" r:id="rId2975" display="https://statiz.sporki.com/add/?m=draft_school01&amp;ps_school=50705" xr:uid="{48880C10-81C7-4827-8CC7-59CBA6850872}"/>
    <hyperlink ref="C993" r:id="rId2976" display="https://statiz.sporki.com/add/?m=draft_school02&amp;ps_school=60113" xr:uid="{BE060F6E-9857-48C2-8660-88C39E9AC318}"/>
    <hyperlink ref="A994" r:id="rId2977" display="https://statiz.sporki.com/player/?m=playerinfo&amp;p_no=12874" xr:uid="{67492013-42E4-4504-85C5-656E52A165CD}"/>
    <hyperlink ref="B994" r:id="rId2978" display="https://statiz.sporki.com/add/?m=draft_school01&amp;ps_school=50601" xr:uid="{7126F661-2868-4A7E-9D1C-043E4B3FBB9C}"/>
    <hyperlink ref="C994" r:id="rId2979" display="https://statiz.sporki.com/add/?m=draft_school02&amp;ps_school=" xr:uid="{047401CF-BE85-4CAE-AB37-6E688C7A862D}"/>
    <hyperlink ref="A995" r:id="rId2980" display="https://statiz.sporki.com/player/?m=playerinfo&amp;p_no=12870" xr:uid="{BC4C2D62-FACC-4488-BB83-951A0FA37E0F}"/>
    <hyperlink ref="B995" r:id="rId2981" display="https://statiz.sporki.com/add/?m=draft_school01&amp;ps_school=50207" xr:uid="{70422CD3-ADF3-4F5D-B5BD-055E0AD9E583}"/>
    <hyperlink ref="C995" r:id="rId2982" display="https://statiz.sporki.com/add/?m=draft_school02&amp;ps_school=" xr:uid="{4803953D-079F-4220-BE4C-D09838EF51C0}"/>
    <hyperlink ref="A996" r:id="rId2983" display="https://statiz.sporki.com/player/?m=playerinfo&amp;p_no=13229" xr:uid="{F6499C5B-EE11-4DD6-A442-5C6DA6FEC50A}"/>
    <hyperlink ref="B996" r:id="rId2984" display="https://statiz.sporki.com/add/?m=draft_school01&amp;ps_school=50107" xr:uid="{8B12C9A3-4AE5-4EC9-97F0-2F94EA662EEE}"/>
    <hyperlink ref="C996" r:id="rId2985" display="https://statiz.sporki.com/add/?m=draft_school02&amp;ps_school=60114" xr:uid="{F72726D4-A297-4CC8-9042-368D3AB70B4B}"/>
    <hyperlink ref="A997" r:id="rId2986" display="https://statiz.sporki.com/player/?m=playerinfo&amp;p_no=12862" xr:uid="{1899AAA2-14B0-4A53-B760-C96D24603748}"/>
    <hyperlink ref="B997" r:id="rId2987" display="https://statiz.sporki.com/add/?m=draft_school01&amp;ps_school=50301" xr:uid="{22729154-D405-4E69-8CBF-9F973F9F73DF}"/>
    <hyperlink ref="C997" r:id="rId2988" display="https://statiz.sporki.com/add/?m=draft_school02&amp;ps_school=" xr:uid="{EC8B30D3-24CE-4D9D-8044-AA86C0BD0DAC}"/>
    <hyperlink ref="A998" r:id="rId2989" display="https://statiz.sporki.com/player/?m=playerinfo&amp;p_no=12899" xr:uid="{0AB13614-16C9-4A68-8027-27739CD95B5C}"/>
    <hyperlink ref="B998" r:id="rId2990" display="https://statiz.sporki.com/add/?m=draft_school01&amp;ps_school=50804" xr:uid="{C9FE6DB2-7B8D-4CE1-A539-B30B24C9902A}"/>
    <hyperlink ref="C998" r:id="rId2991" display="https://statiz.sporki.com/add/?m=draft_school02&amp;ps_school=60803" xr:uid="{3C22B0BC-3D9D-4546-85E0-60F2709781D6}"/>
    <hyperlink ref="A999" r:id="rId2992" display="https://statiz.sporki.com/player/?m=playerinfo&amp;p_no=12895" xr:uid="{A05B7271-2A49-4B95-A9FA-A7217D10EFAE}"/>
    <hyperlink ref="B999" r:id="rId2993" display="https://statiz.sporki.com/add/?m=draft_school01&amp;ps_school=50604" xr:uid="{BBC89DC4-0DBE-4D5D-8C8F-052B5EDD2E55}"/>
    <hyperlink ref="C999" r:id="rId2994" display="https://statiz.sporki.com/add/?m=draft_school02&amp;ps_school=" xr:uid="{7B01E229-72F0-485D-813B-1CACC28181CB}"/>
    <hyperlink ref="A1000" r:id="rId2995" display="https://statiz.sporki.com/player/?m=playerinfo&amp;p_no=12881" xr:uid="{FDCBCDD6-A5B7-4DC3-B713-FE9016A50DEB}"/>
    <hyperlink ref="B1000" r:id="rId2996" display="https://statiz.sporki.com/add/?m=draft_school01&amp;ps_school=50802" xr:uid="{3565F68D-E1B5-4D41-A3DC-BFB2CF611DF5}"/>
    <hyperlink ref="C1000" r:id="rId2997" display="https://statiz.sporki.com/add/?m=draft_school02&amp;ps_school=60802" xr:uid="{EEBCDC8F-C309-4026-807A-A2110C66B67B}"/>
    <hyperlink ref="A1001" r:id="rId2998" display="https://statiz.sporki.com/player/?m=playerinfo&amp;p_no=12887" xr:uid="{4046B205-8048-45B6-A028-1D12F21B46E3}"/>
    <hyperlink ref="B1001" r:id="rId2999" display="https://statiz.sporki.com/add/?m=draft_school01&amp;ps_school=50701" xr:uid="{95BF7748-CB43-4F7A-9422-FA12AC4DABC0}"/>
    <hyperlink ref="C1001" r:id="rId3000" display="https://statiz.sporki.com/add/?m=draft_school02&amp;ps_school=" xr:uid="{6180465F-AB8C-4D41-9EE5-5957A00D96B8}"/>
    <hyperlink ref="A1002" r:id="rId3001" display="https://statiz.sporki.com/player/?m=playerinfo&amp;p_no=12875" xr:uid="{A52452FC-897F-4CB3-B9C3-9F9A90DA77D4}"/>
    <hyperlink ref="B1002" r:id="rId3002" display="https://statiz.sporki.com/add/?m=draft_school01&amp;ps_school=50809" xr:uid="{8426ABEE-7F13-4AE2-B003-C793AA429BF2}"/>
    <hyperlink ref="C1002" r:id="rId3003" display="https://statiz.sporki.com/add/?m=draft_school02&amp;ps_school=" xr:uid="{52A46B5F-B979-404B-8D22-4406D6C53F8B}"/>
    <hyperlink ref="A1003" r:id="rId3004" display="https://statiz.sporki.com/player/?m=playerinfo&amp;p_no=12915" xr:uid="{CC9795CD-7A32-40F4-BE4E-0F4F2F02AD11}"/>
    <hyperlink ref="B1003" r:id="rId3005" display="https://statiz.sporki.com/add/?m=draft_school01&amp;ps_school=50604" xr:uid="{2A224006-5B9D-4CD8-9CDE-81CCD1CF43EA}"/>
    <hyperlink ref="C1003" r:id="rId3006" display="https://statiz.sporki.com/add/?m=draft_school02&amp;ps_school=" xr:uid="{B3D1652D-12CD-411F-B3D7-71533C88847C}"/>
    <hyperlink ref="A1004" r:id="rId3007" display="https://statiz.sporki.com/player/?m=playerinfo&amp;p_no=13230" xr:uid="{FCC01EF8-FB69-4049-926F-F243DD997952}"/>
    <hyperlink ref="B1004" r:id="rId3008" display="https://statiz.sporki.com/add/?m=draft_school01&amp;ps_school=50805" xr:uid="{365555C9-3AA9-4F25-87C4-CC2524BDC000}"/>
    <hyperlink ref="C1004" r:id="rId3009" display="https://statiz.sporki.com/add/?m=draft_school02&amp;ps_school=" xr:uid="{39201B64-113C-4CEB-935A-95363EACCF27}"/>
    <hyperlink ref="A1005" r:id="rId3010" display="https://statiz.sporki.com/player/?m=playerinfo&amp;p_no=12863" xr:uid="{3904AE60-2A56-4514-B433-22121611A873}"/>
    <hyperlink ref="B1005" r:id="rId3011" display="https://statiz.sporki.com/add/?m=draft_school01&amp;ps_school=50109" xr:uid="{47A54797-71C4-45A4-B40A-1A639C1D6DEF}"/>
    <hyperlink ref="C1005" r:id="rId3012" display="https://statiz.sporki.com/add/?m=draft_school02&amp;ps_school=" xr:uid="{2BDE732F-ACFA-427C-8C84-0DE2E2C2DC09}"/>
    <hyperlink ref="A1006" r:id="rId3013" display="https://statiz.sporki.com/player/?m=playerinfo&amp;p_no=12896" xr:uid="{C4BC2A56-6448-4C81-BF95-182C6FE2D749}"/>
    <hyperlink ref="B1006" r:id="rId3014" display="https://statiz.sporki.com/add/?m=draft_school01&amp;ps_school=50807" xr:uid="{C9D79DB0-DCF8-4A35-A2FB-8DF44FA47017}"/>
    <hyperlink ref="C1006" r:id="rId3015" display="https://statiz.sporki.com/add/?m=draft_school02&amp;ps_school=" xr:uid="{F64EC31E-3DE0-4DA3-BD73-C143CB2F85D1}"/>
    <hyperlink ref="A1007" r:id="rId3016" display="https://statiz.sporki.com/player/?m=playerinfo&amp;p_no=13274" xr:uid="{A5AE2F0A-88FD-46B1-9507-4738F6815B8B}"/>
    <hyperlink ref="B1007" r:id="rId3017" display="https://statiz.sporki.com/add/?m=draft_school01&amp;ps_school=50116" xr:uid="{A135327B-70DF-4292-9B44-65EE86F8E2D6}"/>
    <hyperlink ref="C1007" r:id="rId3018" display="https://statiz.sporki.com/add/?m=draft_school02&amp;ps_school=" xr:uid="{AE857655-8092-4509-8349-08B1778D5F43}"/>
    <hyperlink ref="A1008" r:id="rId3019" display="https://statiz.sporki.com/player/?m=playerinfo&amp;p_no=12890" xr:uid="{86A9C1B2-7705-47B2-B4B1-CCDB526F8DF2}"/>
    <hyperlink ref="B1008" r:id="rId3020" display="https://statiz.sporki.com/add/?m=draft_school01&amp;ps_school=50503" xr:uid="{16082CBA-02BD-4270-B4A4-8D915CF16752}"/>
    <hyperlink ref="C1008" r:id="rId3021" display="https://statiz.sporki.com/add/?m=draft_school02&amp;ps_school=" xr:uid="{8441B498-E272-4AA6-9B9A-242C81547BCF}"/>
    <hyperlink ref="A1009" r:id="rId3022" display="https://statiz.sporki.com/player/?m=playerinfo&amp;p_no=12882" xr:uid="{3BE69CCC-BB3E-45C8-82E3-331DDB40ECEC}"/>
    <hyperlink ref="B1009" r:id="rId3023" display="https://statiz.sporki.com/add/?m=draft_school01&amp;ps_school=50604" xr:uid="{202119C6-1148-40DC-AE99-14777D9FE64D}"/>
    <hyperlink ref="C1009" r:id="rId3024" display="https://statiz.sporki.com/add/?m=draft_school02&amp;ps_school=60205" xr:uid="{E2822BC4-D9A5-43E8-BF04-4166F6C85406}"/>
    <hyperlink ref="A1010" r:id="rId3025" display="https://statiz.sporki.com/player/?m=playerinfo&amp;p_no=12888" xr:uid="{9ECF652A-0ACE-4FA4-BC3F-8903BB6C55FE}"/>
    <hyperlink ref="B1010" r:id="rId3026" display="https://statiz.sporki.com/add/?m=draft_school01&amp;ps_school=50703" xr:uid="{A04ED14D-3C79-47A6-92EE-430941D29C93}"/>
    <hyperlink ref="C1010" r:id="rId3027" display="https://statiz.sporki.com/add/?m=draft_school02&amp;ps_school=" xr:uid="{48474215-9BF9-4325-B297-988CF05CF6C6}"/>
    <hyperlink ref="A1011" r:id="rId3028" display="https://statiz.sporki.com/player/?m=playerinfo&amp;p_no=12876" xr:uid="{1A75E306-21DB-429E-8A83-1F6F61307B67}"/>
    <hyperlink ref="B1011" r:id="rId3029" display="https://statiz.sporki.com/add/?m=draft_school01&amp;ps_school=50601" xr:uid="{3D04FF58-A7F6-41C5-AEDE-BAEF0108F473}"/>
    <hyperlink ref="C1011" r:id="rId3030" display="https://statiz.sporki.com/add/?m=draft_school02&amp;ps_school=" xr:uid="{E1C22C3E-EED4-446F-ACD4-47F546F50CA4}"/>
    <hyperlink ref="A1012" r:id="rId3031" display="https://statiz.sporki.com/player/?m=playerinfo&amp;p_no=12916" xr:uid="{BEEB5AF8-7451-4468-8F64-E3B8066128EC}"/>
    <hyperlink ref="B1012" r:id="rId3032" display="https://statiz.sporki.com/add/?m=draft_school01&amp;ps_school=50116" xr:uid="{DFD20EE5-E426-418C-95DE-3FCE70286F4C}"/>
    <hyperlink ref="C1012" r:id="rId3033" display="https://statiz.sporki.com/add/?m=draft_school02&amp;ps_school=60102" xr:uid="{6782956B-0B41-4443-A66D-18BAD6D7AEDA}"/>
    <hyperlink ref="A1013" r:id="rId3034" display="https://statiz.sporki.com/player/?m=playerinfo&amp;p_no=14721" xr:uid="{F0764FB3-0D6E-40A0-9BEA-73C191F204DA}"/>
    <hyperlink ref="B1013" r:id="rId3035" display="https://statiz.sporki.com/add/?m=draft_school01&amp;ps_school=50809" xr:uid="{B80A9531-2E7C-4557-87F1-30AFB610C5CC}"/>
    <hyperlink ref="C1013" r:id="rId3036" display="https://statiz.sporki.com/add/?m=draft_school02&amp;ps_school=60101" xr:uid="{C4CA5F5A-15EA-4886-BA09-C20FAC77A053}"/>
    <hyperlink ref="A1014" r:id="rId3037" display="https://statiz.sporki.com/player/?m=playerinfo&amp;p_no=12864" xr:uid="{26CCE242-240D-4F60-9E38-D15CCF6E5066}"/>
    <hyperlink ref="B1014" r:id="rId3038" display="https://statiz.sporki.com/add/?m=draft_school01&amp;ps_school=50113" xr:uid="{5390EBF5-42C3-484D-A6D4-D60B22603041}"/>
    <hyperlink ref="C1014" r:id="rId3039" display="https://statiz.sporki.com/add/?m=draft_school02&amp;ps_school=" xr:uid="{36A8BFF5-6C65-48D2-9913-24645D50A2A7}"/>
    <hyperlink ref="A1015" r:id="rId3040" display="https://statiz.sporki.com/player/?m=playerinfo&amp;p_no=12849" xr:uid="{8FEDF32A-9253-4EB7-9DC5-AD2AF1A6FBCA}"/>
    <hyperlink ref="B1015" r:id="rId3041" display="https://statiz.sporki.com/add/?m=draft_school01&amp;ps_school=50703" xr:uid="{A2E4E011-BEF7-43A3-A764-9BDCB45CA6E7}"/>
    <hyperlink ref="C1015" r:id="rId3042" display="https://statiz.sporki.com/add/?m=draft_school02&amp;ps_school=" xr:uid="{BA8D960C-7F62-4F80-B4E6-BB419CA1CD08}"/>
    <hyperlink ref="A1016" r:id="rId3043" display="https://statiz.sporki.com/player/?m=playerinfo&amp;p_no=12883" xr:uid="{AD96E03B-B240-4C4B-90B0-E37175E44C56}"/>
    <hyperlink ref="B1016" r:id="rId3044" display="https://statiz.sporki.com/add/?m=draft_school01&amp;ps_school=50202" xr:uid="{C964589B-BAF5-4197-9709-93A70C9A2769}"/>
    <hyperlink ref="C1016" r:id="rId3045" display="https://statiz.sporki.com/add/?m=draft_school02&amp;ps_school=" xr:uid="{4E774FD5-4578-4B35-864B-251B28D9AEF3}"/>
    <hyperlink ref="A1017" r:id="rId3046" display="https://statiz.sporki.com/player/?m=playerinfo&amp;p_no=12889" xr:uid="{C36252D8-82BC-4DAE-AC53-F79E0CBD13E1}"/>
    <hyperlink ref="B1017" r:id="rId3047" display="https://statiz.sporki.com/add/?m=draft_school01&amp;ps_school=50108" xr:uid="{23D11724-FA3C-4EC1-983B-8E9E290C5D4C}"/>
    <hyperlink ref="C1017" r:id="rId3048" display="https://statiz.sporki.com/add/?m=draft_school02&amp;ps_school=" xr:uid="{0F150C50-897A-48B9-B929-F6B6B982A914}"/>
    <hyperlink ref="A1018" r:id="rId3049" display="https://statiz.sporki.com/player/?m=playerinfo&amp;p_no=12877" xr:uid="{29D4117A-7E4F-494C-B0AB-C6E05EBFA2C6}"/>
    <hyperlink ref="B1018" r:id="rId3050" display="https://statiz.sporki.com/add/?m=draft_school01&amp;ps_school=50113" xr:uid="{9FC72015-BC3C-4EB5-AF04-240067F4F584}"/>
    <hyperlink ref="C1018" r:id="rId3051" display="https://statiz.sporki.com/add/?m=draft_school02&amp;ps_school=" xr:uid="{F4295F36-5B71-4D75-8052-8069C5698A2A}"/>
    <hyperlink ref="A1019" r:id="rId3052" display="https://statiz.sporki.com/player/?m=playerinfo&amp;p_no=12950" xr:uid="{15FD7D22-F623-4924-B4A5-3D1D4727936C}"/>
    <hyperlink ref="B1019" r:id="rId3053" display="https://statiz.sporki.com/add/?m=draft_school01&amp;ps_school=" xr:uid="{41558FAB-D4F0-4BEA-AF68-CAB165C9C4F0}"/>
    <hyperlink ref="C1019" r:id="rId3054" display="https://statiz.sporki.com/add/?m=draft_school02&amp;ps_school=" xr:uid="{7AB4DA70-2CFC-4AF7-8C0C-E47FFCD2AF4F}"/>
    <hyperlink ref="A1020" r:id="rId3055" display="https://statiz.sporki.com/player/?m=playerinfo&amp;p_no=12949" xr:uid="{0F65AFCD-7EC7-4ABF-912D-A842D191A4D2}"/>
    <hyperlink ref="B1020" r:id="rId3056" display="https://statiz.sporki.com/add/?m=draft_school01&amp;ps_school=" xr:uid="{25ECE205-58C6-4CCB-8AA6-B83B2251D7BB}"/>
    <hyperlink ref="C1020" r:id="rId3057" display="https://statiz.sporki.com/add/?m=draft_school02&amp;ps_school=" xr:uid="{89255A40-2E7B-4161-96AB-16E803071BCE}"/>
    <hyperlink ref="A1021" r:id="rId3058" display="https://statiz.sporki.com/player/?m=playerinfo&amp;p_no=12995" xr:uid="{826ECC40-A09C-4096-BE3F-15F40C490994}"/>
    <hyperlink ref="B1021" r:id="rId3059" display="https://statiz.sporki.com/add/?m=draft_school01&amp;ps_school=" xr:uid="{FA9CB664-F71D-456F-8ED9-0BE46DFF80C6}"/>
    <hyperlink ref="C1021" r:id="rId3060" display="https://statiz.sporki.com/add/?m=draft_school02&amp;ps_school=" xr:uid="{DCB79550-B8A5-4A1D-8C94-1D9D2FDC10F3}"/>
    <hyperlink ref="A1022" r:id="rId3061" display="https://statiz.sporki.com/player/?m=playerinfo&amp;p_no=12960" xr:uid="{88B18648-A635-4667-BB64-4036036A1FE9}"/>
    <hyperlink ref="B1022" r:id="rId3062" display="https://statiz.sporki.com/add/?m=draft_school01&amp;ps_school=" xr:uid="{1E0C3792-C691-497C-8698-E58C25B28B4A}"/>
    <hyperlink ref="C1022" r:id="rId3063" display="https://statiz.sporki.com/add/?m=draft_school02&amp;ps_school=" xr:uid="{FEF79CA8-7895-4F72-93C6-0DA4F37D9E90}"/>
    <hyperlink ref="A1023" r:id="rId3064" display="https://statiz.sporki.com/player/?m=playerinfo&amp;p_no=12959" xr:uid="{F1D6039E-1A4D-40BF-8EDE-30752C58073E}"/>
    <hyperlink ref="B1023" r:id="rId3065" display="https://statiz.sporki.com/add/?m=draft_school01&amp;ps_school=" xr:uid="{AB9D0F78-4D55-4C9A-80F8-815494C76774}"/>
    <hyperlink ref="C1023" r:id="rId3066" display="https://statiz.sporki.com/add/?m=draft_school02&amp;ps_school=" xr:uid="{BFD95D4C-4854-4CF5-83BE-C96E54D565B6}"/>
    <hyperlink ref="A1024" r:id="rId3067" display="https://statiz.sporki.com/player/?m=playerinfo&amp;p_no=13005" xr:uid="{F8ABC619-CB83-464F-B3BC-514D9A7CB2C6}"/>
    <hyperlink ref="B1024" r:id="rId3068" display="https://statiz.sporki.com/add/?m=draft_school01&amp;ps_school=" xr:uid="{C51ABF5A-12CB-4EE8-97F2-DF4A3330BC98}"/>
    <hyperlink ref="C1024" r:id="rId3069" display="https://statiz.sporki.com/add/?m=draft_school02&amp;ps_school=" xr:uid="{4E206607-2CB7-4A9E-BB4E-8E50D2166038}"/>
    <hyperlink ref="A1025" r:id="rId3070" display="https://statiz.sporki.com/player/?m=playerinfo&amp;p_no=12946" xr:uid="{53AA3B6E-8E50-4262-8E98-1324098D11EF}"/>
    <hyperlink ref="B1025" r:id="rId3071" display="https://statiz.sporki.com/add/?m=draft_school01&amp;ps_school=" xr:uid="{DC90F324-DF33-47A0-847D-31B58B538106}"/>
    <hyperlink ref="C1025" r:id="rId3072" display="https://statiz.sporki.com/add/?m=draft_school02&amp;ps_school=" xr:uid="{7EE01074-E2C9-4CC7-9B2A-76DE1AE2D5F6}"/>
    <hyperlink ref="A1026" r:id="rId3073" display="https://statiz.sporki.com/player/?m=playerinfo&amp;p_no=12947" xr:uid="{E80327EA-FD23-47CA-9E70-AF13E4D016F1}"/>
    <hyperlink ref="B1026" r:id="rId3074" display="https://statiz.sporki.com/add/?m=draft_school01&amp;ps_school=" xr:uid="{D56C5946-C501-4535-B564-6097EF38F111}"/>
    <hyperlink ref="C1026" r:id="rId3075" display="https://statiz.sporki.com/add/?m=draft_school02&amp;ps_school=" xr:uid="{EB1E7EEE-81F3-418C-92BB-7CD64F8D7D6A}"/>
    <hyperlink ref="A1027" r:id="rId3076" display="https://statiz.sporki.com/player/?m=playerinfo&amp;p_no=12991" xr:uid="{CD3517C6-FB88-4DC8-8197-12286595B08F}"/>
    <hyperlink ref="B1027" r:id="rId3077" display="https://statiz.sporki.com/add/?m=draft_school01&amp;ps_school=51119" xr:uid="{0CED3BED-AC11-4FEF-A4D8-7D51918E606D}"/>
    <hyperlink ref="C1027" r:id="rId3078" display="https://statiz.sporki.com/add/?m=draft_school02&amp;ps_school=" xr:uid="{0873BAE4-7EFF-4369-90B9-986C0C731A11}"/>
    <hyperlink ref="A1028" r:id="rId3079" display="https://statiz.sporki.com/player/?m=playerinfo&amp;p_no=12951" xr:uid="{F94D440A-CE59-4364-90BF-1184891237E1}"/>
    <hyperlink ref="B1028" r:id="rId3080" display="https://statiz.sporki.com/add/?m=draft_school01&amp;ps_school=" xr:uid="{D30E5625-5E4E-4F4B-8222-4AE2E9F9A72D}"/>
    <hyperlink ref="C1028" r:id="rId3081" display="https://statiz.sporki.com/add/?m=draft_school02&amp;ps_school=" xr:uid="{785F6A90-1B15-4587-8879-23C18F5CBFB8}"/>
    <hyperlink ref="A1029" r:id="rId3082" display="https://statiz.sporki.com/player/?m=playerinfo&amp;p_no=12952" xr:uid="{5B1F4641-EB7D-4632-BB8A-660DCD59FB30}"/>
    <hyperlink ref="B1029" r:id="rId3083" display="https://statiz.sporki.com/add/?m=draft_school01&amp;ps_school=" xr:uid="{B35BF48A-F9D8-4084-85D4-C4B362EFDACD}"/>
    <hyperlink ref="C1029" r:id="rId3084" display="https://statiz.sporki.com/add/?m=draft_school02&amp;ps_school=" xr:uid="{C3BB3235-468D-4F91-8CEC-ACCD214860F9}"/>
    <hyperlink ref="A1030" r:id="rId3085" display="https://statiz.sporki.com/player/?m=playerinfo&amp;p_no=12948" xr:uid="{8126C2A6-8BC5-4CDB-AE72-2DF1074294AA}"/>
    <hyperlink ref="B1030" r:id="rId3086" display="https://statiz.sporki.com/add/?m=draft_school01&amp;ps_school=" xr:uid="{6300557B-5E82-4719-A417-EDCBAA30183B}"/>
    <hyperlink ref="C1030" r:id="rId3087" display="https://statiz.sporki.com/add/?m=draft_school02&amp;ps_school=" xr:uid="{202B84D5-A16A-4F8A-9B75-74263E2570D5}"/>
    <hyperlink ref="A1031" r:id="rId3088" display="https://statiz.sporki.com/player/?m=playerinfo&amp;p_no=13007" xr:uid="{0F1046D6-04C0-452E-A78E-FCAA73A5028D}"/>
    <hyperlink ref="B1031" r:id="rId3089" display="https://statiz.sporki.com/add/?m=draft_school01&amp;ps_school=" xr:uid="{EC4AF34B-6CF1-426D-9CDA-B8E4C2D1B8C2}"/>
    <hyperlink ref="C1031" r:id="rId3090" display="https://statiz.sporki.com/add/?m=draft_school02&amp;ps_school=" xr:uid="{18005ED8-D40D-4E38-A149-774E74DF268F}"/>
    <hyperlink ref="A1032" r:id="rId3091" display="https://statiz.sporki.com/player/?m=playerinfo&amp;p_no=12992" xr:uid="{CD904620-0C58-4EA3-AC49-C7F7FF25B88B}"/>
    <hyperlink ref="B1032" r:id="rId3092" display="https://statiz.sporki.com/add/?m=draft_school01&amp;ps_school=" xr:uid="{AA29B6E3-227E-46FC-92BD-DE36FC5291C4}"/>
    <hyperlink ref="C1032" r:id="rId3093" display="https://statiz.sporki.com/add/?m=draft_school02&amp;ps_school=" xr:uid="{A0D0CE39-9504-491B-9E22-1E01FE240631}"/>
    <hyperlink ref="A1033" r:id="rId3094" display="https://statiz.sporki.com/player/?m=playerinfo&amp;p_no=12990" xr:uid="{B553E610-6842-4053-9F16-473834276B67}"/>
    <hyperlink ref="B1033" r:id="rId3095" display="https://statiz.sporki.com/add/?m=draft_school01&amp;ps_school=" xr:uid="{FB286BFF-8AD3-4B92-8490-29887B5FA0E9}"/>
    <hyperlink ref="C1033" r:id="rId3096" display="https://statiz.sporki.com/add/?m=draft_school02&amp;ps_school=" xr:uid="{2D8E18D6-8EE7-435E-81D1-FEC56F244B2A}"/>
    <hyperlink ref="A1034" r:id="rId3097" display="https://statiz.sporki.com/player/?m=playerinfo&amp;p_no=12955" xr:uid="{A3B844B6-2AB2-4AB4-83E2-F9DFBB448E9A}"/>
    <hyperlink ref="B1034" r:id="rId3098" display="https://statiz.sporki.com/add/?m=draft_school01&amp;ps_school=" xr:uid="{F29DACCD-D076-4517-A03E-3C56656F1EEF}"/>
    <hyperlink ref="C1034" r:id="rId3099" display="https://statiz.sporki.com/add/?m=draft_school02&amp;ps_school=" xr:uid="{D27F2DBB-D0DE-49A7-BBD6-DF8E84EC54F2}"/>
    <hyperlink ref="A1035" r:id="rId3100" display="https://statiz.sporki.com/player/?m=playerinfo&amp;p_no=12956" xr:uid="{DF6CA66C-DD51-46C6-BC1B-6F69F382FBBD}"/>
    <hyperlink ref="B1035" r:id="rId3101" display="https://statiz.sporki.com/add/?m=draft_school01&amp;ps_school=" xr:uid="{15B71C1B-21FC-4FD4-989C-075E9D431A21}"/>
    <hyperlink ref="C1035" r:id="rId3102" display="https://statiz.sporki.com/add/?m=draft_school02&amp;ps_school=" xr:uid="{15625E5D-8C26-4319-B540-DA7295A7781E}"/>
    <hyperlink ref="A1036" r:id="rId3103" display="https://statiz.sporki.com/player/?m=playerinfo&amp;p_no=12961" xr:uid="{85AC18E9-BDDB-4058-A42C-D93EFC0B03EF}"/>
    <hyperlink ref="B1036" r:id="rId3104" display="https://statiz.sporki.com/add/?m=draft_school01&amp;ps_school=" xr:uid="{3C911988-6EC4-4618-A275-349915017246}"/>
    <hyperlink ref="C1036" r:id="rId3105" display="https://statiz.sporki.com/add/?m=draft_school02&amp;ps_school=" xr:uid="{48541BA6-2E44-462A-838E-7FB074CE8469}"/>
    <hyperlink ref="A1037" r:id="rId3106" display="https://statiz.sporki.com/player/?m=playerinfo&amp;p_no=12957" xr:uid="{5D7BAC47-5BBE-4540-9AD2-B5EEF920F27A}"/>
    <hyperlink ref="B1037" r:id="rId3107" display="https://statiz.sporki.com/add/?m=draft_school01&amp;ps_school=" xr:uid="{095F93F1-95C1-432A-AC24-6D960DC9B50D}"/>
    <hyperlink ref="C1037" r:id="rId3108" display="https://statiz.sporki.com/add/?m=draft_school02&amp;ps_school=" xr:uid="{76104FC0-1403-4360-A02F-DA44AF253BCF}"/>
    <hyperlink ref="A1038" r:id="rId3109" display="https://statiz.sporki.com/player/?m=playerinfo&amp;p_no=12958" xr:uid="{582E1B29-ECF9-47CE-9878-7298E7F56057}"/>
    <hyperlink ref="B1038" r:id="rId3110" display="https://statiz.sporki.com/add/?m=draft_school01&amp;ps_school=" xr:uid="{6AF6C7C4-1999-4F46-94C1-B87B77230B4A}"/>
    <hyperlink ref="C1038" r:id="rId3111" display="https://statiz.sporki.com/add/?m=draft_school02&amp;ps_school=" xr:uid="{BAB76792-5F55-4967-8E46-0204E1BD22CA}"/>
    <hyperlink ref="A1039" r:id="rId3112" display="https://statiz.sporki.com/player/?m=playerinfo&amp;p_no=12954" xr:uid="{3A50D4AA-0113-452F-BBD5-F408D8B744B3}"/>
    <hyperlink ref="B1039" r:id="rId3113" display="https://statiz.sporki.com/add/?m=draft_school01&amp;ps_school=" xr:uid="{B1A37D57-95C9-4B55-82FD-A7394CBAB203}"/>
    <hyperlink ref="C1039" r:id="rId3114" display="https://statiz.sporki.com/add/?m=draft_school02&amp;ps_school=" xr:uid="{4AFD99D4-9DD4-4D10-99F7-BE0ED4F9AFD8}"/>
    <hyperlink ref="A1040" r:id="rId3115" display="https://statiz.sporki.com/player/?m=playerinfo&amp;p_no=12953" xr:uid="{1F62F9B3-1673-43D3-823A-06E853979247}"/>
    <hyperlink ref="B1040" r:id="rId3116" display="https://statiz.sporki.com/add/?m=draft_school01&amp;ps_school=" xr:uid="{913F4C75-26EC-455E-B254-21AA1D2EB4D7}"/>
    <hyperlink ref="C1040" r:id="rId3117" display="https://statiz.sporki.com/add/?m=draft_school02&amp;ps_school=" xr:uid="{07F2DF1A-0E57-4187-BA8C-9E2C19E6DAE4}"/>
    <hyperlink ref="A1041" r:id="rId3118" display="https://statiz.sporki.com/player/?m=playerinfo&amp;p_no=13002" xr:uid="{1AEDEC51-065E-46B0-A517-9624177C2BF2}"/>
    <hyperlink ref="B1041" r:id="rId3119" display="https://statiz.sporki.com/add/?m=draft_school01&amp;ps_school=50802" xr:uid="{E14355C6-1FB0-4825-B59A-5D9DE77B0AAE}"/>
    <hyperlink ref="C1041" r:id="rId3120" display="https://statiz.sporki.com/add/?m=draft_school02&amp;ps_school=60802" xr:uid="{C3AD61BB-D841-43A2-B892-78FB8345A588}"/>
    <hyperlink ref="A1042" r:id="rId3121" display="https://statiz.sporki.com/player/?m=playerinfo&amp;p_no=13265" xr:uid="{9FE048BE-A4DE-4B2D-B6A2-89A06FAAADD1}"/>
    <hyperlink ref="B1042" r:id="rId3122" display="https://statiz.sporki.com/add/?m=draft_school01&amp;ps_school=50701" xr:uid="{86A6FB7A-2929-4976-A80C-033494A313BC}"/>
    <hyperlink ref="C1042" r:id="rId3123" display="https://statiz.sporki.com/add/?m=draft_school02&amp;ps_school=60804" xr:uid="{F86E4D4C-C126-4BE1-9F6B-62CED957EC13}"/>
    <hyperlink ref="A1043" r:id="rId3124" display="https://statiz.sporki.com/player/?m=playerinfo&amp;p_no=13263" xr:uid="{CB9F7FA1-C4AC-466A-974E-3DA351B386C0}"/>
    <hyperlink ref="B1043" r:id="rId3125" display="https://statiz.sporki.com/add/?m=draft_school01&amp;ps_school=50114" xr:uid="{097F5634-E833-41AD-91CC-F3CB1BAA4BBE}"/>
    <hyperlink ref="C1043" r:id="rId3126" display="https://statiz.sporki.com/add/?m=draft_school02&amp;ps_school=60109" xr:uid="{9A4D634E-14C5-4DDE-AF23-B9A52CB745D3}"/>
    <hyperlink ref="A1044" r:id="rId3127" display="https://statiz.sporki.com/player/?m=playerinfo&amp;p_no=13261" xr:uid="{E7336574-8742-43D2-B5AA-18430E989541}"/>
    <hyperlink ref="B1044" r:id="rId3128" display="https://statiz.sporki.com/add/?m=draft_school01&amp;ps_school=50605" xr:uid="{E87FBA49-08C6-4ED3-B33C-BC43A618D27C}"/>
    <hyperlink ref="C1044" r:id="rId3129" display="https://statiz.sporki.com/add/?m=draft_school02&amp;ps_school=60103" xr:uid="{15B056D4-5E2E-42BE-AB38-471F5488B722}"/>
    <hyperlink ref="A1045" r:id="rId3130" display="https://statiz.sporki.com/player/?m=playerinfo&amp;p_no=13267" xr:uid="{B7D704D7-70B0-4780-96A6-FF0D03C83109}"/>
    <hyperlink ref="B1045" r:id="rId3131" display="https://statiz.sporki.com/add/?m=draft_school01&amp;ps_school=50114" xr:uid="{49B921C4-0FB4-4455-B8CF-A21F57A5D80D}"/>
    <hyperlink ref="C1045" r:id="rId3132" display="https://statiz.sporki.com/add/?m=draft_school02&amp;ps_school=60103" xr:uid="{40CB5539-9A14-4402-806E-E814DAD6AF73}"/>
    <hyperlink ref="A1046" r:id="rId3133" display="https://statiz.sporki.com/player/?m=playerinfo&amp;p_no=13269" xr:uid="{7122E52A-FE20-486B-A05D-B383F4A548E3}"/>
    <hyperlink ref="B1046" r:id="rId3134" display="https://statiz.sporki.com/add/?m=draft_school01&amp;ps_school=50114" xr:uid="{647CB8D4-7ED6-45C1-95BA-4727F270EE12}"/>
    <hyperlink ref="C1046" r:id="rId3135" display="https://statiz.sporki.com/add/?m=draft_school02&amp;ps_school=" xr:uid="{CE48FDBB-6BC0-4219-A36A-E34D118844A1}"/>
    <hyperlink ref="A1047" r:id="rId3136" display="https://statiz.sporki.com/player/?m=playerinfo&amp;p_no=13270" xr:uid="{C0CE4E0E-E36A-488F-8590-115CAF93B2BB}"/>
    <hyperlink ref="B1047" r:id="rId3137" display="https://statiz.sporki.com/add/?m=draft_school01&amp;ps_school=50116" xr:uid="{0100F84E-3FFF-4FDA-B5D5-E27363D6EF72}"/>
    <hyperlink ref="C1047" r:id="rId3138" display="https://statiz.sporki.com/add/?m=draft_school02&amp;ps_school=" xr:uid="{7BE21057-792B-4911-B32A-D5A518117A26}"/>
    <hyperlink ref="A1048" r:id="rId3139" display="https://statiz.sporki.com/player/?m=playerinfo&amp;p_no=13266" xr:uid="{7B807227-E623-4580-AF12-ECFB3AA5912A}"/>
    <hyperlink ref="B1048" r:id="rId3140" display="https://statiz.sporki.com/add/?m=draft_school01&amp;ps_school=50110" xr:uid="{334B7925-9C71-48FB-8B9A-EC1D0DA635E1}"/>
    <hyperlink ref="C1048" r:id="rId3141" display="https://statiz.sporki.com/add/?m=draft_school02&amp;ps_school=60101" xr:uid="{CC5DBB79-47DC-4CAB-B122-4C6073F4FA42}"/>
    <hyperlink ref="A1049" r:id="rId3142" display="https://statiz.sporki.com/player/?m=playerinfo&amp;p_no=13277" xr:uid="{05069316-0FDA-4882-B980-1906F6867921}"/>
    <hyperlink ref="B1049" r:id="rId3143" display="https://statiz.sporki.com/add/?m=draft_school01&amp;ps_school=50403" xr:uid="{D78A0080-84F5-45D9-81F5-0B14862868DD}"/>
    <hyperlink ref="C1049" r:id="rId3144" display="https://statiz.sporki.com/add/?m=draft_school02&amp;ps_school=60804" xr:uid="{0A6DBEB1-A85D-4386-A60B-362F9B19939B}"/>
    <hyperlink ref="A1050" r:id="rId3145" display="https://statiz.sporki.com/player/?m=playerinfo&amp;p_no=13243" xr:uid="{11478E33-A913-40E0-AEFF-6C7D463DC1F3}"/>
    <hyperlink ref="B1050" r:id="rId3146" display="https://statiz.sporki.com/add/?m=draft_school01&amp;ps_school=50102" xr:uid="{C3A3A6BD-8874-498F-8455-031944C1FA21}"/>
    <hyperlink ref="C1050" r:id="rId3147" display="https://statiz.sporki.com/add/?m=draft_school02&amp;ps_school=60803" xr:uid="{78960E62-8272-49F2-8239-2E791317DC52}"/>
    <hyperlink ref="A1051" r:id="rId3148" display="https://statiz.sporki.com/player/?m=playerinfo&amp;p_no=12533" xr:uid="{42FF5F33-E0E7-408E-A45E-045BD07D6882}"/>
    <hyperlink ref="B1051" r:id="rId3149" display="https://statiz.sporki.com/add/?m=draft_school01&amp;ps_school=50602" xr:uid="{8A9DD48F-6B86-4C99-BE4E-E5E4F9A50C8A}"/>
    <hyperlink ref="C1051" r:id="rId3150" display="https://statiz.sporki.com/add/?m=draft_school02&amp;ps_school=" xr:uid="{295A5791-D85F-4CB1-8FFC-481C8742B883}"/>
    <hyperlink ref="A1052" r:id="rId3151" display="https://statiz.sporki.com/player/?m=playerinfo&amp;p_no=12572" xr:uid="{687C4392-FA31-45E9-BA4D-D1D42682707B}"/>
    <hyperlink ref="B1052" r:id="rId3152" display="https://statiz.sporki.com/add/?m=draft_school01&amp;ps_school=50701" xr:uid="{1CEB1924-51DE-4AFF-9D86-819E89150F6A}"/>
    <hyperlink ref="C1052" r:id="rId3153" display="https://statiz.sporki.com/add/?m=draft_school02&amp;ps_school=" xr:uid="{D6B882AB-E373-4C7B-9ED2-3AF6B73BC72E}"/>
    <hyperlink ref="A1053" r:id="rId3154" display="https://statiz.sporki.com/player/?m=playerinfo&amp;p_no=12532" xr:uid="{F0938005-E2D6-449E-88CE-EA60FFCBC79B}"/>
    <hyperlink ref="B1053" r:id="rId3155" display="https://statiz.sporki.com/add/?m=draft_school01&amp;ps_school=50109" xr:uid="{D2CF7AD7-E3E4-45A1-B104-84A262B38C3F}"/>
    <hyperlink ref="C1053" r:id="rId3156" display="https://statiz.sporki.com/add/?m=draft_school02&amp;ps_school=" xr:uid="{98F5C761-E984-4D01-B7D4-05C5D5916FED}"/>
    <hyperlink ref="A1054" r:id="rId3157" display="https://statiz.sporki.com/player/?m=playerinfo&amp;p_no=12522" xr:uid="{9B5A3332-3582-4C09-9D8C-BA6391E15F74}"/>
    <hyperlink ref="B1054" r:id="rId3158" display="https://statiz.sporki.com/add/?m=draft_school01&amp;ps_school=50101" xr:uid="{D3C1EB4F-901E-4AA1-895F-4941715726C9}"/>
    <hyperlink ref="C1054" r:id="rId3159" display="https://statiz.sporki.com/add/?m=draft_school02&amp;ps_school=" xr:uid="{FB9C6F93-66CB-42F7-A7A9-9B4D971B6589}"/>
    <hyperlink ref="A1055" r:id="rId3160" display="https://statiz.sporki.com/player/?m=playerinfo&amp;p_no=12571" xr:uid="{123D2260-3328-4F6A-B35D-87807BE92F92}"/>
    <hyperlink ref="B1055" r:id="rId3161" display="https://statiz.sporki.com/add/?m=draft_school01&amp;ps_school=50207" xr:uid="{3D37A8BE-5F58-40BA-82A2-07F4ADDF4AA0}"/>
    <hyperlink ref="C1055" r:id="rId3162" display="https://statiz.sporki.com/add/?m=draft_school02&amp;ps_school=" xr:uid="{06E89A45-638C-4C9D-A826-8716FE412C64}"/>
    <hyperlink ref="A1056" r:id="rId3163" display="https://statiz.sporki.com/player/?m=playerinfo&amp;p_no=12567" xr:uid="{02751EE0-04F0-4EB9-90EB-84DCC35587A6}"/>
    <hyperlink ref="B1056" r:id="rId3164" display="https://statiz.sporki.com/add/?m=draft_school01&amp;ps_school=50107" xr:uid="{ACFF6700-5EB6-4219-ACEC-687B1CD61951}"/>
    <hyperlink ref="C1056" r:id="rId3165" display="https://statiz.sporki.com/add/?m=draft_school02&amp;ps_school=" xr:uid="{BB4BD0F6-8767-4F02-9826-FB14A41A0C71}"/>
    <hyperlink ref="A1057" r:id="rId3166" display="https://statiz.sporki.com/player/?m=playerinfo&amp;p_no=12568" xr:uid="{4F33A87F-99A5-41A5-AC9F-F1C3E4A6EB25}"/>
    <hyperlink ref="B1057" r:id="rId3167" display="https://statiz.sporki.com/add/?m=draft_school01&amp;ps_school=50109" xr:uid="{6C8BAE16-9588-41B9-A219-576EFCBEAE17}"/>
    <hyperlink ref="C1057" r:id="rId3168" display="https://statiz.sporki.com/add/?m=draft_school02&amp;ps_school=" xr:uid="{C9FC623F-5706-4BF4-A411-B30141339C3B}"/>
    <hyperlink ref="A1058" r:id="rId3169" display="https://statiz.sporki.com/player/?m=playerinfo&amp;p_no=12569" xr:uid="{54B0CF92-2CF0-4F0D-8AC7-AA4833054762}"/>
    <hyperlink ref="B1058" r:id="rId3170" display="https://statiz.sporki.com/add/?m=draft_school01&amp;ps_school=50805" xr:uid="{02EDF5BA-8F0F-42F7-A057-36EDB4A8EDDF}"/>
    <hyperlink ref="C1058" r:id="rId3171" display="https://statiz.sporki.com/add/?m=draft_school02&amp;ps_school=" xr:uid="{74018249-B254-4704-841E-29764BA0D3A3}"/>
    <hyperlink ref="A1059" r:id="rId3172" display="https://statiz.sporki.com/player/?m=playerinfo&amp;p_no=12530" xr:uid="{B9A8FD10-780A-4B78-BB10-95FB2B53328F}"/>
    <hyperlink ref="B1059" r:id="rId3173" display="https://statiz.sporki.com/add/?m=draft_school01&amp;ps_school=50701" xr:uid="{A92FBBC1-8585-479F-871D-9BD95190F5A8}"/>
    <hyperlink ref="C1059" r:id="rId3174" display="https://statiz.sporki.com/add/?m=draft_school02&amp;ps_school=" xr:uid="{6BCBD0BE-42D1-443A-ABA0-D9661BE82071}"/>
    <hyperlink ref="A1060" r:id="rId3175" display="https://statiz.sporki.com/player/?m=playerinfo&amp;p_no=12570" xr:uid="{930F8CB1-76B9-488B-818D-252FFC910AB6}"/>
    <hyperlink ref="B1060" r:id="rId3176" display="https://statiz.sporki.com/add/?m=draft_school01&amp;ps_school=50403" xr:uid="{EEDD7A07-0360-4D7A-A439-CE0EEC01ABC2}"/>
    <hyperlink ref="C1060" r:id="rId3177" display="https://statiz.sporki.com/add/?m=draft_school02&amp;ps_school=60102" xr:uid="{660522F3-3033-4305-91B2-E514DE3D505C}"/>
    <hyperlink ref="A1061" r:id="rId3178" display="https://statiz.sporki.com/player/?m=playerinfo&amp;p_no=12534" xr:uid="{ED5A259D-D529-456C-AE79-4F8DE4110149}"/>
    <hyperlink ref="B1061" r:id="rId3179" display="https://statiz.sporki.com/add/?m=draft_school01&amp;ps_school=50107" xr:uid="{2DBA333D-DCC0-47DE-97CC-0B4733925D38}"/>
    <hyperlink ref="C1061" r:id="rId3180" display="https://statiz.sporki.com/add/?m=draft_school02&amp;ps_school=" xr:uid="{588E3EBB-EE1D-4E78-920C-372E33947B66}"/>
    <hyperlink ref="A1062" r:id="rId3181" display="https://statiz.sporki.com/player/?m=playerinfo&amp;p_no=12521" xr:uid="{E4C7F511-A84C-42CB-9DCC-148660A174AB}"/>
    <hyperlink ref="B1062" r:id="rId3182" display="https://statiz.sporki.com/add/?m=draft_school01&amp;ps_school=50210" xr:uid="{D7F0741B-4AC8-4469-92D0-E68F873E985B}"/>
    <hyperlink ref="C1062" r:id="rId3183" display="https://statiz.sporki.com/add/?m=draft_school02&amp;ps_school=" xr:uid="{B72FFCBB-38C5-4160-8287-957F96C46695}"/>
    <hyperlink ref="A1063" r:id="rId3184" display="https://statiz.sporki.com/player/?m=playerinfo&amp;p_no=12544" xr:uid="{95457C92-2F55-44DA-8737-FBB0257DD3B5}"/>
    <hyperlink ref="B1063" r:id="rId3185" display="https://statiz.sporki.com/add/?m=draft_school01&amp;ps_school=50114" xr:uid="{EDB63047-0C06-4ADE-839A-892C4905E34E}"/>
    <hyperlink ref="C1063" r:id="rId3186" display="https://statiz.sporki.com/add/?m=draft_school02&amp;ps_school=" xr:uid="{FC012817-D652-464E-A86E-CAFA0E82CF5C}"/>
    <hyperlink ref="A1064" r:id="rId3187" display="https://statiz.sporki.com/player/?m=playerinfo&amp;p_no=12561" xr:uid="{D8BE166E-7C00-4FA1-B1E1-58BCA6FCDBAB}"/>
    <hyperlink ref="B1064" r:id="rId3188" display="https://statiz.sporki.com/add/?m=draft_school01&amp;ps_school=50805" xr:uid="{4965EFAD-C7F3-4C22-973A-B4D7A78F9183}"/>
    <hyperlink ref="C1064" r:id="rId3189" display="https://statiz.sporki.com/add/?m=draft_school02&amp;ps_school=" xr:uid="{AB9C10C0-7122-4CDE-9B1F-64686E74EDB2}"/>
    <hyperlink ref="A1065" r:id="rId3190" display="https://statiz.sporki.com/player/?m=playerinfo&amp;p_no=12612" xr:uid="{6A00F70E-34A9-4B53-8568-D5AB8ADD0E42}"/>
    <hyperlink ref="B1065" r:id="rId3191" display="https://statiz.sporki.com/add/?m=draft_school01&amp;ps_school=50107" xr:uid="{1A465B77-4858-4609-AD28-C584698C6F26}"/>
    <hyperlink ref="C1065" r:id="rId3192" display="https://statiz.sporki.com/add/?m=draft_school02&amp;ps_school=" xr:uid="{14C92DB0-31DC-494C-A6C5-6CCC9D4C85E3}"/>
    <hyperlink ref="A1066" r:id="rId3193" display="https://statiz.sporki.com/player/?m=playerinfo&amp;p_no=12627" xr:uid="{9B2915CF-E091-4ACA-B93B-B56F289A9BC4}"/>
    <hyperlink ref="B1066" r:id="rId3194" display="https://statiz.sporki.com/add/?m=draft_school01&amp;ps_school=50108" xr:uid="{696A5AFD-94D5-4C84-97CA-BA77AAD730B6}"/>
    <hyperlink ref="C1066" r:id="rId3195" display="https://statiz.sporki.com/add/?m=draft_school02&amp;ps_school=" xr:uid="{C93BA7B8-54B2-44E1-A0FD-5D9633B01C04}"/>
    <hyperlink ref="A1067" r:id="rId3196" display="https://statiz.sporki.com/player/?m=playerinfo&amp;p_no=12524" xr:uid="{4933E03C-76A6-4555-94CF-05090C5C2D45}"/>
    <hyperlink ref="B1067" r:id="rId3197" display="https://statiz.sporki.com/add/?m=draft_school01&amp;ps_school=50901" xr:uid="{B56CA28E-3480-4C5E-AD94-704BC3FC35BB}"/>
    <hyperlink ref="C1067" r:id="rId3198" display="https://statiz.sporki.com/add/?m=draft_school02&amp;ps_school=60101" xr:uid="{4B8349F0-1084-4234-9C74-3CD690F206CB}"/>
    <hyperlink ref="A1068" r:id="rId3199" display="https://statiz.sporki.com/player/?m=playerinfo&amp;p_no=12590" xr:uid="{281F7F6A-D5BB-4AF6-A26F-11670ABAE51B}"/>
    <hyperlink ref="B1068" r:id="rId3200" display="https://statiz.sporki.com/add/?m=draft_school01&amp;ps_school=50606" xr:uid="{E46682C8-DA14-4064-8B1E-40900B9D716A}"/>
    <hyperlink ref="C1068" r:id="rId3201" display="https://statiz.sporki.com/add/?m=draft_school02&amp;ps_school=" xr:uid="{F065C97F-121A-42C1-A0B8-819C0C5993BF}"/>
    <hyperlink ref="A1069" r:id="rId3202" display="https://statiz.sporki.com/player/?m=playerinfo&amp;p_no=12637" xr:uid="{894087B4-1FA0-476D-840F-85A16D54E698}"/>
    <hyperlink ref="B1069" r:id="rId3203" display="https://statiz.sporki.com/add/?m=draft_school01&amp;ps_school=50901" xr:uid="{D818B220-8750-4FFB-969D-C8AF32741ACA}"/>
    <hyperlink ref="C1069" r:id="rId3204" display="https://statiz.sporki.com/add/?m=draft_school02&amp;ps_school=" xr:uid="{27840F3A-5306-46D8-B984-47F30DC70EE3}"/>
    <hyperlink ref="A1070" r:id="rId3205" display="https://statiz.sporki.com/player/?m=playerinfo&amp;p_no=12547" xr:uid="{CB73E4D1-14A2-4DC5-8DA1-E3B0549B06F2}"/>
    <hyperlink ref="B1070" r:id="rId3206" display="https://statiz.sporki.com/add/?m=draft_school01&amp;ps_school=50107" xr:uid="{7DF1C732-C7F8-4B5A-B443-A7441C2CFF6F}"/>
    <hyperlink ref="C1070" r:id="rId3207" display="https://statiz.sporki.com/add/?m=draft_school02&amp;ps_school=60114" xr:uid="{BC6FCD66-FA13-46A4-909B-CDEDB2F89FEB}"/>
    <hyperlink ref="A1071" r:id="rId3208" display="https://statiz.sporki.com/player/?m=playerinfo&amp;p_no=12535" xr:uid="{430D2695-978F-4268-BD18-9A6658EC90FC}"/>
    <hyperlink ref="B1071" r:id="rId3209" display="https://statiz.sporki.com/add/?m=draft_school01&amp;ps_school=50301" xr:uid="{23105B3E-7BE1-4731-8694-BA3A213C7149}"/>
    <hyperlink ref="C1071" r:id="rId3210" display="https://statiz.sporki.com/add/?m=draft_school02&amp;ps_school=" xr:uid="{67A3B3BE-6EFD-42B2-A33E-7C556F4E98C2}"/>
    <hyperlink ref="A1072" r:id="rId3211" display="https://statiz.sporki.com/player/?m=playerinfo&amp;p_no=12573" xr:uid="{2740973D-00F1-41DB-BEDC-33CEBE208689}"/>
    <hyperlink ref="B1072" r:id="rId3212" display="https://statiz.sporki.com/add/?m=draft_school01&amp;ps_school=50706" xr:uid="{5B76A56A-C009-421E-9066-41B641CE0B54}"/>
    <hyperlink ref="C1072" r:id="rId3213" display="https://statiz.sporki.com/add/?m=draft_school02&amp;ps_school=" xr:uid="{6D8B4DFF-952F-4266-AE09-4FDABAB25CF6}"/>
    <hyperlink ref="A1073" r:id="rId3214" display="https://statiz.sporki.com/player/?m=playerinfo&amp;p_no=12545" xr:uid="{4D6D27FA-3228-4B56-B342-8992676F726B}"/>
    <hyperlink ref="B1073" r:id="rId3215" display="https://statiz.sporki.com/add/?m=draft_school01&amp;ps_school=50116" xr:uid="{596E7209-CDA1-4CDC-B2A7-0E2F7ADABEE9}"/>
    <hyperlink ref="C1073" r:id="rId3216" display="https://statiz.sporki.com/add/?m=draft_school02&amp;ps_school=" xr:uid="{2B8312EE-EC36-415A-B52F-05B2B56CA14B}"/>
    <hyperlink ref="A1074" r:id="rId3217" display="https://statiz.sporki.com/player/?m=playerinfo&amp;p_no=12565" xr:uid="{3089B9DF-CE2A-48F6-94CB-AD71717148D3}"/>
    <hyperlink ref="B1074" r:id="rId3218" display="https://statiz.sporki.com/add/?m=draft_school01&amp;ps_school=50902" xr:uid="{2690FE11-3CF5-4A90-A344-F13B5F65E3F8}"/>
    <hyperlink ref="C1074" r:id="rId3219" display="https://statiz.sporki.com/add/?m=draft_school02&amp;ps_school=" xr:uid="{7C0AF7D2-DD70-4A9E-97AC-0DB292FEFA57}"/>
    <hyperlink ref="A1075" r:id="rId3220" display="https://statiz.sporki.com/player/?m=playerinfo&amp;p_no=12531" xr:uid="{61EA7450-2A47-4D80-8C79-295E7EE14716}"/>
    <hyperlink ref="B1075" r:id="rId3221" display="https://statiz.sporki.com/add/?m=draft_school01&amp;ps_school=50108" xr:uid="{789EA51A-D39D-4899-AC7E-38B7E781B907}"/>
    <hyperlink ref="C1075" r:id="rId3222" display="https://statiz.sporki.com/add/?m=draft_school02&amp;ps_school=60103" xr:uid="{671E429D-472D-4C6A-91F2-08E771D7E0E4}"/>
    <hyperlink ref="A1076" r:id="rId3223" display="https://statiz.sporki.com/player/?m=playerinfo&amp;p_no=12628" xr:uid="{A0D4A3D3-7FCA-4FC1-82D7-57900EEB0E85}"/>
    <hyperlink ref="B1076" r:id="rId3224" display="https://statiz.sporki.com/add/?m=draft_school01&amp;ps_school=50202" xr:uid="{35081054-4758-4032-BE3F-B3170CB53301}"/>
    <hyperlink ref="C1076" r:id="rId3225" display="https://statiz.sporki.com/add/?m=draft_school02&amp;ps_school=" xr:uid="{D3E5C456-D2A5-4F73-84DB-A2FC6DABA2DA}"/>
    <hyperlink ref="A1077" r:id="rId3226" display="https://statiz.sporki.com/player/?m=playerinfo&amp;p_no=12604" xr:uid="{5D3096C2-D752-42E3-B5E1-BEF460026751}"/>
    <hyperlink ref="B1077" r:id="rId3227" display="https://statiz.sporki.com/add/?m=draft_school01&amp;ps_school=50705" xr:uid="{7526C4BC-BDAE-4823-933B-281206CBAC11}"/>
    <hyperlink ref="C1077" r:id="rId3228" display="https://statiz.sporki.com/add/?m=draft_school02&amp;ps_school=" xr:uid="{726BFBE3-0527-4C53-84DD-CA1B7F193F40}"/>
    <hyperlink ref="A1078" r:id="rId3229" display="https://statiz.sporki.com/player/?m=playerinfo&amp;p_no=12591" xr:uid="{BD028BFA-A70E-4624-BBF1-C49BBE1452FD}"/>
    <hyperlink ref="B1078" r:id="rId3230" display="https://statiz.sporki.com/add/?m=draft_school01&amp;ps_school=50105" xr:uid="{AFEAF33D-6D04-41AD-8AE7-2BDEB9A290D1}"/>
    <hyperlink ref="C1078" r:id="rId3231" display="https://statiz.sporki.com/add/?m=draft_school02&amp;ps_school=60501" xr:uid="{EB9B1987-C4CE-47ED-9EE0-58C245AB81EC}"/>
    <hyperlink ref="A1079" r:id="rId3232" display="https://statiz.sporki.com/player/?m=playerinfo&amp;p_no=12550" xr:uid="{F3CB256E-0395-4DA1-B32F-1B4CACF3BBB3}"/>
    <hyperlink ref="B1079" r:id="rId3233" display="https://statiz.sporki.com/add/?m=draft_school01&amp;ps_school=" xr:uid="{752F9E93-D0A3-4166-8F1D-FF98C69886A9}"/>
    <hyperlink ref="C1079" r:id="rId3234" display="https://statiz.sporki.com/add/?m=draft_school02&amp;ps_school=" xr:uid="{81DFD09D-A515-4B40-BF83-DFB0F456525B}"/>
    <hyperlink ref="A1080" r:id="rId3235" display="https://statiz.sporki.com/player/?m=playerinfo&amp;p_no=12526" xr:uid="{75E6D116-ADF6-4B0A-B161-006C4A18E6B8}"/>
    <hyperlink ref="B1080" r:id="rId3236" display="https://statiz.sporki.com/add/?m=draft_school01&amp;ps_school=50705" xr:uid="{4DD9C951-2C57-42B1-991A-6F06921E9F46}"/>
    <hyperlink ref="C1080" r:id="rId3237" display="https://statiz.sporki.com/add/?m=draft_school02&amp;ps_school=" xr:uid="{D9D935BC-E48E-4DD1-9CE8-BA32D0C98C08}"/>
    <hyperlink ref="A1081" r:id="rId3238" display="https://statiz.sporki.com/player/?m=playerinfo&amp;p_no=12536" xr:uid="{2382A9B3-D520-4C81-A96D-3BAC458114AF}"/>
    <hyperlink ref="B1081" r:id="rId3239" display="https://statiz.sporki.com/add/?m=draft_school01&amp;ps_school=50116" xr:uid="{846AF42C-A911-4740-96EC-56D11F1F5039}"/>
    <hyperlink ref="C1081" r:id="rId3240" display="https://statiz.sporki.com/add/?m=draft_school02&amp;ps_school=" xr:uid="{BEB2A557-BA10-405C-B251-A6E833E6ED2E}"/>
    <hyperlink ref="A1082" r:id="rId3241" display="https://statiz.sporki.com/player/?m=playerinfo&amp;p_no=12574" xr:uid="{2084C7AA-184F-4542-92D5-AFCF8DD31ABD}"/>
    <hyperlink ref="B1082" r:id="rId3242" display="https://statiz.sporki.com/add/?m=draft_school01&amp;ps_school=50101" xr:uid="{DAE8E0EF-1A83-4FF4-86A3-09A2C4FC288F}"/>
    <hyperlink ref="C1082" r:id="rId3243" display="https://statiz.sporki.com/add/?m=draft_school02&amp;ps_school=" xr:uid="{8A991CA6-6853-4CD5-953B-87803D1C82CD}"/>
    <hyperlink ref="A1083" r:id="rId3244" display="https://statiz.sporki.com/player/?m=playerinfo&amp;p_no=12546" xr:uid="{6B8DD0EC-99F0-4D76-97A2-9EAE81F740FF}"/>
    <hyperlink ref="B1083" r:id="rId3245" display="https://statiz.sporki.com/add/?m=draft_school01&amp;ps_school=50206" xr:uid="{8CE56CEF-07D4-4874-A929-FD9D8B87F9C5}"/>
    <hyperlink ref="C1083" r:id="rId3246" display="https://statiz.sporki.com/add/?m=draft_school02&amp;ps_school=60101" xr:uid="{0AD3394D-AE5E-4999-90B9-136E0BD882B7}"/>
    <hyperlink ref="A1084" r:id="rId3247" display="https://statiz.sporki.com/player/?m=playerinfo&amp;p_no=12620" xr:uid="{DD101F13-E6BB-49A5-B987-82D8CA60C09D}"/>
    <hyperlink ref="B1084" r:id="rId3248" display="https://statiz.sporki.com/add/?m=draft_school01&amp;ps_school=50208" xr:uid="{889B3B39-B7C1-4AAF-A56C-B94663688F53}"/>
    <hyperlink ref="C1084" r:id="rId3249" display="https://statiz.sporki.com/add/?m=draft_school02&amp;ps_school=" xr:uid="{36CFB112-80DF-48CF-AD5E-5FF17D3D10DF}"/>
    <hyperlink ref="A1085" r:id="rId3250" display="https://statiz.sporki.com/player/?m=playerinfo&amp;p_no=12613" xr:uid="{4B6D892C-15BA-4BD2-900F-382B325E613F}"/>
    <hyperlink ref="B1085" r:id="rId3251" display="https://statiz.sporki.com/add/?m=draft_school01&amp;ps_school=50807" xr:uid="{34BF3A87-48A4-49BC-A2EF-D518A506F66B}"/>
    <hyperlink ref="C1085" r:id="rId3252" display="https://statiz.sporki.com/add/?m=draft_school02&amp;ps_school=" xr:uid="{ED0AAEFD-9AC2-4E19-A9FD-2351FEF2D717}"/>
    <hyperlink ref="A1086" r:id="rId3253" display="https://statiz.sporki.com/player/?m=playerinfo&amp;p_no=12629" xr:uid="{BB01646D-E65B-4CAE-8840-06C65DEBFDE2}"/>
    <hyperlink ref="B1086" r:id="rId3254" display="https://statiz.sporki.com/add/?m=draft_school01&amp;ps_school=50202" xr:uid="{5524A041-5B48-4886-8939-302ED2E47D41}"/>
    <hyperlink ref="C1086" r:id="rId3255" display="https://statiz.sporki.com/add/?m=draft_school02&amp;ps_school=" xr:uid="{5B37DC21-215D-4063-931B-B0B4351055B9}"/>
    <hyperlink ref="A1087" r:id="rId3256" display="https://statiz.sporki.com/player/?m=playerinfo&amp;p_no=12605" xr:uid="{7D38C47E-83A7-405D-ACA9-13F341035F8F}"/>
    <hyperlink ref="B1087" r:id="rId3257" display="https://statiz.sporki.com/add/?m=draft_school01&amp;ps_school=50802" xr:uid="{8CEDE46A-FBEB-4768-9740-DF1713798DB7}"/>
    <hyperlink ref="C1087" r:id="rId3258" display="https://statiz.sporki.com/add/?m=draft_school02&amp;ps_school=60503" xr:uid="{4F656CC3-DC09-40F2-867C-98403BB83D8C}"/>
    <hyperlink ref="A1088" r:id="rId3259" display="https://statiz.sporki.com/player/?m=playerinfo&amp;p_no=12592" xr:uid="{AD9A34FF-869F-45DE-AA06-08C4CD394A95}"/>
    <hyperlink ref="B1088" r:id="rId3260" display="https://statiz.sporki.com/add/?m=draft_school01&amp;ps_school=50103" xr:uid="{6ABA1D5A-66EA-4EFE-A55B-F054608B07AB}"/>
    <hyperlink ref="C1088" r:id="rId3261" display="https://statiz.sporki.com/add/?m=draft_school02&amp;ps_school=" xr:uid="{320C9C78-4350-43FD-9F52-A2994CED8ACE}"/>
    <hyperlink ref="A1089" r:id="rId3262" display="https://statiz.sporki.com/player/?m=playerinfo&amp;p_no=12558" xr:uid="{CECD3F26-1675-4C2A-862B-35E929BCB795}"/>
    <hyperlink ref="B1089" r:id="rId3263" display="https://statiz.sporki.com/add/?m=draft_school01&amp;ps_school=50113" xr:uid="{FC6DD966-0C91-4A79-8A8C-B6360723007C}"/>
    <hyperlink ref="C1089" r:id="rId3264" display="https://statiz.sporki.com/add/?m=draft_school02&amp;ps_school=60607" xr:uid="{5213FD82-3970-4E95-B83A-45234F573657}"/>
    <hyperlink ref="A1090" r:id="rId3265" display="https://statiz.sporki.com/player/?m=playerinfo&amp;p_no=12582" xr:uid="{96BBF27F-E8F5-4B5B-8297-7DF81FF55F79}"/>
    <hyperlink ref="B1090" r:id="rId3266" display="https://statiz.sporki.com/add/?m=draft_school01&amp;ps_school=50108" xr:uid="{7266DE20-3EF8-4984-B32D-43FA3613F443}"/>
    <hyperlink ref="C1090" r:id="rId3267" display="https://statiz.sporki.com/add/?m=draft_school02&amp;ps_school=60804" xr:uid="{A3C6788C-D2EA-430D-B8AB-9F28720556F8}"/>
    <hyperlink ref="A1091" r:id="rId3268" display="https://statiz.sporki.com/player/?m=playerinfo&amp;p_no=12537" xr:uid="{2129D8C3-8091-4102-B451-5970D2548989}"/>
    <hyperlink ref="B1091" r:id="rId3269" display="https://statiz.sporki.com/add/?m=draft_school01&amp;ps_school=50705" xr:uid="{8EED928B-6643-46D0-A5E5-CB11E468102E}"/>
    <hyperlink ref="C1091" r:id="rId3270" display="https://statiz.sporki.com/add/?m=draft_school02&amp;ps_school=" xr:uid="{FD7B9242-B478-4A8A-850F-AA99F88A08E7}"/>
    <hyperlink ref="A1092" r:id="rId3271" display="https://statiz.sporki.com/player/?m=playerinfo&amp;p_no=12576" xr:uid="{FB48ABFA-99D6-4B5F-8F2A-2E2146983D1B}"/>
    <hyperlink ref="B1092" r:id="rId3272" display="https://statiz.sporki.com/add/?m=draft_school01&amp;ps_school=50210" xr:uid="{0FE3AD5C-258F-4F1A-9163-B80BB83A0A21}"/>
    <hyperlink ref="C1092" r:id="rId3273" display="https://statiz.sporki.com/add/?m=draft_school02&amp;ps_school=" xr:uid="{22D5ED2E-EE54-4840-9F78-87BBCF9E780C}"/>
    <hyperlink ref="A1093" r:id="rId3274" display="https://statiz.sporki.com/player/?m=playerinfo&amp;p_no=12549" xr:uid="{5D91C76C-B13D-4765-A858-5F982CDAD89E}"/>
    <hyperlink ref="B1093" r:id="rId3275" display="https://statiz.sporki.com/add/?m=draft_school01&amp;ps_school=50604" xr:uid="{6BAD8804-994E-46F3-8415-FB07F054C030}"/>
    <hyperlink ref="C1093" r:id="rId3276" display="https://statiz.sporki.com/add/?m=draft_school02&amp;ps_school=" xr:uid="{0BBEC8D8-28F1-4152-903A-B78028DE5FB2}"/>
    <hyperlink ref="A1094" r:id="rId3277" display="https://statiz.sporki.com/player/?m=playerinfo&amp;p_no=12525" xr:uid="{E22EAE82-3E84-4BCB-A46D-2D2CE1F9D3A4}"/>
    <hyperlink ref="B1094" r:id="rId3278" display="https://statiz.sporki.com/add/?m=draft_school01&amp;ps_school=50706" xr:uid="{501FB7BD-BF59-4D22-94E4-7EE93793E8CC}"/>
    <hyperlink ref="C1094" r:id="rId3279" display="https://statiz.sporki.com/add/?m=draft_school02&amp;ps_school=60703" xr:uid="{CA70B21A-EB30-45DF-AEEB-5E22BFCEB240}"/>
    <hyperlink ref="A1095" r:id="rId3280" display="https://statiz.sporki.com/player/?m=playerinfo&amp;p_no=12614" xr:uid="{0A37C183-8076-4447-8D79-1DE75C3DF5BD}"/>
    <hyperlink ref="B1095" r:id="rId3281" display="https://statiz.sporki.com/add/?m=draft_school01&amp;ps_school=50202" xr:uid="{706EC5E1-40BD-4D65-B865-F5551078E4C5}"/>
    <hyperlink ref="C1095" r:id="rId3282" display="https://statiz.sporki.com/add/?m=draft_school02&amp;ps_school=" xr:uid="{68DCC7D6-0625-4649-8969-E135476F8171}"/>
    <hyperlink ref="A1096" r:id="rId3283" display="https://statiz.sporki.com/player/?m=playerinfo&amp;p_no=12630" xr:uid="{23B33823-9D21-41B2-8163-12827FD6CA7E}"/>
    <hyperlink ref="B1096" r:id="rId3284" display="https://statiz.sporki.com/add/?m=draft_school01&amp;ps_school=50103" xr:uid="{514E8277-B570-405E-BDF8-BC35E2E9502D}"/>
    <hyperlink ref="C1096" r:id="rId3285" display="https://statiz.sporki.com/add/?m=draft_school02&amp;ps_school=" xr:uid="{1C601A7C-17EB-4164-810F-92AF5D16C68C}"/>
    <hyperlink ref="A1097" r:id="rId3286" display="https://statiz.sporki.com/player/?m=playerinfo&amp;p_no=12606" xr:uid="{45DFEFFB-ECF7-47E9-88A3-E358180DA5E8}"/>
    <hyperlink ref="B1097" r:id="rId3287" display="https://statiz.sporki.com/add/?m=draft_school01&amp;ps_school=50109" xr:uid="{970AD3D0-9549-4330-BD0C-7FD0AE2648EC}"/>
    <hyperlink ref="C1097" r:id="rId3288" display="https://statiz.sporki.com/add/?m=draft_school02&amp;ps_school=" xr:uid="{4B8B9D46-EFA7-4226-BF38-246B297CA853}"/>
    <hyperlink ref="A1098" r:id="rId3289" display="https://statiz.sporki.com/player/?m=playerinfo&amp;p_no=12593" xr:uid="{9629C9C4-BFC9-4638-8D4A-4671C9B6F5D2}"/>
    <hyperlink ref="B1098" r:id="rId3290" display="https://statiz.sporki.com/add/?m=draft_school01&amp;ps_school=50403" xr:uid="{B51CCCF2-3D52-4009-B46E-B2BF6E31D87F}"/>
    <hyperlink ref="C1098" r:id="rId3291" display="https://statiz.sporki.com/add/?m=draft_school02&amp;ps_school=" xr:uid="{3F8976FA-0EED-42D1-8CD3-1C1F8AE2709E}"/>
    <hyperlink ref="A1099" r:id="rId3292" display="https://statiz.sporki.com/player/?m=playerinfo&amp;p_no=12562" xr:uid="{64358BC4-A226-4391-AF25-598FF68C98EF}"/>
    <hyperlink ref="B1099" r:id="rId3293" display="https://statiz.sporki.com/add/?m=draft_school01&amp;ps_school=50601" xr:uid="{6DA6C2F4-FB03-4127-9A06-A07904352F5C}"/>
    <hyperlink ref="C1099" r:id="rId3294" display="https://statiz.sporki.com/add/?m=draft_school02&amp;ps_school=60204" xr:uid="{2BB2B615-CFB2-483D-8D51-4FD3757DB69B}"/>
    <hyperlink ref="A1100" r:id="rId3295" display="https://statiz.sporki.com/player/?m=playerinfo&amp;p_no=12583" xr:uid="{CD7C7521-CF89-40C5-B951-070BDC5427C3}"/>
    <hyperlink ref="B1100" r:id="rId3296" display="https://statiz.sporki.com/add/?m=draft_school01&amp;ps_school=50602" xr:uid="{9E43CD63-D80C-4871-9EBA-0288BC43A6B4}"/>
    <hyperlink ref="C1100" r:id="rId3297" display="https://statiz.sporki.com/add/?m=draft_school02&amp;ps_school=60203" xr:uid="{0E2CBA77-6DF7-4662-AC19-0AF349FE4D22}"/>
    <hyperlink ref="A1101" r:id="rId3298" display="https://statiz.sporki.com/player/?m=playerinfo&amp;p_no=12538" xr:uid="{BAEA03C7-153C-41F3-ACC8-1EA783A7B304}"/>
    <hyperlink ref="B1101" r:id="rId3299" display="https://statiz.sporki.com/add/?m=draft_school01&amp;ps_school=50111" xr:uid="{F6C4DA1C-32BB-4218-88D6-D8E344C634CD}"/>
    <hyperlink ref="C1101" r:id="rId3300" display="https://statiz.sporki.com/add/?m=draft_school02&amp;ps_school=60101" xr:uid="{8B2B1721-3732-4DFF-A9F4-61F63BE19822}"/>
    <hyperlink ref="A1102" r:id="rId3301" display="https://statiz.sporki.com/player/?m=playerinfo&amp;p_no=12577" xr:uid="{EAE1D682-C290-4297-A721-ED8A62CD6C19}"/>
    <hyperlink ref="B1102" r:id="rId3302" display="https://statiz.sporki.com/add/?m=draft_school01&amp;ps_school=50107" xr:uid="{5B03153B-86CB-4125-ABCE-4584393EAA06}"/>
    <hyperlink ref="C1102" r:id="rId3303" display="https://statiz.sporki.com/add/?m=draft_school02&amp;ps_school=" xr:uid="{2E4D5085-0832-41CF-B250-0EC05FFFD80F}"/>
    <hyperlink ref="A1103" r:id="rId3304" display="https://statiz.sporki.com/player/?m=playerinfo&amp;p_no=12551" xr:uid="{2AD7C88C-E4D4-4395-A11A-B5E257FA3133}"/>
    <hyperlink ref="B1103" r:id="rId3305" display="https://statiz.sporki.com/add/?m=draft_school01&amp;ps_school=51001" xr:uid="{92116E46-4C24-4C31-8092-BAE617D9185E}"/>
    <hyperlink ref="C1103" r:id="rId3306" display="https://statiz.sporki.com/add/?m=draft_school02&amp;ps_school=" xr:uid="{2651C618-8192-4373-B866-DBA0BC7BE017}"/>
    <hyperlink ref="A1104" r:id="rId3307" display="https://statiz.sporki.com/player/?m=playerinfo&amp;p_no=12621" xr:uid="{99E6F48E-9045-47EC-841B-7F4303629DC8}"/>
    <hyperlink ref="B1104" r:id="rId3308" display="https://statiz.sporki.com/add/?m=draft_school01&amp;ps_school=50604" xr:uid="{37A611D3-777D-4A3D-86B9-4566F029E1F6}"/>
    <hyperlink ref="C1104" r:id="rId3309" display="https://statiz.sporki.com/add/?m=draft_school02&amp;ps_school=" xr:uid="{DA30A27A-9C41-43A2-8273-2EE0A7C940FB}"/>
    <hyperlink ref="A1105" r:id="rId3310" display="https://statiz.sporki.com/player/?m=playerinfo&amp;p_no=12615" xr:uid="{19F7EC8D-CD3E-4D64-9216-F1E0B2A8A3ED}"/>
    <hyperlink ref="B1105" r:id="rId3311" display="https://statiz.sporki.com/add/?m=draft_school01&amp;ps_school=50209" xr:uid="{A887B200-CDA0-4938-B785-0DB200A872A3}"/>
    <hyperlink ref="C1105" r:id="rId3312" display="https://statiz.sporki.com/add/?m=draft_school02&amp;ps_school=" xr:uid="{52CE5E8A-1CD4-40D5-A430-06237166006F}"/>
    <hyperlink ref="A1106" r:id="rId3313" display="https://statiz.sporki.com/player/?m=playerinfo&amp;p_no=12631" xr:uid="{F9D7F05E-5B2C-4554-9B98-B46B0049C03D}"/>
    <hyperlink ref="B1106" r:id="rId3314" display="https://statiz.sporki.com/add/?m=draft_school01&amp;ps_school=50203" xr:uid="{A4B28DBB-AA5E-4858-8114-859F22F1F45C}"/>
    <hyperlink ref="C1106" r:id="rId3315" display="https://statiz.sporki.com/add/?m=draft_school02&amp;ps_school=" xr:uid="{62A6E9EC-699E-4F0E-A1B8-0B51CD751868}"/>
    <hyperlink ref="A1107" r:id="rId3316" display="https://statiz.sporki.com/player/?m=playerinfo&amp;p_no=12607" xr:uid="{A2E73053-13A8-4C43-8213-7B713420FD5D}"/>
    <hyperlink ref="B1107" r:id="rId3317" display="https://statiz.sporki.com/add/?m=draft_school01&amp;ps_school=50901" xr:uid="{B9D9969B-45B2-431D-818D-A301A7894C4C}"/>
    <hyperlink ref="C1107" r:id="rId3318" display="https://statiz.sporki.com/add/?m=draft_school02&amp;ps_school=" xr:uid="{5F8D60AF-0EA3-4ACA-9F74-979E94D4A968}"/>
    <hyperlink ref="A1108" r:id="rId3319" display="https://statiz.sporki.com/player/?m=playerinfo&amp;p_no=12594" xr:uid="{ECC6B100-2977-4387-B5AE-17C9FF20B85B}"/>
    <hyperlink ref="B1108" r:id="rId3320" display="https://statiz.sporki.com/add/?m=draft_school01&amp;ps_school=50206" xr:uid="{9D337191-F1A0-445A-A81F-9E6263B9FD6E}"/>
    <hyperlink ref="C1108" r:id="rId3321" display="https://statiz.sporki.com/add/?m=draft_school02&amp;ps_school=60501" xr:uid="{039B7AEE-4D08-449F-B1D6-ACD5BE64F562}"/>
    <hyperlink ref="A1109" r:id="rId3322" display="https://statiz.sporki.com/player/?m=playerinfo&amp;p_no=12638" xr:uid="{B2813878-4747-4E5F-AA12-0C4F5E225F9B}"/>
    <hyperlink ref="B1109" r:id="rId3323" display="https://statiz.sporki.com/add/?m=draft_school01&amp;ps_school=50402" xr:uid="{B44D02CD-D3C9-4990-8D9B-8DA31DEC7943}"/>
    <hyperlink ref="C1109" r:id="rId3324" display="https://statiz.sporki.com/add/?m=draft_school02&amp;ps_school=" xr:uid="{946B6324-23CB-4069-9606-FF5112E711E3}"/>
    <hyperlink ref="A1110" r:id="rId3325" display="https://statiz.sporki.com/player/?m=playerinfo&amp;p_no=12584" xr:uid="{CB39CB43-8E26-4F57-B08D-942DD37582AE}"/>
    <hyperlink ref="B1110" r:id="rId3326" display="https://statiz.sporki.com/add/?m=draft_school01&amp;ps_school=50903" xr:uid="{CAE6AFD5-0C67-46D4-B7F8-54F64B0D9CE8}"/>
    <hyperlink ref="C1110" r:id="rId3327" display="https://statiz.sporki.com/add/?m=draft_school02&amp;ps_school=60105" xr:uid="{443B0E70-4579-4A69-8635-C8E73E447426}"/>
    <hyperlink ref="A1111" r:id="rId3328" display="https://statiz.sporki.com/player/?m=playerinfo&amp;p_no=12539" xr:uid="{C2737AEF-C144-47B4-BB1E-F9B3EDFE8B55}"/>
    <hyperlink ref="B1111" r:id="rId3329" display="https://statiz.sporki.com/add/?m=draft_school01&amp;ps_school=50109" xr:uid="{38D671C0-9106-425C-990A-BC8A7F5F4FD7}"/>
    <hyperlink ref="C1111" r:id="rId3330" display="https://statiz.sporki.com/add/?m=draft_school02&amp;ps_school=" xr:uid="{D42CD9E6-AD41-4B68-9B7B-AC154FFAD510}"/>
    <hyperlink ref="A1112" r:id="rId3331" display="https://statiz.sporki.com/player/?m=playerinfo&amp;p_no=12578" xr:uid="{DFBD5A0D-BCAB-4D88-BA07-943D52E86255}"/>
    <hyperlink ref="B1112" r:id="rId3332" display="https://statiz.sporki.com/add/?m=draft_school01&amp;ps_school=50109" xr:uid="{A4FFCFB1-1B21-4CC4-8C7F-3B089FB5493E}"/>
    <hyperlink ref="C1112" r:id="rId3333" display="https://statiz.sporki.com/add/?m=draft_school02&amp;ps_school=60114" xr:uid="{669D9D68-2AC1-4322-AE2B-5D5D4074F7FF}"/>
    <hyperlink ref="A1113" r:id="rId3334" display="https://statiz.sporki.com/player/?m=playerinfo&amp;p_no=12553" xr:uid="{A78373BD-6E96-44BB-89FD-27D04B11DE9F}"/>
    <hyperlink ref="B1113" r:id="rId3335" display="https://statiz.sporki.com/add/?m=draft_school01&amp;ps_school=50108" xr:uid="{62A30DC4-5300-41B6-A263-B0221C41A889}"/>
    <hyperlink ref="C1113" r:id="rId3336" display="https://statiz.sporki.com/add/?m=draft_school02&amp;ps_school=" xr:uid="{442F1345-B933-4F93-9D33-AB52389967A0}"/>
    <hyperlink ref="A1114" r:id="rId3337" display="https://statiz.sporki.com/player/?m=playerinfo&amp;p_no=12622" xr:uid="{F0A5E476-1B58-44A9-98A3-DC2B172BFBE5}"/>
    <hyperlink ref="B1114" r:id="rId3338" display="https://statiz.sporki.com/add/?m=draft_school01&amp;ps_school=50802" xr:uid="{5F460A3A-3D27-4F11-9BAB-FD2CC1E61192}"/>
    <hyperlink ref="C1114" r:id="rId3339" display="https://statiz.sporki.com/add/?m=draft_school02&amp;ps_school=" xr:uid="{7EA84C04-06FC-47A9-9CC0-DEBF5AA19F76}"/>
    <hyperlink ref="A1115" r:id="rId3340" display="https://statiz.sporki.com/player/?m=playerinfo&amp;p_no=12616" xr:uid="{C144F454-2590-47E8-A4B6-86709F878B15}"/>
    <hyperlink ref="B1115" r:id="rId3341" display="https://statiz.sporki.com/add/?m=draft_school01&amp;ps_school=50206" xr:uid="{138D485C-EA48-4398-A512-9C189BD81884}"/>
    <hyperlink ref="C1115" r:id="rId3342" display="https://statiz.sporki.com/add/?m=draft_school02&amp;ps_school=" xr:uid="{23C2FDC8-4AF1-4431-B912-ED419B14CCD1}"/>
    <hyperlink ref="A1116" r:id="rId3343" display="https://statiz.sporki.com/player/?m=playerinfo&amp;p_no=12632" xr:uid="{EE7ECA32-7197-48E4-9F40-96CB10C65A6D}"/>
    <hyperlink ref="B1116" r:id="rId3344" display="https://statiz.sporki.com/add/?m=draft_school01&amp;ps_school=50401" xr:uid="{CF9914EF-AC81-4903-A5A1-D3D76DE4D12A}"/>
    <hyperlink ref="C1116" r:id="rId3345" display="https://statiz.sporki.com/add/?m=draft_school02&amp;ps_school=" xr:uid="{50F1BB87-A539-45DD-AE13-1FD289D3D626}"/>
    <hyperlink ref="A1117" r:id="rId3346" display="https://statiz.sporki.com/player/?m=playerinfo&amp;p_no=12523" xr:uid="{060EAE48-6A7F-4453-9909-97CFC6EFFBB9}"/>
    <hyperlink ref="B1117" r:id="rId3347" display="https://statiz.sporki.com/add/?m=draft_school01&amp;ps_school=50108" xr:uid="{5D166B12-2AD7-40F6-BDE8-7877506A030A}"/>
    <hyperlink ref="C1117" r:id="rId3348" display="https://statiz.sporki.com/add/?m=draft_school02&amp;ps_school=60104" xr:uid="{C841D80F-B83A-459F-A9C6-D2361385BD00}"/>
    <hyperlink ref="A1118" r:id="rId3349" display="https://statiz.sporki.com/player/?m=playerinfo&amp;p_no=12595" xr:uid="{CA285319-6FC7-4771-92AD-63532CA7FC76}"/>
    <hyperlink ref="B1118" r:id="rId3350" display="https://statiz.sporki.com/add/?m=draft_school01&amp;ps_school=50705" xr:uid="{61D656E6-DFAA-4A3C-97AA-AD1B22900B89}"/>
    <hyperlink ref="C1118" r:id="rId3351" display="https://statiz.sporki.com/add/?m=draft_school02&amp;ps_school=" xr:uid="{BE4E7CDB-A72B-4A01-8581-FB0CC12CE5BC}"/>
    <hyperlink ref="A1119" r:id="rId3352" display="https://statiz.sporki.com/player/?m=playerinfo&amp;p_no=12639" xr:uid="{ABF0CD92-E0C0-4CBA-B12E-CC66281BA4A7}"/>
    <hyperlink ref="B1119" r:id="rId3353" display="https://statiz.sporki.com/add/?m=draft_school01&amp;ps_school=50113" xr:uid="{51E871AD-FBB1-4908-AA16-2AD7937613F7}"/>
    <hyperlink ref="C1119" r:id="rId3354" display="https://statiz.sporki.com/add/?m=draft_school02&amp;ps_school=60115" xr:uid="{0515CE40-75B5-46E2-9B36-725BDF8B865B}"/>
    <hyperlink ref="A1120" r:id="rId3355" display="https://statiz.sporki.com/player/?m=playerinfo&amp;p_no=12585" xr:uid="{3923D809-6E1D-47DD-B514-7B9AF6F57EE2}"/>
    <hyperlink ref="B1120" r:id="rId3356" display="https://statiz.sporki.com/add/?m=draft_school01&amp;ps_school=50207" xr:uid="{4A4B001C-C147-438F-A1CD-B85B25B9F799}"/>
    <hyperlink ref="C1120" r:id="rId3357" display="https://statiz.sporki.com/add/?m=draft_school02&amp;ps_school=" xr:uid="{07DF1062-4008-46A5-9C92-5F2951DA4D84}"/>
    <hyperlink ref="A1121" r:id="rId3358" display="https://statiz.sporki.com/player/?m=playerinfo&amp;p_no=12540" xr:uid="{AFAC4197-A3E5-411F-B463-E40664EF47BE}"/>
    <hyperlink ref="B1121" r:id="rId3359" display="https://statiz.sporki.com/add/?m=draft_school01&amp;ps_school=50109" xr:uid="{C2A65CBB-8EFF-4EF0-A0AA-A2D909B78D16}"/>
    <hyperlink ref="C1121" r:id="rId3360" display="https://statiz.sporki.com/add/?m=draft_school02&amp;ps_school=" xr:uid="{CACD9B60-6841-468A-92B0-97415DA680D5}"/>
    <hyperlink ref="A1122" r:id="rId3361" display="https://statiz.sporki.com/player/?m=playerinfo&amp;p_no=12579" xr:uid="{69C68E5E-BC99-48BF-B0A4-37F6FE7EB1F2}"/>
    <hyperlink ref="B1122" r:id="rId3362" display="https://statiz.sporki.com/add/?m=draft_school01&amp;ps_school=50801" xr:uid="{1FE99868-05CB-4BC6-AB4F-14E902413119}"/>
    <hyperlink ref="C1122" r:id="rId3363" display="https://statiz.sporki.com/add/?m=draft_school02&amp;ps_school=60803" xr:uid="{78E4DAD2-2741-41D7-BCB8-071274508C2F}"/>
    <hyperlink ref="A1123" r:id="rId3364" display="https://statiz.sporki.com/player/?m=playerinfo&amp;p_no=12554" xr:uid="{6E7802CC-BA74-4E1B-985D-A4154ADFDA1B}"/>
    <hyperlink ref="B1123" r:id="rId3365" display="https://statiz.sporki.com/add/?m=draft_school01&amp;ps_school=50703" xr:uid="{45B774ED-2BED-4F0D-9877-2FB01BD086CE}"/>
    <hyperlink ref="C1123" r:id="rId3366" display="https://statiz.sporki.com/add/?m=draft_school02&amp;ps_school=60109" xr:uid="{3A161F06-F291-4C99-804A-BFFEF47D646C}"/>
    <hyperlink ref="A1124" r:id="rId3367" display="https://statiz.sporki.com/player/?m=playerinfo&amp;p_no=12623" xr:uid="{132BA831-83BF-4188-9D83-2832F3B793F6}"/>
    <hyperlink ref="B1124" r:id="rId3368" display="https://statiz.sporki.com/add/?m=draft_school01&amp;ps_school=50401" xr:uid="{DA8630BF-E626-4615-8981-3AFD17327998}"/>
    <hyperlink ref="C1124" r:id="rId3369" display="https://statiz.sporki.com/add/?m=draft_school02&amp;ps_school=" xr:uid="{DEFC0AE9-47F8-40F0-B202-2D9319BB169B}"/>
    <hyperlink ref="A1125" r:id="rId3370" display="https://statiz.sporki.com/player/?m=playerinfo&amp;p_no=12617" xr:uid="{7A536E8C-1A78-4310-B6E6-00386EB5AF36}"/>
    <hyperlink ref="B1125" r:id="rId3371" display="https://statiz.sporki.com/add/?m=draft_school01&amp;ps_school=50801" xr:uid="{B8640780-BAEA-4C6E-AF09-8F3A5A36D3AE}"/>
    <hyperlink ref="C1125" r:id="rId3372" display="https://statiz.sporki.com/add/?m=draft_school02&amp;ps_school=60102" xr:uid="{CBF1EE34-EF12-4410-A9BF-BC01A9ED7876}"/>
    <hyperlink ref="A1126" r:id="rId3373" display="https://statiz.sporki.com/player/?m=playerinfo&amp;p_no=12633" xr:uid="{75F8F25D-68B8-4450-A554-B276FFFC42B0}"/>
    <hyperlink ref="B1126" r:id="rId3374" display="https://statiz.sporki.com/add/?m=draft_school01&amp;ps_school=50807" xr:uid="{A2754A72-AA74-45BE-8AC1-7340F195DD61}"/>
    <hyperlink ref="C1126" r:id="rId3375" display="https://statiz.sporki.com/add/?m=draft_school02&amp;ps_school=" xr:uid="{AA28F649-01D8-4D4C-BC4B-F544BA30361D}"/>
    <hyperlink ref="A1127" r:id="rId3376" display="https://statiz.sporki.com/player/?m=playerinfo&amp;p_no=12608" xr:uid="{2DAF3371-4069-4B2D-8FAB-0C66436181B2}"/>
    <hyperlink ref="B1127" r:id="rId3377" display="https://statiz.sporki.com/add/?m=draft_school01&amp;ps_school=50703" xr:uid="{769FFEC9-87FF-4A8E-A048-63416EC7E674}"/>
    <hyperlink ref="C1127" r:id="rId3378" display="https://statiz.sporki.com/add/?m=draft_school02&amp;ps_school=" xr:uid="{8591D8FB-E75C-47B5-85F4-CBC87AD53904}"/>
    <hyperlink ref="A1128" r:id="rId3379" display="https://statiz.sporki.com/player/?m=playerinfo&amp;p_no=12596" xr:uid="{404483C6-411E-4F35-B982-584CA4285F7F}"/>
    <hyperlink ref="B1128" r:id="rId3380" display="https://statiz.sporki.com/add/?m=draft_school01&amp;ps_school=50113" xr:uid="{B7EA7A55-6668-4549-A608-D02F23D41D5B}"/>
    <hyperlink ref="C1128" r:id="rId3381" display="https://statiz.sporki.com/add/?m=draft_school02&amp;ps_school=60607" xr:uid="{48722D5B-34FA-47D4-B137-629BE9855F61}"/>
    <hyperlink ref="A1129" r:id="rId3382" display="https://statiz.sporki.com/player/?m=playerinfo&amp;p_no=12640" xr:uid="{1A532487-5866-4039-A065-AB21E329ADED}"/>
    <hyperlink ref="B1129" r:id="rId3383" display="https://statiz.sporki.com/add/?m=draft_school01&amp;ps_school=50601" xr:uid="{F6160619-37D7-4D4D-AF83-5D38400F0D82}"/>
    <hyperlink ref="C1129" r:id="rId3384" display="https://statiz.sporki.com/add/?m=draft_school02&amp;ps_school=" xr:uid="{39C0D461-6FF7-448C-B9CF-6DF7DDBF68AF}"/>
    <hyperlink ref="A1130" r:id="rId3385" display="https://statiz.sporki.com/player/?m=playerinfo&amp;p_no=12586" xr:uid="{A59D70D3-BAB3-4ED8-97A3-DA2BC32A4737}"/>
    <hyperlink ref="B1130" r:id="rId3386" display="https://statiz.sporki.com/add/?m=draft_school01&amp;ps_school=50403" xr:uid="{74B5250C-C7CC-49ED-9206-11B07D514E9B}"/>
    <hyperlink ref="C1130" r:id="rId3387" display="https://statiz.sporki.com/add/?m=draft_school02&amp;ps_school=60109" xr:uid="{1F5CC2C3-AEEC-4F46-BF13-6CC5593A4DA5}"/>
    <hyperlink ref="A1131" r:id="rId3388" display="https://statiz.sporki.com/player/?m=playerinfo&amp;p_no=12541" xr:uid="{D5D541F1-ABD6-48E0-869A-E236AD70A5E0}"/>
    <hyperlink ref="B1131" r:id="rId3389" display="https://statiz.sporki.com/add/?m=draft_school01&amp;ps_school=50601" xr:uid="{84185C41-7368-479A-B711-09073ED25AE1}"/>
    <hyperlink ref="C1131" r:id="rId3390" display="https://statiz.sporki.com/add/?m=draft_school02&amp;ps_school=" xr:uid="{C23823CA-BADC-49C9-A482-E52B3CE0C3D7}"/>
    <hyperlink ref="A1132" r:id="rId3391" display="https://statiz.sporki.com/player/?m=playerinfo&amp;p_no=12559" xr:uid="{548101D0-59E3-451C-A069-80A8CEE08F68}"/>
    <hyperlink ref="B1132" r:id="rId3392" display="https://statiz.sporki.com/add/?m=draft_school01&amp;ps_school=50208" xr:uid="{1BDC956C-9ECC-40CB-89A7-C46820AEF311}"/>
    <hyperlink ref="C1132" r:id="rId3393" display="https://statiz.sporki.com/add/?m=draft_school02&amp;ps_school=60109" xr:uid="{46AE1913-AB8C-4AE9-A615-59830160F9C1}"/>
    <hyperlink ref="A1133" r:id="rId3394" display="https://statiz.sporki.com/player/?m=playerinfo&amp;p_no=12555" xr:uid="{C2CC5B90-417E-4C05-BF9F-0871B6D80107}"/>
    <hyperlink ref="B1133" r:id="rId3395" display="https://statiz.sporki.com/add/?m=draft_school01&amp;ps_school=50114" xr:uid="{EFF38E52-F069-469D-99F1-97CA0EA81E43}"/>
    <hyperlink ref="C1133" r:id="rId3396" display="https://statiz.sporki.com/add/?m=draft_school02&amp;ps_school=" xr:uid="{BEA261AE-1E38-4CCC-A5D8-20D640F3E1C6}"/>
    <hyperlink ref="A1134" r:id="rId3397" display="https://statiz.sporki.com/player/?m=playerinfo&amp;p_no=12624" xr:uid="{8C02F9AA-63CE-45FD-A0BF-D84B126A99E7}"/>
    <hyperlink ref="B1134" r:id="rId3398" display="https://statiz.sporki.com/add/?m=draft_school01&amp;ps_school=50107" xr:uid="{5B9EAE5B-C439-4A11-8876-CD5018A86BA8}"/>
    <hyperlink ref="C1134" r:id="rId3399" display="https://statiz.sporki.com/add/?m=draft_school02&amp;ps_school=60204" xr:uid="{5439ABD2-5F6F-4D0B-BAFA-94925AD33317}"/>
    <hyperlink ref="A1135" r:id="rId3400" display="https://statiz.sporki.com/player/?m=playerinfo&amp;p_no=12618" xr:uid="{F65084A8-CB40-4455-8A44-58EC10A37444}"/>
    <hyperlink ref="B1135" r:id="rId3401" display="https://statiz.sporki.com/add/?m=draft_school01&amp;ps_school=50108" xr:uid="{843EDE7A-A006-4E31-B10A-2C522629E79D}"/>
    <hyperlink ref="C1135" r:id="rId3402" display="https://statiz.sporki.com/add/?m=draft_school02&amp;ps_school=" xr:uid="{3ABA27EC-4FD3-465A-9AC0-DBDEF4C3ED9E}"/>
    <hyperlink ref="A1136" r:id="rId3403" display="https://statiz.sporki.com/player/?m=playerinfo&amp;p_no=12634" xr:uid="{5B558F22-9209-4166-ADF6-3C27D85E0418}"/>
    <hyperlink ref="B1136" r:id="rId3404" display="https://statiz.sporki.com/add/?m=draft_school01&amp;ps_school=50111" xr:uid="{836C87CD-1D7C-415E-B672-B20047795F41}"/>
    <hyperlink ref="C1136" r:id="rId3405" display="https://statiz.sporki.com/add/?m=draft_school02&amp;ps_school=60204" xr:uid="{7E3F0CA9-8CAE-4B8C-92E8-3EC7EB80BEDE}"/>
    <hyperlink ref="A1137" r:id="rId3406" display="https://statiz.sporki.com/player/?m=playerinfo&amp;p_no=12609" xr:uid="{2D88B8F5-1ED1-4BFD-A779-3E7EC9703D05}"/>
    <hyperlink ref="B1137" r:id="rId3407" display="https://statiz.sporki.com/add/?m=draft_school01&amp;ps_school=50604" xr:uid="{E795CB46-2869-49F3-B407-1C16E5D97722}"/>
    <hyperlink ref="C1137" r:id="rId3408" display="https://statiz.sporki.com/add/?m=draft_school02&amp;ps_school=60111" xr:uid="{4C412450-5EBE-45AB-9707-5D01533BDC57}"/>
    <hyperlink ref="A1138" r:id="rId3409" display="https://statiz.sporki.com/player/?m=playerinfo&amp;p_no=12597" xr:uid="{EFE04BA9-6D4E-4A3B-A94D-1A036C4BEA83}"/>
    <hyperlink ref="B1138" r:id="rId3410" display="https://statiz.sporki.com/add/?m=draft_school01&amp;ps_school=50205" xr:uid="{852269F0-1891-4B5E-90F9-48DF99EE2C9A}"/>
    <hyperlink ref="C1138" r:id="rId3411" display="https://statiz.sporki.com/add/?m=draft_school02&amp;ps_school=" xr:uid="{C8853E58-C02A-4743-B2E4-D8FD79F32145}"/>
    <hyperlink ref="A1139" r:id="rId3412" display="https://statiz.sporki.com/player/?m=playerinfo&amp;p_no=12641" xr:uid="{398EE9C2-3C6E-4BBE-85C2-117F94CCE154}"/>
    <hyperlink ref="B1139" r:id="rId3413" display="https://statiz.sporki.com/add/?m=draft_school01&amp;ps_school=50703" xr:uid="{6390F460-EE98-4477-A710-2E60CF0BCCC2}"/>
    <hyperlink ref="C1139" r:id="rId3414" display="https://statiz.sporki.com/add/?m=draft_school02&amp;ps_school=" xr:uid="{C7A1A46D-3B1B-4B8C-8D4A-1843F6187001}"/>
    <hyperlink ref="A1140" r:id="rId3415" display="https://statiz.sporki.com/player/?m=playerinfo&amp;p_no=12587" xr:uid="{41AFE97D-3DE1-4155-9B8F-3B6BBD0DE486}"/>
    <hyperlink ref="B1140" r:id="rId3416" display="https://statiz.sporki.com/add/?m=draft_school01&amp;ps_school=50208" xr:uid="{FC21424D-B714-4A59-A6BB-5CA1E0FD78F9}"/>
    <hyperlink ref="C1140" r:id="rId3417" display="https://statiz.sporki.com/add/?m=draft_school02&amp;ps_school=" xr:uid="{DE1F5704-E5F7-4002-BD3E-F0278F689E3C}"/>
    <hyperlink ref="A1141" r:id="rId3418" display="https://statiz.sporki.com/player/?m=playerinfo&amp;p_no=12542" xr:uid="{727173FE-4104-4A68-85B0-CA5797E4DB9D}"/>
    <hyperlink ref="B1141" r:id="rId3419" display="https://statiz.sporki.com/add/?m=draft_school01&amp;ps_school=50116" xr:uid="{768DEDA5-1422-489D-8D52-75B0B6029F91}"/>
    <hyperlink ref="C1141" r:id="rId3420" display="https://statiz.sporki.com/add/?m=draft_school02&amp;ps_school=" xr:uid="{6600BFF1-2246-4A86-9C1D-B2B2C67415EA}"/>
    <hyperlink ref="A1142" r:id="rId3421" display="https://statiz.sporki.com/player/?m=playerinfo&amp;p_no=12580" xr:uid="{18D481BF-C679-44D5-996F-CBE5D9C2F34D}"/>
    <hyperlink ref="B1142" r:id="rId3422" display="https://statiz.sporki.com/add/?m=draft_school01&amp;ps_school=50602" xr:uid="{014F60C0-6D35-4BAB-8ADE-271529AAED16}"/>
    <hyperlink ref="C1142" r:id="rId3423" display="https://statiz.sporki.com/add/?m=draft_school02&amp;ps_school=60108" xr:uid="{4AC47BA5-8F87-436E-A4F7-7C90FDFE3531}"/>
    <hyperlink ref="A1143" r:id="rId3424" display="https://statiz.sporki.com/player/?m=playerinfo&amp;p_no=12556" xr:uid="{2750484A-DCDC-4A9B-A546-9C9E89F59270}"/>
    <hyperlink ref="B1143" r:id="rId3425" display="https://statiz.sporki.com/add/?m=draft_school01&amp;ps_school=50501" xr:uid="{99B86CDF-105A-4B0F-9C40-3A070E98A294}"/>
    <hyperlink ref="C1143" r:id="rId3426" display="https://statiz.sporki.com/add/?m=draft_school02&amp;ps_school=" xr:uid="{832A172B-73D2-4E1A-867E-778712965E17}"/>
    <hyperlink ref="A1144" r:id="rId3427" display="https://statiz.sporki.com/player/?m=playerinfo&amp;p_no=12625" xr:uid="{7DE7DD2E-1B7E-4BC4-B780-F119B41266E9}"/>
    <hyperlink ref="B1144" r:id="rId3428" display="https://statiz.sporki.com/add/?m=draft_school01&amp;ps_school=50116" xr:uid="{33FA5D70-746A-48F0-9557-7E9153E05BFB}"/>
    <hyperlink ref="C1144" r:id="rId3429" display="https://statiz.sporki.com/add/?m=draft_school02&amp;ps_school=60114" xr:uid="{56A78FD3-579E-4240-8BBA-298EBCE10F20}"/>
    <hyperlink ref="A1145" r:id="rId3430" display="https://statiz.sporki.com/player/?m=playerinfo&amp;p_no=12548" xr:uid="{E2ABD57B-F2F4-44B5-9211-1BE950A686E8}"/>
    <hyperlink ref="B1145" r:id="rId3431" display="https://statiz.sporki.com/add/?m=draft_school01&amp;ps_school=50403" xr:uid="{D1C5E391-E702-4F62-823D-5DD405C09115}"/>
    <hyperlink ref="C1145" r:id="rId3432" display="https://statiz.sporki.com/add/?m=draft_school02&amp;ps_school=" xr:uid="{0995E929-84A0-40E4-877E-0AFD17936BE6}"/>
    <hyperlink ref="A1146" r:id="rId3433" display="https://statiz.sporki.com/player/?m=playerinfo&amp;p_no=12635" xr:uid="{DE18EF25-FC0A-45E6-BF89-D6C9A2ACEC40}"/>
    <hyperlink ref="B1146" r:id="rId3434" display="https://statiz.sporki.com/add/?m=draft_school01&amp;ps_school=50110" xr:uid="{D0741EF4-CE77-432C-B97D-4ED190064394}"/>
    <hyperlink ref="C1146" r:id="rId3435" display="https://statiz.sporki.com/add/?m=draft_school02&amp;ps_school=" xr:uid="{ECA683C0-E92B-4BB3-8B55-7DD6DC077BDF}"/>
    <hyperlink ref="A1147" r:id="rId3436" display="https://statiz.sporki.com/player/?m=playerinfo&amp;p_no=12610" xr:uid="{C6063454-F00F-4D17-8A15-A6FD15711FE0}"/>
    <hyperlink ref="B1147" r:id="rId3437" display="https://statiz.sporki.com/add/?m=draft_school01&amp;ps_school=50107" xr:uid="{B22DDA6E-F980-4175-8210-3600ED28B07C}"/>
    <hyperlink ref="C1147" r:id="rId3438" display="https://statiz.sporki.com/add/?m=draft_school02&amp;ps_school=60204" xr:uid="{5DB2D24B-DC97-479F-AF15-E5D782DFD4E6}"/>
    <hyperlink ref="A1148" r:id="rId3439" display="https://statiz.sporki.com/player/?m=playerinfo&amp;p_no=12598" xr:uid="{76C2032F-D9BA-4F61-ABEF-E84707F4B8B6}"/>
    <hyperlink ref="B1148" r:id="rId3440" display="https://statiz.sporki.com/add/?m=draft_school01&amp;ps_school=50802" xr:uid="{712F6608-7921-4010-B052-B88EFAA963C7}"/>
    <hyperlink ref="C1148" r:id="rId3441" display="https://statiz.sporki.com/add/?m=draft_school02&amp;ps_school=" xr:uid="{77619A70-6E6B-40CE-903E-BBABC79A65CA}"/>
    <hyperlink ref="A1149" r:id="rId3442" display="https://statiz.sporki.com/player/?m=playerinfo&amp;p_no=12642" xr:uid="{09296CA2-2569-4BEC-8319-8562AB95AB8B}"/>
    <hyperlink ref="B1149" r:id="rId3443" display="https://statiz.sporki.com/add/?m=draft_school01&amp;ps_school=50901" xr:uid="{04C147EC-5518-426B-B4BC-70391B8D8123}"/>
    <hyperlink ref="C1149" r:id="rId3444" display="https://statiz.sporki.com/add/?m=draft_school02&amp;ps_school=60108" xr:uid="{F522BAA1-23EC-4B42-AF24-B654ED6B9E1E}"/>
    <hyperlink ref="A1150" r:id="rId3445" display="https://statiz.sporki.com/player/?m=playerinfo&amp;p_no=12588" xr:uid="{31192253-52BF-4D41-AEFD-EC7AFCABC470}"/>
    <hyperlink ref="B1150" r:id="rId3446" display="https://statiz.sporki.com/add/?m=draft_school01&amp;ps_school=50105" xr:uid="{4AD0D20C-4B0B-4EF7-8C44-54CAB31C0EBE}"/>
    <hyperlink ref="C1150" r:id="rId3447" display="https://statiz.sporki.com/add/?m=draft_school02&amp;ps_school=60203" xr:uid="{C690083A-1002-4D24-90FB-D374AC7DE634}"/>
    <hyperlink ref="A1151" r:id="rId3448" display="https://statiz.sporki.com/player/?m=playerinfo&amp;p_no=12543" xr:uid="{B9E64BFA-4961-4AA8-9A4F-A2926ADE0E67}"/>
    <hyperlink ref="B1151" r:id="rId3449" display="https://statiz.sporki.com/add/?m=draft_school01&amp;ps_school=50602" xr:uid="{B0419AF6-F9E3-412A-91BF-75D2B55CBC9B}"/>
    <hyperlink ref="C1151" r:id="rId3450" display="https://statiz.sporki.com/add/?m=draft_school02&amp;ps_school=" xr:uid="{ECC26FC4-5974-4060-999C-3A5BBBEB57F3}"/>
    <hyperlink ref="A1152" r:id="rId3451" display="https://statiz.sporki.com/player/?m=playerinfo&amp;p_no=12581" xr:uid="{2494F1B8-305B-4D86-81CF-115C321EC402}"/>
    <hyperlink ref="B1152" r:id="rId3452" display="https://statiz.sporki.com/add/?m=draft_school01&amp;ps_school=50401" xr:uid="{5D348DF7-4608-4714-918C-799C71D908CB}"/>
    <hyperlink ref="C1152" r:id="rId3453" display="https://statiz.sporki.com/add/?m=draft_school02&amp;ps_school=" xr:uid="{D7DF6777-F1B4-4B70-A772-76E80ACE8F28}"/>
    <hyperlink ref="A1153" r:id="rId3454" display="https://statiz.sporki.com/player/?m=playerinfo&amp;p_no=12557" xr:uid="{12ACEA14-63B1-4DF6-ABA4-436D1ED56420}"/>
    <hyperlink ref="B1153" r:id="rId3455" display="https://statiz.sporki.com/add/?m=draft_school01&amp;ps_school=50802" xr:uid="{41C8F277-0D8B-4F6B-8D90-13D4F4CB9CF1}"/>
    <hyperlink ref="C1153" r:id="rId3456" display="https://statiz.sporki.com/add/?m=draft_school02&amp;ps_school=60103" xr:uid="{D807F87D-82BD-4123-9DEA-B24739D48E00}"/>
    <hyperlink ref="A1154" r:id="rId3457" display="https://statiz.sporki.com/player/?m=playerinfo&amp;p_no=12626" xr:uid="{B3D7AFFC-D531-4E7E-B8D8-DAD1AC3FB9C9}"/>
    <hyperlink ref="B1154" r:id="rId3458" display="https://statiz.sporki.com/add/?m=draft_school01&amp;ps_school=50705" xr:uid="{9DF7436C-1AA7-46A5-AECF-B9174DDB2838}"/>
    <hyperlink ref="C1154" r:id="rId3459" display="https://statiz.sporki.com/add/?m=draft_school02&amp;ps_school=60108" xr:uid="{C7BE5821-8B17-473F-8A6B-0A120FA8D81D}"/>
    <hyperlink ref="A1155" r:id="rId3460" display="https://statiz.sporki.com/player/?m=playerinfo&amp;p_no=12619" xr:uid="{3EE00DD6-17C8-4E59-BCBE-8A7053C6D81A}"/>
    <hyperlink ref="B1155" r:id="rId3461" display="https://statiz.sporki.com/add/?m=draft_school01&amp;ps_school=50105" xr:uid="{A5A4286A-1101-4262-876C-7D0711EE5BF6}"/>
    <hyperlink ref="C1155" r:id="rId3462" display="https://statiz.sporki.com/add/?m=draft_school02&amp;ps_school=60104" xr:uid="{E964C379-0BDC-4633-A081-9D978C3E9EB5}"/>
    <hyperlink ref="A1156" r:id="rId3463" display="https://statiz.sporki.com/player/?m=playerinfo&amp;p_no=12636" xr:uid="{59EFD0CA-0470-4B87-87E7-D2DC57433AF7}"/>
    <hyperlink ref="B1156" r:id="rId3464" display="https://statiz.sporki.com/add/?m=draft_school01&amp;ps_school=50109" xr:uid="{7B09B08A-D587-49EC-8632-EF0399B53A7B}"/>
    <hyperlink ref="C1156" r:id="rId3465" display="https://statiz.sporki.com/add/?m=draft_school02&amp;ps_school=" xr:uid="{5939F6D2-7D4F-4923-9E1E-8CD0C95A4450}"/>
    <hyperlink ref="A1157" r:id="rId3466" display="https://statiz.sporki.com/player/?m=playerinfo&amp;p_no=12611" xr:uid="{CE26330C-4C4E-4188-8029-C618D36D511D}"/>
    <hyperlink ref="B1157" r:id="rId3467" display="https://statiz.sporki.com/add/?m=draft_school01&amp;ps_school=50101" xr:uid="{BB0598A8-6EA7-48F8-BC65-8F154F470005}"/>
    <hyperlink ref="C1157" r:id="rId3468" display="https://statiz.sporki.com/add/?m=draft_school02&amp;ps_school=60109" xr:uid="{B5145564-5B7E-4B28-A9F6-958CC9857C1C}"/>
    <hyperlink ref="A1158" r:id="rId3469" display="https://statiz.sporki.com/player/?m=playerinfo&amp;p_no=12599" xr:uid="{AAECE869-3C97-42C1-988A-03CCF146069D}"/>
    <hyperlink ref="B1158" r:id="rId3470" display="https://statiz.sporki.com/add/?m=draft_school01&amp;ps_school=50301" xr:uid="{A5146D79-97FA-4E03-AF7D-F1D58C4CBF29}"/>
    <hyperlink ref="C1158" r:id="rId3471" display="https://statiz.sporki.com/add/?m=draft_school02&amp;ps_school=" xr:uid="{26CF8BA3-F148-44A4-9F69-72DA6BFC0156}"/>
    <hyperlink ref="A1159" r:id="rId3472" display="https://statiz.sporki.com/player/?m=playerinfo&amp;p_no=12643" xr:uid="{3CB01B5B-6213-4A69-B822-913AEE4958BA}"/>
    <hyperlink ref="B1159" r:id="rId3473" display="https://statiz.sporki.com/add/?m=draft_school01&amp;ps_school=50102" xr:uid="{7B572DAF-9B0D-420B-A8F1-076B29C74D71}"/>
    <hyperlink ref="C1159" r:id="rId3474" display="https://statiz.sporki.com/add/?m=draft_school02&amp;ps_school=60703" xr:uid="{D852F704-CDBF-43F7-992E-FB8A52CCD64E}"/>
    <hyperlink ref="A1160" r:id="rId3475" display="https://statiz.sporki.com/player/?m=playerinfo&amp;p_no=12564" xr:uid="{773FA75A-48B4-4251-A028-02A9CD1FC80F}"/>
    <hyperlink ref="B1160" r:id="rId3476" display="https://statiz.sporki.com/add/?m=draft_school01&amp;ps_school=50403" xr:uid="{41D3E447-7E32-4623-9B51-C1662E27DC75}"/>
    <hyperlink ref="C1160" r:id="rId3477" display="https://statiz.sporki.com/add/?m=draft_school02&amp;ps_school=" xr:uid="{8DCFDD3A-86C5-4C81-8C61-CA56F95FC065}"/>
    <hyperlink ref="A1161" r:id="rId3478" display="https://statiz.sporki.com/player/?m=playerinfo&amp;p_no=12509" xr:uid="{1DCC835E-5C0F-4CD7-B462-4923B05D73C5}"/>
    <hyperlink ref="B1161" r:id="rId3479" display="https://statiz.sporki.com/add/?m=draft_school01&amp;ps_school=" xr:uid="{A7317F4B-E6D5-471A-B631-A0AEE469F02E}"/>
    <hyperlink ref="C1161" r:id="rId3480" display="https://statiz.sporki.com/add/?m=draft_school02&amp;ps_school=" xr:uid="{7F2569CA-AD5E-44FE-A8CE-6227E2165CA8}"/>
    <hyperlink ref="A1162" r:id="rId3481" display="https://statiz.sporki.com/player/?m=playerinfo&amp;p_no=12510" xr:uid="{6B5AF3CF-E57D-421D-8A63-87A8BAC6EA58}"/>
    <hyperlink ref="B1162" r:id="rId3482" display="https://statiz.sporki.com/add/?m=draft_school01&amp;ps_school=" xr:uid="{ADFDEF92-5A0C-43FA-A612-453EEC2218A9}"/>
    <hyperlink ref="C1162" r:id="rId3483" display="https://statiz.sporki.com/add/?m=draft_school02&amp;ps_school=" xr:uid="{E1D15BE0-5D0A-4A14-95AE-EB2A0958D4CC}"/>
    <hyperlink ref="A1163" r:id="rId3484" display="https://statiz.sporki.com/player/?m=playerinfo&amp;p_no=12689" xr:uid="{762DBD84-297D-4A9A-918A-7C070510CB2E}"/>
    <hyperlink ref="B1163" r:id="rId3485" display="https://statiz.sporki.com/add/?m=draft_school01&amp;ps_school=" xr:uid="{20F43EF2-F733-4C3C-A26C-66AD3EBD5453}"/>
    <hyperlink ref="C1163" r:id="rId3486" display="https://statiz.sporki.com/add/?m=draft_school02&amp;ps_school=" xr:uid="{378FFAEB-3CB1-48C8-BDB1-700BC34077B5}"/>
    <hyperlink ref="A1164" r:id="rId3487" display="https://statiz.sporki.com/player/?m=playerinfo&amp;p_no=12507" xr:uid="{55A296D6-A5A4-472C-B172-09328913DE14}"/>
    <hyperlink ref="B1164" r:id="rId3488" display="https://statiz.sporki.com/add/?m=draft_school01&amp;ps_school=" xr:uid="{42657168-D0D9-4BDE-B37D-381DDA12CD8C}"/>
    <hyperlink ref="C1164" r:id="rId3489" display="https://statiz.sporki.com/add/?m=draft_school02&amp;ps_school=" xr:uid="{1C115817-725A-4E2E-A5F3-56EB2D09CEE0}"/>
    <hyperlink ref="A1165" r:id="rId3490" display="https://statiz.sporki.com/player/?m=playerinfo&amp;p_no=12508" xr:uid="{335377C0-1D23-49DF-9A9C-1BC9F6688AAB}"/>
    <hyperlink ref="B1165" r:id="rId3491" display="https://statiz.sporki.com/add/?m=draft_school01&amp;ps_school=" xr:uid="{C2F63B2A-5106-4E48-87A3-62836EC77B9D}"/>
    <hyperlink ref="C1165" r:id="rId3492" display="https://statiz.sporki.com/add/?m=draft_school02&amp;ps_school=" xr:uid="{BC462B0E-611C-45FA-962C-3DF453FC23CF}"/>
    <hyperlink ref="A1166" r:id="rId3493" display="https://statiz.sporki.com/player/?m=playerinfo&amp;p_no=12682" xr:uid="{DD10E5BD-7E6B-4F30-A441-3DDA4CB2661E}"/>
    <hyperlink ref="B1166" r:id="rId3494" display="https://statiz.sporki.com/add/?m=draft_school01&amp;ps_school=" xr:uid="{EAD7158A-2EF5-4A1B-85A5-834F9EA49C14}"/>
    <hyperlink ref="C1166" r:id="rId3495" display="https://statiz.sporki.com/add/?m=draft_school02&amp;ps_school=" xr:uid="{56C73763-EFFC-4DE2-8BD9-D63D1435FA4D}"/>
    <hyperlink ref="A1167" r:id="rId3496" display="https://statiz.sporki.com/player/?m=playerinfo&amp;p_no=12658" xr:uid="{CF68F39F-E6E6-4AE0-8E02-7D20D6459225}"/>
    <hyperlink ref="B1167" r:id="rId3497" display="https://statiz.sporki.com/add/?m=draft_school01&amp;ps_school=" xr:uid="{C9C1BE76-9836-4B1B-96EE-750C9481AE49}"/>
    <hyperlink ref="C1167" r:id="rId3498" display="https://statiz.sporki.com/add/?m=draft_school02&amp;ps_school=" xr:uid="{544F1230-16FD-4512-BC40-8A84F882D467}"/>
    <hyperlink ref="A1168" r:id="rId3499" display="https://statiz.sporki.com/player/?m=playerinfo&amp;p_no=12672" xr:uid="{C2856E95-7636-4D89-A275-68DC58A55CD5}"/>
    <hyperlink ref="B1168" r:id="rId3500" display="https://statiz.sporki.com/add/?m=draft_school01&amp;ps_school=" xr:uid="{B887BD9E-193A-42E2-B538-3AD53DAAAF69}"/>
    <hyperlink ref="C1168" r:id="rId3501" display="https://statiz.sporki.com/add/?m=draft_school02&amp;ps_school=" xr:uid="{1C91D25C-E252-4624-B370-DE6AE47AA65E}"/>
    <hyperlink ref="A1169" r:id="rId3502" display="https://statiz.sporki.com/player/?m=playerinfo&amp;p_no=12514" xr:uid="{8FC94CC2-1B3C-4218-AB7F-BC4E0990C263}"/>
    <hyperlink ref="B1169" r:id="rId3503" display="https://statiz.sporki.com/add/?m=draft_school01&amp;ps_school=" xr:uid="{34A3A71C-2EB2-4782-BFEB-3A779F04FC7C}"/>
    <hyperlink ref="C1169" r:id="rId3504" display="https://statiz.sporki.com/add/?m=draft_school02&amp;ps_school=" xr:uid="{7B6EDCD9-4252-49A4-A784-00ABF99D9C9F}"/>
    <hyperlink ref="A1170" r:id="rId3505" display="https://statiz.sporki.com/player/?m=playerinfo&amp;p_no=12670" xr:uid="{3E387936-9576-473B-B8C2-6C01754B018A}"/>
    <hyperlink ref="B1170" r:id="rId3506" display="https://statiz.sporki.com/add/?m=draft_school01&amp;ps_school=" xr:uid="{20018EE8-124B-4132-A58E-A1C593954E24}"/>
    <hyperlink ref="C1170" r:id="rId3507" display="https://statiz.sporki.com/add/?m=draft_school02&amp;ps_school=" xr:uid="{B353A3EB-0887-458B-820D-DFAD45C24006}"/>
    <hyperlink ref="A1171" r:id="rId3508" display="https://statiz.sporki.com/player/?m=playerinfo&amp;p_no=12518" xr:uid="{1A6587C2-3BF2-4455-A1C5-1973C5EEF60B}"/>
    <hyperlink ref="B1171" r:id="rId3509" display="https://statiz.sporki.com/add/?m=draft_school01&amp;ps_school=" xr:uid="{C61F75F5-BB53-4420-8F60-BF7828B3A717}"/>
    <hyperlink ref="C1171" r:id="rId3510" display="https://statiz.sporki.com/add/?m=draft_school02&amp;ps_school=" xr:uid="{E49B8DF0-6DFA-4774-85CD-9FFD80A8E298}"/>
    <hyperlink ref="A1172" r:id="rId3511" display="https://statiz.sporki.com/player/?m=playerinfo&amp;p_no=12519" xr:uid="{5F28AEC5-254C-4010-80D6-BA2D59290FC6}"/>
    <hyperlink ref="B1172" r:id="rId3512" display="https://statiz.sporki.com/add/?m=draft_school01&amp;ps_school=" xr:uid="{110857F5-8474-4B9E-BE95-48F9C1C685FD}"/>
    <hyperlink ref="C1172" r:id="rId3513" display="https://statiz.sporki.com/add/?m=draft_school02&amp;ps_school=" xr:uid="{37C759CE-B0CD-4B48-A7DC-346252EE36FD}"/>
    <hyperlink ref="A1173" r:id="rId3514" display="https://statiz.sporki.com/player/?m=playerinfo&amp;p_no=12515" xr:uid="{5AE9C642-DACE-4B09-9D84-2ADE58D29BA4}"/>
    <hyperlink ref="B1173" r:id="rId3515" display="https://statiz.sporki.com/add/?m=draft_school01&amp;ps_school=" xr:uid="{71EA9197-DE27-4512-B4FD-EEDB4D653FFF}"/>
    <hyperlink ref="C1173" r:id="rId3516" display="https://statiz.sporki.com/add/?m=draft_school02&amp;ps_school=" xr:uid="{972DB99A-FC48-4A8C-9FF5-379500E44D77}"/>
    <hyperlink ref="A1174" r:id="rId3517" display="https://statiz.sporki.com/player/?m=playerinfo&amp;p_no=12517" xr:uid="{12C9D3DC-064F-4B55-B8D6-E7BF21B36672}"/>
    <hyperlink ref="B1174" r:id="rId3518" display="https://statiz.sporki.com/add/?m=draft_school01&amp;ps_school=" xr:uid="{DBC89B44-944C-4AED-AE60-878860DC8281}"/>
    <hyperlink ref="C1174" r:id="rId3519" display="https://statiz.sporki.com/add/?m=draft_school02&amp;ps_school=" xr:uid="{FF2C0EF8-2F20-44E6-9A37-FD9328C65D42}"/>
    <hyperlink ref="A1175" r:id="rId3520" display="https://statiz.sporki.com/player/?m=playerinfo&amp;p_no=12693" xr:uid="{5B9EC218-2EB6-44D2-9103-D9790B9AB51F}"/>
    <hyperlink ref="B1175" r:id="rId3521" display="https://statiz.sporki.com/add/?m=draft_school01&amp;ps_school=" xr:uid="{008385FC-636D-4EEE-9F98-FC1D7F9B9611}"/>
    <hyperlink ref="C1175" r:id="rId3522" display="https://statiz.sporki.com/add/?m=draft_school02&amp;ps_school=" xr:uid="{856DA730-C1E1-45C7-886D-36B54C64DC53}"/>
    <hyperlink ref="A1176" r:id="rId3523" display="https://statiz.sporki.com/player/?m=playerinfo&amp;p_no=12506" xr:uid="{0967BEF2-75B7-400A-ADC8-7D962D75F424}"/>
    <hyperlink ref="B1176" r:id="rId3524" display="https://statiz.sporki.com/add/?m=draft_school01&amp;ps_school=" xr:uid="{BE3E2A79-17DB-492B-A774-A15BFCBCB96D}"/>
    <hyperlink ref="C1176" r:id="rId3525" display="https://statiz.sporki.com/add/?m=draft_school02&amp;ps_school=" xr:uid="{C35A6E95-E7A6-46DB-849A-6F3910C13B06}"/>
    <hyperlink ref="A1177" r:id="rId3526" display="https://statiz.sporki.com/player/?m=playerinfo&amp;p_no=12504" xr:uid="{90EA68C1-7DC6-4A12-B05E-32EC0B51A822}"/>
    <hyperlink ref="B1177" r:id="rId3527" display="https://statiz.sporki.com/add/?m=draft_school01&amp;ps_school=" xr:uid="{3AB7A3EB-CA26-4DBC-BAC2-95A0261B2D92}"/>
    <hyperlink ref="C1177" r:id="rId3528" display="https://statiz.sporki.com/add/?m=draft_school02&amp;ps_school=" xr:uid="{82499360-627E-4A49-BFAF-590CD9566221}"/>
    <hyperlink ref="A1178" r:id="rId3529" display="https://statiz.sporki.com/player/?m=playerinfo&amp;p_no=12695" xr:uid="{AD400023-CEB3-477B-B740-11FAFC3AA7A1}"/>
    <hyperlink ref="B1178" r:id="rId3530" display="https://statiz.sporki.com/add/?m=draft_school01&amp;ps_school=" xr:uid="{E0C09057-DA26-4593-BF0B-BE183256CB4E}"/>
    <hyperlink ref="C1178" r:id="rId3531" display="https://statiz.sporki.com/add/?m=draft_school02&amp;ps_school=" xr:uid="{A9BC8B2F-885C-45D6-A541-E5B1C645101D}"/>
    <hyperlink ref="A1179" r:id="rId3532" display="https://statiz.sporki.com/player/?m=playerinfo&amp;p_no=12666" xr:uid="{EFF513DF-55FF-44D1-837E-9B4BC27E84DF}"/>
    <hyperlink ref="B1179" r:id="rId3533" display="https://statiz.sporki.com/add/?m=draft_school01&amp;ps_school=" xr:uid="{E5589DEC-B1DA-4D06-ADDA-3B5793C3CAD8}"/>
    <hyperlink ref="C1179" r:id="rId3534" display="https://statiz.sporki.com/add/?m=draft_school02&amp;ps_school=" xr:uid="{6430E82B-C9CA-4F7B-82A4-2185D11089E9}"/>
    <hyperlink ref="A1180" r:id="rId3535" display="https://statiz.sporki.com/player/?m=playerinfo&amp;p_no=12505" xr:uid="{07ECA9EA-6943-401F-8420-E527E397CCED}"/>
    <hyperlink ref="B1180" r:id="rId3536" display="https://statiz.sporki.com/add/?m=draft_school01&amp;ps_school=" xr:uid="{344EC8C1-94F0-4D57-9856-03537D3B4F27}"/>
    <hyperlink ref="C1180" r:id="rId3537" display="https://statiz.sporki.com/add/?m=draft_school02&amp;ps_school=" xr:uid="{B9A02E73-C4F6-410B-8F8A-09BD2290AF0F}"/>
    <hyperlink ref="A1181" r:id="rId3538" display="https://statiz.sporki.com/player/?m=playerinfo&amp;p_no=12511" xr:uid="{402C70C5-B275-4300-9022-48C20C7C3CEA}"/>
    <hyperlink ref="B1181" r:id="rId3539" display="https://statiz.sporki.com/add/?m=draft_school01&amp;ps_school=" xr:uid="{907CF29B-9687-4942-A772-E82CB6883CE0}"/>
    <hyperlink ref="C1181" r:id="rId3540" display="https://statiz.sporki.com/add/?m=draft_school02&amp;ps_school=" xr:uid="{2AF9810A-AAC5-49BC-AECF-D20AB6BF21EB}"/>
    <hyperlink ref="A1182" r:id="rId3541" display="https://statiz.sporki.com/player/?m=playerinfo&amp;p_no=12668" xr:uid="{702FCFF2-15CF-45B8-9132-7EC548C2B6D9}"/>
    <hyperlink ref="B1182" r:id="rId3542" display="https://statiz.sporki.com/add/?m=draft_school01&amp;ps_school=" xr:uid="{87251310-2B5C-4888-BB95-EFC7E42F604F}"/>
    <hyperlink ref="C1182" r:id="rId3543" display="https://statiz.sporki.com/add/?m=draft_school02&amp;ps_school=" xr:uid="{CE96EF52-D217-4812-B50F-E0E6D28FA8E9}"/>
    <hyperlink ref="A1183" r:id="rId3544" display="https://statiz.sporki.com/player/?m=playerinfo&amp;p_no=12680" xr:uid="{09EE58AF-7B17-45EC-996B-C38A89EBDFA6}"/>
    <hyperlink ref="B1183" r:id="rId3545" display="https://statiz.sporki.com/add/?m=draft_school01&amp;ps_school=" xr:uid="{8A3126E9-7242-4D37-8490-ABD7672D9252}"/>
    <hyperlink ref="C1183" r:id="rId3546" display="https://statiz.sporki.com/add/?m=draft_school02&amp;ps_school=" xr:uid="{C2598856-4734-4EF2-A1C9-02387AA24F26}"/>
    <hyperlink ref="A1184" r:id="rId3547" display="https://statiz.sporki.com/player/?m=playerinfo&amp;p_no=12648" xr:uid="{28BD85EA-AC5E-46B5-A40B-759FFC9DB888}"/>
    <hyperlink ref="B1184" r:id="rId3548" display="https://statiz.sporki.com/add/?m=draft_school01&amp;ps_school=" xr:uid="{C9C91BD7-3617-48DB-AF70-4F5694CAD583}"/>
    <hyperlink ref="C1184" r:id="rId3549" display="https://statiz.sporki.com/add/?m=draft_school02&amp;ps_school=" xr:uid="{E78DF968-557D-47BD-9DD8-56920746F5E3}"/>
    <hyperlink ref="A1185" r:id="rId3550" display="https://statiz.sporki.com/player/?m=playerinfo&amp;p_no=13181" xr:uid="{ABFBACB2-CA78-4662-83C2-30478B2962B2}"/>
    <hyperlink ref="B1185" r:id="rId3551" display="https://statiz.sporki.com/add/?m=draft_school01&amp;ps_school=50803" xr:uid="{14D3A085-A17A-424B-B1E6-AA7D23AFB314}"/>
    <hyperlink ref="C1185" r:id="rId3552" display="https://statiz.sporki.com/add/?m=draft_school02&amp;ps_school=60804" xr:uid="{6665D32A-0CDF-450F-97B2-5BB4DF109AD7}"/>
    <hyperlink ref="A1186" r:id="rId3553" display="https://statiz.sporki.com/player/?m=playerinfo&amp;p_no=14193" xr:uid="{97565FFB-F944-4883-8D9D-233168F51069}"/>
    <hyperlink ref="B1186" r:id="rId3554" display="https://statiz.sporki.com/add/?m=draft_school01&amp;ps_school=50902" xr:uid="{3D089119-3D45-4920-BD48-8EAD65EC417C}"/>
    <hyperlink ref="C1186" r:id="rId3555" display="https://statiz.sporki.com/add/?m=draft_school02&amp;ps_school=60109" xr:uid="{DBE2C0EE-BCDF-414F-B717-624C9454BAB5}"/>
    <hyperlink ref="A1187" r:id="rId3556" display="https://statiz.sporki.com/player/?m=playerinfo&amp;p_no=13183" xr:uid="{27A14DB9-656C-4B6D-8DBD-7430F73CE288}"/>
    <hyperlink ref="B1187" r:id="rId3557" display="https://statiz.sporki.com/add/?m=draft_school01&amp;ps_school=50103" xr:uid="{23BD72CB-BA2F-444F-8A92-05339BD4F7EF}"/>
    <hyperlink ref="C1187" r:id="rId3558" display="https://statiz.sporki.com/add/?m=draft_school02&amp;ps_school=" xr:uid="{A07C9EA4-5D5C-40CF-BB2F-699C38884D43}"/>
    <hyperlink ref="A1188" r:id="rId3559" display="https://statiz.sporki.com/player/?m=playerinfo&amp;p_no=12945" xr:uid="{1A7CCD51-E305-461A-86BB-4482BED853DF}"/>
    <hyperlink ref="B1188" r:id="rId3560" display="https://statiz.sporki.com/add/?m=draft_school01&amp;ps_school=50403" xr:uid="{8F63743A-8CBB-4E46-8706-C9B5F92F07FE}"/>
    <hyperlink ref="C1188" r:id="rId3561" display="https://statiz.sporki.com/add/?m=draft_school02&amp;ps_school=60203" xr:uid="{F36065DE-D7BC-4072-8B21-0B270D18B425}"/>
    <hyperlink ref="A1189" r:id="rId3562" display="https://statiz.sporki.com/player/?m=playerinfo&amp;p_no=12560" xr:uid="{C834B1D4-CDFC-450A-A0FD-222C2FD79BC6}"/>
    <hyperlink ref="B1189" r:id="rId3563" display="https://statiz.sporki.com/add/?m=draft_school01&amp;ps_school=50805" xr:uid="{FD25C36D-75E3-4697-BB69-AB6C1C34406E}"/>
    <hyperlink ref="C1189" r:id="rId3564" display="https://statiz.sporki.com/add/?m=draft_school02&amp;ps_school=60804" xr:uid="{47ED21D4-BB3D-4B41-B516-83BDAC16D5F3}"/>
    <hyperlink ref="A1190" r:id="rId3565" display="https://statiz.sporki.com/player/?m=playerinfo&amp;p_no=13922" xr:uid="{270C6DE1-F7E1-4820-8372-106C4BA46C8C}"/>
    <hyperlink ref="B1190" r:id="rId3566" display="https://statiz.sporki.com/add/?m=draft_school01&amp;ps_school=50804" xr:uid="{95F1E7E9-DCD7-4482-A2A7-38918CE3FB3E}"/>
    <hyperlink ref="C1190" r:id="rId3567" display="https://statiz.sporki.com/add/?m=draft_school02&amp;ps_school=60101" xr:uid="{F7F3BB35-E6CA-4EAD-9E44-74510653422A}"/>
    <hyperlink ref="A1191" r:id="rId3568" display="https://statiz.sporki.com/player/?m=playerinfo&amp;p_no=14887" xr:uid="{4DBAD74D-CE0A-47D0-9C2A-1F2A09A72764}"/>
    <hyperlink ref="B1191" r:id="rId3569" display="https://statiz.sporki.com/add/?m=draft_school01&amp;ps_school=50602" xr:uid="{DEF2D971-87C1-44B6-AC1B-A85023680793}"/>
    <hyperlink ref="C1191" r:id="rId3570" display="https://statiz.sporki.com/add/?m=draft_school02&amp;ps_school=60204" xr:uid="{0B6171BE-6201-41D2-B62C-DE28EB610D8D}"/>
    <hyperlink ref="A1192" r:id="rId3571" display="https://statiz.sporki.com/player/?m=playerinfo&amp;p_no=13000" xr:uid="{154BEAED-6D80-4DF2-B9B4-EAE256A058FC}"/>
    <hyperlink ref="B1192" r:id="rId3572" display="https://statiz.sporki.com/add/?m=draft_school01&amp;ps_school=50801" xr:uid="{75CF5D1A-1AA2-45F1-9509-0D3A0F45A341}"/>
    <hyperlink ref="C1192" r:id="rId3573" display="https://statiz.sporki.com/add/?m=draft_school02&amp;ps_school=60801" xr:uid="{4145D050-753F-4B52-A3ED-033644AB86B6}"/>
    <hyperlink ref="A1193" r:id="rId3574" display="https://statiz.sporki.com/player/?m=playerinfo&amp;p_no=12987" xr:uid="{5AE74D21-AAFE-4FF1-90F2-8E0BD0611F66}"/>
    <hyperlink ref="B1193" r:id="rId3575" display="https://statiz.sporki.com/add/?m=draft_school01&amp;ps_school=50705" xr:uid="{975242ED-1F65-4B73-A4B3-63F6F8F2D1D2}"/>
    <hyperlink ref="C1193" r:id="rId3576" display="https://statiz.sporki.com/add/?m=draft_school02&amp;ps_school=60109" xr:uid="{C52F45BF-2801-4350-8B1A-D84DE5C4AB52}"/>
    <hyperlink ref="A1194" r:id="rId3577" display="https://statiz.sporki.com/player/?m=playerinfo&amp;p_no=12989" xr:uid="{CFA29AFC-B819-4C08-BA14-96C713DC925C}"/>
    <hyperlink ref="B1194" r:id="rId3578" display="https://statiz.sporki.com/add/?m=draft_school01&amp;ps_school=50101" xr:uid="{54B790F3-BAFE-49C6-81EB-F0BB3F06E5FC}"/>
    <hyperlink ref="C1194" r:id="rId3579" display="https://statiz.sporki.com/add/?m=draft_school02&amp;ps_school=60104" xr:uid="{F272C45F-E53F-4561-AE64-D3FE5A0E140F}"/>
    <hyperlink ref="A1195" r:id="rId3580" display="https://statiz.sporki.com/player/?m=playerinfo&amp;p_no=12974" xr:uid="{2FF589E4-95AB-41B9-8794-94C53F584ABA}"/>
    <hyperlink ref="B1195" r:id="rId3581" display="https://statiz.sporki.com/add/?m=draft_school01&amp;ps_school=50601" xr:uid="{2355DD68-7701-4E49-9D5A-B5A40EDADB35}"/>
    <hyperlink ref="C1195" r:id="rId3582" display="https://statiz.sporki.com/add/?m=draft_school02&amp;ps_school=" xr:uid="{E1C7D20A-3F8D-45E1-82D7-4FDE5E128E2E}"/>
    <hyperlink ref="A1196" r:id="rId3583" display="https://statiz.sporki.com/player/?m=playerinfo&amp;p_no=12603" xr:uid="{89FEF4CA-4739-4C38-B562-87BDC7332D9B}"/>
    <hyperlink ref="B1196" r:id="rId3584" display="https://statiz.sporki.com/add/?m=draft_school01&amp;ps_school=50602" xr:uid="{4838DF07-3833-4C4E-A13A-38151D17C5BA}"/>
    <hyperlink ref="C1196" r:id="rId3585" display="https://statiz.sporki.com/add/?m=draft_school02&amp;ps_school=" xr:uid="{DF620248-4644-4250-BA7B-2CB3E2E96E01}"/>
    <hyperlink ref="A1197" r:id="rId3586" display="https://statiz.sporki.com/player/?m=playerinfo&amp;p_no=12602" xr:uid="{7A4CEF27-86F7-4EA7-8E64-B9FF160973F0}"/>
    <hyperlink ref="B1197" r:id="rId3587" display="https://statiz.sporki.com/add/?m=draft_school01&amp;ps_school=50801" xr:uid="{56F281EB-83E3-40A1-A504-0472936EE781}"/>
    <hyperlink ref="C1197" r:id="rId3588" display="https://statiz.sporki.com/add/?m=draft_school02&amp;ps_school=" xr:uid="{20C3E887-F903-4406-8913-726CD414A9D7}"/>
    <hyperlink ref="A1198" r:id="rId3589" display="https://statiz.sporki.com/player/?m=playerinfo&amp;p_no=12601" xr:uid="{60BB0824-4113-4128-9853-B1F0EB7B17C8}"/>
    <hyperlink ref="B1198" r:id="rId3590" display="https://statiz.sporki.com/add/?m=draft_school01&amp;ps_school=50105" xr:uid="{493F2D97-9BA5-49BF-8CCF-0AE8A5CB38E4}"/>
    <hyperlink ref="C1198" r:id="rId3591" display="https://statiz.sporki.com/add/?m=draft_school02&amp;ps_school=60607" xr:uid="{43C18E55-41A7-4939-B8D9-8E41ABE47430}"/>
    <hyperlink ref="A1199" r:id="rId3592" display="https://statiz.sporki.com/player/?m=playerinfo&amp;p_no=12988" xr:uid="{53D0AF5E-E2EE-4BDA-BACB-A5949367B640}"/>
    <hyperlink ref="B1199" r:id="rId3593" display="https://statiz.sporki.com/add/?m=draft_school01&amp;ps_school=50804" xr:uid="{206E1128-65A5-4E6A-BA24-542F768E7588}"/>
    <hyperlink ref="C1199" r:id="rId3594" display="https://statiz.sporki.com/add/?m=draft_school02&amp;ps_school=60703" xr:uid="{80941DB9-4418-4526-9D0F-BF303DDF6A71}"/>
    <hyperlink ref="A1200" r:id="rId3595" display="https://statiz.sporki.com/player/?m=playerinfo&amp;p_no=12983" xr:uid="{F5253677-86B3-4216-BB62-52EC7EE59FE1}"/>
    <hyperlink ref="B1200" r:id="rId3596" display="https://statiz.sporki.com/add/?m=draft_school01&amp;ps_school=50402" xr:uid="{1C0D1184-5CA8-42DF-BF01-B40A2FE07BDA}"/>
    <hyperlink ref="C1200" r:id="rId3597" display="https://statiz.sporki.com/add/?m=draft_school02&amp;ps_school=60102" xr:uid="{E2532F53-1F5C-414C-A917-DABC7E1EB50E}"/>
    <hyperlink ref="A1201" r:id="rId3598" display="https://statiz.sporki.com/player/?m=playerinfo&amp;p_no=12982" xr:uid="{70E69258-7F88-45CA-98E6-1BDF38DF8FA6}"/>
    <hyperlink ref="B1201" r:id="rId3599" display="https://statiz.sporki.com/add/?m=draft_school01&amp;ps_school=50403" xr:uid="{02AC5EAD-3B68-44D2-AD78-2D8119961136}"/>
    <hyperlink ref="C1201" r:id="rId3600" display="https://statiz.sporki.com/add/?m=draft_school02&amp;ps_school=60501" xr:uid="{657A1D97-EFBA-4DFD-8DA4-59F453DF7FAA}"/>
    <hyperlink ref="A1202" r:id="rId3601" display="https://statiz.sporki.com/player/?m=playerinfo&amp;p_no=12981" xr:uid="{6E9A4506-61E1-47EA-9928-0022F432F5D8}"/>
    <hyperlink ref="B1202" r:id="rId3602" display="https://statiz.sporki.com/add/?m=draft_school01&amp;ps_school=50605" xr:uid="{F31AB266-074D-43B3-B643-E4BACFEBCFEF}"/>
    <hyperlink ref="C1202" r:id="rId3603" display="https://statiz.sporki.com/add/?m=draft_school02&amp;ps_school=60111" xr:uid="{B84DF4C0-8483-4324-A75C-9669D5F19E9D}"/>
    <hyperlink ref="A1203" r:id="rId3604" display="https://statiz.sporki.com/player/?m=playerinfo&amp;p_no=12589" xr:uid="{B5EF5FE4-C4A8-4FE3-AD6D-657713C32CE4}"/>
    <hyperlink ref="B1203" r:id="rId3605" display="https://statiz.sporki.com/add/?m=draft_school01&amp;ps_school=50605" xr:uid="{72E84B47-E6E8-458C-B118-15917A26E623}"/>
    <hyperlink ref="C1203" r:id="rId3606" display="https://statiz.sporki.com/add/?m=draft_school02&amp;ps_school=60108" xr:uid="{D2D54175-B26D-4F97-B99D-190EA68C2D0A}"/>
    <hyperlink ref="A1204" r:id="rId3607" display="https://statiz.sporki.com/player/?m=playerinfo&amp;p_no=12996" xr:uid="{3DE7D2D2-AACD-422E-930F-070619BE7884}"/>
    <hyperlink ref="B1204" r:id="rId3608" display="https://statiz.sporki.com/add/?m=draft_school01&amp;ps_school=50602" xr:uid="{DAF185CF-F597-420F-A160-F8BEB463E1A4}"/>
    <hyperlink ref="C1204" r:id="rId3609" display="https://statiz.sporki.com/add/?m=draft_school02&amp;ps_school=60108" xr:uid="{F9F1B2B6-E322-4D97-B297-5FF595F675A1}"/>
    <hyperlink ref="A1205" r:id="rId3610" display="https://statiz.sporki.com/player/?m=playerinfo&amp;p_no=13003" xr:uid="{30A320E9-D241-4068-8AA1-EFF26B8F3A4B}"/>
    <hyperlink ref="B1205" r:id="rId3611" display="https://statiz.sporki.com/add/?m=draft_school01&amp;ps_school=50606" xr:uid="{1E75C5E7-E1EE-4A6C-BDE6-6E306CEE94E9}"/>
    <hyperlink ref="C1205" r:id="rId3612" display="https://statiz.sporki.com/add/?m=draft_school02&amp;ps_school=60802" xr:uid="{74DC7738-97EF-4D8E-87CE-E93471974B27}"/>
    <hyperlink ref="A1206" r:id="rId3613" display="https://statiz.sporki.com/player/?m=playerinfo&amp;p_no=11318" xr:uid="{7F00FEA9-60EC-4438-B2F5-A7C1837D0663}"/>
    <hyperlink ref="B1206" r:id="rId3614" display="https://statiz.sporki.com/add/?m=draft_school01&amp;ps_school=50103" xr:uid="{2523D913-FF69-4359-B612-E6333DF4D067}"/>
    <hyperlink ref="C1206" r:id="rId3615" display="https://statiz.sporki.com/add/?m=draft_school02&amp;ps_school=" xr:uid="{E98D71E2-4254-4C83-9970-644B9791FECD}"/>
    <hyperlink ref="A1207" r:id="rId3616" display="https://statiz.sporki.com/player/?m=playerinfo&amp;p_no=11344" xr:uid="{E01A2AF6-F2F5-4A58-BCA0-88902D8B22C2}"/>
    <hyperlink ref="B1207" r:id="rId3617" display="https://statiz.sporki.com/add/?m=draft_school01&amp;ps_school=50103" xr:uid="{5130B05B-628E-4FEB-A850-24740874129C}"/>
    <hyperlink ref="C1207" r:id="rId3618" display="https://statiz.sporki.com/add/?m=draft_school02&amp;ps_school=" xr:uid="{6EBA52A6-0982-46BA-945B-7077B3EDDE82}"/>
    <hyperlink ref="A1208" r:id="rId3619" display="https://statiz.sporki.com/player/?m=playerinfo&amp;p_no=11361" xr:uid="{5C77A129-E023-4F15-9103-D3829C25911A}"/>
    <hyperlink ref="B1208" r:id="rId3620" display="https://statiz.sporki.com/add/?m=draft_school01&amp;ps_school=50105" xr:uid="{960FC8CD-726C-4A93-B94A-CE2CAC282CE8}"/>
    <hyperlink ref="C1208" r:id="rId3621" display="https://statiz.sporki.com/add/?m=draft_school02&amp;ps_school=60102" xr:uid="{0C1753D0-B9C3-4415-822C-7DACD10735F8}"/>
    <hyperlink ref="A1209" r:id="rId3622" display="https://statiz.sporki.com/player/?m=playerinfo&amp;p_no=11369" xr:uid="{7630F683-4580-456D-B830-39701434420F}"/>
    <hyperlink ref="B1209" r:id="rId3623" display="https://statiz.sporki.com/add/?m=draft_school01&amp;ps_school=50210" xr:uid="{7850B728-FA04-488A-807B-94150938F748}"/>
    <hyperlink ref="C1209" r:id="rId3624" display="https://statiz.sporki.com/add/?m=draft_school02&amp;ps_school=60104" xr:uid="{F5CA224D-AC7C-4D9E-9112-CE81E805C1E8}"/>
    <hyperlink ref="A1210" r:id="rId3625" display="https://statiz.sporki.com/player/?m=playerinfo&amp;p_no=11379" xr:uid="{65053264-3569-46C4-A6F9-FFC4CD8DA3AA}"/>
    <hyperlink ref="B1210" r:id="rId3626" display="https://statiz.sporki.com/add/?m=draft_school01&amp;ps_school=50107" xr:uid="{072F181A-246E-46E3-AAFB-0717319216DE}"/>
    <hyperlink ref="C1210" r:id="rId3627" display="https://statiz.sporki.com/add/?m=draft_school02&amp;ps_school=" xr:uid="{F035CFA5-5660-49F5-9572-03C3FD0A8447}"/>
    <hyperlink ref="A1211" r:id="rId3628" display="https://statiz.sporki.com/player/?m=playerinfo&amp;p_no=11381" xr:uid="{8CAB05C3-E09D-47A3-BBE6-9D5CA0EE6241}"/>
    <hyperlink ref="B1211" r:id="rId3629" display="https://statiz.sporki.com/add/?m=draft_school01&amp;ps_school=50107" xr:uid="{DC49DC72-7756-4A16-BA4B-21AFE34BAAB3}"/>
    <hyperlink ref="C1211" r:id="rId3630" display="https://statiz.sporki.com/add/?m=draft_school02&amp;ps_school=" xr:uid="{FCEB33D4-BF59-43D4-BA21-67C56DBCADD5}"/>
    <hyperlink ref="A1212" r:id="rId3631" display="https://statiz.sporki.com/player/?m=playerinfo&amp;p_no=11388" xr:uid="{25050133-3F18-4CE9-8E87-6602C2C0BBD9}"/>
    <hyperlink ref="B1212" r:id="rId3632" display="https://statiz.sporki.com/add/?m=draft_school01&amp;ps_school=50804" xr:uid="{9B612D06-7442-473E-ABB2-49031BC568DE}"/>
    <hyperlink ref="C1212" r:id="rId3633" display="https://statiz.sporki.com/add/?m=draft_school02&amp;ps_school=" xr:uid="{702811FE-4A7D-4A9C-903D-2F146E5786A1}"/>
    <hyperlink ref="A1213" r:id="rId3634" display="https://statiz.sporki.com/player/?m=playerinfo&amp;p_no=13239" xr:uid="{AE02C12A-0A7A-4900-A79A-43DA93700097}"/>
    <hyperlink ref="B1213" r:id="rId3635" display="https://statiz.sporki.com/add/?m=draft_school01&amp;ps_school=50902" xr:uid="{AAD03EED-E16C-49BD-861F-C0A22D54B95B}"/>
    <hyperlink ref="C1213" r:id="rId3636" display="https://statiz.sporki.com/add/?m=draft_school02&amp;ps_school=" xr:uid="{5A8D2311-08D3-42F7-A050-F127AC80FAE5}"/>
    <hyperlink ref="A1214" r:id="rId3637" display="https://statiz.sporki.com/player/?m=playerinfo&amp;p_no=11411" xr:uid="{41063DC3-EB9A-4B58-B6D9-F534DBDBE378}"/>
    <hyperlink ref="B1214" r:id="rId3638" display="https://statiz.sporki.com/add/?m=draft_school01&amp;ps_school=50403" xr:uid="{56FD474D-82C1-4AE0-B9A8-9B227B7FEA4F}"/>
    <hyperlink ref="C1214" r:id="rId3639" display="https://statiz.sporki.com/add/?m=draft_school02&amp;ps_school=" xr:uid="{16A4DAD2-278C-4086-81A9-AB3595FE354A}"/>
    <hyperlink ref="A1215" r:id="rId3640" display="https://statiz.sporki.com/player/?m=playerinfo&amp;p_no=11306" xr:uid="{4BB5F8E6-698C-4A73-ADDD-2A10C0ED72DD}"/>
    <hyperlink ref="B1215" r:id="rId3641" display="https://statiz.sporki.com/add/?m=draft_school01&amp;ps_school=50101" xr:uid="{AE8731A5-CDE8-4E8E-B682-6AF1F79623B1}"/>
    <hyperlink ref="C1215" r:id="rId3642" display="https://statiz.sporki.com/add/?m=draft_school02&amp;ps_school=" xr:uid="{CCED042C-2F31-4595-B7AD-6D7A0D5ACF46}"/>
    <hyperlink ref="A1216" r:id="rId3643" display="https://statiz.sporki.com/player/?m=playerinfo&amp;p_no=11320" xr:uid="{8D3AFC9F-1DBD-49CE-AEEE-D980478E8F13}"/>
    <hyperlink ref="B1216" r:id="rId3644" display="https://statiz.sporki.com/add/?m=draft_school01&amp;ps_school=50210" xr:uid="{AEAF0BE7-56B0-4A49-BCCF-A6C1FE8DB6AC}"/>
    <hyperlink ref="C1216" r:id="rId3645" display="https://statiz.sporki.com/add/?m=draft_school02&amp;ps_school=60203" xr:uid="{879AE0AA-A9E6-406C-8B93-9ED978FBA3BB}"/>
    <hyperlink ref="A1217" r:id="rId3646" display="https://statiz.sporki.com/player/?m=playerinfo&amp;p_no=11317" xr:uid="{0ABD796C-1614-43BA-84BB-F3E943B9806F}"/>
    <hyperlink ref="B1217" r:id="rId3647" display="https://statiz.sporki.com/add/?m=draft_school01&amp;ps_school=50113" xr:uid="{AC3BB6DF-1164-45E5-AFBF-7318C4F244FD}"/>
    <hyperlink ref="C1217" r:id="rId3648" display="https://statiz.sporki.com/add/?m=draft_school02&amp;ps_school=60108" xr:uid="{4D33C3B9-CDC2-4B47-B9DD-D5E46658343F}"/>
    <hyperlink ref="A1218" r:id="rId3649" display="https://statiz.sporki.com/player/?m=playerinfo&amp;p_no=11319" xr:uid="{51B0DEFE-B542-4EFF-9B2A-7949C8910552}"/>
    <hyperlink ref="B1218" r:id="rId3650" display="https://statiz.sporki.com/add/?m=draft_school01&amp;ps_school=50101" xr:uid="{FD5218CA-7105-492E-9F37-0F3C63825C90}"/>
    <hyperlink ref="C1218" r:id="rId3651" display="https://statiz.sporki.com/add/?m=draft_school02&amp;ps_school=60203" xr:uid="{0A0E67F0-A519-49AA-B84F-7A58DDCB8003}"/>
    <hyperlink ref="A1219" r:id="rId3652" display="https://statiz.sporki.com/player/?m=playerinfo&amp;p_no=11489" xr:uid="{B87BCBC2-D2ED-4871-A198-29015E64DE03}"/>
    <hyperlink ref="B1219" r:id="rId3653" display="https://statiz.sporki.com/add/?m=draft_school01&amp;ps_school=50116" xr:uid="{AE7F33C5-F412-4B51-9BC3-C836611CE989}"/>
    <hyperlink ref="C1219" r:id="rId3654" display="https://statiz.sporki.com/add/?m=draft_school02&amp;ps_school=" xr:uid="{57B22B69-6B92-4367-AC30-29BC32B0E6EB}"/>
    <hyperlink ref="A1220" r:id="rId3655" display="https://statiz.sporki.com/player/?m=playerinfo&amp;p_no=11347" xr:uid="{CE237436-DB43-4F55-855F-78C0585B879F}"/>
    <hyperlink ref="B1220" r:id="rId3656" display="https://statiz.sporki.com/add/?m=draft_school01&amp;ps_school=50402" xr:uid="{878C807C-2FB5-4527-9D6D-B114FE7CD13E}"/>
    <hyperlink ref="C1220" r:id="rId3657" display="https://statiz.sporki.com/add/?m=draft_school02&amp;ps_school=" xr:uid="{B217F524-A920-4A8F-A927-117E8A782EB5}"/>
    <hyperlink ref="A1221" r:id="rId3658" display="https://statiz.sporki.com/player/?m=playerinfo&amp;p_no=11353" xr:uid="{AFC3FCD5-9B90-4F3B-895B-8C9184A1FEBF}"/>
    <hyperlink ref="B1221" r:id="rId3659" display="https://statiz.sporki.com/add/?m=draft_school01&amp;ps_school=50808" xr:uid="{995292B7-FEE1-48D3-B15E-045B1BAFC0A2}"/>
    <hyperlink ref="C1221" r:id="rId3660" display="https://statiz.sporki.com/add/?m=draft_school02&amp;ps_school=" xr:uid="{625052C6-B462-4400-998F-CBDBA54EE90E}"/>
    <hyperlink ref="A1222" r:id="rId3661" display="https://statiz.sporki.com/player/?m=playerinfo&amp;p_no=11366" xr:uid="{B94880F9-0B93-4B75-97DA-C0DAD4446E94}"/>
    <hyperlink ref="B1222" r:id="rId3662" display="https://statiz.sporki.com/add/?m=draft_school01&amp;ps_school=50114" xr:uid="{62CC7F73-AF58-4B31-8AE3-1CF2E0456AF4}"/>
    <hyperlink ref="C1222" r:id="rId3663" display="https://statiz.sporki.com/add/?m=draft_school02&amp;ps_school=" xr:uid="{34813B88-C55A-41E2-A32A-997838567CD0}"/>
    <hyperlink ref="A1223" r:id="rId3664" display="https://statiz.sporki.com/player/?m=playerinfo&amp;p_no=11374" xr:uid="{21B274A8-24B8-4DEE-9074-F0231D249F26}"/>
    <hyperlink ref="B1223" r:id="rId3665" display="https://statiz.sporki.com/add/?m=draft_school01&amp;ps_school=50101" xr:uid="{962CD10B-1D3D-4588-8BC2-9FFC0AE50A1D}"/>
    <hyperlink ref="C1223" r:id="rId3666" display="https://statiz.sporki.com/add/?m=draft_school02&amp;ps_school=" xr:uid="{CCC18EFF-43D1-4A7D-A851-BD45453C6468}"/>
    <hyperlink ref="A1224" r:id="rId3667" display="https://statiz.sporki.com/player/?m=playerinfo&amp;p_no=11387" xr:uid="{AC5A64A5-7333-4E01-A9E7-E6211518C7F6}"/>
    <hyperlink ref="B1224" r:id="rId3668" display="https://statiz.sporki.com/add/?m=draft_school01&amp;ps_school=50602" xr:uid="{DFE10A51-7672-43E4-AA91-0E5ACE8C305D}"/>
    <hyperlink ref="C1224" r:id="rId3669" display="https://statiz.sporki.com/add/?m=draft_school02&amp;ps_school=" xr:uid="{0F1DE42B-E7C2-4C2C-8998-AC07E51BC7C8}"/>
    <hyperlink ref="A1225" r:id="rId3670" display="https://statiz.sporki.com/player/?m=playerinfo&amp;p_no=11396" xr:uid="{4D09698B-7A09-42B1-BE1A-6561295A5BDB}"/>
    <hyperlink ref="B1225" r:id="rId3671" display="https://statiz.sporki.com/add/?m=draft_school01&amp;ps_school=50805" xr:uid="{55A198DE-111B-4DC2-B2EA-21F7DE58BC40}"/>
    <hyperlink ref="C1225" r:id="rId3672" display="https://statiz.sporki.com/add/?m=draft_school02&amp;ps_school=" xr:uid="{1F18CFAE-7A3F-4084-A7CD-B32FE71C48FB}"/>
    <hyperlink ref="A1226" r:id="rId3673" display="https://statiz.sporki.com/player/?m=playerinfo&amp;p_no=11404" xr:uid="{968CD6DC-0D24-4404-BC87-1F7574F6B84A}"/>
    <hyperlink ref="B1226" r:id="rId3674" display="https://statiz.sporki.com/add/?m=draft_school01&amp;ps_school=50403" xr:uid="{DAD8269A-39BA-4AC3-868C-A552BBBB6867}"/>
    <hyperlink ref="C1226" r:id="rId3675" display="https://statiz.sporki.com/add/?m=draft_school02&amp;ps_school=" xr:uid="{454B84A8-D7F5-48B4-ADF0-6B38E2D3FFF1}"/>
    <hyperlink ref="A1227" r:id="rId3676" display="https://statiz.sporki.com/player/?m=playerinfo&amp;p_no=11410" xr:uid="{3E864B33-9ABE-4F91-9862-7F7CD7AD2D64}"/>
    <hyperlink ref="B1227" r:id="rId3677" display="https://statiz.sporki.com/add/?m=draft_school01&amp;ps_school=50807" xr:uid="{86DED76B-F585-4C0C-ACAE-A9F9957F46A8}"/>
    <hyperlink ref="C1227" r:id="rId3678" display="https://statiz.sporki.com/add/?m=draft_school02&amp;ps_school=" xr:uid="{921041FD-EBD2-4CD8-9DDA-E107798F9022}"/>
    <hyperlink ref="A1228" r:id="rId3679" display="https://statiz.sporki.com/player/?m=playerinfo&amp;p_no=11299" xr:uid="{D609162B-B567-443A-9A1E-0D6A198D1B0C}"/>
    <hyperlink ref="B1228" r:id="rId3680" display="https://statiz.sporki.com/add/?m=draft_school01&amp;ps_school=50209" xr:uid="{E6244699-B9E5-40B6-802D-0EA4AC29E4A5}"/>
    <hyperlink ref="C1228" r:id="rId3681" display="https://statiz.sporki.com/add/?m=draft_school02&amp;ps_school=60101" xr:uid="{834F4547-9290-4781-8D93-CAFB478BACA3}"/>
    <hyperlink ref="A1229" r:id="rId3682" display="https://statiz.sporki.com/player/?m=playerinfo&amp;p_no=11321" xr:uid="{A648FA0E-6959-464B-9AF8-543C5EA42EBD}"/>
    <hyperlink ref="B1229" r:id="rId3683" display="https://statiz.sporki.com/add/?m=draft_school01&amp;ps_school=50201" xr:uid="{14E844B0-BF96-42A5-BA81-00B600321F2A}"/>
    <hyperlink ref="C1229" r:id="rId3684" display="https://statiz.sporki.com/add/?m=draft_school02&amp;ps_school=" xr:uid="{AC08BA67-345C-47A4-B073-0E7B90BCA3C0}"/>
    <hyperlink ref="A1230" r:id="rId3685" display="https://statiz.sporki.com/player/?m=playerinfo&amp;p_no=11351" xr:uid="{78964368-726E-4335-932E-C1A3AEEB2344}"/>
    <hyperlink ref="B1230" r:id="rId3686" display="https://statiz.sporki.com/add/?m=draft_school01&amp;ps_school=50110" xr:uid="{97FAB353-BBBF-4EAA-9346-82FD7B6C8FD6}"/>
    <hyperlink ref="C1230" r:id="rId3687" display="https://statiz.sporki.com/add/?m=draft_school02&amp;ps_school=" xr:uid="{8C478498-2133-452E-9BA7-B13DA801E89E}"/>
    <hyperlink ref="A1231" r:id="rId3688" display="https://statiz.sporki.com/player/?m=playerinfo&amp;p_no=11355" xr:uid="{7024388C-6487-453A-947D-217B4C6FDD4E}"/>
    <hyperlink ref="B1231" r:id="rId3689" display="https://statiz.sporki.com/add/?m=draft_school01&amp;ps_school=50805" xr:uid="{9D7D3E18-6974-4FB9-B998-C47834088468}"/>
    <hyperlink ref="C1231" r:id="rId3690" display="https://statiz.sporki.com/add/?m=draft_school02&amp;ps_school=" xr:uid="{3CA0D7C4-3A33-47F2-A9E7-FB408D966D9C}"/>
    <hyperlink ref="A1232" r:id="rId3691" display="https://statiz.sporki.com/player/?m=playerinfo&amp;p_no=11367" xr:uid="{37E0CE98-54DE-4883-BEA8-C9B793AE4F3C}"/>
    <hyperlink ref="B1232" r:id="rId3692" display="https://statiz.sporki.com/add/?m=draft_school01&amp;ps_school=50701" xr:uid="{B26F4C8A-66D7-4B82-BE27-36E1DDAFFFE5}"/>
    <hyperlink ref="C1232" r:id="rId3693" display="https://statiz.sporki.com/add/?m=draft_school02&amp;ps_school=" xr:uid="{2DD5C08D-0FF6-42ED-9EC2-C5DB8668EE66}"/>
    <hyperlink ref="A1233" r:id="rId3694" display="https://statiz.sporki.com/player/?m=playerinfo&amp;p_no=11373" xr:uid="{DD3921A7-C2A0-4CD2-AB60-78B006C6CDBE}"/>
    <hyperlink ref="B1233" r:id="rId3695" display="https://statiz.sporki.com/add/?m=draft_school01&amp;ps_school=50202" xr:uid="{66A3909B-01D2-404E-B2A5-FA596E1251F1}"/>
    <hyperlink ref="C1233" r:id="rId3696" display="https://statiz.sporki.com/add/?m=draft_school02&amp;ps_school=" xr:uid="{4B218D47-1A7D-4CB9-9813-97E939B6C03A}"/>
    <hyperlink ref="A1234" r:id="rId3697" display="https://statiz.sporki.com/player/?m=playerinfo&amp;p_no=12970" xr:uid="{8DEFE371-F940-4CBB-B33C-4A059FEA6835}"/>
    <hyperlink ref="B1234" r:id="rId3698" display="https://statiz.sporki.com/add/?m=draft_school01&amp;ps_school=50601" xr:uid="{6CA9DBC1-8CAE-4576-9D24-3C727ADDB5B5}"/>
    <hyperlink ref="C1234" r:id="rId3699" display="https://statiz.sporki.com/add/?m=draft_school02&amp;ps_school=" xr:uid="{9BA834FB-8629-45F8-BC7E-4A437547E6DF}"/>
    <hyperlink ref="A1235" r:id="rId3700" display="https://statiz.sporki.com/player/?m=playerinfo&amp;p_no=11399" xr:uid="{62C3B67F-D935-4F0D-9607-E3C5AA0F3ECF}"/>
    <hyperlink ref="B1235" r:id="rId3701" display="https://statiz.sporki.com/add/?m=draft_school01&amp;ps_school=50203" xr:uid="{955150B7-21D2-4652-871F-9FC789AE6C34}"/>
    <hyperlink ref="C1235" r:id="rId3702" display="https://statiz.sporki.com/add/?m=draft_school02&amp;ps_school=" xr:uid="{0A43D545-18C9-4FB4-A537-42803361FCB2}"/>
    <hyperlink ref="A1236" r:id="rId3703" display="https://statiz.sporki.com/player/?m=playerinfo&amp;p_no=11407" xr:uid="{89239C7A-9159-48BD-B657-DCBEBD301CB0}"/>
    <hyperlink ref="B1236" r:id="rId3704" display="https://statiz.sporki.com/add/?m=draft_school01&amp;ps_school=50301" xr:uid="{E362FAF6-4617-4970-8C41-B69F5E80ECA7}"/>
    <hyperlink ref="C1236" r:id="rId3705" display="https://statiz.sporki.com/add/?m=draft_school02&amp;ps_school=" xr:uid="{B9B07326-A7DE-4245-BAD1-2596B54DCCD3}"/>
    <hyperlink ref="A1237" r:id="rId3706" display="https://statiz.sporki.com/player/?m=playerinfo&amp;p_no=11412" xr:uid="{9F60172A-0043-4F50-A432-06D861C3042E}"/>
    <hyperlink ref="B1237" r:id="rId3707" display="https://statiz.sporki.com/add/?m=draft_school01&amp;ps_school=50302" xr:uid="{D3B7B45F-96D2-403B-8A5D-9A8831E4399D}"/>
    <hyperlink ref="C1237" r:id="rId3708" display="https://statiz.sporki.com/add/?m=draft_school02&amp;ps_school=60203" xr:uid="{4E3B71F8-BE68-437F-81F9-ACE0029F30FD}"/>
    <hyperlink ref="A1238" r:id="rId3709" display="https://statiz.sporki.com/player/?m=playerinfo&amp;p_no=11302" xr:uid="{153AE5F2-C533-4DB2-808C-18B280292B6B}"/>
    <hyperlink ref="B1238" r:id="rId3710" display="https://statiz.sporki.com/add/?m=draft_school01&amp;ps_school=50603" xr:uid="{FE0CB12F-BFF3-4971-B272-C1E3CFA23B87}"/>
    <hyperlink ref="C1238" r:id="rId3711" display="https://statiz.sporki.com/add/?m=draft_school02&amp;ps_school=60602" xr:uid="{DD1B89DE-C401-46CE-92A5-DDE2608EAE7A}"/>
    <hyperlink ref="A1239" r:id="rId3712" display="https://statiz.sporki.com/player/?m=playerinfo&amp;p_no=11337" xr:uid="{C199F5E1-7DB0-4569-8E09-071712A70E9D}"/>
    <hyperlink ref="B1239" r:id="rId3713" display="https://statiz.sporki.com/add/?m=draft_school01&amp;ps_school=50602" xr:uid="{BFE32C10-E1B1-4BA3-A206-5BF16CE9065F}"/>
    <hyperlink ref="C1239" r:id="rId3714" display="https://statiz.sporki.com/add/?m=draft_school02&amp;ps_school=" xr:uid="{DF660231-F4BB-48DB-A67F-0659344116AC}"/>
    <hyperlink ref="A1240" r:id="rId3715" display="https://statiz.sporki.com/player/?m=playerinfo&amp;p_no=13009" xr:uid="{320777E5-866C-4BA2-BE63-3CF2A1AAD0E2}"/>
    <hyperlink ref="B1240" r:id="rId3716" display="https://statiz.sporki.com/add/?m=draft_school01&amp;ps_school=50209" xr:uid="{5DEE3F26-CD9C-418B-8436-C84917733D3B}"/>
    <hyperlink ref="C1240" r:id="rId3717" display="https://statiz.sporki.com/add/?m=draft_school02&amp;ps_school=" xr:uid="{CC345FD3-04C5-4557-B64B-709F651F8F55}"/>
    <hyperlink ref="A1241" r:id="rId3718" display="https://statiz.sporki.com/player/?m=playerinfo&amp;p_no=13283" xr:uid="{0B69E409-1381-4FE6-AC1B-4E72EBEB3F5F}"/>
    <hyperlink ref="B1241" r:id="rId3719" display="https://statiz.sporki.com/add/?m=draft_school01&amp;ps_school=50602" xr:uid="{00A9BD6A-BEBC-4F8B-902A-1008728EFE6C}"/>
    <hyperlink ref="C1241" r:id="rId3720" display="https://statiz.sporki.com/add/?m=draft_school02&amp;ps_school=" xr:uid="{665D0A9D-BA4A-4EC8-AE41-BEB31EC21C41}"/>
    <hyperlink ref="A1242" r:id="rId3721" display="https://statiz.sporki.com/player/?m=playerinfo&amp;p_no=12503" xr:uid="{B28CC4F3-61EC-4C1C-9B6A-A9FE3C9CD770}"/>
    <hyperlink ref="B1242" r:id="rId3722" display="https://statiz.sporki.com/add/?m=draft_school01&amp;ps_school=50808" xr:uid="{62022286-B8B9-443B-A8D2-2DA3ECF7CE71}"/>
    <hyperlink ref="C1242" r:id="rId3723" display="https://statiz.sporki.com/add/?m=draft_school02&amp;ps_school=" xr:uid="{996DD4AC-A7D6-466D-A3CF-90783DE18B43}"/>
    <hyperlink ref="A1243" r:id="rId3724" display="https://statiz.sporki.com/player/?m=playerinfo&amp;p_no=11375" xr:uid="{9F8B7DE7-6A54-4EF9-ACF9-7A678DF7A7C6}"/>
    <hyperlink ref="B1243" r:id="rId3725" display="https://statiz.sporki.com/add/?m=draft_school01&amp;ps_school=50111" xr:uid="{88719D41-7F92-430B-AD4B-35BF85D8D547}"/>
    <hyperlink ref="C1243" r:id="rId3726" display="https://statiz.sporki.com/add/?m=draft_school02&amp;ps_school=" xr:uid="{FDC83CD7-1D13-4355-BFAB-52F4F11C132F}"/>
    <hyperlink ref="A1244" r:id="rId3727" display="https://statiz.sporki.com/player/?m=playerinfo&amp;p_no=11385" xr:uid="{43784C81-9EFE-4366-8A18-C3A8A37BAB3D}"/>
    <hyperlink ref="B1244" r:id="rId3728" display="https://statiz.sporki.com/add/?m=draft_school01&amp;ps_school=50111" xr:uid="{58C6998B-3FF1-444A-9865-C6DEA4B3D7BC}"/>
    <hyperlink ref="C1244" r:id="rId3729" display="https://statiz.sporki.com/add/?m=draft_school02&amp;ps_school=60103" xr:uid="{5B5CDE3C-9CDA-4A17-8C64-AD92E2B90D3E}"/>
    <hyperlink ref="A1245" r:id="rId3730" display="https://statiz.sporki.com/player/?m=playerinfo&amp;p_no=11422" xr:uid="{8DD4A719-7BA4-405C-B714-069005F2619E}"/>
    <hyperlink ref="B1245" r:id="rId3731" display="https://statiz.sporki.com/add/?m=draft_school01&amp;ps_school=50801" xr:uid="{BB22755D-DD1A-4604-920B-2CDD96C7A312}"/>
    <hyperlink ref="C1245" r:id="rId3732" display="https://statiz.sporki.com/add/?m=draft_school02&amp;ps_school=60803" xr:uid="{3BDC6AB9-1855-40ED-983D-E84633E19A0B}"/>
    <hyperlink ref="A1246" r:id="rId3733" display="https://statiz.sporki.com/player/?m=playerinfo&amp;p_no=11400" xr:uid="{520364EB-E9E9-498D-B085-F11CF0E502C1}"/>
    <hyperlink ref="B1246" r:id="rId3734" display="https://statiz.sporki.com/add/?m=draft_school01&amp;ps_school=50205" xr:uid="{8D2909ED-1820-4CF4-8052-142FF1C7CA56}"/>
    <hyperlink ref="C1246" r:id="rId3735" display="https://statiz.sporki.com/add/?m=draft_school02&amp;ps_school=" xr:uid="{D2C36D7F-5050-4562-BCFC-1E8DAB562635}"/>
    <hyperlink ref="A1247" r:id="rId3736" display="https://statiz.sporki.com/player/?m=playerinfo&amp;p_no=11414" xr:uid="{052C7054-9CAF-4304-BD21-3D2C531D3045}"/>
    <hyperlink ref="B1247" r:id="rId3737" display="https://statiz.sporki.com/add/?m=draft_school01&amp;ps_school=50403" xr:uid="{C7CFA004-AAF1-4CF2-8AAB-F0C2E9E2313F}"/>
    <hyperlink ref="C1247" r:id="rId3738" display="https://statiz.sporki.com/add/?m=draft_school02&amp;ps_school=" xr:uid="{6E5E31F7-F990-4C27-B4FE-4C769715B31F}"/>
    <hyperlink ref="A1248" r:id="rId3739" display="https://statiz.sporki.com/player/?m=playerinfo&amp;p_no=11303" xr:uid="{BC888586-EA05-4B0E-9BAC-CC3B3E30B762}"/>
    <hyperlink ref="B1248" r:id="rId3740" display="https://statiz.sporki.com/add/?m=draft_school01&amp;ps_school=50501" xr:uid="{D3934B40-5047-4033-BA9B-CE079225D49A}"/>
    <hyperlink ref="C1248" r:id="rId3741" display="https://statiz.sporki.com/add/?m=draft_school02&amp;ps_school=60111" xr:uid="{33A76C70-B17A-4788-9452-4E9BEEA87F1B}"/>
    <hyperlink ref="A1249" r:id="rId3742" display="https://statiz.sporki.com/player/?m=playerinfo&amp;p_no=12646" xr:uid="{A54050B8-619F-46E3-8A58-F67BA7E54F30}"/>
    <hyperlink ref="B1249" r:id="rId3743" display="https://statiz.sporki.com/add/?m=draft_school01&amp;ps_school=50606" xr:uid="{9C99DA13-882E-4A5E-A9C0-562517BA1BE8}"/>
    <hyperlink ref="C1249" r:id="rId3744" display="https://statiz.sporki.com/add/?m=draft_school02&amp;ps_school=" xr:uid="{5120810B-16EC-4305-9038-27C9CC3068BA}"/>
    <hyperlink ref="A1250" r:id="rId3745" display="https://statiz.sporki.com/player/?m=playerinfo&amp;p_no=11349" xr:uid="{E45A4B27-3C55-4BA4-AA62-5CD14C1C2F7B}"/>
    <hyperlink ref="B1250" r:id="rId3746" display="https://statiz.sporki.com/add/?m=draft_school01&amp;ps_school=51101" xr:uid="{84C6757B-69CD-43CE-8431-4213B63CAD09}"/>
    <hyperlink ref="C1250" r:id="rId3747" display="https://statiz.sporki.com/add/?m=draft_school02&amp;ps_school=61101" xr:uid="{BAA00952-D0E2-4B2A-A5B1-A841A6B9F9DA}"/>
    <hyperlink ref="A1251" r:id="rId3748" display="https://statiz.sporki.com/player/?m=playerinfo&amp;p_no=11362" xr:uid="{B086A1A1-F660-43CA-81FD-B16C3DEEB262}"/>
    <hyperlink ref="B1251" r:id="rId3749" display="https://statiz.sporki.com/add/?m=draft_school01&amp;ps_school=50207" xr:uid="{0818705A-A344-4598-960B-0247695F45FC}"/>
    <hyperlink ref="C1251" r:id="rId3750" display="https://statiz.sporki.com/add/?m=draft_school02&amp;ps_school=" xr:uid="{2AD0CD43-DC33-45E9-B1A0-C10E1C9E2181}"/>
    <hyperlink ref="A1252" r:id="rId3751" display="https://statiz.sporki.com/player/?m=playerinfo&amp;p_no=12651" xr:uid="{487D3271-86FA-4945-B859-D7B97300ADD0}"/>
    <hyperlink ref="B1252" r:id="rId3752" display="https://statiz.sporki.com/add/?m=draft_school01&amp;ps_school=50302" xr:uid="{3B8E33A0-5D3E-44BF-8AC3-6FAA7C8F9744}"/>
    <hyperlink ref="C1252" r:id="rId3753" display="https://statiz.sporki.com/add/?m=draft_school02&amp;ps_school=" xr:uid="{6D3D72A6-178F-4F12-B4E2-392A1260204C}"/>
    <hyperlink ref="A1253" r:id="rId3754" display="https://statiz.sporki.com/player/?m=playerinfo&amp;p_no=11378" xr:uid="{86252EA9-AD51-4A29-838F-74356BD38D78}"/>
    <hyperlink ref="B1253" r:id="rId3755" display="https://statiz.sporki.com/add/?m=draft_school01&amp;ps_school=50705" xr:uid="{7E0BA6C9-E542-444B-824A-E512CE9FE1A2}"/>
    <hyperlink ref="C1253" r:id="rId3756" display="https://statiz.sporki.com/add/?m=draft_school02&amp;ps_school=" xr:uid="{321B9A9C-2F35-4B0A-8CD1-BDF23AFF8E52}"/>
    <hyperlink ref="A1254" r:id="rId3757" display="https://statiz.sporki.com/player/?m=playerinfo&amp;p_no=12978" xr:uid="{BEB7A8EE-B2DF-45FB-99A7-E4603764D871}"/>
    <hyperlink ref="B1254" r:id="rId3758" display="https://statiz.sporki.com/add/?m=draft_school01&amp;ps_school=50601" xr:uid="{FA4A7665-5E39-4053-8314-606A1E157113}"/>
    <hyperlink ref="C1254" r:id="rId3759" display="https://statiz.sporki.com/add/?m=draft_school02&amp;ps_school=" xr:uid="{F43602AB-DA51-4B84-897A-2622897AB0B3}"/>
    <hyperlink ref="A1255" r:id="rId3760" display="https://statiz.sporki.com/player/?m=playerinfo&amp;p_no=13242" xr:uid="{5B8169E0-C5E1-4393-B0A5-AF9D12779E99}"/>
    <hyperlink ref="B1255" r:id="rId3761" display="https://statiz.sporki.com/add/?m=draft_school01&amp;ps_school=50114" xr:uid="{849235F3-21A9-4B21-9C5A-21E4B47E6509}"/>
    <hyperlink ref="C1255" r:id="rId3762" display="https://statiz.sporki.com/add/?m=draft_school02&amp;ps_school=" xr:uid="{CAEEB800-30AC-4B85-96A7-E7B3CD2272CA}"/>
    <hyperlink ref="A1256" r:id="rId3763" display="https://statiz.sporki.com/player/?m=playerinfo&amp;p_no=13180" xr:uid="{1FE809A2-B282-46D6-A266-F485320089A0}"/>
    <hyperlink ref="B1256" r:id="rId3764" display="https://statiz.sporki.com/add/?m=draft_school01&amp;ps_school=50402" xr:uid="{F9DEE390-748E-4DC4-A371-D638F80C59D0}"/>
    <hyperlink ref="C1256" r:id="rId3765" display="https://statiz.sporki.com/add/?m=draft_school02&amp;ps_school=60113" xr:uid="{C4454FD9-2A43-4DED-9991-F2FED440E3B0}"/>
    <hyperlink ref="A1257" r:id="rId3766" display="https://statiz.sporki.com/player/?m=playerinfo&amp;p_no=11336" xr:uid="{A85EC67E-4826-4705-AA08-616C804F4744}"/>
    <hyperlink ref="B1257" r:id="rId3767" display="https://statiz.sporki.com/add/?m=draft_school01&amp;ps_school=50208" xr:uid="{A9E46D7E-C763-4492-9889-B405DCE9DE36}"/>
    <hyperlink ref="C1257" r:id="rId3768" display="https://statiz.sporki.com/add/?m=draft_school02&amp;ps_school=" xr:uid="{7D31BC2E-1A10-4814-AB08-927C6747FA22}"/>
    <hyperlink ref="A1258" r:id="rId3769" display="https://statiz.sporki.com/player/?m=playerinfo&amp;p_no=11346" xr:uid="{EFEACD43-ADB7-4AC6-B47A-E7DAD06C73FC}"/>
    <hyperlink ref="B1258" r:id="rId3770" display="https://statiz.sporki.com/add/?m=draft_school01&amp;ps_school=50705" xr:uid="{FA6D5DB8-1F2F-4BB4-9269-83E1AEF42DCA}"/>
    <hyperlink ref="C1258" r:id="rId3771" display="https://statiz.sporki.com/add/?m=draft_school02&amp;ps_school=60108" xr:uid="{28BFC9CD-2DA5-4ECD-B0A1-D873E4BF9F72}"/>
    <hyperlink ref="A1259" r:id="rId3772" display="https://statiz.sporki.com/player/?m=playerinfo&amp;p_no=13008" xr:uid="{47BC264C-F70F-46A0-AB8E-BBF13D76BC78}"/>
    <hyperlink ref="B1259" r:id="rId3773" display="https://statiz.sporki.com/add/?m=draft_school01&amp;ps_school=50803" xr:uid="{B084F0D9-9ECD-4D28-990D-04322E957522}"/>
    <hyperlink ref="C1259" r:id="rId3774" display="https://statiz.sporki.com/add/?m=draft_school02&amp;ps_school=" xr:uid="{C613C993-4E0A-4DB1-A3E9-955E5965A3D3}"/>
    <hyperlink ref="A1260" r:id="rId3775" display="https://statiz.sporki.com/player/?m=playerinfo&amp;p_no=11365" xr:uid="{EC024A2E-2DFE-45D7-9E19-98A8A945125E}"/>
    <hyperlink ref="B1260" r:id="rId3776" display="https://statiz.sporki.com/add/?m=draft_school01&amp;ps_school=50210" xr:uid="{114EA100-03BE-4BC1-8900-4349C04F9D2B}"/>
    <hyperlink ref="C1260" r:id="rId3777" display="https://statiz.sporki.com/add/?m=draft_school02&amp;ps_school=" xr:uid="{9C2DECB3-C442-4F8B-9AF5-E9A36C2207F0}"/>
    <hyperlink ref="A1261" r:id="rId3778" display="https://statiz.sporki.com/player/?m=playerinfo&amp;p_no=11376" xr:uid="{04CF9D41-6FB5-41F4-82B0-E9638B1512AA}"/>
    <hyperlink ref="B1261" r:id="rId3779" display="https://statiz.sporki.com/add/?m=draft_school01&amp;ps_school=50111" xr:uid="{E8C5CB53-4743-491A-9AC0-7B030022F084}"/>
    <hyperlink ref="C1261" r:id="rId3780" display="https://statiz.sporki.com/add/?m=draft_school02&amp;ps_school=" xr:uid="{C11A77AC-A29C-474A-BC62-3746A7CAAC70}"/>
    <hyperlink ref="A1262" r:id="rId3781" display="https://statiz.sporki.com/player/?m=playerinfo&amp;p_no=11384" xr:uid="{41FE6D11-0649-4649-92DD-1C8873CCDB15}"/>
    <hyperlink ref="B1262" r:id="rId3782" display="https://statiz.sporki.com/add/?m=draft_school01&amp;ps_school=50301" xr:uid="{25AC08D1-4704-4434-A69B-2C8C873BDF29}"/>
    <hyperlink ref="C1262" r:id="rId3783" display="https://statiz.sporki.com/add/?m=draft_school02&amp;ps_school=" xr:uid="{D9F4021B-BB2D-4A3F-87DE-4A0CBEECDCB6}"/>
    <hyperlink ref="A1263" r:id="rId3784" display="https://statiz.sporki.com/player/?m=playerinfo&amp;p_no=11390" xr:uid="{FA294766-4E27-42C6-879C-C543B6FBA752}"/>
    <hyperlink ref="B1263" r:id="rId3785" display="https://statiz.sporki.com/add/?m=draft_school01&amp;ps_school=50706" xr:uid="{EB3557DA-2FE2-41DF-AB9C-16F910912999}"/>
    <hyperlink ref="C1263" r:id="rId3786" display="https://statiz.sporki.com/add/?m=draft_school02&amp;ps_school=60803" xr:uid="{45136595-49CA-41CF-814A-F910DE3C0198}"/>
    <hyperlink ref="A1264" r:id="rId3787" display="https://statiz.sporki.com/player/?m=playerinfo&amp;p_no=11405" xr:uid="{D24F4D3C-2A00-4F96-BA2A-4E9F23C545BD}"/>
    <hyperlink ref="B1264" r:id="rId3788" display="https://statiz.sporki.com/add/?m=draft_school01&amp;ps_school=50705" xr:uid="{59E0C877-D375-4827-ABDA-358DB3EF0B91}"/>
    <hyperlink ref="C1264" r:id="rId3789" display="https://statiz.sporki.com/add/?m=draft_school02&amp;ps_school=60703" xr:uid="{ADCD8333-4EC4-46B4-8D4E-32549E52E376}"/>
    <hyperlink ref="A1265" r:id="rId3790" display="https://statiz.sporki.com/player/?m=playerinfo&amp;p_no=14702" xr:uid="{AE437EBA-B1D1-4703-88E7-6609DA8F4D2B}"/>
    <hyperlink ref="B1265" r:id="rId3791" display="https://statiz.sporki.com/add/?m=draft_school01&amp;ps_school=50701" xr:uid="{354D96C8-C97E-4368-838D-027C9FB36219}"/>
    <hyperlink ref="C1265" r:id="rId3792" display="https://statiz.sporki.com/add/?m=draft_school02&amp;ps_school=" xr:uid="{19D8A084-A000-4D52-8CD7-8D749AB5A2F0}"/>
    <hyperlink ref="A1266" r:id="rId3793" display="https://statiz.sporki.com/player/?m=playerinfo&amp;p_no=11297" xr:uid="{6578E7A1-80DB-4008-9F62-7DB4A8A99CC8}"/>
    <hyperlink ref="B1266" r:id="rId3794" display="https://statiz.sporki.com/add/?m=draft_school01&amp;ps_school=50109" xr:uid="{0B323FC5-D31F-475B-9FC3-0D4A91A0405B}"/>
    <hyperlink ref="C1266" r:id="rId3795" display="https://statiz.sporki.com/add/?m=draft_school02&amp;ps_school=60109" xr:uid="{28698042-A217-48F9-B38B-40CCB04332A6}"/>
    <hyperlink ref="A1267" r:id="rId3796" display="https://statiz.sporki.com/player/?m=playerinfo&amp;p_no=11322" xr:uid="{C8252263-19B8-4F56-9C64-5279450D5625}"/>
    <hyperlink ref="B1267" r:id="rId3797" display="https://statiz.sporki.com/add/?m=draft_school01&amp;ps_school=50705" xr:uid="{581A4630-5633-4E1A-80B0-F4A2CF6C897E}"/>
    <hyperlink ref="C1267" r:id="rId3798" display="https://statiz.sporki.com/add/?m=draft_school02&amp;ps_school=60108" xr:uid="{88E3A65B-49F4-42B3-AD17-9DE351A2A699}"/>
    <hyperlink ref="A1268" r:id="rId3799" display="https://statiz.sporki.com/player/?m=playerinfo&amp;p_no=11350" xr:uid="{F1EE32A7-3341-4CB5-8360-AE3F9A759842}"/>
    <hyperlink ref="B1268" r:id="rId3800" display="https://statiz.sporki.com/add/?m=draft_school01&amp;ps_school=50209" xr:uid="{DD9926CB-AD9B-49BD-8944-3A9B7DDB0CAA}"/>
    <hyperlink ref="C1268" r:id="rId3801" display="https://statiz.sporki.com/add/?m=draft_school02&amp;ps_school=" xr:uid="{E0E5D16A-F480-4CBC-AC8C-9FDBA55F8AC8}"/>
    <hyperlink ref="A1269" r:id="rId3802" display="https://statiz.sporki.com/player/?m=playerinfo&amp;p_no=11360" xr:uid="{55D91C20-C1D5-4879-BA9F-2D689BED5E7E}"/>
    <hyperlink ref="B1269" r:id="rId3803" display="https://statiz.sporki.com/add/?m=draft_school01&amp;ps_school=50501" xr:uid="{DF5659D5-F667-4799-8085-E3C99F90BB64}"/>
    <hyperlink ref="C1269" r:id="rId3804" display="https://statiz.sporki.com/add/?m=draft_school02&amp;ps_school=" xr:uid="{91672A77-4428-4A78-BB0E-C5557D3ADFD6}"/>
    <hyperlink ref="A1270" r:id="rId3805" display="https://statiz.sporki.com/player/?m=playerinfo&amp;p_no=13272" xr:uid="{F91D1D46-46D5-408A-BE38-60A85F4FFAA4}"/>
    <hyperlink ref="B1270" r:id="rId3806" display="https://statiz.sporki.com/add/?m=draft_school01&amp;ps_school=50116" xr:uid="{19A7B63D-2D8B-40BC-BCC8-F5D2A227DE47}"/>
    <hyperlink ref="C1270" r:id="rId3807" display="https://statiz.sporki.com/add/?m=draft_school02&amp;ps_school=" xr:uid="{FEAB4F57-43A7-42E7-82DE-71C0222C3ED5}"/>
    <hyperlink ref="A1271" r:id="rId3808" display="https://statiz.sporki.com/player/?m=playerinfo&amp;p_no=11377" xr:uid="{C0FA2AED-01F8-49D7-8703-EF1A7909C0C0}"/>
    <hyperlink ref="B1271" r:id="rId3809" display="https://statiz.sporki.com/add/?m=draft_school01&amp;ps_school=50403" xr:uid="{312FE215-9FF3-493F-B2D1-D8B6623F1D60}"/>
    <hyperlink ref="C1271" r:id="rId3810" display="https://statiz.sporki.com/add/?m=draft_school02&amp;ps_school=" xr:uid="{5679E588-291B-40AD-A6A4-593906788193}"/>
    <hyperlink ref="A1272" r:id="rId3811" display="https://statiz.sporki.com/player/?m=playerinfo&amp;p_no=11383" xr:uid="{145DB28A-87B6-4E82-AACE-EA7016E2A1C9}"/>
    <hyperlink ref="B1272" r:id="rId3812" display="https://statiz.sporki.com/add/?m=draft_school01&amp;ps_school=50116" xr:uid="{BBC7C99B-4155-41F0-8A29-DE77C6600873}"/>
    <hyperlink ref="C1272" r:id="rId3813" display="https://statiz.sporki.com/add/?m=draft_school02&amp;ps_school=60109" xr:uid="{99AE333A-3ED2-4D86-9E91-376E2D25FDBB}"/>
    <hyperlink ref="A1273" r:id="rId3814" display="https://statiz.sporki.com/player/?m=playerinfo&amp;p_no=11391" xr:uid="{2C76F7C5-EF72-4D98-BA3B-98CC77222BBA}"/>
    <hyperlink ref="B1273" r:id="rId3815" display="https://statiz.sporki.com/add/?m=draft_school01&amp;ps_school=50401" xr:uid="{3B379615-996B-4FDB-85F3-E9729F9A0372}"/>
    <hyperlink ref="C1273" r:id="rId3816" display="https://statiz.sporki.com/add/?m=draft_school02&amp;ps_school=" xr:uid="{005FC555-F58D-4EDC-AFF7-E7BD73CAA1CC}"/>
    <hyperlink ref="A1274" r:id="rId3817" display="https://statiz.sporki.com/player/?m=playerinfo&amp;p_no=12529" xr:uid="{C6F02AF8-A392-4B10-8281-5CB7ACAA5C8A}"/>
    <hyperlink ref="B1274" r:id="rId3818" display="https://statiz.sporki.com/add/?m=draft_school01&amp;ps_school=50103" xr:uid="{F6447F2E-B8D2-4704-BD49-25DCC7D5E838}"/>
    <hyperlink ref="C1274" r:id="rId3819" display="https://statiz.sporki.com/add/?m=draft_school02&amp;ps_school=60113" xr:uid="{33A073B6-2492-457E-BDC4-1C5FF742D076}"/>
    <hyperlink ref="A1275" r:id="rId3820" display="https://statiz.sporki.com/player/?m=playerinfo&amp;p_no=11300" xr:uid="{10942F3E-FD6A-463B-86EE-C9D33851423F}"/>
    <hyperlink ref="B1275" r:id="rId3821" display="https://statiz.sporki.com/add/?m=draft_school01&amp;ps_school=50207" xr:uid="{FF8A914E-CC9A-498F-BDC1-310587A3193B}"/>
    <hyperlink ref="C1275" r:id="rId3822" display="https://statiz.sporki.com/add/?m=draft_school02&amp;ps_school=" xr:uid="{389E2E70-25F6-42A3-91DB-8660F2F6D908}"/>
    <hyperlink ref="A1276" r:id="rId3823" display="https://statiz.sporki.com/player/?m=playerinfo&amp;p_no=13245" xr:uid="{757B885F-E918-4122-8106-40C8084C2041}"/>
    <hyperlink ref="B1276" r:id="rId3824" display="https://statiz.sporki.com/add/?m=draft_school01&amp;ps_school=50113" xr:uid="{60512A2E-07BC-48FD-A9F4-CEC250693731}"/>
    <hyperlink ref="C1276" r:id="rId3825" display="https://statiz.sporki.com/add/?m=draft_school02&amp;ps_school=" xr:uid="{5F0EDA7E-4B78-45F4-96AA-F502F2EFA743}"/>
    <hyperlink ref="A1277" r:id="rId3826" display="https://statiz.sporki.com/player/?m=playerinfo&amp;p_no=11356" xr:uid="{10ED665A-B6D0-48E1-A34A-8D26DAA11B2A}"/>
    <hyperlink ref="B1277" r:id="rId3827" display="https://statiz.sporki.com/add/?m=draft_school01&amp;ps_school=50106" xr:uid="{2B591D52-628C-4AC1-8139-6CB3AD98B957}"/>
    <hyperlink ref="C1277" r:id="rId3828" display="https://statiz.sporki.com/add/?m=draft_school02&amp;ps_school=" xr:uid="{3A627450-C768-4CAE-A64B-B0F9E3FCDA9B}"/>
    <hyperlink ref="A1278" r:id="rId3829" display="https://statiz.sporki.com/player/?m=playerinfo&amp;p_no=13273" xr:uid="{181786B6-5077-4A2A-BC80-D31D389C2C2D}"/>
    <hyperlink ref="B1278" r:id="rId3830" display="https://statiz.sporki.com/add/?m=draft_school01&amp;ps_school=50402" xr:uid="{B2BAEE80-20F2-4816-AE56-713CF75271D1}"/>
    <hyperlink ref="C1278" r:id="rId3831" display="https://statiz.sporki.com/add/?m=draft_school02&amp;ps_school=" xr:uid="{5FB4FDBC-9D08-49E8-BF69-A3E989BBD9FD}"/>
    <hyperlink ref="A1279" r:id="rId3832" display="https://statiz.sporki.com/player/?m=playerinfo&amp;p_no=11531" xr:uid="{CDFAEDE9-4FB0-4325-8EDD-78F743F1715F}"/>
    <hyperlink ref="B1279" r:id="rId3833" display="https://statiz.sporki.com/add/?m=draft_school01&amp;ps_school=50605" xr:uid="{EB02A8EC-95A7-4493-9466-6BA0A5700BA2}"/>
    <hyperlink ref="C1279" r:id="rId3834" display="https://statiz.sporki.com/add/?m=draft_school02&amp;ps_school=" xr:uid="{C488B914-F720-47FF-B222-4A65BA202617}"/>
    <hyperlink ref="A1280" r:id="rId3835" display="https://statiz.sporki.com/player/?m=playerinfo&amp;p_no=11389" xr:uid="{9C7D2E02-B856-48E1-BF47-3934E1CF59AB}"/>
    <hyperlink ref="B1280" r:id="rId3836" display="https://statiz.sporki.com/add/?m=draft_school01&amp;ps_school=50804" xr:uid="{4A0AE0B5-8253-4910-AD68-A418BA6EA7A4}"/>
    <hyperlink ref="C1280" r:id="rId3837" display="https://statiz.sporki.com/add/?m=draft_school02&amp;ps_school=60801" xr:uid="{5C73FE49-6CDB-481B-B7B8-EED3109DC49D}"/>
    <hyperlink ref="A1281" r:id="rId3838" display="https://statiz.sporki.com/player/?m=playerinfo&amp;p_no=13057" xr:uid="{E4F5FE68-9FB6-4E51-93F4-D98B475AFC14}"/>
    <hyperlink ref="B1281" r:id="rId3839" display="https://statiz.sporki.com/add/?m=draft_school01&amp;ps_school=50808" xr:uid="{B27F5C24-15BA-436F-B909-DA12824A8573}"/>
    <hyperlink ref="C1281" r:id="rId3840" display="https://statiz.sporki.com/add/?m=draft_school02&amp;ps_school=" xr:uid="{375CD7A8-0754-4E06-9BF9-8F1EB089C357}"/>
    <hyperlink ref="A1282" r:id="rId3841" display="https://statiz.sporki.com/player/?m=playerinfo&amp;p_no=11415" xr:uid="{5DF73C33-8E5E-47FF-9796-A30A1298F035}"/>
    <hyperlink ref="B1282" r:id="rId3842" display="https://statiz.sporki.com/add/?m=draft_school01&amp;ps_school=50302" xr:uid="{95F7FB24-F5D1-419D-AF74-1697AC40CCB0}"/>
    <hyperlink ref="C1282" r:id="rId3843" display="https://statiz.sporki.com/add/?m=draft_school02&amp;ps_school=60803" xr:uid="{86C57394-B90F-4F32-B69A-6E74211990A8}"/>
    <hyperlink ref="A1283" r:id="rId3844" display="https://statiz.sporki.com/player/?m=playerinfo&amp;p_no=14686" xr:uid="{513548D7-CBA9-4851-9F05-EACFCFE45699}"/>
    <hyperlink ref="B1283" r:id="rId3845" display="https://statiz.sporki.com/add/?m=draft_school01&amp;ps_school=50105" xr:uid="{7846986C-A5BF-4E05-8E81-88776CA03255}"/>
    <hyperlink ref="C1283" r:id="rId3846" display="https://statiz.sporki.com/add/?m=draft_school02&amp;ps_school=" xr:uid="{93601AEB-4B28-44D3-B680-9F9CE35BFB58}"/>
    <hyperlink ref="A1284" r:id="rId3847" display="https://statiz.sporki.com/player/?m=playerinfo&amp;p_no=12563" xr:uid="{DA11E2C3-34A0-4C9E-B515-D574194867B3}"/>
    <hyperlink ref="B1284" r:id="rId3848" display="https://statiz.sporki.com/add/?m=draft_school01&amp;ps_school=50110" xr:uid="{3058181E-E2B3-446C-9304-C513FB591748}"/>
    <hyperlink ref="C1284" r:id="rId3849" display="https://statiz.sporki.com/add/?m=draft_school02&amp;ps_school=60204" xr:uid="{AA28AF86-F5AD-4387-80B3-6A8FF236353B}"/>
    <hyperlink ref="A1285" r:id="rId3850" display="https://statiz.sporki.com/player/?m=playerinfo&amp;p_no=13190" xr:uid="{3AF72F46-25A5-48AC-BC9E-64BE296DE48A}"/>
    <hyperlink ref="B1285" r:id="rId3851" display="https://statiz.sporki.com/add/?m=draft_school01&amp;ps_school=50101" xr:uid="{C91B4FC3-CC72-4EFA-937F-9209F4FA03BD}"/>
    <hyperlink ref="C1285" r:id="rId3852" display="https://statiz.sporki.com/add/?m=draft_school02&amp;ps_school=" xr:uid="{6123271A-CE25-49AB-BC7E-BA8081FE1DD2}"/>
    <hyperlink ref="A1286" r:id="rId3853" display="https://statiz.sporki.com/player/?m=playerinfo&amp;p_no=11386" xr:uid="{A59F5B32-EDDC-4DB5-8481-271E4160587E}"/>
    <hyperlink ref="B1286" r:id="rId3854" display="https://statiz.sporki.com/add/?m=draft_school01&amp;ps_school=50207" xr:uid="{0E8CD66B-E1C3-49DE-A346-E5CFA1D42B00}"/>
    <hyperlink ref="C1286" r:id="rId3855" display="https://statiz.sporki.com/add/?m=draft_school02&amp;ps_school=60101" xr:uid="{4491E4E7-A798-4624-A5DD-C354199B0BB9}"/>
    <hyperlink ref="A1287" r:id="rId3856" display="https://statiz.sporki.com/player/?m=playerinfo&amp;p_no=11423" xr:uid="{051A97BB-8F36-4D55-93D2-BE8CAACD3FC4}"/>
    <hyperlink ref="B1287" r:id="rId3857" display="https://statiz.sporki.com/add/?m=draft_school01&amp;ps_school=50110" xr:uid="{78BFAFE5-F516-4875-885D-1F49FC140E33}"/>
    <hyperlink ref="C1287" r:id="rId3858" display="https://statiz.sporki.com/add/?m=draft_school02&amp;ps_school=60104" xr:uid="{4400A08C-A906-4472-9E91-953B85F07091}"/>
    <hyperlink ref="A1288" r:id="rId3859" display="https://statiz.sporki.com/player/?m=playerinfo&amp;p_no=15853" xr:uid="{6BA46F1F-2ED8-430D-8411-815A4AAB7092}"/>
    <hyperlink ref="B1288" r:id="rId3860" display="https://statiz.sporki.com/add/?m=draft_school01&amp;ps_school=50116" xr:uid="{EAA8ED28-6503-4BF5-8013-43B29D502C20}"/>
    <hyperlink ref="C1288" r:id="rId3861" display="https://statiz.sporki.com/add/?m=draft_school02&amp;ps_school=60109" xr:uid="{EABAB9B5-8634-49B3-B734-FF0CB22B2A57}"/>
    <hyperlink ref="A1289" r:id="rId3862" display="https://statiz.sporki.com/player/?m=playerinfo&amp;p_no=13235" xr:uid="{70DE6DA5-C32F-4EF5-B32D-A7862C185560}"/>
    <hyperlink ref="B1289" r:id="rId3863" display="https://statiz.sporki.com/add/?m=draft_school01&amp;ps_school=50110" xr:uid="{FB0F6892-6751-4125-90CA-3FCC97BF2325}"/>
    <hyperlink ref="C1289" r:id="rId3864" display="https://statiz.sporki.com/add/?m=draft_school02&amp;ps_school=60101" xr:uid="{2D2CB868-70E8-4CA4-9DF2-A65F27A2CDAC}"/>
    <hyperlink ref="A1290" r:id="rId3865" display="https://statiz.sporki.com/player/?m=playerinfo&amp;p_no=13276" xr:uid="{EE5118F6-C3B1-4726-8756-F3CF125FF337}"/>
    <hyperlink ref="B1290" r:id="rId3866" display="https://statiz.sporki.com/add/?m=draft_school01&amp;ps_school=50708" xr:uid="{B6BCFF98-8D77-419A-9D00-A52D353DC78E}"/>
    <hyperlink ref="C1290" r:id="rId3867" display="https://statiz.sporki.com/add/?m=draft_school02&amp;ps_school=60504" xr:uid="{84378883-06F0-462B-B208-00A01C42084E}"/>
    <hyperlink ref="A1291" r:id="rId3868" display="https://statiz.sporki.com/player/?m=playerinfo&amp;p_no=13010" xr:uid="{EEF0A098-DF70-43A8-B768-47DEEE91860D}"/>
    <hyperlink ref="B1291" r:id="rId3869" display="https://statiz.sporki.com/add/?m=draft_school01&amp;ps_school=50403" xr:uid="{85071660-16B4-45E9-9437-FFA95D0FE32F}"/>
    <hyperlink ref="C1291" r:id="rId3870" display="https://statiz.sporki.com/add/?m=draft_school02&amp;ps_school=60104" xr:uid="{D66FBCEA-CB30-4F89-8815-85818B20154E}"/>
    <hyperlink ref="A1292" r:id="rId3871" display="https://statiz.sporki.com/player/?m=playerinfo&amp;p_no=12977" xr:uid="{16C5C67F-2B20-4573-9ECE-AF25A213029D}"/>
    <hyperlink ref="B1292" r:id="rId3872" display="https://statiz.sporki.com/add/?m=draft_school01&amp;ps_school=50207" xr:uid="{F27D0D78-65CA-4F8F-B2D7-80DF5E67453C}"/>
    <hyperlink ref="C1292" r:id="rId3873" display="https://statiz.sporki.com/add/?m=draft_school02&amp;ps_school=60109" xr:uid="{11B4F4BB-78A6-41EF-A118-5F8D3DA130FE}"/>
    <hyperlink ref="A1293" r:id="rId3874" display="https://statiz.sporki.com/player/?m=playerinfo&amp;p_no=11394" xr:uid="{5AF7D35D-9921-4DA8-B298-659743034BE3}"/>
    <hyperlink ref="B1293" r:id="rId3875" display="https://statiz.sporki.com/add/?m=draft_school01&amp;ps_school=50108" xr:uid="{3BB3C960-F0C7-48C8-B711-0FCA5DBA14A9}"/>
    <hyperlink ref="C1293" r:id="rId3876" display="https://statiz.sporki.com/add/?m=draft_school02&amp;ps_school=" xr:uid="{5A4368AE-267A-4436-A659-28C78FD17A98}"/>
    <hyperlink ref="A1294" r:id="rId3877" display="https://statiz.sporki.com/player/?m=playerinfo&amp;p_no=11298" xr:uid="{6889033A-16AB-446C-ABDC-E2B1AE16168E}"/>
    <hyperlink ref="B1294" r:id="rId3878" display="https://statiz.sporki.com/add/?m=draft_school01&amp;ps_school=50501" xr:uid="{D1B3FB64-BD83-452C-AA58-2EF3DA50821C}"/>
    <hyperlink ref="C1294" r:id="rId3879" display="https://statiz.sporki.com/add/?m=draft_school02&amp;ps_school=60104" xr:uid="{4C97B9DA-A7C5-4995-80E8-9D3173FB4D61}"/>
    <hyperlink ref="A1295" r:id="rId3880" display="https://statiz.sporki.com/player/?m=playerinfo&amp;p_no=11550" xr:uid="{010E1AD9-63CD-4386-BF7C-5C5903B46791}"/>
    <hyperlink ref="B1295" r:id="rId3881" display="https://statiz.sporki.com/add/?m=draft_school01&amp;ps_school=50803" xr:uid="{67A7A1E3-163F-45EF-986E-B6CCE616A51F}"/>
    <hyperlink ref="C1295" r:id="rId3882" display="https://statiz.sporki.com/add/?m=draft_school02&amp;ps_school=" xr:uid="{F42C0217-607D-440F-AB1C-855625D16CB3}"/>
    <hyperlink ref="A1296" r:id="rId3883" display="https://statiz.sporki.com/player/?m=playerinfo&amp;p_no=11421" xr:uid="{E1ABA7E9-045C-4C49-9D67-C45B3D4946C4}"/>
    <hyperlink ref="B1296" r:id="rId3884" display="https://statiz.sporki.com/add/?m=draft_school01&amp;ps_school=50705" xr:uid="{D1DEE61C-D2AF-4B3D-BF48-F5AD83E5DB06}"/>
    <hyperlink ref="C1296" r:id="rId3885" display="https://statiz.sporki.com/add/?m=draft_school02&amp;ps_school=60103" xr:uid="{443960EC-29C0-4051-BE43-34E85E2289F1}"/>
    <hyperlink ref="A1297" r:id="rId3886" display="https://statiz.sporki.com/player/?m=playerinfo&amp;p_no=11323" xr:uid="{37A859BE-06F2-4462-83C8-FB5A887C63AA}"/>
    <hyperlink ref="B1297" r:id="rId3887" display="https://statiz.sporki.com/add/?m=draft_school01&amp;ps_school=50302" xr:uid="{01ED3622-C94B-450D-87F3-E9433E454245}"/>
    <hyperlink ref="C1297" r:id="rId3888" display="https://statiz.sporki.com/add/?m=draft_school02&amp;ps_school=" xr:uid="{4FF7E7B3-A868-4EB5-9A32-75267AE0768B}"/>
    <hyperlink ref="A1298" r:id="rId3889" display="https://statiz.sporki.com/player/?m=playerinfo&amp;p_no=11324" xr:uid="{D4607547-A2F0-4716-AF7C-458B9BDCB8E6}"/>
    <hyperlink ref="B1298" r:id="rId3890" display="https://statiz.sporki.com/add/?m=draft_school01&amp;ps_school=50804" xr:uid="{F1DF9D92-C354-4470-837A-71D0668C9692}"/>
    <hyperlink ref="C1298" r:id="rId3891" display="https://statiz.sporki.com/add/?m=draft_school02&amp;ps_school=60804" xr:uid="{1F2E32EB-25CA-4F54-B77B-0D2655999A89}"/>
    <hyperlink ref="A1299" r:id="rId3892" display="https://statiz.sporki.com/player/?m=playerinfo&amp;p_no=11548" xr:uid="{162F1800-2801-4C9D-B6DD-38CBD3EFD0DE}"/>
    <hyperlink ref="B1299" r:id="rId3893" display="https://statiz.sporki.com/add/?m=draft_school01&amp;ps_school=" xr:uid="{975B46F9-1D20-4F3F-A546-43D27D2FF9FF}"/>
    <hyperlink ref="C1299" r:id="rId3894" display="https://statiz.sporki.com/add/?m=draft_school02&amp;ps_school=" xr:uid="{6173CA30-2A1C-4153-81DF-2C1101EF8516}"/>
    <hyperlink ref="A1300" r:id="rId3895" display="https://statiz.sporki.com/player/?m=playerinfo&amp;p_no=11305" xr:uid="{FAEB1ED2-1189-4296-BD62-4D758271A8D8}"/>
    <hyperlink ref="B1300" r:id="rId3896" display="https://statiz.sporki.com/add/?m=draft_school01&amp;ps_school=" xr:uid="{6CB2CF12-A269-49C2-BC02-E50093F9CB3C}"/>
    <hyperlink ref="C1300" r:id="rId3897" display="https://statiz.sporki.com/add/?m=draft_school02&amp;ps_school=" xr:uid="{AD63A674-4F9C-418F-AE1D-B0972AA9355D}"/>
    <hyperlink ref="A1301" r:id="rId3898" display="https://statiz.sporki.com/player/?m=playerinfo&amp;p_no=11301" xr:uid="{EA6600EC-92AA-49FE-98CF-825ABB4D646A}"/>
    <hyperlink ref="B1301" r:id="rId3899" display="https://statiz.sporki.com/add/?m=draft_school01&amp;ps_school=" xr:uid="{ECEB30A6-87AA-4326-A9ED-77572B1C2409}"/>
    <hyperlink ref="C1301" r:id="rId3900" display="https://statiz.sporki.com/add/?m=draft_school02&amp;ps_school=" xr:uid="{08C3600B-B1CD-4BE4-B9BB-120C39D1F005}"/>
    <hyperlink ref="A1302" r:id="rId3901" display="https://statiz.sporki.com/player/?m=playerinfo&amp;p_no=11493" xr:uid="{34620C9F-0BB4-465A-88A5-04301305C064}"/>
    <hyperlink ref="B1302" r:id="rId3902" display="https://statiz.sporki.com/add/?m=draft_school01&amp;ps_school=" xr:uid="{1A8835DC-FE6C-4279-AD3A-6D3C6E45382B}"/>
    <hyperlink ref="C1302" r:id="rId3903" display="https://statiz.sporki.com/add/?m=draft_school02&amp;ps_school=" xr:uid="{9FCB6B3B-8559-4717-A0F7-4D7C8293B4A1}"/>
    <hyperlink ref="A1303" r:id="rId3904" display="https://statiz.sporki.com/player/?m=playerinfo&amp;p_no=11338" xr:uid="{0914C19F-1754-4F77-961A-A972138485DD}"/>
    <hyperlink ref="B1303" r:id="rId3905" display="https://statiz.sporki.com/add/?m=draft_school01&amp;ps_school=" xr:uid="{9B705DE6-201D-4D1D-A825-0F3384549CAB}"/>
    <hyperlink ref="C1303" r:id="rId3906" display="https://statiz.sporki.com/add/?m=draft_school02&amp;ps_school=" xr:uid="{A995075A-AAAF-4CBE-AB02-1F6E95EAA9BC}"/>
    <hyperlink ref="A1304" r:id="rId3907" display="https://statiz.sporki.com/player/?m=playerinfo&amp;p_no=11326" xr:uid="{6B741EA9-5FFD-45D5-B7A5-D5CDBAF62CE2}"/>
    <hyperlink ref="B1304" r:id="rId3908" display="https://statiz.sporki.com/add/?m=draft_school01&amp;ps_school=" xr:uid="{1023DBD6-7027-4056-8596-3930EE93E846}"/>
    <hyperlink ref="C1304" r:id="rId3909" display="https://statiz.sporki.com/add/?m=draft_school02&amp;ps_school=" xr:uid="{52C776F1-7D80-479E-87DA-4D284D938950}"/>
    <hyperlink ref="A1305" r:id="rId3910" display="https://statiz.sporki.com/player/?m=playerinfo&amp;p_no=11495" xr:uid="{8A1D7AA9-26C5-4A03-91AD-BE764C39CFE0}"/>
    <hyperlink ref="B1305" r:id="rId3911" display="https://statiz.sporki.com/add/?m=draft_school01&amp;ps_school=" xr:uid="{F5A731CD-0629-4317-B35A-BD313F12DBA8}"/>
    <hyperlink ref="C1305" r:id="rId3912" display="https://statiz.sporki.com/add/?m=draft_school02&amp;ps_school=" xr:uid="{CE746C65-7EBE-40D2-87F0-C66AF1CCF80E}"/>
    <hyperlink ref="A1306" r:id="rId3913" display="https://statiz.sporki.com/player/?m=playerinfo&amp;p_no=11352" xr:uid="{46BECE9A-17E8-4251-8228-CA4CE324C2D7}"/>
    <hyperlink ref="B1306" r:id="rId3914" display="https://statiz.sporki.com/add/?m=draft_school01&amp;ps_school=" xr:uid="{2B56F88D-83E2-4C4B-9105-54153A3DCED0}"/>
    <hyperlink ref="C1306" r:id="rId3915" display="https://statiz.sporki.com/add/?m=draft_school02&amp;ps_school=" xr:uid="{5D92AEC9-15C2-42F6-9125-A7409352A711}"/>
    <hyperlink ref="A1307" r:id="rId3916" display="https://statiz.sporki.com/player/?m=playerinfo&amp;p_no=11345" xr:uid="{6F7207C8-EEE5-46A5-A328-FA17FC80F72A}"/>
    <hyperlink ref="B1307" r:id="rId3917" display="https://statiz.sporki.com/add/?m=draft_school01&amp;ps_school=" xr:uid="{676BE31A-E751-496F-8023-58FBA58EE10B}"/>
    <hyperlink ref="C1307" r:id="rId3918" display="https://statiz.sporki.com/add/?m=draft_school02&amp;ps_school=" xr:uid="{ED5149C7-3E4D-4FC0-B767-08766A64451A}"/>
    <hyperlink ref="A1308" r:id="rId3919" display="https://statiz.sporki.com/player/?m=playerinfo&amp;p_no=11497" xr:uid="{BE1812B5-96B7-42EA-A7EF-22697A01B00C}"/>
    <hyperlink ref="B1308" r:id="rId3920" display="https://statiz.sporki.com/add/?m=draft_school01&amp;ps_school=" xr:uid="{350CD7EA-5C3E-492C-B215-34C781D6E174}"/>
    <hyperlink ref="C1308" r:id="rId3921" display="https://statiz.sporki.com/add/?m=draft_school02&amp;ps_school=" xr:uid="{8F8F947A-7500-4158-906C-AC9C7C7215A2}"/>
    <hyperlink ref="A1309" r:id="rId3922" display="https://statiz.sporki.com/player/?m=playerinfo&amp;p_no=11372" xr:uid="{D5C125E2-3DD5-4300-9FD1-981163A99B8F}"/>
    <hyperlink ref="B1309" r:id="rId3923" display="https://statiz.sporki.com/add/?m=draft_school01&amp;ps_school=" xr:uid="{37B11067-363E-4BD5-B210-320FBB9EBDB9}"/>
    <hyperlink ref="C1309" r:id="rId3924" display="https://statiz.sporki.com/add/?m=draft_school02&amp;ps_school=" xr:uid="{FDD64F6C-FD47-425A-9652-82EFFF1F3D80}"/>
    <hyperlink ref="A1310" r:id="rId3925" display="https://statiz.sporki.com/player/?m=playerinfo&amp;p_no=11368" xr:uid="{9A3566E3-4227-4D94-87BD-46AAC33255C1}"/>
    <hyperlink ref="B1310" r:id="rId3926" display="https://statiz.sporki.com/add/?m=draft_school01&amp;ps_school=" xr:uid="{2F7436D3-6C1C-4F11-BDCC-282136F770C1}"/>
    <hyperlink ref="C1310" r:id="rId3927" display="https://statiz.sporki.com/add/?m=draft_school02&amp;ps_school=" xr:uid="{32B9EA5B-23D7-4657-BD36-4A84AFC1B2EB}"/>
    <hyperlink ref="A1311" r:id="rId3928" display="https://statiz.sporki.com/player/?m=playerinfo&amp;p_no=11380" xr:uid="{D6C90B54-B4EB-4BB2-980C-456BC0DAB840}"/>
    <hyperlink ref="B1311" r:id="rId3929" display="https://statiz.sporki.com/add/?m=draft_school01&amp;ps_school=" xr:uid="{33D3DBD1-1DE7-4552-AF9F-E57D169EAF78}"/>
    <hyperlink ref="C1311" r:id="rId3930" display="https://statiz.sporki.com/add/?m=draft_school02&amp;ps_school=" xr:uid="{F19EAF6D-B702-42AD-BDF6-45EFDB9E1E59}"/>
    <hyperlink ref="A1312" r:id="rId3931" display="https://statiz.sporki.com/player/?m=playerinfo&amp;p_no=11382" xr:uid="{7C2EF591-DE77-4632-8BEA-6963E28A686B}"/>
    <hyperlink ref="B1312" r:id="rId3932" display="https://statiz.sporki.com/add/?m=draft_school01&amp;ps_school=" xr:uid="{7FBCF06A-8027-4038-A916-539B0E8FA29A}"/>
    <hyperlink ref="C1312" r:id="rId3933" display="https://statiz.sporki.com/add/?m=draft_school02&amp;ps_school=" xr:uid="{CFCE150A-97DE-4292-A638-77EDC853391F}"/>
    <hyperlink ref="A1313" r:id="rId3934" display="https://statiz.sporki.com/player/?m=playerinfo&amp;p_no=11496" xr:uid="{2E50882C-C0C6-4621-B411-AA01191178BA}"/>
    <hyperlink ref="B1313" r:id="rId3935" display="https://statiz.sporki.com/add/?m=draft_school01&amp;ps_school=" xr:uid="{FAB8C72E-8E5D-476E-AC93-DA4E465CFF14}"/>
    <hyperlink ref="C1313" r:id="rId3936" display="https://statiz.sporki.com/add/?m=draft_school02&amp;ps_school=" xr:uid="{2C968579-5FC0-4D29-8585-2D63207DD80B}"/>
    <hyperlink ref="A1314" r:id="rId3937" display="https://statiz.sporki.com/player/?m=playerinfo&amp;p_no=11494" xr:uid="{9195B8BC-F019-4281-A555-A5041CBD56C9}"/>
    <hyperlink ref="B1314" r:id="rId3938" display="https://statiz.sporki.com/add/?m=draft_school01&amp;ps_school=" xr:uid="{E7430887-A11A-4D41-8CC6-A155C119EDBF}"/>
    <hyperlink ref="C1314" r:id="rId3939" display="https://statiz.sporki.com/add/?m=draft_school02&amp;ps_school=" xr:uid="{37B55E7F-E244-4F9B-8C5A-7AC52DE4A585}"/>
    <hyperlink ref="A1315" r:id="rId3940" display="https://statiz.sporki.com/player/?m=playerinfo&amp;p_no=11395" xr:uid="{5D679A1B-47ED-4145-B18B-F7BA7EBCF5D5}"/>
    <hyperlink ref="B1315" r:id="rId3941" display="https://statiz.sporki.com/add/?m=draft_school01&amp;ps_school=" xr:uid="{CEC20756-EB27-4BEE-9BC9-0C684CB31CAD}"/>
    <hyperlink ref="C1315" r:id="rId3942" display="https://statiz.sporki.com/add/?m=draft_school02&amp;ps_school=" xr:uid="{533BC0B9-2470-41B3-B8AF-990ED5A5BA97}"/>
    <hyperlink ref="A1316" r:id="rId3943" display="https://statiz.sporki.com/player/?m=playerinfo&amp;p_no=11393" xr:uid="{6D79F65C-A8E5-4271-9D65-0E7B7D0996C9}"/>
    <hyperlink ref="B1316" r:id="rId3944" display="https://statiz.sporki.com/add/?m=draft_school01&amp;ps_school=" xr:uid="{427D823A-FA51-4EF0-93EA-7E9F17FF4E21}"/>
    <hyperlink ref="C1316" r:id="rId3945" display="https://statiz.sporki.com/add/?m=draft_school02&amp;ps_school=" xr:uid="{B3A74EF8-BDAE-4D68-A34F-268F9A049CAF}"/>
    <hyperlink ref="A1317" r:id="rId3946" display="https://statiz.sporki.com/player/?m=playerinfo&amp;p_no=11392" xr:uid="{69712FA0-58B8-46C1-A185-84D905CF7A62}"/>
    <hyperlink ref="B1317" r:id="rId3947" display="https://statiz.sporki.com/add/?m=draft_school01&amp;ps_school=" xr:uid="{B3C65172-85BA-4EDC-81DC-241634B5DF35}"/>
    <hyperlink ref="C1317" r:id="rId3948" display="https://statiz.sporki.com/add/?m=draft_school02&amp;ps_school=" xr:uid="{8E23B080-2A31-4D63-801C-0A2BC6979B1C}"/>
    <hyperlink ref="A1318" r:id="rId3949" display="https://statiz.sporki.com/player/?m=playerinfo&amp;p_no=11408" xr:uid="{6085E2B3-068F-48EF-B0F8-F42FFF49145E}"/>
    <hyperlink ref="B1318" r:id="rId3950" display="https://statiz.sporki.com/add/?m=draft_school01&amp;ps_school=" xr:uid="{E4A55B12-2B6C-4113-8806-AA39BFA0593D}"/>
    <hyperlink ref="C1318" r:id="rId3951" display="https://statiz.sporki.com/add/?m=draft_school02&amp;ps_school=" xr:uid="{9EC4FFE1-85C1-432E-9075-8558BD99C45F}"/>
    <hyperlink ref="A1319" r:id="rId3952" display="https://statiz.sporki.com/player/?m=playerinfo&amp;p_no=11409" xr:uid="{71E4CB94-82B6-46C3-AF00-1988A3378D97}"/>
    <hyperlink ref="B1319" r:id="rId3953" display="https://statiz.sporki.com/add/?m=draft_school01&amp;ps_school=" xr:uid="{A7AA4730-3B46-4CFB-B890-2B06B82FE77A}"/>
    <hyperlink ref="C1319" r:id="rId3954" display="https://statiz.sporki.com/add/?m=draft_school02&amp;ps_school=" xr:uid="{DB391447-632E-4184-89CE-7C95DA523105}"/>
    <hyperlink ref="A1320" r:id="rId3955" display="https://statiz.sporki.com/player/?m=playerinfo&amp;p_no=11549" xr:uid="{BF91EB2C-2099-483F-89BD-BEE3BC6B8865}"/>
    <hyperlink ref="B1320" r:id="rId3956" display="https://statiz.sporki.com/add/?m=draft_school01&amp;ps_school=" xr:uid="{BBE97632-D6CC-4D73-B20A-5E721796000F}"/>
    <hyperlink ref="C1320" r:id="rId3957" display="https://statiz.sporki.com/add/?m=draft_school02&amp;ps_school=" xr:uid="{8FFC5CDF-2EEC-4F26-A6E9-6A47533D58E4}"/>
    <hyperlink ref="A1321" r:id="rId3958" display="https://statiz.sporki.com/player/?m=playerinfo&amp;p_no=11416" xr:uid="{EFFEBC95-D6B4-4BEA-9421-CCDACD1F96AC}"/>
    <hyperlink ref="B1321" r:id="rId3959" display="https://statiz.sporki.com/add/?m=draft_school01&amp;ps_school=" xr:uid="{A5FBC19E-8B3E-4C1D-A2E8-F2D6CAB67A5E}"/>
    <hyperlink ref="C1321" r:id="rId3960" display="https://statiz.sporki.com/add/?m=draft_school02&amp;ps_school=61104" xr:uid="{1762A667-6A5E-407D-907D-5AB93EB9BCDF}"/>
    <hyperlink ref="A1322" r:id="rId3961" display="https://statiz.sporki.com/player/?m=playerinfo&amp;p_no=11490" xr:uid="{A1F60DBC-1131-4714-AC03-BB00FA3BC524}"/>
    <hyperlink ref="B1322" r:id="rId3962" display="https://statiz.sporki.com/add/?m=draft_school01&amp;ps_school=" xr:uid="{0117613B-DE2C-4EE7-91F1-104369F516E5}"/>
    <hyperlink ref="C1322" r:id="rId3963" display="https://statiz.sporki.com/add/?m=draft_school02&amp;ps_school=" xr:uid="{3BA5AAE0-7BB7-4559-90A3-E693FC7D10CC}"/>
    <hyperlink ref="A1323" r:id="rId3964" display="https://statiz.sporki.com/player/?m=playerinfo&amp;p_no=12520" xr:uid="{90C57CC9-6667-4880-8262-F378D19F405C}"/>
    <hyperlink ref="B1323" r:id="rId3965" display="https://statiz.sporki.com/add/?m=draft_school01&amp;ps_school=50807" xr:uid="{08F2ACFA-5152-467B-B1DD-8D06D9F37C00}"/>
    <hyperlink ref="C1323" r:id="rId3966" display="https://statiz.sporki.com/add/?m=draft_school02&amp;ps_school=60804" xr:uid="{7B2C1A50-00CE-4C7F-AC2A-F485F50E8ABA}"/>
    <hyperlink ref="A1324" r:id="rId3967" display="https://statiz.sporki.com/player/?m=playerinfo&amp;p_no=14187" xr:uid="{373CEAC8-1619-4D3E-BF59-F8B51B8A4ACF}"/>
    <hyperlink ref="B1324" r:id="rId3968" display="https://statiz.sporki.com/add/?m=draft_school01&amp;ps_school=50110" xr:uid="{4A469331-3B5C-4B79-904E-0A42AF1CCA75}"/>
    <hyperlink ref="C1324" r:id="rId3969" display="https://statiz.sporki.com/add/?m=draft_school02&amp;ps_school=" xr:uid="{B0EFA1E9-40CC-4751-AD8E-D81B4F0B9A8A}"/>
    <hyperlink ref="A1325" r:id="rId3970" display="https://statiz.sporki.com/player/?m=playerinfo&amp;p_no=14197" xr:uid="{E54846C6-372D-4D56-8292-3B5E3307C77B}"/>
    <hyperlink ref="B1325" r:id="rId3971" display="https://statiz.sporki.com/add/?m=draft_school01&amp;ps_school=50206" xr:uid="{DB1D4CC0-E0A8-46A8-9A74-F56C7AF44C8B}"/>
    <hyperlink ref="C1325" r:id="rId3972" display="https://statiz.sporki.com/add/?m=draft_school02&amp;ps_school=" xr:uid="{07FF204B-2B2C-4D22-954A-FF636F25FC1E}"/>
    <hyperlink ref="A1326" r:id="rId3973" display="https://statiz.sporki.com/player/?m=playerinfo&amp;p_no=11498" xr:uid="{A3426DA6-CCE2-4C50-84DE-8E2E026FED14}"/>
    <hyperlink ref="B1326" r:id="rId3974" display="https://statiz.sporki.com/add/?m=draft_school01&amp;ps_school=50209" xr:uid="{F903C12C-625D-45D9-AA02-91ABFEF3313C}"/>
    <hyperlink ref="C1326" r:id="rId3975" display="https://statiz.sporki.com/add/?m=draft_school02&amp;ps_school=60115" xr:uid="{6165A722-8365-4FFF-8F0E-294B7DBF0A50}"/>
    <hyperlink ref="A1327" r:id="rId3976" display="https://statiz.sporki.com/player/?m=playerinfo&amp;p_no=14217" xr:uid="{F6402B5F-3B34-4651-9146-0697ADBA61C5}"/>
    <hyperlink ref="B1327" r:id="rId3977" display="https://statiz.sporki.com/add/?m=draft_school01&amp;ps_school=50116" xr:uid="{DFDEEFB5-B8CB-4F3B-94A6-FEBA700BD2A1}"/>
    <hyperlink ref="C1327" r:id="rId3978" display="https://statiz.sporki.com/add/?m=draft_school02&amp;ps_school=" xr:uid="{A4C32CF1-E410-4CD6-9F42-F86A8901D9D2}"/>
    <hyperlink ref="A1328" r:id="rId3979" display="https://statiz.sporki.com/player/?m=playerinfo&amp;p_no=12683" xr:uid="{BF389E30-4A13-4034-B7DA-BCF3F17E46F0}"/>
    <hyperlink ref="B1328" r:id="rId3980" display="https://statiz.sporki.com/add/?m=draft_school01&amp;ps_school=50502" xr:uid="{428F7A35-AA7B-4009-BA4A-AB76F7406DE7}"/>
    <hyperlink ref="C1328" r:id="rId3981" display="https://statiz.sporki.com/add/?m=draft_school02&amp;ps_school=60501" xr:uid="{C19A7230-4C65-4F38-A97A-C41295956763}"/>
    <hyperlink ref="A1329" r:id="rId3982" display="https://statiz.sporki.com/player/?m=playerinfo&amp;p_no=13056" xr:uid="{945AD4F3-010A-4D1E-ADA9-881F3F5CCB1A}"/>
    <hyperlink ref="B1329" r:id="rId3983" display="https://statiz.sporki.com/add/?m=draft_school01&amp;ps_school=50209" xr:uid="{9C26DA65-1302-4D13-8A64-F6CE65D3CC35}"/>
    <hyperlink ref="C1329" r:id="rId3984" display="https://statiz.sporki.com/add/?m=draft_school02&amp;ps_school=" xr:uid="{84C51742-E75D-4FFF-AC63-2C159D1FCAA0}"/>
    <hyperlink ref="A1330" r:id="rId3985" display="https://statiz.sporki.com/player/?m=playerinfo&amp;p_no=12687" xr:uid="{7266DFD1-01F5-4DD3-97C2-D286D440C335}"/>
    <hyperlink ref="B1330" r:id="rId3986" display="https://statiz.sporki.com/add/?m=draft_school01&amp;ps_school=50403" xr:uid="{203F4377-5643-418E-AB4F-7AA1057F8AE4}"/>
    <hyperlink ref="C1330" r:id="rId3987" display="https://statiz.sporki.com/add/?m=draft_school02&amp;ps_school=" xr:uid="{718F1BE0-B523-49D4-BEB1-6A1391D3DBC3}"/>
    <hyperlink ref="A1331" r:id="rId3988" display="https://statiz.sporki.com/player/?m=playerinfo&amp;p_no=12662" xr:uid="{1ADF28E9-E3FE-42C0-82B9-755B12547144}"/>
    <hyperlink ref="B1331" r:id="rId3989" display="https://statiz.sporki.com/add/?m=draft_school01&amp;ps_school=50208" xr:uid="{2538F633-3BFD-4E0E-9213-EC711B7B6F97}"/>
    <hyperlink ref="C1331" r:id="rId3990" display="https://statiz.sporki.com/add/?m=draft_school02&amp;ps_school=" xr:uid="{120DF77F-EADC-4E56-B13C-982F3D832F81}"/>
    <hyperlink ref="A1332" r:id="rId3991" display="https://statiz.sporki.com/player/?m=playerinfo&amp;p_no=14203" xr:uid="{5305BFAD-05DD-4901-A880-2679D32D3B8F}"/>
    <hyperlink ref="B1332" r:id="rId3992" display="https://statiz.sporki.com/add/?m=draft_school01&amp;ps_school=50208" xr:uid="{BD83BB20-DDE1-430C-83D1-B9CA7F505C60}"/>
    <hyperlink ref="C1332" r:id="rId3993" display="https://statiz.sporki.com/add/?m=draft_school02&amp;ps_school=" xr:uid="{94AEDCA9-E67C-4B9A-822C-54D1037542C7}"/>
    <hyperlink ref="A1333" r:id="rId3994" display="https://statiz.sporki.com/player/?m=playerinfo&amp;p_no=12699" xr:uid="{1D31C8DA-5095-4D41-9F63-A66A5238C5C6}"/>
    <hyperlink ref="B1333" r:id="rId3995" display="https://statiz.sporki.com/add/?m=draft_school01&amp;ps_school=50113" xr:uid="{5348EFFF-1BDD-4B98-85BA-62457B8E7A8A}"/>
    <hyperlink ref="C1333" r:id="rId3996" display="https://statiz.sporki.com/add/?m=draft_school02&amp;ps_school=" xr:uid="{B4471467-13B1-4BCB-B6D7-AC555BC39448}"/>
    <hyperlink ref="A1334" r:id="rId3997" display="https://statiz.sporki.com/player/?m=playerinfo&amp;p_no=11483" xr:uid="{2EB73BE2-CE95-4292-92CC-4A33C5B59EC4}"/>
    <hyperlink ref="B1334" r:id="rId3998" display="https://statiz.sporki.com/add/?m=draft_school01&amp;ps_school=50804" xr:uid="{78608CA2-5AB0-4B12-8F56-5018E751D646}"/>
    <hyperlink ref="C1334" r:id="rId3999" display="https://statiz.sporki.com/add/?m=draft_school02&amp;ps_school=60804" xr:uid="{EC665B61-23EC-468C-905D-1E765BC2698F}"/>
    <hyperlink ref="A1335" r:id="rId4000" display="https://statiz.sporki.com/player/?m=playerinfo&amp;p_no=12644" xr:uid="{ED42037C-816A-4D6D-992A-29EDAFD1B5B9}"/>
    <hyperlink ref="B1335" r:id="rId4001" display="https://statiz.sporki.com/add/?m=draft_school01&amp;ps_school=50107" xr:uid="{D357058E-0B0E-45E7-8D34-596FB74D2093}"/>
    <hyperlink ref="C1335" r:id="rId4002" display="https://statiz.sporki.com/add/?m=draft_school02&amp;ps_school=60103" xr:uid="{E67A6AD9-CA0C-4CAA-AB34-D96C2FC18465}"/>
    <hyperlink ref="A1336" r:id="rId4003" display="https://statiz.sporki.com/player/?m=playerinfo&amp;p_no=11418" xr:uid="{ECA5FAD9-AE73-46FD-9B0D-2000B591C987}"/>
    <hyperlink ref="B1336" r:id="rId4004" display="https://statiz.sporki.com/add/?m=draft_school01&amp;ps_school=50109" xr:uid="{70B400A6-74CA-4C2A-A468-E19C83AB0802}"/>
    <hyperlink ref="C1336" r:id="rId4005" display="https://statiz.sporki.com/add/?m=draft_school02&amp;ps_school=60705" xr:uid="{F9C21A03-DAB9-4CBB-AC1B-612619328E22}"/>
    <hyperlink ref="A1337" r:id="rId4006" display="https://statiz.sporki.com/player/?m=playerinfo&amp;p_no=11419" xr:uid="{7BD73486-2213-4B90-8B78-02205F26BDD0}"/>
    <hyperlink ref="B1337" r:id="rId4007" display="https://statiz.sporki.com/add/?m=draft_school01&amp;ps_school=50109" xr:uid="{BF26C94A-E0A5-4F10-91F0-BE81D9FE7CCE}"/>
    <hyperlink ref="C1337" r:id="rId4008" display="https://statiz.sporki.com/add/?m=draft_school02&amp;ps_school=" xr:uid="{DEAD9209-3D44-4E75-B903-E91D86E44D18}"/>
    <hyperlink ref="A1338" r:id="rId4009" display="https://statiz.sporki.com/player/?m=playerinfo&amp;p_no=11492" xr:uid="{6C2E710A-1E94-4861-A235-A6CF081D392A}"/>
    <hyperlink ref="B1338" r:id="rId4010" display="https://statiz.sporki.com/add/?m=draft_school01&amp;ps_school=51101" xr:uid="{BCADC02A-E862-416F-8C64-F4DAF4F96CB1}"/>
    <hyperlink ref="C1338" r:id="rId4011" display="https://statiz.sporki.com/add/?m=draft_school02&amp;ps_school=" xr:uid="{EB706EF7-FAE3-46B2-8FFE-10A70BF738C2}"/>
    <hyperlink ref="A1339" r:id="rId4012" display="https://statiz.sporki.com/player/?m=playerinfo&amp;p_no=11263" xr:uid="{AEB67716-F1D0-46EE-8640-A2CFCB0CABE0}"/>
    <hyperlink ref="B1339" r:id="rId4013" display="https://statiz.sporki.com/add/?m=draft_school01&amp;ps_school=50606" xr:uid="{A157608C-6158-417E-813D-02249C61B31D}"/>
    <hyperlink ref="C1339" r:id="rId4014" display="https://statiz.sporki.com/add/?m=draft_school02&amp;ps_school=" xr:uid="{FE909421-C0EA-402F-B804-5B1AC6880FFF}"/>
    <hyperlink ref="A1340" r:id="rId4015" display="https://statiz.sporki.com/player/?m=playerinfo&amp;p_no=11310" xr:uid="{AEF64EC4-48CD-4CD6-87F2-1981A80093E4}"/>
    <hyperlink ref="B1340" r:id="rId4016" display="https://statiz.sporki.com/add/?m=draft_school01&amp;ps_school=50701" xr:uid="{8E0AF457-9E5D-4A9F-8A66-5EC232846652}"/>
    <hyperlink ref="C1340" r:id="rId4017" display="https://statiz.sporki.com/add/?m=draft_school02&amp;ps_school=" xr:uid="{51D5F2C4-B6F1-476A-9561-2CD1BA8943CE}"/>
    <hyperlink ref="A1341" r:id="rId4018" display="https://statiz.sporki.com/player/?m=playerinfo&amp;p_no=11211" xr:uid="{C4CDA3A2-7FD5-472D-9C7B-045DC082725A}"/>
    <hyperlink ref="B1341" r:id="rId4019" display="https://statiz.sporki.com/add/?m=draft_school01&amp;ps_school=51001" xr:uid="{0F157B40-A819-4601-925D-6AD4FB926737}"/>
    <hyperlink ref="C1341" r:id="rId4020" display="https://statiz.sporki.com/add/?m=draft_school02&amp;ps_school=" xr:uid="{AB621883-EFC8-4FAE-AA88-9B2ADFD27D8C}"/>
    <hyperlink ref="A1342" r:id="rId4021" display="https://statiz.sporki.com/player/?m=playerinfo&amp;p_no=11243" xr:uid="{C2E75D3B-1A75-4CCC-A745-3B45223D7771}"/>
    <hyperlink ref="B1342" r:id="rId4022" display="https://statiz.sporki.com/add/?m=draft_school01&amp;ps_school=50602" xr:uid="{7059B4FC-8B79-445F-AFA3-D35CC2670025}"/>
    <hyperlink ref="C1342" r:id="rId4023" display="https://statiz.sporki.com/add/?m=draft_school02&amp;ps_school=60104" xr:uid="{7A91202E-A634-43F7-8F7F-7A3317774D77}"/>
    <hyperlink ref="A1343" r:id="rId4024" display="https://statiz.sporki.com/player/?m=playerinfo&amp;p_no=11242" xr:uid="{E4C87E43-B494-4D2E-A3E7-51168346BDB4}"/>
    <hyperlink ref="B1343" r:id="rId4025" display="https://statiz.sporki.com/add/?m=draft_school01&amp;ps_school=50202" xr:uid="{F48AED61-EE97-46BD-A39A-FC3A23F32568}"/>
    <hyperlink ref="C1343" r:id="rId4026" display="https://statiz.sporki.com/add/?m=draft_school02&amp;ps_school=" xr:uid="{23D32EFF-EC92-42E5-9548-D134DE234B7C}"/>
    <hyperlink ref="A1344" r:id="rId4027" display="https://statiz.sporki.com/player/?m=playerinfo&amp;p_no=11226" xr:uid="{63D37DB8-6259-47E1-BE4C-2FB24EA1964E}"/>
    <hyperlink ref="B1344" r:id="rId4028" display="https://statiz.sporki.com/add/?m=draft_school01&amp;ps_school=50103" xr:uid="{9417DBFD-59DC-4BD7-ADE5-404CAAE35CB8}"/>
    <hyperlink ref="C1344" r:id="rId4029" display="https://statiz.sporki.com/add/?m=draft_school02&amp;ps_school=" xr:uid="{F2B018A3-C04A-4874-9844-6AA31DB46ED8}"/>
    <hyperlink ref="A1345" r:id="rId4030" display="https://statiz.sporki.com/player/?m=playerinfo&amp;p_no=11203" xr:uid="{642CB859-8453-4025-90B6-64D6B34E13EC}"/>
    <hyperlink ref="B1345" r:id="rId4031" display="https://statiz.sporki.com/add/?m=draft_school01&amp;ps_school=50103" xr:uid="{07659FBC-93E4-4DA1-99EF-2F355FC91113}"/>
    <hyperlink ref="C1345" r:id="rId4032" display="https://statiz.sporki.com/add/?m=draft_school02&amp;ps_school=" xr:uid="{685D7173-622A-4996-8538-EB2A82A8BB73}"/>
    <hyperlink ref="A1346" r:id="rId4033" display="https://statiz.sporki.com/player/?m=playerinfo&amp;p_no=11229" xr:uid="{0797CBF2-327E-4748-AB08-ABD915839C2A}"/>
    <hyperlink ref="B1346" r:id="rId4034" display="https://statiz.sporki.com/add/?m=draft_school01&amp;ps_school=50802" xr:uid="{90E6B599-28B8-49EA-934A-4CF9A8287D97}"/>
    <hyperlink ref="C1346" r:id="rId4035" display="https://statiz.sporki.com/add/?m=draft_school02&amp;ps_school=" xr:uid="{B836E898-7790-45EE-A71A-3D37DEEADC59}"/>
    <hyperlink ref="A1347" r:id="rId4036" display="https://statiz.sporki.com/player/?m=playerinfo&amp;p_no=11196" xr:uid="{6AD973BA-0745-4935-86D0-EF58E62373E0}"/>
    <hyperlink ref="B1347" r:id="rId4037" display="https://statiz.sporki.com/add/?m=draft_school01&amp;ps_school=50705" xr:uid="{FD6363C8-F5F2-4F0C-884A-9F32876AF8C3}"/>
    <hyperlink ref="C1347" r:id="rId4038" display="https://statiz.sporki.com/add/?m=draft_school02&amp;ps_school=" xr:uid="{FB78C3E5-08C4-471E-A52D-14EC4CEDD262}"/>
    <hyperlink ref="A1348" r:id="rId4039" display="https://statiz.sporki.com/player/?m=playerinfo&amp;p_no=11278" xr:uid="{C4627F63-3921-413E-94C5-D00CDF23689C}"/>
    <hyperlink ref="B1348" r:id="rId4040" display="https://statiz.sporki.com/add/?m=draft_school01&amp;ps_school=50302" xr:uid="{B0F4C157-A654-4A0E-BD06-DF7237776C25}"/>
    <hyperlink ref="C1348" r:id="rId4041" display="https://statiz.sporki.com/add/?m=draft_school02&amp;ps_school=" xr:uid="{44B528FF-1EA4-4072-A268-6285779BC57A}"/>
    <hyperlink ref="A1349" r:id="rId4042" display="https://statiz.sporki.com/player/?m=playerinfo&amp;p_no=11255" xr:uid="{20E8CE9C-84EB-4C1D-82D3-33AD22999FB1}"/>
    <hyperlink ref="B1349" r:id="rId4043" display="https://statiz.sporki.com/add/?m=draft_school01&amp;ps_school=50206" xr:uid="{B5174C31-FD77-446B-B4DE-A3148C619F43}"/>
    <hyperlink ref="C1349" r:id="rId4044" display="https://statiz.sporki.com/add/?m=draft_school02&amp;ps_school=60501" xr:uid="{B3B7CE99-7539-4BDB-B3C5-96DCA7A0050F}"/>
    <hyperlink ref="A1350" r:id="rId4045" display="https://statiz.sporki.com/player/?m=playerinfo&amp;p_no=11308" xr:uid="{8A749C61-2D2A-464F-AE68-22B05E6D0FBD}"/>
    <hyperlink ref="B1350" r:id="rId4046" display="https://statiz.sporki.com/add/?m=draft_school01&amp;ps_school=50605" xr:uid="{A4606593-FAA5-44AE-9823-E2CC4871FACC}"/>
    <hyperlink ref="C1350" r:id="rId4047" display="https://statiz.sporki.com/add/?m=draft_school02&amp;ps_school=60104" xr:uid="{9BC73C37-2200-4671-9063-61A5F6D4A1E5}"/>
    <hyperlink ref="A1351" r:id="rId4048" display="https://statiz.sporki.com/player/?m=playerinfo&amp;p_no=11333" xr:uid="{E2CEE8E7-E1E6-4114-AFF5-0F54DD4DAA1E}"/>
    <hyperlink ref="B1351" r:id="rId4049" display="https://statiz.sporki.com/add/?m=draft_school01&amp;ps_school=50105" xr:uid="{23C1C595-31A1-4031-B856-4C1E515EB0AF}"/>
    <hyperlink ref="C1351" r:id="rId4050" display="https://statiz.sporki.com/add/?m=draft_school02&amp;ps_school=60103" xr:uid="{462688C1-7A2E-4BFA-B683-3C06DE768647}"/>
    <hyperlink ref="A1352" r:id="rId4051" display="https://statiz.sporki.com/player/?m=playerinfo&amp;p_no=11328" xr:uid="{E454F2B4-1A2C-436A-B8B2-64C32A4C408A}"/>
    <hyperlink ref="B1352" r:id="rId4052" display="https://statiz.sporki.com/add/?m=draft_school01&amp;ps_school=50114" xr:uid="{33C5DE9C-262A-4112-880C-5C3BD1A21A18}"/>
    <hyperlink ref="C1352" r:id="rId4053" display="https://statiz.sporki.com/add/?m=draft_school02&amp;ps_school=60803" xr:uid="{A543491E-03D0-4B68-A9F6-B6E97325DF5A}"/>
    <hyperlink ref="A1353" r:id="rId4054" display="https://statiz.sporki.com/player/?m=playerinfo&amp;p_no=11330" xr:uid="{67D8A024-EBAB-4472-B5D2-70651A06BA23}"/>
    <hyperlink ref="B1353" r:id="rId4055" display="https://statiz.sporki.com/add/?m=draft_school01&amp;ps_school=50202" xr:uid="{DCF607D0-AF87-4E23-B208-CDEB302359C3}"/>
    <hyperlink ref="C1353" r:id="rId4056" display="https://statiz.sporki.com/add/?m=draft_school02&amp;ps_school=60104" xr:uid="{7E0E25B2-0DD5-49A1-A10F-58168F7604D6}"/>
    <hyperlink ref="A1354" r:id="rId4057" display="https://statiz.sporki.com/player/?m=playerinfo&amp;p_no=11334" xr:uid="{204F0C34-5BF4-45F5-A9AC-273994767E12}"/>
    <hyperlink ref="B1354" r:id="rId4058" display="https://statiz.sporki.com/add/?m=draft_school01&amp;ps_school=50101" xr:uid="{2620F329-CA15-4DF0-AE29-FAF5E901474D}"/>
    <hyperlink ref="C1354" r:id="rId4059" display="https://statiz.sporki.com/add/?m=draft_school02&amp;ps_school=" xr:uid="{34274637-0074-4EF0-A2CD-AEE1A097FD8A}"/>
    <hyperlink ref="A1355" r:id="rId4060" display="https://statiz.sporki.com/player/?m=playerinfo&amp;p_no=11329" xr:uid="{EF4FC97D-C4CA-4E99-9535-6450794633F5}"/>
    <hyperlink ref="B1355" r:id="rId4061" display="https://statiz.sporki.com/add/?m=draft_school01&amp;ps_school=50805" xr:uid="{3667D3DA-5254-4BD9-99F1-34F377AD4B42}"/>
    <hyperlink ref="C1355" r:id="rId4062" display="https://statiz.sporki.com/add/?m=draft_school02&amp;ps_school=" xr:uid="{37D5589D-B4B7-45CC-B1E6-97B470195965}"/>
    <hyperlink ref="A1356" r:id="rId4063" display="https://statiz.sporki.com/player/?m=playerinfo&amp;p_no=11212" xr:uid="{FCF2F630-6E56-47FB-943C-E593F341985B}"/>
    <hyperlink ref="B1356" r:id="rId4064" display="https://statiz.sporki.com/add/?m=draft_school01&amp;ps_school=50108" xr:uid="{CBDCF126-EB8B-4DB5-AB1B-D1FDDD5DE2F2}"/>
    <hyperlink ref="C1356" r:id="rId4065" display="https://statiz.sporki.com/add/?m=draft_school02&amp;ps_school=60105" xr:uid="{7C3D9C75-DFFC-4642-A47B-B84150C80CDB}"/>
    <hyperlink ref="A1357" r:id="rId4066" display="https://statiz.sporki.com/player/?m=playerinfo&amp;p_no=11248" xr:uid="{17F25EC9-6CDD-493F-BE94-F8EAEA509549}"/>
    <hyperlink ref="B1357" r:id="rId4067" display="https://statiz.sporki.com/add/?m=draft_school01&amp;ps_school=50107" xr:uid="{EA9187FD-F9B3-4E33-9BBF-A6C899AF3564}"/>
    <hyperlink ref="C1357" r:id="rId4068" display="https://statiz.sporki.com/add/?m=draft_school02&amp;ps_school=" xr:uid="{FD084FAD-A586-4985-B83B-64D93684F1C2}"/>
    <hyperlink ref="A1358" r:id="rId4069" display="https://statiz.sporki.com/player/?m=playerinfo&amp;p_no=11235" xr:uid="{E137B830-A437-4AE4-94AB-D78E32B31CE6}"/>
    <hyperlink ref="B1358" r:id="rId4070" display="https://statiz.sporki.com/add/?m=draft_school01&amp;ps_school=50601" xr:uid="{EC22A0AF-0BAB-44BB-8E43-4357D8449FC0}"/>
    <hyperlink ref="C1358" r:id="rId4071" display="https://statiz.sporki.com/add/?m=draft_school02&amp;ps_school=" xr:uid="{4B4E3539-AD30-46E4-B859-28C68B33748E}"/>
    <hyperlink ref="A1359" r:id="rId4072" display="https://statiz.sporki.com/player/?m=playerinfo&amp;p_no=11222" xr:uid="{673E0F92-5AFA-41AA-AB67-599C2AE5E15C}"/>
    <hyperlink ref="B1359" r:id="rId4073" display="https://statiz.sporki.com/add/?m=draft_school01&amp;ps_school=50604" xr:uid="{70A264E3-64EF-4A3D-B7F4-BE3F49C023D2}"/>
    <hyperlink ref="C1359" r:id="rId4074" display="https://statiz.sporki.com/add/?m=draft_school02&amp;ps_school=" xr:uid="{3C9C3474-9F6D-4F75-AC69-A0AB2AEB3C16}"/>
    <hyperlink ref="A1360" r:id="rId4075" display="https://statiz.sporki.com/player/?m=playerinfo&amp;p_no=11204" xr:uid="{48A1B6F7-6A4E-4B27-B8B2-2DE71097695D}"/>
    <hyperlink ref="B1360" r:id="rId4076" display="https://statiz.sporki.com/add/?m=draft_school01&amp;ps_school=50702" xr:uid="{1837C9BA-E012-4C1A-A728-90A29BA5F5FF}"/>
    <hyperlink ref="C1360" r:id="rId4077" display="https://statiz.sporki.com/add/?m=draft_school02&amp;ps_school=60104" xr:uid="{BEC70BEC-6913-48FD-812D-A67310661906}"/>
    <hyperlink ref="A1361" r:id="rId4078" display="https://statiz.sporki.com/player/?m=playerinfo&amp;p_no=11230" xr:uid="{E0354B20-2259-4412-A9B5-04C016D0CB63}"/>
    <hyperlink ref="B1361" r:id="rId4079" display="https://statiz.sporki.com/add/?m=draft_school01&amp;ps_school=50601" xr:uid="{642D6628-43CE-4684-BBE8-57F2DA1C363A}"/>
    <hyperlink ref="C1361" r:id="rId4080" display="https://statiz.sporki.com/add/?m=draft_school02&amp;ps_school=60101" xr:uid="{C784CAD1-1FD9-457A-BF87-3A09F124AD77}"/>
    <hyperlink ref="A1362" r:id="rId4081" display="https://statiz.sporki.com/player/?m=playerinfo&amp;p_no=11197" xr:uid="{AA6CF568-9F2B-40D4-A2CE-911F13B468FE}"/>
    <hyperlink ref="B1362" r:id="rId4082" display="https://statiz.sporki.com/add/?m=draft_school01&amp;ps_school=50103" xr:uid="{55C59F4F-6F0A-47D8-BC70-D2FEA9DAE579}"/>
    <hyperlink ref="C1362" r:id="rId4083" display="https://statiz.sporki.com/add/?m=draft_school02&amp;ps_school=" xr:uid="{B3707777-D221-4945-B948-A28EA6DD3DBE}"/>
    <hyperlink ref="A1363" r:id="rId4084" display="https://statiz.sporki.com/player/?m=playerinfo&amp;p_no=11276" xr:uid="{41BF1D2D-88A7-434E-A853-94275BF26A9F}"/>
    <hyperlink ref="B1363" r:id="rId4085" display="https://statiz.sporki.com/add/?m=draft_school01&amp;ps_school=50801" xr:uid="{DEEEA30E-1B53-4B02-953F-4AC7FD736CA3}"/>
    <hyperlink ref="C1363" r:id="rId4086" display="https://statiz.sporki.com/add/?m=draft_school02&amp;ps_school=60803" xr:uid="{240EACBD-6F17-4FE8-AD41-65DDAB9E6FE5}"/>
    <hyperlink ref="A1364" r:id="rId4087" display="https://statiz.sporki.com/player/?m=playerinfo&amp;p_no=11259" xr:uid="{F822087C-3DA4-4BCC-949B-A39DBAD67A25}"/>
    <hyperlink ref="B1364" r:id="rId4088" display="https://statiz.sporki.com/add/?m=draft_school01&amp;ps_school=50113" xr:uid="{F63E3741-320C-4CAB-99BE-AFFEEF3D4D94}"/>
    <hyperlink ref="C1364" r:id="rId4089" display="https://statiz.sporki.com/add/?m=draft_school02&amp;ps_school=60109" xr:uid="{8DE3858F-E011-46DD-A300-E6BD9F902348}"/>
    <hyperlink ref="A1365" r:id="rId4090" display="https://statiz.sporki.com/player/?m=playerinfo&amp;p_no=11316" xr:uid="{A0F7E282-6B7F-45EF-A162-78A728B19795}"/>
    <hyperlink ref="B1365" r:id="rId4091" display="https://statiz.sporki.com/add/?m=draft_school01&amp;ps_school=50501" xr:uid="{0C599B15-A166-4FDF-B45B-CF1BF764D9D1}"/>
    <hyperlink ref="C1365" r:id="rId4092" display="https://statiz.sporki.com/add/?m=draft_school02&amp;ps_school=60605" xr:uid="{402CB516-9955-4D8F-981D-BFE1842397FB}"/>
    <hyperlink ref="A1366" r:id="rId4093" display="https://statiz.sporki.com/player/?m=playerinfo&amp;p_no=11214" xr:uid="{2F56CDBD-A0DE-4D29-9572-8A72C432E56B}"/>
    <hyperlink ref="B1366" r:id="rId4094" display="https://statiz.sporki.com/add/?m=draft_school01&amp;ps_school=50802" xr:uid="{A0856F37-CFD8-472E-81CE-6F2EBF9883D3}"/>
    <hyperlink ref="C1366" r:id="rId4095" display="https://statiz.sporki.com/add/?m=draft_school02&amp;ps_school=" xr:uid="{CC3CD0A3-6F8C-42A2-8CB6-9575C34D1396}"/>
    <hyperlink ref="A1367" r:id="rId4096" display="https://statiz.sporki.com/player/?m=playerinfo&amp;p_no=11246" xr:uid="{35027D0C-71E1-4720-A691-B8F33ACD1B3C}"/>
    <hyperlink ref="B1367" r:id="rId4097" display="https://statiz.sporki.com/add/?m=draft_school01&amp;ps_school=50116" xr:uid="{D39B02E0-5A57-49B3-8586-C78248CACF76}"/>
    <hyperlink ref="C1367" r:id="rId4098" display="https://statiz.sporki.com/add/?m=draft_school02&amp;ps_school=" xr:uid="{3F728DD8-97C0-4324-902E-C009786683FB}"/>
    <hyperlink ref="A1368" r:id="rId4099" display="https://statiz.sporki.com/player/?m=playerinfo&amp;p_no=11240" xr:uid="{0D07727D-0CE4-44CE-B6E8-2266EAE8BE74}"/>
    <hyperlink ref="B1368" r:id="rId4100" display="https://statiz.sporki.com/add/?m=draft_school01&amp;ps_school=50108" xr:uid="{16C51361-CA78-454E-8168-5A34B7D2E578}"/>
    <hyperlink ref="C1368" r:id="rId4101" display="https://statiz.sporki.com/add/?m=draft_school02&amp;ps_school=" xr:uid="{A3AC8E48-FA0F-430D-8E48-C96B97BEB483}"/>
    <hyperlink ref="A1369" r:id="rId4102" display="https://statiz.sporki.com/player/?m=playerinfo&amp;p_no=11225" xr:uid="{0E362AA1-9CBE-41EC-8513-013112E6B31B}"/>
    <hyperlink ref="B1369" r:id="rId4103" display="https://statiz.sporki.com/add/?m=draft_school01&amp;ps_school=50103" xr:uid="{9878185B-75AC-4B07-BC46-EB4CB9AB3A25}"/>
    <hyperlink ref="C1369" r:id="rId4104" display="https://statiz.sporki.com/add/?m=draft_school02&amp;ps_school=" xr:uid="{D3381F3C-4780-43FB-96B7-FA2A2B0EF7FE}"/>
    <hyperlink ref="A1370" r:id="rId4105" display="https://statiz.sporki.com/player/?m=playerinfo&amp;p_no=11205" xr:uid="{B5857818-4949-4F57-B5A7-B4678D015A16}"/>
    <hyperlink ref="B1370" r:id="rId4106" display="https://statiz.sporki.com/add/?m=draft_school01&amp;ps_school=50103" xr:uid="{229C664D-AD76-4C8A-AF04-ED75FFDB9E9F}"/>
    <hyperlink ref="C1370" r:id="rId4107" display="https://statiz.sporki.com/add/?m=draft_school02&amp;ps_school=" xr:uid="{FED5B561-ED71-4F02-B727-3E92C12A36A5}"/>
    <hyperlink ref="A1371" r:id="rId4108" display="https://statiz.sporki.com/player/?m=playerinfo&amp;p_no=11232" xr:uid="{DDE0C7AF-67F8-497F-8318-A911CE66401C}"/>
    <hyperlink ref="B1371" r:id="rId4109" display="https://statiz.sporki.com/add/?m=draft_school01&amp;ps_school=50107" xr:uid="{CA862DA8-F776-43CA-B3F7-D271FD0CA851}"/>
    <hyperlink ref="C1371" r:id="rId4110" display="https://statiz.sporki.com/add/?m=draft_school02&amp;ps_school=60109" xr:uid="{CC0D7772-F88E-44CB-BD48-F546A7752909}"/>
    <hyperlink ref="A1372" r:id="rId4111" display="https://statiz.sporki.com/player/?m=playerinfo&amp;p_no=11198" xr:uid="{37ABCC24-EF39-4064-BE95-E77428867D5A}"/>
    <hyperlink ref="B1372" r:id="rId4112" display="https://statiz.sporki.com/add/?m=draft_school01&amp;ps_school=50606" xr:uid="{3B0120F7-B7A2-480A-84C9-92AE32E05CBD}"/>
    <hyperlink ref="C1372" r:id="rId4113" display="https://statiz.sporki.com/add/?m=draft_school02&amp;ps_school=60702" xr:uid="{666EC9BC-DBF0-4A19-B60F-AC7CAE505CAE}"/>
    <hyperlink ref="A1373" r:id="rId4114" display="https://statiz.sporki.com/player/?m=playerinfo&amp;p_no=11266" xr:uid="{0D11A1F0-138E-436A-A7B1-3261B7B2D0C4}"/>
    <hyperlink ref="B1373" r:id="rId4115" display="https://statiz.sporki.com/add/?m=draft_school01&amp;ps_school=50705" xr:uid="{9DB06321-B732-4DF0-8CFC-219C0F4159AA}"/>
    <hyperlink ref="C1373" r:id="rId4116" display="https://statiz.sporki.com/add/?m=draft_school02&amp;ps_school=60703" xr:uid="{4485B407-05CD-4970-88F6-2B0391F6C9FB}"/>
    <hyperlink ref="A1374" r:id="rId4117" display="https://statiz.sporki.com/player/?m=playerinfo&amp;p_no=11257" xr:uid="{1819EF8A-E2A8-4792-9490-1832E520ECA4}"/>
    <hyperlink ref="B1374" r:id="rId4118" display="https://statiz.sporki.com/add/?m=draft_school01&amp;ps_school=50803" xr:uid="{E2D9DA2F-887E-4922-9C5B-D2FA25B7F43E}"/>
    <hyperlink ref="C1374" r:id="rId4119" display="https://statiz.sporki.com/add/?m=draft_school02&amp;ps_school=60603" xr:uid="{8726C29D-27CA-4AD7-A787-6ED064D070D8}"/>
    <hyperlink ref="A1375" r:id="rId4120" display="https://statiz.sporki.com/player/?m=playerinfo&amp;p_no=11340" xr:uid="{DFC74D16-18C4-445E-9F0F-112B48DA0576}"/>
    <hyperlink ref="B1375" r:id="rId4121" display="https://statiz.sporki.com/add/?m=draft_school01&amp;ps_school=50705" xr:uid="{F169D238-994F-457A-B3F6-66894A3904E8}"/>
    <hyperlink ref="C1375" r:id="rId4122" display="https://statiz.sporki.com/add/?m=draft_school02&amp;ps_school=60804" xr:uid="{74B50E53-D700-475C-8551-7253DF944707}"/>
    <hyperlink ref="A1376" r:id="rId4123" display="https://statiz.sporki.com/player/?m=playerinfo&amp;p_no=11213" xr:uid="{F15900F0-EF0A-457F-80CC-E3014C82543F}"/>
    <hyperlink ref="B1376" r:id="rId4124" display="https://statiz.sporki.com/add/?m=draft_school01&amp;ps_school=50110" xr:uid="{B1697163-5344-48B8-ABE3-0033E9FE3AEB}"/>
    <hyperlink ref="C1376" r:id="rId4125" display="https://statiz.sporki.com/add/?m=draft_school02&amp;ps_school=60104" xr:uid="{EAA7FD81-A823-4614-9619-CA96936EA982}"/>
    <hyperlink ref="A1377" r:id="rId4126" display="https://statiz.sporki.com/player/?m=playerinfo&amp;p_no=11250" xr:uid="{BEE1D28B-BA1B-4B54-85E3-AA69DD034465}"/>
    <hyperlink ref="B1377" r:id="rId4127" display="https://statiz.sporki.com/add/?m=draft_school01&amp;ps_school=50701" xr:uid="{F6A9AE36-88DB-4E6A-BF72-E0FDBD4D8038}"/>
    <hyperlink ref="C1377" r:id="rId4128" display="https://statiz.sporki.com/add/?m=draft_school02&amp;ps_school=" xr:uid="{A14B89ED-428A-438B-B05B-9049622C40EC}"/>
    <hyperlink ref="A1378" r:id="rId4129" display="https://statiz.sporki.com/player/?m=playerinfo&amp;p_no=11236" xr:uid="{A6728E0A-5B9E-4B5E-8E27-47E01273AD25}"/>
    <hyperlink ref="B1378" r:id="rId4130" display="https://statiz.sporki.com/add/?m=draft_school01&amp;ps_school=50209" xr:uid="{13BA23AB-0DB1-47B0-9343-FD393942B606}"/>
    <hyperlink ref="C1378" r:id="rId4131" display="https://statiz.sporki.com/add/?m=draft_school02&amp;ps_school=60204" xr:uid="{D6250CDD-A905-46E2-B131-779834349532}"/>
    <hyperlink ref="A1379" r:id="rId4132" display="https://statiz.sporki.com/player/?m=playerinfo&amp;p_no=11224" xr:uid="{8DF1BECA-A539-40D7-A950-AE31F2678E9C}"/>
    <hyperlink ref="B1379" r:id="rId4133" display="https://statiz.sporki.com/add/?m=draft_school01&amp;ps_school=50207" xr:uid="{3B85C366-0A0C-4EB1-96AB-BD3B1258F26B}"/>
    <hyperlink ref="C1379" r:id="rId4134" display="https://statiz.sporki.com/add/?m=draft_school02&amp;ps_school=" xr:uid="{97B2F521-FF60-4080-AF6A-EE6DECC4AE0E}"/>
    <hyperlink ref="A1380" r:id="rId4135" display="https://statiz.sporki.com/player/?m=playerinfo&amp;p_no=11206" xr:uid="{D23A409E-F179-4090-9FD4-A3E633BC2E4E}"/>
    <hyperlink ref="B1380" r:id="rId4136" display="https://statiz.sporki.com/add/?m=draft_school01&amp;ps_school=50101" xr:uid="{0C250276-D02C-4FFD-B90E-0BDD84A536AB}"/>
    <hyperlink ref="C1380" r:id="rId4137" display="https://statiz.sporki.com/add/?m=draft_school02&amp;ps_school=60109" xr:uid="{F054ED25-5366-42AC-B215-81306DC67304}"/>
    <hyperlink ref="A1381" r:id="rId4138" display="https://statiz.sporki.com/player/?m=playerinfo&amp;p_no=11231" xr:uid="{31FA01BF-F07E-4979-93DC-0A6182A3AFA1}"/>
    <hyperlink ref="B1381" r:id="rId4139" display="https://statiz.sporki.com/add/?m=draft_school01&amp;ps_school=50113" xr:uid="{C61A1A7D-C6A9-47CB-89FC-7A4BB0EC2D64}"/>
    <hyperlink ref="C1381" r:id="rId4140" display="https://statiz.sporki.com/add/?m=draft_school02&amp;ps_school=60102" xr:uid="{ABA53E40-B2C0-447E-93CB-D60462A2E121}"/>
    <hyperlink ref="A1382" r:id="rId4141" display="https://statiz.sporki.com/player/?m=playerinfo&amp;p_no=11403" xr:uid="{3EEED0F4-BDA9-402F-8BA4-C3A5ED69FE7A}"/>
    <hyperlink ref="B1382" r:id="rId4142" display="https://statiz.sporki.com/add/?m=draft_school01&amp;ps_school=50903" xr:uid="{3E0A7A70-7F2D-4903-9E68-91B1400A1402}"/>
    <hyperlink ref="C1382" r:id="rId4143" display="https://statiz.sporki.com/add/?m=draft_school02&amp;ps_school=60801" xr:uid="{BA90FDF2-2AEA-4D0B-B769-A3ADAD5C082B}"/>
    <hyperlink ref="A1383" r:id="rId4144" display="https://statiz.sporki.com/player/?m=playerinfo&amp;p_no=11270" xr:uid="{F249B2E3-77BD-4328-863E-D5FD5A778891}"/>
    <hyperlink ref="B1383" r:id="rId4145" display="https://statiz.sporki.com/add/?m=draft_school01&amp;ps_school=50111" xr:uid="{3864C5BF-B696-440A-A7E1-79B1EECD85E0}"/>
    <hyperlink ref="C1383" r:id="rId4146" display="https://statiz.sporki.com/add/?m=draft_school02&amp;ps_school=61001" xr:uid="{18B48522-F548-46BB-A70D-D21F63701E09}"/>
    <hyperlink ref="A1384" r:id="rId4147" display="https://statiz.sporki.com/player/?m=playerinfo&amp;p_no=11256" xr:uid="{EC119FC8-67DE-47E9-92AF-BFE850C1BF7F}"/>
    <hyperlink ref="B1384" r:id="rId4148" display="https://statiz.sporki.com/add/?m=draft_school01&amp;ps_school=50903" xr:uid="{3A108011-CAFC-44D7-B7F3-8B89A7D82E53}"/>
    <hyperlink ref="C1384" r:id="rId4149" display="https://statiz.sporki.com/add/?m=draft_school02&amp;ps_school=60114" xr:uid="{8FE83B37-FE61-4F98-A197-89309F2A70C3}"/>
    <hyperlink ref="A1385" r:id="rId4150" display="https://statiz.sporki.com/player/?m=playerinfo&amp;p_no=11312" xr:uid="{ABA7DABD-D6AA-4BE8-B1B5-DECC86F31ABB}"/>
    <hyperlink ref="B1385" r:id="rId4151" display="https://statiz.sporki.com/add/?m=draft_school01&amp;ps_school=50301" xr:uid="{75BC5F7D-9377-4159-84FB-32D65CCAF96E}"/>
    <hyperlink ref="C1385" r:id="rId4152" display="https://statiz.sporki.com/add/?m=draft_school02&amp;ps_school=" xr:uid="{87A3BE83-7DBA-451D-AEC9-32678FA54050}"/>
    <hyperlink ref="A1386" r:id="rId4153" display="https://statiz.sporki.com/player/?m=playerinfo&amp;p_no=13247" xr:uid="{E0C569CC-539D-47DF-8BD6-D03FA5A10EE0}"/>
    <hyperlink ref="B1386" r:id="rId4154" display="https://statiz.sporki.com/add/?m=draft_school01&amp;ps_school=50210" xr:uid="{F7774402-EF3F-44AE-B5D5-293AFA6C299C}"/>
    <hyperlink ref="C1386" r:id="rId4155" display="https://statiz.sporki.com/add/?m=draft_school02&amp;ps_school=" xr:uid="{2C80B479-D563-4D9C-A399-0AB67A638D8C}"/>
    <hyperlink ref="A1387" r:id="rId4156" display="https://statiz.sporki.com/player/?m=playerinfo&amp;p_no=11244" xr:uid="{7D067341-3224-40F9-92F9-D0DEBC526CBC}"/>
    <hyperlink ref="B1387" r:id="rId4157" display="https://statiz.sporki.com/add/?m=draft_school01&amp;ps_school=50110" xr:uid="{B48ECC20-B41C-4466-A69A-57EB7E227775}"/>
    <hyperlink ref="C1387" r:id="rId4158" display="https://statiz.sporki.com/add/?m=draft_school02&amp;ps_school=" xr:uid="{39481F65-E9C2-4871-BB42-BF4B2AF2A1FC}"/>
    <hyperlink ref="A1388" r:id="rId4159" display="https://statiz.sporki.com/player/?m=playerinfo&amp;p_no=11371" xr:uid="{7F777C3E-CBF2-417F-B7AC-C898A9C9F1E7}"/>
    <hyperlink ref="B1388" r:id="rId4160" display="https://statiz.sporki.com/add/?m=draft_school01&amp;ps_school=50114" xr:uid="{640EF744-2BA5-449F-B8E2-5A30FEE69BC0}"/>
    <hyperlink ref="C1388" r:id="rId4161" display="https://statiz.sporki.com/add/?m=draft_school02&amp;ps_school=" xr:uid="{8D70A433-33E3-41D8-BF10-047E8085811C}"/>
    <hyperlink ref="A1389" r:id="rId4162" display="https://statiz.sporki.com/player/?m=playerinfo&amp;p_no=11219" xr:uid="{2E93B3E7-E2F5-49E6-B02B-FFFABF4C8ED2}"/>
    <hyperlink ref="B1389" r:id="rId4163" display="https://statiz.sporki.com/add/?m=draft_school01&amp;ps_school=50102" xr:uid="{9D9E5625-6C5A-4249-9620-10ACCA10CA58}"/>
    <hyperlink ref="C1389" r:id="rId4164" display="https://statiz.sporki.com/add/?m=draft_school02&amp;ps_school=60804" xr:uid="{57C40B7F-DAC2-4EDC-BFCC-39D213C71D1F}"/>
    <hyperlink ref="A1390" r:id="rId4165" display="https://statiz.sporki.com/player/?m=playerinfo&amp;p_no=13279" xr:uid="{21C2D72F-9736-4B5B-A497-BE99FCF51552}"/>
    <hyperlink ref="B1390" r:id="rId4166" display="https://statiz.sporki.com/add/?m=draft_school01&amp;ps_school=50808" xr:uid="{273F0C26-17CA-4D07-9B90-63C4801064E4}"/>
    <hyperlink ref="C1390" r:id="rId4167" display="https://statiz.sporki.com/add/?m=draft_school02&amp;ps_school=" xr:uid="{79481824-8920-43D2-8E93-B23F010C195B}"/>
    <hyperlink ref="A1391" r:id="rId4168" display="https://statiz.sporki.com/player/?m=playerinfo&amp;p_no=11503" xr:uid="{2D615C02-64F9-43EF-9F97-9A42A77751CC}"/>
    <hyperlink ref="B1391" r:id="rId4169" display="https://statiz.sporki.com/add/?m=draft_school01&amp;ps_school=50209" xr:uid="{20BE6A17-67E0-4B5C-A761-2BEA518A89FD}"/>
    <hyperlink ref="C1391" r:id="rId4170" display="https://statiz.sporki.com/add/?m=draft_school02&amp;ps_school=" xr:uid="{0E76ACE8-C60C-4DED-B6AF-17811E10E8EF}"/>
    <hyperlink ref="A1392" r:id="rId4171" display="https://statiz.sporki.com/player/?m=playerinfo&amp;p_no=11261" xr:uid="{B36AE4A1-2153-4DCA-A2A9-4B59ECEE9285}"/>
    <hyperlink ref="B1392" r:id="rId4172" display="https://statiz.sporki.com/add/?m=draft_school01&amp;ps_school=50111" xr:uid="{C5BA6429-8A72-4097-A21C-57798269DCDB}"/>
    <hyperlink ref="C1392" r:id="rId4173" display="https://statiz.sporki.com/add/?m=draft_school02&amp;ps_school=" xr:uid="{75D25BC2-B8F6-431A-AF37-DF8BB31EA70D}"/>
    <hyperlink ref="A1393" r:id="rId4174" display="https://statiz.sporki.com/player/?m=playerinfo&amp;p_no=11313" xr:uid="{DFC9AEC4-60B5-4441-965A-F534C0D2115D}"/>
    <hyperlink ref="B1393" r:id="rId4175" display="https://statiz.sporki.com/add/?m=draft_school01&amp;ps_school=50209" xr:uid="{61C63162-F796-49A4-AB38-6EF318082A75}"/>
    <hyperlink ref="C1393" r:id="rId4176" display="https://statiz.sporki.com/add/?m=draft_school02&amp;ps_school=60602" xr:uid="{536EB3DA-A355-444C-B4D3-8B4EC841373B}"/>
    <hyperlink ref="A1394" r:id="rId4177" display="https://statiz.sporki.com/player/?m=playerinfo&amp;p_no=13250" xr:uid="{AB144EB5-A305-49E5-907D-689C253EF276}"/>
    <hyperlink ref="B1394" r:id="rId4178" display="https://statiz.sporki.com/add/?m=draft_school01&amp;ps_school=50802" xr:uid="{544FC423-C12A-4018-A942-A870A39F18D4}"/>
    <hyperlink ref="C1394" r:id="rId4179" display="https://statiz.sporki.com/add/?m=draft_school02&amp;ps_school=" xr:uid="{C6C9CFFB-15AC-41E2-9E46-73DCD951C15F}"/>
    <hyperlink ref="A1395" r:id="rId4180" display="https://statiz.sporki.com/player/?m=playerinfo&amp;p_no=11254" xr:uid="{396336E7-F964-4650-96F0-CDD45043878D}"/>
    <hyperlink ref="B1395" r:id="rId4181" display="https://statiz.sporki.com/add/?m=draft_school01&amp;ps_school=50112" xr:uid="{5A8C8939-1FF7-47D5-AA95-8298D82CF456}"/>
    <hyperlink ref="C1395" r:id="rId4182" display="https://statiz.sporki.com/add/?m=draft_school02&amp;ps_school=60801" xr:uid="{C1F4B104-6F19-4D19-92E0-D5EF505E4E81}"/>
    <hyperlink ref="A1396" r:id="rId4183" display="https://statiz.sporki.com/player/?m=playerinfo&amp;p_no=12527" xr:uid="{49497EEF-9D39-429E-88C5-CE8D0989F53B}"/>
    <hyperlink ref="B1396" r:id="rId4184" display="https://statiz.sporki.com/add/?m=draft_school01&amp;ps_school=50604" xr:uid="{5F0CF92A-775D-4600-80AA-5B6EF495B2A7}"/>
    <hyperlink ref="C1396" r:id="rId4185" display="https://statiz.sporki.com/add/?m=draft_school02&amp;ps_school=" xr:uid="{06F7CEAF-8DD8-4BCD-A8AB-E4C3CF2916F4}"/>
    <hyperlink ref="A1397" r:id="rId4186" display="https://statiz.sporki.com/player/?m=playerinfo&amp;p_no=11221" xr:uid="{9C74F419-762B-46E9-9AD6-88E94AEA44F8}"/>
    <hyperlink ref="B1397" r:id="rId4187" display="https://statiz.sporki.com/add/?m=draft_school01&amp;ps_school=50208" xr:uid="{78025999-0017-4ED1-AFE7-63DFFEBD6611}"/>
    <hyperlink ref="C1397" r:id="rId4188" display="https://statiz.sporki.com/add/?m=draft_school02&amp;ps_school=60602" xr:uid="{85DF9DAC-E010-4070-9339-DA87A09A5E58}"/>
    <hyperlink ref="A1398" r:id="rId4189" display="https://statiz.sporki.com/player/?m=playerinfo&amp;p_no=12985" xr:uid="{3DB7EEDC-314A-4D8E-923E-03D9CD89A72C}"/>
    <hyperlink ref="B1398" r:id="rId4190" display="https://statiz.sporki.com/add/?m=draft_school01&amp;ps_school=50602" xr:uid="{7D4E36BA-F8F0-4FE9-A1B6-921230A4F4BB}"/>
    <hyperlink ref="C1398" r:id="rId4191" display="https://statiz.sporki.com/add/?m=draft_school02&amp;ps_school=" xr:uid="{E3F00E77-6F5A-456D-97C3-71E9DD2A589F}"/>
    <hyperlink ref="A1399" r:id="rId4192" display="https://statiz.sporki.com/player/?m=playerinfo&amp;p_no=11234" xr:uid="{FD9B1C27-5EAB-4329-A6F9-C103AF293C50}"/>
    <hyperlink ref="B1399" r:id="rId4193" display="https://statiz.sporki.com/add/?m=draft_school01&amp;ps_school=50703" xr:uid="{E0712FA1-BD2A-41FB-8A15-551A55B33D2E}"/>
    <hyperlink ref="C1399" r:id="rId4194" display="https://statiz.sporki.com/add/?m=draft_school02&amp;ps_school=60703" xr:uid="{F357CB12-9448-4048-A79F-13ABC0BD5AD1}"/>
    <hyperlink ref="A1400" r:id="rId4195" display="https://statiz.sporki.com/player/?m=playerinfo&amp;p_no=11289" xr:uid="{AFB146C6-4A09-44AC-AA0B-179B5EF1B210}"/>
    <hyperlink ref="B1400" r:id="rId4196" display="https://statiz.sporki.com/add/?m=draft_school01&amp;ps_school=50105" xr:uid="{864B9F49-6BC8-4514-AB2F-145B207D0640}"/>
    <hyperlink ref="C1400" r:id="rId4197" display="https://statiz.sporki.com/add/?m=draft_school02&amp;ps_school=60113" xr:uid="{BF167600-751A-4A11-A401-220674E517AE}"/>
    <hyperlink ref="A1401" r:id="rId4198" display="https://statiz.sporki.com/player/?m=playerinfo&amp;p_no=11284" xr:uid="{F7BA4F49-EF17-42A3-A6A6-D28B83513BD9}"/>
    <hyperlink ref="B1401" r:id="rId4199" display="https://statiz.sporki.com/add/?m=draft_school01&amp;ps_school=51001" xr:uid="{DB22D321-D978-407B-90FA-3A42E0345BBC}"/>
    <hyperlink ref="C1401" r:id="rId4200" display="https://statiz.sporki.com/add/?m=draft_school02&amp;ps_school=" xr:uid="{D86C0647-E2E4-45E4-843D-A1E3AF4568A1}"/>
    <hyperlink ref="A1402" r:id="rId4201" display="https://statiz.sporki.com/player/?m=playerinfo&amp;p_no=11260" xr:uid="{A8596BC2-B4C9-4A41-A0C8-827F4172D278}"/>
    <hyperlink ref="B1402" r:id="rId4202" display="https://statiz.sporki.com/add/?m=draft_school01&amp;ps_school=50801" xr:uid="{CC82F28B-B561-41DE-8B1C-753CEF20E8ED}"/>
    <hyperlink ref="C1402" r:id="rId4203" display="https://statiz.sporki.com/add/?m=draft_school02&amp;ps_school=60204" xr:uid="{E13FF779-6D4B-4E17-A932-3699D5057A78}"/>
    <hyperlink ref="A1403" r:id="rId4204" display="https://statiz.sporki.com/player/?m=playerinfo&amp;p_no=11339" xr:uid="{18FA6F6D-FA8D-4284-AC51-3D777E8A51D3}"/>
    <hyperlink ref="B1403" r:id="rId4205" display="https://statiz.sporki.com/add/?m=draft_school01&amp;ps_school=50106" xr:uid="{96311915-0E20-4CA2-9C29-815DCB1DDF9B}"/>
    <hyperlink ref="C1403" r:id="rId4206" display="https://statiz.sporki.com/add/?m=draft_school02&amp;ps_school=" xr:uid="{06482FB3-5821-4D9B-9FC2-42443971F16B}"/>
    <hyperlink ref="A1404" r:id="rId4207" display="https://statiz.sporki.com/player/?m=playerinfo&amp;p_no=13248" xr:uid="{F713CA67-9DDB-4C70-BC9A-B10B40576031}"/>
    <hyperlink ref="B1404" r:id="rId4208" display="https://statiz.sporki.com/add/?m=draft_school01&amp;ps_school=50109" xr:uid="{16BF3DE0-CB3C-424F-ABB9-196FE8683DC3}"/>
    <hyperlink ref="C1404" r:id="rId4209" display="https://statiz.sporki.com/add/?m=draft_school02&amp;ps_school=" xr:uid="{224D659A-6973-4821-B9EA-FDE9C096F6F6}"/>
    <hyperlink ref="A1405" r:id="rId4210" display="https://statiz.sporki.com/player/?m=playerinfo&amp;p_no=13191" xr:uid="{A89B6103-6EA0-470B-BB06-0C1932775C86}"/>
    <hyperlink ref="B1405" r:id="rId4211" display="https://statiz.sporki.com/add/?m=draft_school01&amp;ps_school=50703" xr:uid="{0799C4B7-5474-4C86-881E-D4EF3407FCBC}"/>
    <hyperlink ref="C1405" r:id="rId4212" display="https://statiz.sporki.com/add/?m=draft_school02&amp;ps_school=" xr:uid="{8A523727-9F72-4E59-B4A9-7C68AA379319}"/>
    <hyperlink ref="A1406" r:id="rId4213" display="https://statiz.sporki.com/player/?m=playerinfo&amp;p_no=11223" xr:uid="{56F4A2F8-0B25-4210-969F-3479857045BE}"/>
    <hyperlink ref="B1406" r:id="rId4214" display="https://statiz.sporki.com/add/?m=draft_school01&amp;ps_school=50108" xr:uid="{37242336-32AA-4A54-8D7F-B59921DD82E5}"/>
    <hyperlink ref="C1406" r:id="rId4215" display="https://statiz.sporki.com/add/?m=draft_school02&amp;ps_school=" xr:uid="{98C4C62E-D1B5-426C-9127-AE977E379AB9}"/>
    <hyperlink ref="A1407" r:id="rId4216" display="https://statiz.sporki.com/player/?m=playerinfo&amp;p_no=11207" xr:uid="{7E97D3A8-039B-4CF8-B3EC-584EEBD4A7D1}"/>
    <hyperlink ref="B1407" r:id="rId4217" display="https://statiz.sporki.com/add/?m=draft_school01&amp;ps_school=50207" xr:uid="{715C201C-2A88-4BF2-9A2A-AD1E8FD170CB}"/>
    <hyperlink ref="C1407" r:id="rId4218" display="https://statiz.sporki.com/add/?m=draft_school02&amp;ps_school=" xr:uid="{8E895030-D4A7-4591-A1F4-12164663B155}"/>
    <hyperlink ref="A1408" r:id="rId4219" display="https://statiz.sporki.com/player/?m=playerinfo&amp;p_no=11233" xr:uid="{FF3FCD61-CEA7-4FF6-95C6-7B7AF3DCDC7B}"/>
    <hyperlink ref="B1408" r:id="rId4220" display="https://statiz.sporki.com/add/?m=draft_school01&amp;ps_school=50209" xr:uid="{5BFF25B1-CFB6-4F23-B4E1-95D9BA32B993}"/>
    <hyperlink ref="C1408" r:id="rId4221" display="https://statiz.sporki.com/add/?m=draft_school02&amp;ps_school=60101" xr:uid="{4C8E7847-5219-485E-91D2-338CA910C0A5}"/>
    <hyperlink ref="A1409" r:id="rId4222" display="https://statiz.sporki.com/player/?m=playerinfo&amp;p_no=12645" xr:uid="{664C45A7-ED9F-45B9-ACA1-82241A40F1EA}"/>
    <hyperlink ref="B1409" r:id="rId4223" display="https://statiz.sporki.com/add/?m=draft_school01&amp;ps_school=50105" xr:uid="{30F9C7A9-3EB4-4A11-A394-5105EB49E113}"/>
    <hyperlink ref="C1409" r:id="rId4224" display="https://statiz.sporki.com/add/?m=draft_school02&amp;ps_school=" xr:uid="{DDA1AEE4-C259-401A-9BDC-A05D08BFDF37}"/>
    <hyperlink ref="A1410" r:id="rId4225" display="https://statiz.sporki.com/player/?m=playerinfo&amp;p_no=11274" xr:uid="{3572D862-5EF9-4156-A5B7-F36C276A8DDA}"/>
    <hyperlink ref="B1410" r:id="rId4226" display="https://statiz.sporki.com/add/?m=draft_school01&amp;ps_school=50108" xr:uid="{83A06580-10D0-4763-865E-5D8ED4BF7E38}"/>
    <hyperlink ref="C1410" r:id="rId4227" display="https://statiz.sporki.com/add/?m=draft_school02&amp;ps_school=60114" xr:uid="{5C773688-970B-4533-9DD8-03E572401333}"/>
    <hyperlink ref="A1411" r:id="rId4228" display="https://statiz.sporki.com/player/?m=playerinfo&amp;p_no=13182" xr:uid="{F12BF8BD-AB9D-4197-B7DB-73837B9AE0CD}"/>
    <hyperlink ref="B1411" r:id="rId4229" display="https://statiz.sporki.com/add/?m=draft_school01&amp;ps_school=50808" xr:uid="{2FFD320B-1FE4-454B-BEE4-A86A78C2AD27}"/>
    <hyperlink ref="C1411" r:id="rId4230" display="https://statiz.sporki.com/add/?m=draft_school02&amp;ps_school=" xr:uid="{733738A1-BBA7-4A09-9AF2-5E2E095EF4C5}"/>
    <hyperlink ref="A1412" r:id="rId4231" display="https://statiz.sporki.com/player/?m=playerinfo&amp;p_no=12997" xr:uid="{F57573E0-7D9B-4D56-99EC-042E48D041FD}"/>
    <hyperlink ref="B1412" r:id="rId4232" display="https://statiz.sporki.com/add/?m=draft_school01&amp;ps_school=50103" xr:uid="{DFA1D36F-54AD-41DF-BA3F-0980A297E582}"/>
    <hyperlink ref="C1412" r:id="rId4233" display="https://statiz.sporki.com/add/?m=draft_school02&amp;ps_school=60203" xr:uid="{5B80D7E8-A020-4A28-8970-5A2ECA13EBDF}"/>
    <hyperlink ref="A1413" r:id="rId4234" display="https://statiz.sporki.com/player/?m=playerinfo&amp;p_no=11295" xr:uid="{BBCB60C2-C301-4DDE-B2E8-564BB6226A8C}"/>
    <hyperlink ref="B1413" r:id="rId4235" display="https://statiz.sporki.com/add/?m=draft_school01&amp;ps_school=50111" xr:uid="{584BB893-7E49-4FCF-8A48-66B7A3FEFD98}"/>
    <hyperlink ref="C1413" r:id="rId4236" display="https://statiz.sporki.com/add/?m=draft_school02&amp;ps_school=60102" xr:uid="{AC65AEB4-2BE4-45F0-A0C5-5145EAE79BB9}"/>
    <hyperlink ref="A1414" r:id="rId4237" display="https://statiz.sporki.com/player/?m=playerinfo&amp;p_no=12678" xr:uid="{667E9E67-2216-419A-8195-2D26A203EDD2}"/>
    <hyperlink ref="B1414" r:id="rId4238" display="https://statiz.sporki.com/add/?m=draft_school01&amp;ps_school=50207" xr:uid="{0FF0E763-00D2-421C-93AB-DE106899B888}"/>
    <hyperlink ref="C1414" r:id="rId4239" display="https://statiz.sporki.com/add/?m=draft_school02&amp;ps_school=" xr:uid="{5C03A2EC-0998-4E77-93FD-712BACFB1653}"/>
    <hyperlink ref="A1415" r:id="rId4240" display="https://statiz.sporki.com/player/?m=playerinfo&amp;p_no=14747" xr:uid="{65D4A113-4300-494D-93F6-861DF786B767}"/>
    <hyperlink ref="B1415" r:id="rId4241" display="https://statiz.sporki.com/add/?m=draft_school01&amp;ps_school=50805" xr:uid="{A4042CE3-CEDA-43BA-89CA-736EBEE8125B}"/>
    <hyperlink ref="C1415" r:id="rId4242" display="https://statiz.sporki.com/add/?m=draft_school02&amp;ps_school=" xr:uid="{ED1D0FAD-CFE6-4E03-B0BE-69F20E3F17A2}"/>
    <hyperlink ref="A1416" r:id="rId4243" display="https://statiz.sporki.com/player/?m=playerinfo&amp;p_no=11406" xr:uid="{402DAFC6-7AF8-44DD-8A32-A601C0EB9BA1}"/>
    <hyperlink ref="B1416" r:id="rId4244" display="https://statiz.sporki.com/add/?m=draft_school01&amp;ps_school=50111" xr:uid="{6D215617-3C92-4C64-904A-17BEFC14264E}"/>
    <hyperlink ref="C1416" r:id="rId4245" display="https://statiz.sporki.com/add/?m=draft_school02&amp;ps_school=60804" xr:uid="{997377D2-3599-472C-B72A-AE45E0CA64AC}"/>
    <hyperlink ref="A1417" r:id="rId4246" display="https://statiz.sporki.com/player/?m=playerinfo&amp;p_no=11273" xr:uid="{F138E17C-0BB0-4E1C-BDA3-67332BB34D9C}"/>
    <hyperlink ref="B1417" r:id="rId4247" display="https://statiz.sporki.com/add/?m=draft_school01&amp;ps_school=50110" xr:uid="{510D1958-F555-4FD0-B045-B8F8AB11944C}"/>
    <hyperlink ref="C1417" r:id="rId4248" display="https://statiz.sporki.com/add/?m=draft_school02&amp;ps_school=60101" xr:uid="{8F4A6C09-0F77-4630-BE39-97B3AF27EE4B}"/>
    <hyperlink ref="A1418" r:id="rId4249" display="https://statiz.sporki.com/player/?m=playerinfo&amp;p_no=11424" xr:uid="{0E3D29C9-C067-4137-A635-7D05B4068848}"/>
    <hyperlink ref="B1418" r:id="rId4250" display="https://statiz.sporki.com/add/?m=draft_school01&amp;ps_school=50604" xr:uid="{E1921E92-0AE9-46E7-9351-CFB35AC96798}"/>
    <hyperlink ref="C1418" r:id="rId4251" display="https://statiz.sporki.com/add/?m=draft_school02&amp;ps_school=" xr:uid="{E62F51C7-B08E-434C-B3B6-CDFCCDDEA93B}"/>
    <hyperlink ref="A1419" r:id="rId4252" display="https://statiz.sporki.com/player/?m=playerinfo&amp;p_no=11335" xr:uid="{D7464C85-DF48-45B1-B05A-C0C60DCF2780}"/>
    <hyperlink ref="B1419" r:id="rId4253" display="https://statiz.sporki.com/add/?m=draft_school01&amp;ps_school=50701" xr:uid="{65724967-DCD8-490F-A0AA-7C44C3F6BD64}"/>
    <hyperlink ref="C1419" r:id="rId4254" display="https://statiz.sporki.com/add/?m=draft_school02&amp;ps_school=60802" xr:uid="{CB2659CA-FB41-453D-BD36-AC8DE4EBA817}"/>
    <hyperlink ref="A1420" r:id="rId4255" display="https://statiz.sporki.com/player/?m=playerinfo&amp;p_no=13246" xr:uid="{C89320D2-2D62-4596-9195-29210D09AB6B}"/>
    <hyperlink ref="B1420" r:id="rId4256" display="https://statiz.sporki.com/add/?m=draft_school01&amp;ps_school=50802" xr:uid="{417B5ABE-48C7-4D5F-8798-55BE411E88E4}"/>
    <hyperlink ref="C1420" r:id="rId4257" display="https://statiz.sporki.com/add/?m=draft_school02&amp;ps_school=" xr:uid="{5338E20A-2EEA-4FB5-9D9E-83706DBA2B98}"/>
    <hyperlink ref="A1421" r:id="rId4258" display="https://statiz.sporki.com/player/?m=playerinfo&amp;p_no=14697" xr:uid="{9C8FE87B-7A4C-484E-84C9-E88F77FDD688}"/>
    <hyperlink ref="B1421" r:id="rId4259" display="https://statiz.sporki.com/add/?m=draft_school01&amp;ps_school=50103" xr:uid="{3B55FCB1-F984-47BA-B1E4-F4AD0BAF40E5}"/>
    <hyperlink ref="C1421" r:id="rId4260" display="https://statiz.sporki.com/add/?m=draft_school02&amp;ps_school=" xr:uid="{C0DB35E4-E813-4BAA-8B06-D788CB6ABA67}"/>
    <hyperlink ref="A1422" r:id="rId4261" display="https://statiz.sporki.com/player/?m=playerinfo&amp;p_no=11208" xr:uid="{763B959B-C2C1-4C5E-B865-DB61F621D16B}"/>
    <hyperlink ref="B1422" r:id="rId4262" display="https://statiz.sporki.com/add/?m=draft_school01&amp;ps_school=50501" xr:uid="{F274904F-9CE3-4B56-AD0C-23522E3D0731}"/>
    <hyperlink ref="C1422" r:id="rId4263" display="https://statiz.sporki.com/add/?m=draft_school02&amp;ps_school=" xr:uid="{8B7C8946-9658-43D7-8349-318B394F8F16}"/>
    <hyperlink ref="A1423" r:id="rId4264" display="https://statiz.sporki.com/player/?m=playerinfo&amp;p_no=11199" xr:uid="{36211DE6-0BB4-4BF0-B59C-EE3249B5511E}"/>
    <hyperlink ref="B1423" r:id="rId4265" display="https://statiz.sporki.com/add/?m=draft_school01&amp;ps_school=50210" xr:uid="{BDA7BBC8-83AF-4CB6-A62D-06B4FFEF33D2}"/>
    <hyperlink ref="C1423" r:id="rId4266" display="https://statiz.sporki.com/add/?m=draft_school02&amp;ps_school=60108" xr:uid="{95954421-F417-494B-A356-93306355675E}"/>
    <hyperlink ref="A1424" r:id="rId4267" display="https://statiz.sporki.com/player/?m=playerinfo&amp;p_no=11271" xr:uid="{F1A81097-E1EC-4B3F-8A23-4F1462276212}"/>
    <hyperlink ref="B1424" r:id="rId4268" display="https://statiz.sporki.com/add/?m=draft_school01&amp;ps_school=50113" xr:uid="{60444B9B-71D6-4302-8C1B-4BEE96519EDB}"/>
    <hyperlink ref="C1424" r:id="rId4269" display="https://statiz.sporki.com/add/?m=draft_school02&amp;ps_school=60501" xr:uid="{076E345A-ABDF-4AF0-B03A-84BAFF4B2FB0}"/>
    <hyperlink ref="A1425" r:id="rId4270" display="https://statiz.sporki.com/player/?m=playerinfo&amp;p_no=13262" xr:uid="{69004586-ED2C-46BD-BB66-08832C17821C}"/>
    <hyperlink ref="B1425" r:id="rId4271" display="https://statiz.sporki.com/add/?m=draft_school01&amp;ps_school=50114" xr:uid="{794F58A0-8733-4857-A354-3C935081F19C}"/>
    <hyperlink ref="C1425" r:id="rId4272" display="https://statiz.sporki.com/add/?m=draft_school02&amp;ps_school=60104" xr:uid="{66EB915C-17DB-4721-A846-0E4E3EB445D8}"/>
    <hyperlink ref="A1426" r:id="rId4273" display="https://statiz.sporki.com/player/?m=playerinfo&amp;p_no=11209" xr:uid="{AA791093-376D-4697-976E-4CBBDCACB804}"/>
    <hyperlink ref="B1426" r:id="rId4274" display="https://statiz.sporki.com/add/?m=draft_school01&amp;ps_school=50601" xr:uid="{F2D0D740-07F8-4091-AB25-4D74DA710C86}"/>
    <hyperlink ref="C1426" r:id="rId4275" display="https://statiz.sporki.com/add/?m=draft_school02&amp;ps_school=60501" xr:uid="{F12B407D-02E2-44CE-B654-41CD0AA2D892}"/>
    <hyperlink ref="A1427" r:id="rId4276" display="https://statiz.sporki.com/player/?m=playerinfo&amp;p_no=13255" xr:uid="{4A0CE3D5-911A-48E3-B02E-3B54B5866DF4}"/>
    <hyperlink ref="B1427" r:id="rId4277" display="https://statiz.sporki.com/add/?m=draft_school01&amp;ps_school=50210" xr:uid="{837F2EA8-51DB-42B0-BECD-841BD80BFA12}"/>
    <hyperlink ref="C1427" r:id="rId4278" display="https://statiz.sporki.com/add/?m=draft_school02&amp;ps_school=60108" xr:uid="{05DA053C-512B-4D95-9038-C36D5B4FBB79}"/>
    <hyperlink ref="A1428" r:id="rId4279" display="https://statiz.sporki.com/player/?m=playerinfo&amp;p_no=11258" xr:uid="{AC699BED-471C-4F96-AECB-061B676EE380}"/>
    <hyperlink ref="B1428" r:id="rId4280" display="https://statiz.sporki.com/add/?m=draft_school01&amp;ps_school=50108" xr:uid="{5AD49E6E-D19B-4D2E-BE93-EC94E2D6D4AB}"/>
    <hyperlink ref="C1428" r:id="rId4281" display="https://statiz.sporki.com/add/?m=draft_school02&amp;ps_school=60801" xr:uid="{B7D9169C-9D71-44AC-9726-A9818994FC89}"/>
    <hyperlink ref="A1429" r:id="rId4282" display="https://statiz.sporki.com/player/?m=playerinfo&amp;p_no=12512" xr:uid="{6AA45234-A66B-40FE-945B-D8EDCA6B6F43}"/>
    <hyperlink ref="B1429" r:id="rId4283" display="https://statiz.sporki.com/add/?m=draft_school01&amp;ps_school=50801" xr:uid="{FC9D539D-23D5-4FE6-B384-5389247EA2D3}"/>
    <hyperlink ref="C1429" r:id="rId4284" display="https://statiz.sporki.com/add/?m=draft_school02&amp;ps_school=" xr:uid="{185CADF5-DA9F-4DE5-9320-5562D63D1DC8}"/>
    <hyperlink ref="A1430" r:id="rId4285" display="https://statiz.sporki.com/player/?m=playerinfo&amp;p_no=11245" xr:uid="{1B5F5508-0755-446A-BAD8-6200D755B211}"/>
    <hyperlink ref="B1430" r:id="rId4286" display="https://statiz.sporki.com/add/?m=draft_school01&amp;ps_school=50208" xr:uid="{A8681C6D-1315-44FB-B312-52944002EE10}"/>
    <hyperlink ref="C1430" r:id="rId4287" display="https://statiz.sporki.com/add/?m=draft_school02&amp;ps_school=60101" xr:uid="{08373712-E9BE-4AB2-93A9-640E167382E3}"/>
    <hyperlink ref="A1431" r:id="rId4288" display="https://statiz.sporki.com/player/?m=playerinfo&amp;p_no=12703" xr:uid="{6059EAF5-1EF8-46CF-8406-A9278C331A1F}"/>
    <hyperlink ref="B1431" r:id="rId4289" display="https://statiz.sporki.com/add/?m=draft_school01&amp;ps_school=50209" xr:uid="{42A7305D-80E3-4F90-938A-10BA736C4DFF}"/>
    <hyperlink ref="C1431" r:id="rId4290" display="https://statiz.sporki.com/add/?m=draft_school02&amp;ps_school=" xr:uid="{9DD92D54-601D-490D-A3D2-06252A472F8D}"/>
    <hyperlink ref="A1432" r:id="rId4291" display="https://statiz.sporki.com/player/?m=playerinfo&amp;p_no=13241" xr:uid="{F0515180-D49D-4879-A183-64F7DF704C53}"/>
    <hyperlink ref="B1432" r:id="rId4292" display="https://statiz.sporki.com/add/?m=draft_school01&amp;ps_school=50705" xr:uid="{C37985AF-38B9-41F9-B2BF-AAB19C04E30F}"/>
    <hyperlink ref="C1432" r:id="rId4293" display="https://statiz.sporki.com/add/?m=draft_school02&amp;ps_school=60703" xr:uid="{A7F2E35C-A863-410A-91BD-2CC0469FB609}"/>
    <hyperlink ref="A1433" r:id="rId4294" display="https://statiz.sporki.com/player/?m=playerinfo&amp;p_no=11269" xr:uid="{730756C9-CF5C-4656-AF45-2531D0B6E8EF}"/>
    <hyperlink ref="B1433" r:id="rId4295" display="https://statiz.sporki.com/add/?m=draft_school01&amp;ps_school=50403" xr:uid="{350B4334-8B35-4169-966D-B04B4787865C}"/>
    <hyperlink ref="C1433" r:id="rId4296" display="https://statiz.sporki.com/add/?m=draft_school02&amp;ps_school=" xr:uid="{40FDC5BB-6651-4D37-BF1D-AA23221E909F}"/>
    <hyperlink ref="A1434" r:id="rId4297" display="https://statiz.sporki.com/player/?m=playerinfo&amp;p_no=12655" xr:uid="{A5ECDD20-DB80-4129-91BB-60C357105132}"/>
    <hyperlink ref="B1434" r:id="rId4298" display="https://statiz.sporki.com/add/?m=draft_school01&amp;ps_school=50403" xr:uid="{DC6879A6-A40E-4A3B-B0EE-7FB93D6406D2}"/>
    <hyperlink ref="C1434" r:id="rId4299" display="https://statiz.sporki.com/add/?m=draft_school02&amp;ps_school=" xr:uid="{60BB30A5-1A50-4903-A975-05CA894B35D1}"/>
    <hyperlink ref="A1435" r:id="rId4300" display="https://statiz.sporki.com/player/?m=playerinfo&amp;p_no=11311" xr:uid="{E94811F4-EDD3-48D2-B2DF-1BFB65F2D3E5}"/>
    <hyperlink ref="B1435" r:id="rId4301" display="https://statiz.sporki.com/add/?m=draft_school01&amp;ps_school=50801" xr:uid="{D1640ABA-AF66-487C-AE30-BDB242F4EABF}"/>
    <hyperlink ref="C1435" r:id="rId4302" display="https://statiz.sporki.com/add/?m=draft_school02&amp;ps_school=60605" xr:uid="{DEA91C09-58F9-436F-912F-A1F866BA234E}"/>
    <hyperlink ref="A1436" r:id="rId4303" display="https://statiz.sporki.com/player/?m=playerinfo&amp;p_no=11265" xr:uid="{B7188417-BA4E-45F8-B297-1F5B76C6429D}"/>
    <hyperlink ref="B1436" r:id="rId4304" display="https://statiz.sporki.com/add/?m=draft_school01&amp;ps_school=" xr:uid="{F87AEA7C-E3F4-4AAB-AE2A-F64C2B22DB06}"/>
    <hyperlink ref="C1436" r:id="rId4305" display="https://statiz.sporki.com/add/?m=draft_school02&amp;ps_school=" xr:uid="{3095D0ED-868E-430C-9CF6-0ECDA0C77A2A}"/>
    <hyperlink ref="A1437" r:id="rId4306" display="https://statiz.sporki.com/player/?m=playerinfo&amp;p_no=11292" xr:uid="{2694D75D-1870-42A6-AAB3-AA5A664F8CA2}"/>
    <hyperlink ref="B1437" r:id="rId4307" display="https://statiz.sporki.com/add/?m=draft_school01&amp;ps_school=" xr:uid="{0927DA39-274F-45DC-B9B6-EBB74317DA80}"/>
    <hyperlink ref="C1437" r:id="rId4308" display="https://statiz.sporki.com/add/?m=draft_school02&amp;ps_school=" xr:uid="{46F0A77C-6329-472B-91BD-4D47D3FEA0D5}"/>
    <hyperlink ref="A1438" r:id="rId4309" display="https://statiz.sporki.com/player/?m=playerinfo&amp;p_no=11262" xr:uid="{B8532720-101A-4A91-B9F3-ABCA8F5C3741}"/>
    <hyperlink ref="B1438" r:id="rId4310" display="https://statiz.sporki.com/add/?m=draft_school01&amp;ps_school=" xr:uid="{3B753F91-A5BC-4FE6-B943-5D583E2AF39F}"/>
    <hyperlink ref="C1438" r:id="rId4311" display="https://statiz.sporki.com/add/?m=draft_school02&amp;ps_school=" xr:uid="{6B22B3AE-A839-439C-A9BA-C343AA250DEA}"/>
    <hyperlink ref="A1439" r:id="rId4312" display="https://statiz.sporki.com/player/?m=playerinfo&amp;p_no=11264" xr:uid="{A47BEDE9-029F-4CF0-82DA-270B663F042E}"/>
    <hyperlink ref="B1439" r:id="rId4313" display="https://statiz.sporki.com/add/?m=draft_school01&amp;ps_school=" xr:uid="{89BAFDC5-E158-47C5-8E25-957A2FD6C6BC}"/>
    <hyperlink ref="C1439" r:id="rId4314" display="https://statiz.sporki.com/add/?m=draft_school02&amp;ps_school=" xr:uid="{865B6A84-C56B-4098-BDB1-27C409C34188}"/>
    <hyperlink ref="A1440" r:id="rId4315" display="https://statiz.sporki.com/player/?m=playerinfo&amp;p_no=11325" xr:uid="{F1727544-1787-44F5-BE82-D005A2B2CA50}"/>
    <hyperlink ref="B1440" r:id="rId4316" display="https://statiz.sporki.com/add/?m=draft_school01&amp;ps_school=" xr:uid="{B2A1FAF5-487D-4023-B8EF-B89C3EC6651B}"/>
    <hyperlink ref="C1440" r:id="rId4317" display="https://statiz.sporki.com/add/?m=draft_school02&amp;ps_school=" xr:uid="{4DDA19CD-19C4-4435-8BA7-58408840DEB5}"/>
    <hyperlink ref="A1441" r:id="rId4318" display="https://statiz.sporki.com/player/?m=playerinfo&amp;p_no=12647" xr:uid="{7E2AD268-B195-42CB-A242-3BC45FC6EC29}"/>
    <hyperlink ref="B1441" r:id="rId4319" display="https://statiz.sporki.com/add/?m=draft_school01&amp;ps_school=50602" xr:uid="{7105A88F-F74C-4303-84F4-D5EB8A145C8F}"/>
    <hyperlink ref="C1441" r:id="rId4320" display="https://statiz.sporki.com/add/?m=draft_school02&amp;ps_school=60113" xr:uid="{3D8FD132-38EB-4519-8AB1-08B9D7810D7C}"/>
    <hyperlink ref="A1442" r:id="rId4321" display="https://statiz.sporki.com/player/?m=playerinfo&amp;p_no=11343" xr:uid="{5AB2A7F5-6668-40D3-9766-54D9BB7BE535}"/>
    <hyperlink ref="B1442" r:id="rId4322" display="https://statiz.sporki.com/add/?m=draft_school01&amp;ps_school=51001" xr:uid="{79B5A329-DE1A-47B5-9214-4E05CF754A7C}"/>
    <hyperlink ref="C1442" r:id="rId4323" display="https://statiz.sporki.com/add/?m=draft_school02&amp;ps_school=60703" xr:uid="{A129A80B-F14D-4CAD-83C6-E58518DFF2B0}"/>
    <hyperlink ref="A1443" r:id="rId4324" display="https://statiz.sporki.com/player/?m=playerinfo&amp;p_no=11217" xr:uid="{2B4EB501-61CA-4017-9987-15659E8CDA5F}"/>
    <hyperlink ref="B1443" r:id="rId4325" display="https://statiz.sporki.com/add/?m=draft_school01&amp;ps_school=" xr:uid="{231B66BB-6F11-4E5E-8484-76C20E544B38}"/>
    <hyperlink ref="C1443" r:id="rId4326" display="https://statiz.sporki.com/add/?m=draft_school02&amp;ps_school=" xr:uid="{E99E0929-3414-4D5A-BB90-4D5088E2EED3}"/>
    <hyperlink ref="A1444" r:id="rId4327" display="https://statiz.sporki.com/player/?m=playerinfo&amp;p_no=11287" xr:uid="{F67D21F9-5A67-46AD-A0D1-460E57CB5F51}"/>
    <hyperlink ref="B1444" r:id="rId4328" display="https://statiz.sporki.com/add/?m=draft_school01&amp;ps_school=" xr:uid="{220D3D00-960F-420F-BA0B-CF4558E7E9FF}"/>
    <hyperlink ref="C1444" r:id="rId4329" display="https://statiz.sporki.com/add/?m=draft_school02&amp;ps_school=" xr:uid="{828B1D3E-27F8-4B54-9F27-62A84DCBF12B}"/>
    <hyperlink ref="A1445" r:id="rId4330" display="https://statiz.sporki.com/player/?m=playerinfo&amp;p_no=11216" xr:uid="{C4E57457-B755-41EC-90E1-F57B7CED6760}"/>
    <hyperlink ref="B1445" r:id="rId4331" display="https://statiz.sporki.com/add/?m=draft_school01&amp;ps_school=" xr:uid="{7A0AD8DB-83AA-4FCF-86F3-F40D74FA5AAF}"/>
    <hyperlink ref="C1445" r:id="rId4332" display="https://statiz.sporki.com/add/?m=draft_school02&amp;ps_school=" xr:uid="{027DE26C-3772-493E-BB98-01478F6BE2C3}"/>
    <hyperlink ref="A1446" r:id="rId4333" display="https://statiz.sporki.com/player/?m=playerinfo&amp;p_no=11282" xr:uid="{100BF258-BEA9-4BCE-AF92-2F95F3C7A7F0}"/>
    <hyperlink ref="B1446" r:id="rId4334" display="https://statiz.sporki.com/add/?m=draft_school01&amp;ps_school=" xr:uid="{92F96EA5-E6AE-4B2B-A9E4-D7752F6858A8}"/>
    <hyperlink ref="C1446" r:id="rId4335" display="https://statiz.sporki.com/add/?m=draft_school02&amp;ps_school=" xr:uid="{3A258CC9-30D2-4B6D-B871-A3BA259EFC2B}"/>
    <hyperlink ref="A1447" r:id="rId4336" display="https://statiz.sporki.com/player/?m=playerinfo&amp;p_no=11249" xr:uid="{F15330E1-8D29-4622-817B-7C27CF7892CA}"/>
    <hyperlink ref="B1447" r:id="rId4337" display="https://statiz.sporki.com/add/?m=draft_school01&amp;ps_school=" xr:uid="{9A8BEB4F-4490-40E5-9776-59A43DB601F9}"/>
    <hyperlink ref="C1447" r:id="rId4338" display="https://statiz.sporki.com/add/?m=draft_school02&amp;ps_school=" xr:uid="{20ABF4A5-F232-4286-83A0-19ACAE562237}"/>
    <hyperlink ref="A1448" r:id="rId4339" display="https://statiz.sporki.com/player/?m=playerinfo&amp;p_no=11252" xr:uid="{FBBC192F-4A31-4F7E-80A2-5EE37CFFF538}"/>
    <hyperlink ref="B1448" r:id="rId4340" display="https://statiz.sporki.com/add/?m=draft_school01&amp;ps_school=" xr:uid="{35C2378E-9059-498B-808C-30D74E299DE0}"/>
    <hyperlink ref="C1448" r:id="rId4341" display="https://statiz.sporki.com/add/?m=draft_school02&amp;ps_school=" xr:uid="{F17EA04B-4CE5-4005-8499-9E0AC24E65A6}"/>
    <hyperlink ref="A1449" r:id="rId4342" display="https://statiz.sporki.com/player/?m=playerinfo&amp;p_no=11288" xr:uid="{85EE083E-4FE1-4D11-ACC3-D44406EA8F7A}"/>
    <hyperlink ref="B1449" r:id="rId4343" display="https://statiz.sporki.com/add/?m=draft_school01&amp;ps_school=" xr:uid="{A5CFE6AD-E361-4B01-B018-5D3D9FFAECC9}"/>
    <hyperlink ref="C1449" r:id="rId4344" display="https://statiz.sporki.com/add/?m=draft_school02&amp;ps_school=" xr:uid="{CBC4D495-2907-4D43-B874-8B1B459656D9}"/>
    <hyperlink ref="A1450" r:id="rId4345" display="https://statiz.sporki.com/player/?m=playerinfo&amp;p_no=11237" xr:uid="{08E8D57A-E27A-4353-86A2-9A8EA2705091}"/>
    <hyperlink ref="B1450" r:id="rId4346" display="https://statiz.sporki.com/add/?m=draft_school01&amp;ps_school=" xr:uid="{3ECA8E29-A072-4C99-8E0F-0EB13BF82EC5}"/>
    <hyperlink ref="C1450" r:id="rId4347" display="https://statiz.sporki.com/add/?m=draft_school02&amp;ps_school=" xr:uid="{F8741636-24F6-4C9B-ACAB-7FD411199271}"/>
    <hyperlink ref="A1451" r:id="rId4348" display="https://statiz.sporki.com/player/?m=playerinfo&amp;p_no=11239" xr:uid="{A33C22F6-DB01-4857-825B-E440BFA04517}"/>
    <hyperlink ref="B1451" r:id="rId4349" display="https://statiz.sporki.com/add/?m=draft_school01&amp;ps_school=" xr:uid="{4E918552-EBD5-44DA-9C38-00F375D4B44C}"/>
    <hyperlink ref="C1451" r:id="rId4350" display="https://statiz.sporki.com/add/?m=draft_school02&amp;ps_school=" xr:uid="{F54313FA-C29D-4795-B4D0-A07AECACCA4E}"/>
    <hyperlink ref="A1452" r:id="rId4351" display="https://statiz.sporki.com/player/?m=playerinfo&amp;p_no=11218" xr:uid="{A16919D0-5D5B-477F-8024-07D6EB4AB8FD}"/>
    <hyperlink ref="B1452" r:id="rId4352" display="https://statiz.sporki.com/add/?m=draft_school01&amp;ps_school=" xr:uid="{84A97A40-0DC8-41B1-A81B-10050E4390F4}"/>
    <hyperlink ref="C1452" r:id="rId4353" display="https://statiz.sporki.com/add/?m=draft_school02&amp;ps_school=" xr:uid="{0E9033AE-14D7-41F4-BF07-F52BF4716777}"/>
    <hyperlink ref="A1453" r:id="rId4354" display="https://statiz.sporki.com/player/?m=playerinfo&amp;p_no=11201" xr:uid="{CA4905E1-8DBC-45A2-8739-F2461E2A4615}"/>
    <hyperlink ref="B1453" r:id="rId4355" display="https://statiz.sporki.com/add/?m=draft_school01&amp;ps_school=" xr:uid="{64A75934-E114-46D3-91C8-B5C1F1DA5A2E}"/>
    <hyperlink ref="C1453" r:id="rId4356" display="https://statiz.sporki.com/add/?m=draft_school02&amp;ps_school=" xr:uid="{54C5A273-7DD7-43C6-861B-DAB46C6FD629}"/>
    <hyperlink ref="A1454" r:id="rId4357" display="https://statiz.sporki.com/player/?m=playerinfo&amp;p_no=11202" xr:uid="{42D414BD-3257-407E-84E4-2CBB364F0638}"/>
    <hyperlink ref="B1454" r:id="rId4358" display="https://statiz.sporki.com/add/?m=draft_school01&amp;ps_school=" xr:uid="{57B68052-ECFB-4A44-A148-15B63A8B1F51}"/>
    <hyperlink ref="C1454" r:id="rId4359" display="https://statiz.sporki.com/add/?m=draft_school02&amp;ps_school=" xr:uid="{AAC702F2-4F77-40D9-80C0-195ED34806FA}"/>
    <hyperlink ref="A1455" r:id="rId4360" display="https://statiz.sporki.com/player/?m=playerinfo&amp;p_no=11293" xr:uid="{A3E077B9-2F19-4B67-B3CA-998766847600}"/>
    <hyperlink ref="B1455" r:id="rId4361" display="https://statiz.sporki.com/add/?m=draft_school01&amp;ps_school=" xr:uid="{12B42032-94A4-406C-A5FB-4C4A42FA1E6B}"/>
    <hyperlink ref="C1455" r:id="rId4362" display="https://statiz.sporki.com/add/?m=draft_school02&amp;ps_school=" xr:uid="{A3F0411B-F4DF-4731-B15F-21D932B81239}"/>
    <hyperlink ref="A1456" r:id="rId4363" display="https://statiz.sporki.com/player/?m=playerinfo&amp;p_no=11228" xr:uid="{22887C76-1C61-4E26-95F3-691AD27D2913}"/>
    <hyperlink ref="B1456" r:id="rId4364" display="https://statiz.sporki.com/add/?m=draft_school01&amp;ps_school=" xr:uid="{09FD2159-F573-498A-9682-F18266142F7B}"/>
    <hyperlink ref="C1456" r:id="rId4365" display="https://statiz.sporki.com/add/?m=draft_school02&amp;ps_school=" xr:uid="{5C7EFC73-6E90-4F06-A51E-E5BC70E3470E}"/>
    <hyperlink ref="A1457" r:id="rId4366" display="https://statiz.sporki.com/player/?m=playerinfo&amp;p_no=11195" xr:uid="{1BF6F5ED-D240-41FA-AD98-F2BC2C483B7B}"/>
    <hyperlink ref="B1457" r:id="rId4367" display="https://statiz.sporki.com/add/?m=draft_school01&amp;ps_school=" xr:uid="{776F3757-99B2-4F1D-9EE1-64E64FB16366}"/>
    <hyperlink ref="C1457" r:id="rId4368" display="https://statiz.sporki.com/add/?m=draft_school02&amp;ps_school=" xr:uid="{ACB495E0-96A3-4ABF-8913-AADE171207F0}"/>
    <hyperlink ref="A1458" r:id="rId4369" display="https://statiz.sporki.com/player/?m=playerinfo&amp;p_no=11194" xr:uid="{8A5954AE-9676-4599-A40C-8B8F962DD25E}"/>
    <hyperlink ref="B1458" r:id="rId4370" display="https://statiz.sporki.com/add/?m=draft_school01&amp;ps_school=" xr:uid="{340D7003-7F79-44A8-A60E-2C9F54F6D7F8}"/>
    <hyperlink ref="C1458" r:id="rId4371" display="https://statiz.sporki.com/add/?m=draft_school02&amp;ps_school=" xr:uid="{6A1795AE-8355-40E6-8BEF-93D407522397}"/>
    <hyperlink ref="A1459" r:id="rId4372" display="https://statiz.sporki.com/player/?m=playerinfo&amp;p_no=11286" xr:uid="{9ADD37AD-EE07-414E-9C36-E5429210FBD9}"/>
    <hyperlink ref="B1459" r:id="rId4373" display="https://statiz.sporki.com/add/?m=draft_school01&amp;ps_school=" xr:uid="{17F17056-C840-45D5-9CD5-739F367D0523}"/>
    <hyperlink ref="C1459" r:id="rId4374" display="https://statiz.sporki.com/add/?m=draft_school02&amp;ps_school=" xr:uid="{CF85699A-CFA2-4287-909A-1D1FB89E712E}"/>
    <hyperlink ref="A1460" r:id="rId4375" display="https://statiz.sporki.com/player/?m=playerinfo&amp;p_no=11275" xr:uid="{891A7769-1B29-41D9-8A71-7D98A436F69A}"/>
    <hyperlink ref="B1460" r:id="rId4376" display="https://statiz.sporki.com/add/?m=draft_school01&amp;ps_school=" xr:uid="{4F86E417-D01D-4EB9-BE9F-84F90F8BC288}"/>
    <hyperlink ref="C1460" r:id="rId4377" display="https://statiz.sporki.com/add/?m=draft_school02&amp;ps_school=" xr:uid="{6572FE03-46F1-4859-990C-164C68FF65A2}"/>
    <hyperlink ref="A1461" r:id="rId4378" display="https://statiz.sporki.com/player/?m=playerinfo&amp;p_no=11277" xr:uid="{5DFA9169-6B8A-45F6-87B0-FCE71EDACE15}"/>
    <hyperlink ref="B1461" r:id="rId4379" display="https://statiz.sporki.com/add/?m=draft_school01&amp;ps_school=" xr:uid="{5358687C-6108-4191-A72E-5141F1818D78}"/>
    <hyperlink ref="C1461" r:id="rId4380" display="https://statiz.sporki.com/add/?m=draft_school02&amp;ps_school=" xr:uid="{229ADE03-B4F2-47C9-927E-BF5FDC153AA3}"/>
    <hyperlink ref="A1462" r:id="rId4381" display="https://statiz.sporki.com/player/?m=playerinfo&amp;p_no=11272" xr:uid="{C0739CED-6E6A-4667-886F-BD4F55187AA1}"/>
    <hyperlink ref="B1462" r:id="rId4382" display="https://statiz.sporki.com/add/?m=draft_school01&amp;ps_school=" xr:uid="{5CDE0C09-65D9-4C6E-A7CA-135A60610870}"/>
    <hyperlink ref="C1462" r:id="rId4383" display="https://statiz.sporki.com/add/?m=draft_school02&amp;ps_school=" xr:uid="{7EBF3058-C665-48F3-9485-9081C71D5DAA}"/>
    <hyperlink ref="A1463" r:id="rId4384" display="https://statiz.sporki.com/player/?m=playerinfo&amp;p_no=11482" xr:uid="{49BD5A9C-861D-4400-A651-A5E2D9F5CD33}"/>
    <hyperlink ref="B1463" r:id="rId4385" display="https://statiz.sporki.com/add/?m=draft_school01&amp;ps_school=50802" xr:uid="{D03242DD-68D8-4C3C-A282-34C094793796}"/>
    <hyperlink ref="C1463" r:id="rId4386" display="https://statiz.sporki.com/add/?m=draft_school02&amp;ps_school=60803" xr:uid="{6D523803-A402-4F47-9C39-A6AD1283141A}"/>
    <hyperlink ref="A1464" r:id="rId4387" display="https://statiz.sporki.com/player/?m=playerinfo&amp;p_no=11296" xr:uid="{A4C1DE76-AEBD-4C28-A44E-43215A08C50F}"/>
    <hyperlink ref="B1464" r:id="rId4388" display="https://statiz.sporki.com/add/?m=draft_school01&amp;ps_school=51103" xr:uid="{AE2AC193-AC8D-4EC2-9C36-BBF82D7A2EE8}"/>
    <hyperlink ref="C1464" r:id="rId4389" display="https://statiz.sporki.com/add/?m=draft_school02&amp;ps_school=61103" xr:uid="{7DD93629-BDAD-484E-BAA9-E971423C517C}"/>
    <hyperlink ref="A1465" r:id="rId4390" display="https://statiz.sporki.com/player/?m=playerinfo&amp;p_no=13234" xr:uid="{5F4EC195-58CA-40CF-8D0F-86502C84BD3C}"/>
    <hyperlink ref="B1465" r:id="rId4391" display="https://statiz.sporki.com/add/?m=draft_school01&amp;ps_school=50109" xr:uid="{4FF5BD88-DC32-46BC-8ED4-12CE25AA1D3A}"/>
    <hyperlink ref="C1465" r:id="rId4392" display="https://statiz.sporki.com/add/?m=draft_school02&amp;ps_school=" xr:uid="{0487EDA5-61AA-4E1F-A8DC-E65FE02EF4F2}"/>
    <hyperlink ref="A1466" r:id="rId4393" display="https://statiz.sporki.com/player/?m=playerinfo&amp;p_no=11342" xr:uid="{BDDC5FA9-0491-42C1-BE3C-FC558BC9122B}"/>
    <hyperlink ref="B1466" r:id="rId4394" display="https://statiz.sporki.com/add/?m=draft_school01&amp;ps_school=50109" xr:uid="{25DA0CCA-E330-43BB-95A3-DECA8EBB2131}"/>
    <hyperlink ref="C1466" r:id="rId4395" display="https://statiz.sporki.com/add/?m=draft_school02&amp;ps_school=60203" xr:uid="{53D541D6-5D12-4BB7-8791-B9814EEECF06}"/>
    <hyperlink ref="A1467" r:id="rId4396" display="https://statiz.sporki.com/player/?m=playerinfo&amp;p_no=11348" xr:uid="{94A74083-3206-4A5A-A76D-43E1A1E01933}"/>
    <hyperlink ref="B1467" r:id="rId4397" display="https://statiz.sporki.com/add/?m=draft_school01&amp;ps_school=50209" xr:uid="{C58C1CB1-542A-432B-8E4A-7A7FF48E7D8C}"/>
    <hyperlink ref="C1467" r:id="rId4398" display="https://statiz.sporki.com/add/?m=draft_school02&amp;ps_school=60204" xr:uid="{A525C8E8-2B78-4432-AC90-AB8F9B796BD4}"/>
    <hyperlink ref="A1468" r:id="rId4399" display="https://statiz.sporki.com/player/?m=playerinfo&amp;p_no=11279" xr:uid="{0D335C2D-CBA3-40E6-B352-A7E19DB6C112}"/>
    <hyperlink ref="B1468" r:id="rId4400" display="https://statiz.sporki.com/add/?m=draft_school01&amp;ps_school=50109" xr:uid="{FAA47BC0-14D4-47B4-8DC7-E2A6C484EBF6}"/>
    <hyperlink ref="C1468" r:id="rId4401" display="https://statiz.sporki.com/add/?m=draft_school02&amp;ps_school=60104" xr:uid="{04E906EB-FA36-4769-87D4-7BD0B3E3FF2F}"/>
    <hyperlink ref="A1469" r:id="rId4402" display="https://statiz.sporki.com/player/?m=playerinfo&amp;p_no=13275" xr:uid="{431F9025-AC0B-4DAC-BCE6-F9CB37F1ACAF}"/>
    <hyperlink ref="B1469" r:id="rId4403" display="https://statiz.sporki.com/add/?m=draft_school01&amp;ps_school=50801" xr:uid="{837F36D4-0521-4706-A115-E4B2E2F7AFEE}"/>
    <hyperlink ref="C1469" r:id="rId4404" display="https://statiz.sporki.com/add/?m=draft_school02&amp;ps_school=60108" xr:uid="{E8680AA4-921F-4AAD-85A8-6B1F7F34A8A7}"/>
    <hyperlink ref="A1470" r:id="rId4405" display="https://statiz.sporki.com/player/?m=playerinfo&amp;p_no=12943" xr:uid="{F7BEF4F1-5E9D-4057-B211-297F2308B3FC}"/>
    <hyperlink ref="B1470" r:id="rId4406" display="https://statiz.sporki.com/add/?m=draft_school01&amp;ps_school=50207" xr:uid="{515D11A2-DFF9-4854-AE42-18BC34AB637E}"/>
    <hyperlink ref="C1470" r:id="rId4407" display="https://statiz.sporki.com/add/?m=draft_school02&amp;ps_school=60203" xr:uid="{5908A8B5-2578-4FD0-AB85-54D7ABF4AA04}"/>
    <hyperlink ref="A1471" r:id="rId4408" display="https://statiz.sporki.com/player/?m=playerinfo&amp;p_no=12528" xr:uid="{6E482280-AA18-440A-9A93-B2E04BE4F892}"/>
    <hyperlink ref="B1471" r:id="rId4409" display="https://statiz.sporki.com/add/?m=draft_school01&amp;ps_school=50102" xr:uid="{A1ACCCEE-B87A-42E5-8B81-01BCE9D18D06}"/>
    <hyperlink ref="C1471" r:id="rId4410" display="https://statiz.sporki.com/add/?m=draft_school02&amp;ps_school=60102" xr:uid="{0B683DCB-23B1-41B9-B10B-F9800937D0BF}"/>
    <hyperlink ref="A1472" r:id="rId4411" display="https://statiz.sporki.com/player/?m=playerinfo&amp;p_no=11370" xr:uid="{C4DB5C35-B4C3-4A74-9418-6FDD83A0E6DD}"/>
    <hyperlink ref="B1472" r:id="rId4412" display="https://statiz.sporki.com/add/?m=draft_school01&amp;ps_school=50706" xr:uid="{9538299C-697F-483E-878A-67E2CEB04A36}"/>
    <hyperlink ref="C1472" r:id="rId4413" display="https://statiz.sporki.com/add/?m=draft_school02&amp;ps_school=60804" xr:uid="{9FB47C56-380D-48DF-86AC-3D40C1BD35C7}"/>
    <hyperlink ref="A1473" r:id="rId4414" display="https://statiz.sporki.com/player/?m=playerinfo&amp;p_no=12649" xr:uid="{8A47E76D-67F4-4039-9D35-14B920A458C5}"/>
    <hyperlink ref="B1473" r:id="rId4415" display="https://statiz.sporki.com/add/?m=draft_school01&amp;ps_school=50604" xr:uid="{2CD501F4-D63A-4141-88FD-B64169AB7D07}"/>
    <hyperlink ref="C1473" r:id="rId4416" display="https://statiz.sporki.com/add/?m=draft_school02&amp;ps_school=60114" xr:uid="{22058504-AC16-4FBF-A7C8-24DF275ABAA3}"/>
    <hyperlink ref="A1474" r:id="rId4417" display="https://statiz.sporki.com/player/?m=playerinfo&amp;p_no=12665" xr:uid="{F796C84C-A448-43E0-AEBE-D6057C491DB5}"/>
    <hyperlink ref="B1474" r:id="rId4418" display="https://statiz.sporki.com/add/?m=draft_school01&amp;ps_school=50105" xr:uid="{6D5B2F5A-1EA7-47C3-BB4F-347DB1F7A60A}"/>
    <hyperlink ref="C1474" r:id="rId4419" display="https://statiz.sporki.com/add/?m=draft_school02&amp;ps_school=60104" xr:uid="{BA55F640-5A98-41FC-948D-106A2E686C97}"/>
    <hyperlink ref="A1475" r:id="rId4420" display="https://statiz.sporki.com/player/?m=playerinfo&amp;p_no=11397" xr:uid="{625A9768-45D8-4585-94B0-C7ED121DB168}"/>
    <hyperlink ref="B1475" r:id="rId4421" display="https://statiz.sporki.com/add/?m=draft_school01&amp;ps_school=50101" xr:uid="{006D8177-2D1A-49C4-BC14-27DC2CEB9235}"/>
    <hyperlink ref="C1475" r:id="rId4422" display="https://statiz.sporki.com/add/?m=draft_school02&amp;ps_school=60109" xr:uid="{3C7D389F-B3A7-4676-A17B-956F75201471}"/>
    <hyperlink ref="A1476" r:id="rId4423" display="https://statiz.sporki.com/player/?m=playerinfo&amp;p_no=11402" xr:uid="{EF555505-4A6F-40D3-836F-1F0E221EFBE1}"/>
    <hyperlink ref="B1476" r:id="rId4424" display="https://statiz.sporki.com/add/?m=draft_school01&amp;ps_school=50201" xr:uid="{C5F4B237-A0B4-41FC-9F47-8DA38C1E6D5D}"/>
    <hyperlink ref="C1476" r:id="rId4425" display="https://statiz.sporki.com/add/?m=draft_school02&amp;ps_school=61001" xr:uid="{3BC68841-DB13-4851-8194-D50CB07DF436}"/>
    <hyperlink ref="A1477" r:id="rId4426" display="https://statiz.sporki.com/player/?m=playerinfo&amp;p_no=13240" xr:uid="{10144EBF-BEF7-4144-894A-1C9D854B0B22}"/>
    <hyperlink ref="B1477" r:id="rId4427" display="https://statiz.sporki.com/add/?m=draft_school01&amp;ps_school=50111" xr:uid="{9B578E64-3AB7-4D49-8A2D-0D5503C6A358}"/>
    <hyperlink ref="C1477" r:id="rId4428" display="https://statiz.sporki.com/add/?m=draft_school02&amp;ps_school=" xr:uid="{605A6205-3D9B-4281-B8C4-9DFBFC4B4A9F}"/>
    <hyperlink ref="A1478" r:id="rId4429" display="https://statiz.sporki.com/player/?m=playerinfo&amp;p_no=11413" xr:uid="{55D3D2B2-F40B-4B37-8955-1DB691599E40}"/>
    <hyperlink ref="B1478" r:id="rId4430" display="https://statiz.sporki.com/add/?m=draft_school01&amp;ps_school=50302" xr:uid="{A2971207-0617-4DBB-B97F-8C6C1AB3C309}"/>
    <hyperlink ref="C1478" r:id="rId4431" display="https://statiz.sporki.com/add/?m=draft_school02&amp;ps_school=" xr:uid="{A92F7254-E073-46EC-8E8E-DDACF43F30CC}"/>
    <hyperlink ref="A1479" r:id="rId4432" display="https://statiz.sporki.com/player/?m=playerinfo&amp;p_no=11164" xr:uid="{FAB7BFC2-0F28-48CB-994E-D8F518ACF5FD}"/>
    <hyperlink ref="B1479" r:id="rId4433" display="https://statiz.sporki.com/add/?m=draft_school01&amp;ps_school=50107" xr:uid="{A51E787C-696B-4750-A9DF-FD5624CAE11C}"/>
    <hyperlink ref="C1479" r:id="rId4434" display="https://statiz.sporki.com/add/?m=draft_school02&amp;ps_school=" xr:uid="{5DB247C1-D6FE-43C5-9E88-2D49E4D5E12A}"/>
    <hyperlink ref="A1480" r:id="rId4435" display="https://statiz.sporki.com/player/?m=playerinfo&amp;p_no=11078" xr:uid="{65AF84BC-7829-45C5-91D1-794303F5B12D}"/>
    <hyperlink ref="B1480" r:id="rId4436" display="https://statiz.sporki.com/add/?m=draft_school01&amp;ps_school=50805" xr:uid="{8A8E1E23-8777-464E-BF4E-B39254999654}"/>
    <hyperlink ref="C1480" r:id="rId4437" display="https://statiz.sporki.com/add/?m=draft_school02&amp;ps_school=" xr:uid="{8D6D3B04-3D9D-422E-B233-3E39B4DF7636}"/>
    <hyperlink ref="A1481" r:id="rId4438" display="https://statiz.sporki.com/player/?m=playerinfo&amp;p_no=11126" xr:uid="{31740867-5B5F-418D-849A-F2FBA0D03932}"/>
    <hyperlink ref="B1481" r:id="rId4439" display="https://statiz.sporki.com/add/?m=draft_school01&amp;ps_school=50402" xr:uid="{5A2F6C90-C0E3-442A-BEA6-3981A2A72A50}"/>
    <hyperlink ref="C1481" r:id="rId4440" display="https://statiz.sporki.com/add/?m=draft_school02&amp;ps_school=" xr:uid="{9EFC566E-767A-4D31-91EB-5E3338F99F27}"/>
    <hyperlink ref="A1482" r:id="rId4441" display="https://statiz.sporki.com/player/?m=playerinfo&amp;p_no=11098" xr:uid="{22378122-46CE-4291-ADED-1056A8E6E2D5}"/>
    <hyperlink ref="B1482" r:id="rId4442" display="https://statiz.sporki.com/add/?m=draft_school01&amp;ps_school=50403" xr:uid="{0E8593E9-0BDC-4FAA-928C-E7ABD34AC43C}"/>
    <hyperlink ref="C1482" r:id="rId4443" display="https://statiz.sporki.com/add/?m=draft_school02&amp;ps_school=" xr:uid="{C3F68DF4-CEE1-470D-83B8-E42D1B8F6FC1}"/>
    <hyperlink ref="A1483" r:id="rId4444" display="https://statiz.sporki.com/player/?m=playerinfo&amp;p_no=11115" xr:uid="{CE8F13FD-5BC2-4058-922C-4D74E7435831}"/>
    <hyperlink ref="B1483" r:id="rId4445" display="https://statiz.sporki.com/add/?m=draft_school01&amp;ps_school=50111" xr:uid="{B61677B8-F902-4092-9C13-4DE0D0F5327F}"/>
    <hyperlink ref="C1483" r:id="rId4446" display="https://statiz.sporki.com/add/?m=draft_school02&amp;ps_school=" xr:uid="{CF50607F-7A07-43D3-9541-7FF2E811C2F2}"/>
    <hyperlink ref="A1484" r:id="rId4447" display="https://statiz.sporki.com/player/?m=playerinfo&amp;p_no=11087" xr:uid="{92258912-B35A-45C3-ADCC-2804CAC0F89B}"/>
    <hyperlink ref="B1484" r:id="rId4448" display="https://statiz.sporki.com/add/?m=draft_school01&amp;ps_school=50403" xr:uid="{9F825438-C5CA-4772-A98B-E3311CAD151C}"/>
    <hyperlink ref="C1484" r:id="rId4449" display="https://statiz.sporki.com/add/?m=draft_school02&amp;ps_school=" xr:uid="{0E779515-44BD-4ABC-B74A-F8DE25EA41AC}"/>
    <hyperlink ref="A1485" r:id="rId4450" display="https://statiz.sporki.com/player/?m=playerinfo&amp;p_no=11069" xr:uid="{35A033B4-05E5-46EC-A4FF-6BA8D9766562}"/>
    <hyperlink ref="B1485" r:id="rId4451" display="https://statiz.sporki.com/add/?m=draft_school01&amp;ps_school=50203" xr:uid="{F3DA1D2D-604D-4A1B-8CC3-01B9CE4F2310}"/>
    <hyperlink ref="C1485" r:id="rId4452" display="https://statiz.sporki.com/add/?m=draft_school02&amp;ps_school=60203" xr:uid="{5617EADA-10EA-43A7-A9A7-437BED9A17E6}"/>
    <hyperlink ref="A1486" r:id="rId4453" display="https://statiz.sporki.com/player/?m=playerinfo&amp;p_no=11082" xr:uid="{9D1BBB64-23EC-4901-B9B3-39CE2E64B336}"/>
    <hyperlink ref="B1486" r:id="rId4454" display="https://statiz.sporki.com/add/?m=draft_school01&amp;ps_school=50805" xr:uid="{06902918-78F8-44F9-A624-826B44EE4938}"/>
    <hyperlink ref="C1486" r:id="rId4455" display="https://statiz.sporki.com/add/?m=draft_school02&amp;ps_school=" xr:uid="{A6F452C7-83BE-4EE3-B109-700D3E5BF97F}"/>
    <hyperlink ref="A1487" r:id="rId4456" display="https://statiz.sporki.com/player/?m=playerinfo&amp;p_no=11111" xr:uid="{66ACFFA9-5714-409E-A329-43938D6A6A3E}"/>
    <hyperlink ref="B1487" r:id="rId4457" display="https://statiz.sporki.com/add/?m=draft_school01&amp;ps_school=50805" xr:uid="{05586518-91BF-4068-A147-E46D50518949}"/>
    <hyperlink ref="C1487" r:id="rId4458" display="https://statiz.sporki.com/add/?m=draft_school02&amp;ps_school=" xr:uid="{4994532C-BAFB-43E1-917C-777D9C667077}"/>
    <hyperlink ref="A1488" r:id="rId4459" display="https://statiz.sporki.com/player/?m=playerinfo&amp;p_no=11142" xr:uid="{AE9B7FF2-F9DF-4C39-AE5B-6BE3CE677A8C}"/>
    <hyperlink ref="B1488" r:id="rId4460" display="https://statiz.sporki.com/add/?m=draft_school01&amp;ps_school=50103" xr:uid="{5DF92C31-1BD3-4B34-AECC-679F667AB2C3}"/>
    <hyperlink ref="C1488" r:id="rId4461" display="https://statiz.sporki.com/add/?m=draft_school02&amp;ps_school=60102" xr:uid="{5EF4B040-BEB6-45E3-B6AE-9527F0C3ACD5}"/>
    <hyperlink ref="A1489" r:id="rId4462" display="https://statiz.sporki.com/player/?m=playerinfo&amp;p_no=11077" xr:uid="{FBAE4EB8-10ED-4E2E-AF3B-A0D78DA8AD2F}"/>
    <hyperlink ref="B1489" r:id="rId4463" display="https://statiz.sporki.com/add/?m=draft_school01&amp;ps_school=50903" xr:uid="{0B386694-D1EB-41C8-9601-9165576FDE21}"/>
    <hyperlink ref="C1489" r:id="rId4464" display="https://statiz.sporki.com/add/?m=draft_school02&amp;ps_school=60801" xr:uid="{F3B13069-D37E-412E-A8D9-6617C5A5EAE1}"/>
    <hyperlink ref="A1490" r:id="rId4465" display="https://statiz.sporki.com/player/?m=playerinfo&amp;p_no=11127" xr:uid="{EF55664E-BE3D-4988-ABAF-B86EB08AB84C}"/>
    <hyperlink ref="B1490" r:id="rId4466" display="https://statiz.sporki.com/add/?m=draft_school01&amp;ps_school=50809" xr:uid="{DB7573E1-FDFD-47ED-9E5F-E8993A0B2BD5}"/>
    <hyperlink ref="C1490" r:id="rId4467" display="https://statiz.sporki.com/add/?m=draft_school02&amp;ps_school=60104" xr:uid="{E4CBDCE7-9554-4475-B11D-0F2EC2BFB20C}"/>
    <hyperlink ref="A1491" r:id="rId4468" display="https://statiz.sporki.com/player/?m=playerinfo&amp;p_no=11099" xr:uid="{470F677E-3291-43FE-95BD-363CBADF908F}"/>
    <hyperlink ref="B1491" r:id="rId4469" display="https://statiz.sporki.com/add/?m=draft_school01&amp;ps_school=50402" xr:uid="{B813EBA3-07FD-46E6-9E27-F8C8B29B41EE}"/>
    <hyperlink ref="C1491" r:id="rId4470" display="https://statiz.sporki.com/add/?m=draft_school02&amp;ps_school=" xr:uid="{CF93784E-56C2-4BBA-8334-95EB7CA77C88}"/>
    <hyperlink ref="A1492" r:id="rId4471" display="https://statiz.sporki.com/player/?m=playerinfo&amp;p_no=13237" xr:uid="{A2A66BED-AAF6-4F63-A0B6-17BC09E7E32B}"/>
    <hyperlink ref="B1492" r:id="rId4472" display="https://statiz.sporki.com/add/?m=draft_school01&amp;ps_school=50901" xr:uid="{555CF8D9-11F9-46EE-88CA-66CD90DA3D70}"/>
    <hyperlink ref="C1492" r:id="rId4473" display="https://statiz.sporki.com/add/?m=draft_school02&amp;ps_school=" xr:uid="{F911CB6B-1049-41DA-A7EF-FCB3DEADA7AD}"/>
    <hyperlink ref="A1493" r:id="rId4474" display="https://statiz.sporki.com/player/?m=playerinfo&amp;p_no=11332" xr:uid="{875C68ED-3287-4FDA-98FB-894090355F5C}"/>
    <hyperlink ref="B1493" r:id="rId4475" display="https://statiz.sporki.com/add/?m=draft_school01&amp;ps_school=50110" xr:uid="{53976F18-0065-4363-95E7-FE78D9770776}"/>
    <hyperlink ref="C1493" r:id="rId4476" display="https://statiz.sporki.com/add/?m=draft_school02&amp;ps_school=60107" xr:uid="{5CB46437-F86E-44A9-8FAF-24B3D998EC54}"/>
    <hyperlink ref="A1494" r:id="rId4477" display="https://statiz.sporki.com/player/?m=playerinfo&amp;p_no=11425" xr:uid="{24555D81-BF48-42EB-A8CB-DFFD018EFFA7}"/>
    <hyperlink ref="B1494" r:id="rId4478" display="https://statiz.sporki.com/add/?m=draft_school01&amp;ps_school=50901" xr:uid="{9574C779-DD06-4988-BD31-EB31CA4CAD9A}"/>
    <hyperlink ref="C1494" r:id="rId4479" display="https://statiz.sporki.com/add/?m=draft_school02&amp;ps_school=" xr:uid="{6B59AA9F-BEE6-4912-9F8F-068148D80A2B}"/>
    <hyperlink ref="A1495" r:id="rId4480" display="https://statiz.sporki.com/player/?m=playerinfo&amp;p_no=11071" xr:uid="{92C6F344-F89E-4381-9E39-A9E89327BA1A}"/>
    <hyperlink ref="B1495" r:id="rId4481" display="https://statiz.sporki.com/add/?m=draft_school01&amp;ps_school=50111" xr:uid="{A1E875BF-A3CD-40FC-A3F6-8B0341F4C82D}"/>
    <hyperlink ref="C1495" r:id="rId4482" display="https://statiz.sporki.com/add/?m=draft_school02&amp;ps_school=60203" xr:uid="{F2460DFB-5597-471F-AEB3-166509CC3F9A}"/>
    <hyperlink ref="A1496" r:id="rId4483" display="https://statiz.sporki.com/player/?m=playerinfo&amp;p_no=12697" xr:uid="{8AA1CBF2-DCD8-46CC-9E1F-DF376596CFAB}"/>
    <hyperlink ref="B1496" r:id="rId4484" display="https://statiz.sporki.com/add/?m=draft_school01&amp;ps_school=50705" xr:uid="{234D2B7B-08B6-4DC9-AF87-F1C263942E96}"/>
    <hyperlink ref="C1496" r:id="rId4485" display="https://statiz.sporki.com/add/?m=draft_school02&amp;ps_school=" xr:uid="{375F17AB-EB37-4DD9-8905-B2A8324724EE}"/>
    <hyperlink ref="A1497" r:id="rId4486" display="https://statiz.sporki.com/player/?m=playerinfo&amp;p_no=11168" xr:uid="{BC4D863A-E798-4F3F-8647-6B12DFF9BE4D}"/>
    <hyperlink ref="B1497" r:id="rId4487" display="https://statiz.sporki.com/add/?m=draft_school01&amp;ps_school=50110" xr:uid="{07ECBC78-ECE1-4D9B-846E-D710DCCF8B70}"/>
    <hyperlink ref="C1497" r:id="rId4488" display="https://statiz.sporki.com/add/?m=draft_school02&amp;ps_school=60108" xr:uid="{02F3B5FC-1BAC-43E6-9EE4-9235EB408CB4}"/>
    <hyperlink ref="A1498" r:id="rId4489" display="https://statiz.sporki.com/player/?m=playerinfo&amp;p_no=11364" xr:uid="{7DBD9985-EF4D-49EC-AA6A-6172CF6F7C29}"/>
    <hyperlink ref="B1498" r:id="rId4490" display="https://statiz.sporki.com/add/?m=draft_school01&amp;ps_school=50605" xr:uid="{7F5DB5BA-32A9-457F-AFFC-CD25F72A5180}"/>
    <hyperlink ref="C1498" r:id="rId4491" display="https://statiz.sporki.com/add/?m=draft_school02&amp;ps_school=" xr:uid="{2009AC71-C167-4F07-88C5-C76E4B679061}"/>
    <hyperlink ref="A1499" r:id="rId4492" display="https://statiz.sporki.com/player/?m=playerinfo&amp;p_no=11131" xr:uid="{857F602E-5E30-4DAC-8897-0C06C9E97B75}"/>
    <hyperlink ref="B1499" r:id="rId4493" display="https://statiz.sporki.com/add/?m=draft_school01&amp;ps_school=50403" xr:uid="{738F7CCB-80A9-4A9D-90D5-111E04BC598E}"/>
    <hyperlink ref="C1499" r:id="rId4494" display="https://statiz.sporki.com/add/?m=draft_school02&amp;ps_school=" xr:uid="{326142B0-A51E-4ACA-94A2-495D2BB51E7C}"/>
    <hyperlink ref="A1500" r:id="rId4495" display="https://statiz.sporki.com/player/?m=playerinfo&amp;p_no=11093" xr:uid="{F495D64E-99DC-4BB3-81F9-1FE7DE6669B5}"/>
    <hyperlink ref="B1500" r:id="rId4496" display="https://statiz.sporki.com/add/?m=draft_school01&amp;ps_school=50403" xr:uid="{D08033BF-A34C-48CE-BE19-FA748F4CCDF7}"/>
    <hyperlink ref="C1500" r:id="rId4497" display="https://statiz.sporki.com/add/?m=draft_school02&amp;ps_school=" xr:uid="{909A60BF-ECC4-4A91-88BF-FBD8FCF3CCA4}"/>
    <hyperlink ref="A1501" r:id="rId4498" display="https://statiz.sporki.com/player/?m=playerinfo&amp;p_no=11119" xr:uid="{BC45A503-7F83-4FFD-AB7C-87E922CDD6B4}"/>
    <hyperlink ref="B1501" r:id="rId4499" display="https://statiz.sporki.com/add/?m=draft_school01&amp;ps_school=50103" xr:uid="{D2EB15E0-52C6-4986-8578-2F76CF7B744D}"/>
    <hyperlink ref="C1501" r:id="rId4500" display="https://statiz.sporki.com/add/?m=draft_school02&amp;ps_school=" xr:uid="{1B96E1BB-8BBA-4C83-9707-653825290D3A}"/>
    <hyperlink ref="A1502" r:id="rId4501" display="https://statiz.sporki.com/player/?m=playerinfo&amp;p_no=11314" xr:uid="{0D0CE631-A4BE-4B7F-9EE0-D0F91E9D405D}"/>
    <hyperlink ref="B1502" r:id="rId4502" display="https://statiz.sporki.com/add/?m=draft_school01&amp;ps_school=50110" xr:uid="{864A8172-98D4-4F04-87D1-B6B7B6831347}"/>
    <hyperlink ref="C1502" r:id="rId4503" display="https://statiz.sporki.com/add/?m=draft_school02&amp;ps_school=60105" xr:uid="{ADF9D40E-F2F3-4FEF-BB87-50A2A217A834}"/>
    <hyperlink ref="A1503" r:id="rId4504" display="https://statiz.sporki.com/player/?m=playerinfo&amp;p_no=11067" xr:uid="{97ACFF8B-B331-4947-AF8B-402AD557F567}"/>
    <hyperlink ref="B1503" r:id="rId4505" display="https://statiz.sporki.com/add/?m=draft_school01&amp;ps_school=50114" xr:uid="{9D26BA2C-79F3-467E-B7A7-166738EB7F67}"/>
    <hyperlink ref="C1503" r:id="rId4506" display="https://statiz.sporki.com/add/?m=draft_school02&amp;ps_school=60102" xr:uid="{AB23E67B-2A80-4066-89CE-48B5AEAC7B06}"/>
    <hyperlink ref="A1504" r:id="rId4507" display="https://statiz.sporki.com/player/?m=playerinfo&amp;p_no=11118" xr:uid="{EAD5667E-AC72-4DB0-8702-9A370A4158A3}"/>
    <hyperlink ref="B1504" r:id="rId4508" display="https://statiz.sporki.com/add/?m=draft_school01&amp;ps_school=50207" xr:uid="{ED89DBF7-9D2C-48D1-B0B7-BEB436E22A66}"/>
    <hyperlink ref="C1504" r:id="rId4509" display="https://statiz.sporki.com/add/?m=draft_school02&amp;ps_school=61001" xr:uid="{74AFBAFB-5A01-4341-9EE4-3874093D7984}"/>
    <hyperlink ref="A1505" r:id="rId4510" display="https://statiz.sporki.com/player/?m=playerinfo&amp;p_no=11089" xr:uid="{72A64457-1AD0-4A73-A973-D7AB8476D5FA}"/>
    <hyperlink ref="B1505" r:id="rId4511" display="https://statiz.sporki.com/add/?m=draft_school01&amp;ps_school=50403" xr:uid="{0987E27E-6DA6-4149-97CB-1C768ACE95D9}"/>
    <hyperlink ref="C1505" r:id="rId4512" display="https://statiz.sporki.com/add/?m=draft_school02&amp;ps_school=" xr:uid="{D42F48C3-D9B6-4798-AB9D-AF28A389340B}"/>
    <hyperlink ref="A1506" r:id="rId4513" display="https://statiz.sporki.com/player/?m=playerinfo&amp;p_no=11135" xr:uid="{7DC56F10-023D-4BE9-AC30-0E3015F034B5}"/>
    <hyperlink ref="B1506" r:id="rId4514" display="https://statiz.sporki.com/add/?m=draft_school01&amp;ps_school=50604" xr:uid="{53B17897-6AA2-4F36-843E-A11B27621F7D}"/>
    <hyperlink ref="C1506" r:id="rId4515" display="https://statiz.sporki.com/add/?m=draft_school02&amp;ps_school=" xr:uid="{8ABB39D2-80F9-4E2D-ADF9-22A10A09AAB9}"/>
    <hyperlink ref="A1507" r:id="rId4516" display="https://statiz.sporki.com/player/?m=playerinfo&amp;p_no=13004" xr:uid="{E202CF66-B347-47B0-92E2-31223B33EB9D}"/>
    <hyperlink ref="B1507" r:id="rId4517" display="https://statiz.sporki.com/add/?m=draft_school01&amp;ps_school=50605" xr:uid="{5822102E-7B5E-4B9B-84EC-BC574A97D366}"/>
    <hyperlink ref="C1507" r:id="rId4518" display="https://statiz.sporki.com/add/?m=draft_school02&amp;ps_school=" xr:uid="{F040211C-0D67-4CBB-8270-440619DA1844}"/>
    <hyperlink ref="A1508" r:id="rId4519" display="https://statiz.sporki.com/player/?m=playerinfo&amp;p_no=11128" xr:uid="{5CC85E70-EE2F-4730-BC83-9D056D347173}"/>
    <hyperlink ref="B1508" r:id="rId4520" display="https://statiz.sporki.com/add/?m=draft_school01&amp;ps_school=50109" xr:uid="{605F677E-6408-4F35-8657-2448B37F42DC}"/>
    <hyperlink ref="C1508" r:id="rId4521" display="https://statiz.sporki.com/add/?m=draft_school02&amp;ps_school=" xr:uid="{8D3AF6FB-B017-48DC-9EBA-81763FC20161}"/>
    <hyperlink ref="A1509" r:id="rId4522" display="https://statiz.sporki.com/player/?m=playerinfo&amp;p_no=11097" xr:uid="{0FDC4535-44AF-41EE-8A42-8CDA097DC6DA}"/>
    <hyperlink ref="B1509" r:id="rId4523" display="https://statiz.sporki.com/add/?m=draft_school01&amp;ps_school=50210" xr:uid="{73046FFF-E518-443F-83F1-9006D2D2086C}"/>
    <hyperlink ref="C1509" r:id="rId4524" display="https://statiz.sporki.com/add/?m=draft_school02&amp;ps_school=" xr:uid="{4F66D208-C133-4140-8A15-0772FBEE8B45}"/>
    <hyperlink ref="A1510" r:id="rId4525" display="https://statiz.sporki.com/player/?m=playerinfo&amp;p_no=11116" xr:uid="{4ECEC720-D743-4397-8898-D8C9B476F15E}"/>
    <hyperlink ref="B1510" r:id="rId4526" display="https://statiz.sporki.com/add/?m=draft_school01&amp;ps_school=50114" xr:uid="{C667BDCC-6FB5-4516-A1DB-A155FEB3B916}"/>
    <hyperlink ref="C1510" r:id="rId4527" display="https://statiz.sporki.com/add/?m=draft_school02&amp;ps_school=" xr:uid="{D12FE14E-EFFE-477A-BC46-DD947CAFAE42}"/>
    <hyperlink ref="A1511" r:id="rId4528" display="https://statiz.sporki.com/player/?m=playerinfo&amp;p_no=11200" xr:uid="{96AE1C6A-25DA-4CC8-80EE-A9A37ACBD099}"/>
    <hyperlink ref="B1511" r:id="rId4529" display="https://statiz.sporki.com/add/?m=draft_school01&amp;ps_school=50111" xr:uid="{A097049A-B637-4A27-867F-21B0BCB86F6D}"/>
    <hyperlink ref="C1511" r:id="rId4530" display="https://statiz.sporki.com/add/?m=draft_school02&amp;ps_school=60702" xr:uid="{973D1F5E-C0FA-4A5B-A68B-ABE72AF2BAD0}"/>
    <hyperlink ref="A1512" r:id="rId4531" display="https://statiz.sporki.com/player/?m=playerinfo&amp;p_no=11086" xr:uid="{204E2A2B-E126-4101-BEB4-946253DD2AC6}"/>
    <hyperlink ref="B1512" r:id="rId4532" display="https://statiz.sporki.com/add/?m=draft_school01&amp;ps_school=50105" xr:uid="{B2EF882A-4903-44B1-B4AD-9A19114EF220}"/>
    <hyperlink ref="C1512" r:id="rId4533" display="https://statiz.sporki.com/add/?m=draft_school02&amp;ps_school=60501" xr:uid="{34DD8071-DC31-4BD1-95B1-C00B69237B8E}"/>
    <hyperlink ref="A1513" r:id="rId4534" display="https://statiz.sporki.com/player/?m=playerinfo&amp;p_no=11072" xr:uid="{753155E0-4584-490E-8B1F-86BA17C3CBAD}"/>
    <hyperlink ref="B1513" r:id="rId4535" display="https://statiz.sporki.com/add/?m=draft_school01&amp;ps_school=50705" xr:uid="{C1157004-B2FA-43BE-8726-6B8804DC0CCA}"/>
    <hyperlink ref="C1513" r:id="rId4536" display="https://statiz.sporki.com/add/?m=draft_school02&amp;ps_school=60804" xr:uid="{1346F671-EE86-4BE2-9C5B-33E285402C4B}"/>
    <hyperlink ref="A1514" r:id="rId4537" display="https://statiz.sporki.com/player/?m=playerinfo&amp;p_no=11088" xr:uid="{CCD6C39F-BEE0-43BA-8D2D-59B41CE305D9}"/>
    <hyperlink ref="B1514" r:id="rId4538" display="https://statiz.sporki.com/add/?m=draft_school01&amp;ps_school=50101" xr:uid="{C92C920A-D794-4047-8A15-80A6451BA01A}"/>
    <hyperlink ref="C1514" r:id="rId4539" display="https://statiz.sporki.com/add/?m=draft_school02&amp;ps_school=" xr:uid="{B939E3DB-9B39-4809-A34B-6AF9A6EC8DE7}"/>
    <hyperlink ref="A1515" r:id="rId4540" display="https://statiz.sporki.com/player/?m=playerinfo&amp;p_no=11134" xr:uid="{C3AFAA4F-7FC4-4985-AC07-2C12A177E862}"/>
    <hyperlink ref="B1515" r:id="rId4541" display="https://statiz.sporki.com/add/?m=draft_school01&amp;ps_school=50103" xr:uid="{16C2C086-55EB-489A-AF11-C75A2193B7CD}"/>
    <hyperlink ref="C1515" r:id="rId4542" display="https://statiz.sporki.com/add/?m=draft_school02&amp;ps_school=" xr:uid="{19E7BAB7-5176-47E9-B474-70E3A838E0C5}"/>
    <hyperlink ref="A1516" r:id="rId4543" display="https://statiz.sporki.com/player/?m=playerinfo&amp;p_no=13001" xr:uid="{A88DAF17-6095-4422-ABFA-27FAAED4AAFF}"/>
    <hyperlink ref="B1516" r:id="rId4544" display="https://statiz.sporki.com/add/?m=draft_school01&amp;ps_school=50705" xr:uid="{5CA6E3A8-63A3-4378-A729-DF4DF6B2DB8C}"/>
    <hyperlink ref="C1516" r:id="rId4545" display="https://statiz.sporki.com/add/?m=draft_school02&amp;ps_school=" xr:uid="{68A6F5A8-0D9E-4469-B25B-5807F96B9249}"/>
    <hyperlink ref="A1517" r:id="rId4546" display="https://statiz.sporki.com/player/?m=playerinfo&amp;p_no=11129" xr:uid="{DC0B9CB8-90B2-4DCB-B541-54C7326D3987}"/>
    <hyperlink ref="B1517" r:id="rId4547" display="https://statiz.sporki.com/add/?m=draft_school01&amp;ps_school=50808" xr:uid="{8F1D1F63-9202-4903-B45B-3AE6443AA9A2}"/>
    <hyperlink ref="C1517" r:id="rId4548" display="https://statiz.sporki.com/add/?m=draft_school02&amp;ps_school=" xr:uid="{00D5C9E2-64F9-4D2C-B9F5-162FB5FFC009}"/>
    <hyperlink ref="A1518" r:id="rId4549" display="https://statiz.sporki.com/player/?m=playerinfo&amp;p_no=11094" xr:uid="{F1009CD4-A58D-4727-9999-AD5EB2C7DD0C}"/>
    <hyperlink ref="B1518" r:id="rId4550" display="https://statiz.sporki.com/add/?m=draft_school01&amp;ps_school=50903" xr:uid="{8EBAF85D-D64A-4945-9768-62A70C316B60}"/>
    <hyperlink ref="C1518" r:id="rId4551" display="https://statiz.sporki.com/add/?m=draft_school02&amp;ps_school=" xr:uid="{0B53AAB2-5743-479C-AB18-1B1865098AD7}"/>
    <hyperlink ref="A1519" r:id="rId4552" display="https://statiz.sporki.com/player/?m=playerinfo&amp;p_no=11121" xr:uid="{85013CCB-DD5D-4C3C-B3BD-D2FA213F5826}"/>
    <hyperlink ref="B1519" r:id="rId4553" display="https://statiz.sporki.com/add/?m=draft_school01&amp;ps_school=50207" xr:uid="{7DB0666B-D6D0-43B0-9BC0-794513E25EF9}"/>
    <hyperlink ref="C1519" r:id="rId4554" display="https://statiz.sporki.com/add/?m=draft_school02&amp;ps_school=60101" xr:uid="{5BF6AB3C-887B-4F11-8488-372960D7A12E}"/>
    <hyperlink ref="A1520" r:id="rId4555" display="https://statiz.sporki.com/player/?m=playerinfo&amp;p_no=11073" xr:uid="{9DC43578-C3D9-43F9-9458-B196EDD20F36}"/>
    <hyperlink ref="B1520" r:id="rId4556" display="https://statiz.sporki.com/add/?m=draft_school01&amp;ps_school=50601" xr:uid="{694C9711-EFBD-4115-9B12-23ED0CFF872C}"/>
    <hyperlink ref="C1520" r:id="rId4557" display="https://statiz.sporki.com/add/?m=draft_school02&amp;ps_school=60108" xr:uid="{5209E14B-C181-43EE-8BDB-BA189442EFDB}"/>
    <hyperlink ref="A1521" r:id="rId4558" display="https://statiz.sporki.com/player/?m=playerinfo&amp;p_no=11084" xr:uid="{32E67B79-B270-45C5-B9D4-650A39700FB5}"/>
    <hyperlink ref="B1521" r:id="rId4559" display="https://statiz.sporki.com/add/?m=draft_school01&amp;ps_school=50108" xr:uid="{CFBA7802-0671-4491-95EF-43444C367C1E}"/>
    <hyperlink ref="C1521" r:id="rId4560" display="https://statiz.sporki.com/add/?m=draft_school02&amp;ps_school=60111" xr:uid="{0A3E1A08-93DC-4422-9E0B-7891C6043221}"/>
    <hyperlink ref="A1522" r:id="rId4561" display="https://statiz.sporki.com/player/?m=playerinfo&amp;p_no=11108" xr:uid="{D0610440-E1F4-4CAD-89E2-1FA68337D3BA}"/>
    <hyperlink ref="B1522" r:id="rId4562" display="https://statiz.sporki.com/add/?m=draft_school01&amp;ps_school=50207" xr:uid="{0193931E-4CB5-4F48-B671-94D4B5F5134D}"/>
    <hyperlink ref="C1522" r:id="rId4563" display="https://statiz.sporki.com/add/?m=draft_school02&amp;ps_school=60114" xr:uid="{FD24950E-6FF1-442A-A277-C6B6FE982A0B}"/>
    <hyperlink ref="A1523" r:id="rId4564" display="https://statiz.sporki.com/player/?m=playerinfo&amp;p_no=13249" xr:uid="{E0E089E3-BA82-46B6-AF29-CA9AFB36C5D6}"/>
    <hyperlink ref="B1523" r:id="rId4565" display="https://statiz.sporki.com/add/?m=draft_school01&amp;ps_school=50706" xr:uid="{1F1331E3-76D8-428F-A0A5-6C6002822BAF}"/>
    <hyperlink ref="C1523" r:id="rId4566" display="https://statiz.sporki.com/add/?m=draft_school02&amp;ps_school=" xr:uid="{6BB0E7DA-2914-457D-87C4-B628613EBCBC}"/>
    <hyperlink ref="A1524" r:id="rId4567" display="https://statiz.sporki.com/player/?m=playerinfo&amp;p_no=11241" xr:uid="{5FEEDE0D-940F-42A0-BF67-DC9A26EB37A2}"/>
    <hyperlink ref="B1524" r:id="rId4568" display="https://statiz.sporki.com/add/?m=draft_school01&amp;ps_school=50216" xr:uid="{335158AA-70B7-4553-94AD-4F3DBE83E440}"/>
    <hyperlink ref="C1524" r:id="rId4569" display="https://statiz.sporki.com/add/?m=draft_school02&amp;ps_school=" xr:uid="{3F615932-224E-4D88-A1AC-CE04ADB114A8}"/>
    <hyperlink ref="A1525" r:id="rId4570" display="https://statiz.sporki.com/player/?m=playerinfo&amp;p_no=11096" xr:uid="{9238A075-EC1C-4CAD-8B64-7F5FF0A2DB4F}"/>
    <hyperlink ref="B1525" r:id="rId4571" display="https://statiz.sporki.com/add/?m=draft_school01&amp;ps_school=50209" xr:uid="{F7599601-ED1B-4D88-B546-4DDC65ED943E}"/>
    <hyperlink ref="C1525" r:id="rId4572" display="https://statiz.sporki.com/add/?m=draft_school02&amp;ps_school=" xr:uid="{97E4D226-7408-4F66-88DB-A2C062F34E31}"/>
    <hyperlink ref="A1526" r:id="rId4573" display="https://statiz.sporki.com/player/?m=playerinfo&amp;p_no=11122" xr:uid="{E80369DC-A0F7-4ECB-9687-C134E8C09CF6}"/>
    <hyperlink ref="B1526" r:id="rId4574" display="https://statiz.sporki.com/add/?m=draft_school01&amp;ps_school=50106" xr:uid="{38F879D5-A0CD-47D9-AC0D-D122E1C1E815}"/>
    <hyperlink ref="C1526" r:id="rId4575" display="https://statiz.sporki.com/add/?m=draft_school02&amp;ps_school=" xr:uid="{D2BC8B89-0520-4248-B084-B7E5630C2253}"/>
    <hyperlink ref="A1527" r:id="rId4576" display="https://statiz.sporki.com/player/?m=playerinfo&amp;p_no=11109" xr:uid="{8818467D-B122-422C-A040-C81EDA7B818D}"/>
    <hyperlink ref="B1527" r:id="rId4577" display="https://statiz.sporki.com/add/?m=draft_school01&amp;ps_school=50116" xr:uid="{8AF9E162-E1CA-4688-B68A-62A653604AF3}"/>
    <hyperlink ref="C1527" r:id="rId4578" display="https://statiz.sporki.com/add/?m=draft_school02&amp;ps_school=60110" xr:uid="{7E5D5787-0D10-4DF1-95E8-1CA27191DD3E}"/>
    <hyperlink ref="A1528" r:id="rId4579" display="https://statiz.sporki.com/player/?m=playerinfo&amp;p_no=11291" xr:uid="{889D9DC1-6474-4A12-A386-EB36966DA0AF}"/>
    <hyperlink ref="B1528" r:id="rId4580" display="https://statiz.sporki.com/add/?m=draft_school01&amp;ps_school=50113" xr:uid="{75C0B42E-E9A6-4B13-8675-A26239402E54}"/>
    <hyperlink ref="C1528" r:id="rId4581" display="https://statiz.sporki.com/add/?m=draft_school02&amp;ps_school=60114" xr:uid="{3C2F9D4B-E2A0-42C3-9DF3-F71E8D5D6DFC}"/>
    <hyperlink ref="A1529" r:id="rId4582" display="https://statiz.sporki.com/player/?m=playerinfo&amp;p_no=11068" xr:uid="{7B5DD521-D697-4B6A-B83B-8EC66E5447BA}"/>
    <hyperlink ref="B1529" r:id="rId4583" display="https://statiz.sporki.com/add/?m=draft_school01&amp;ps_school=50604" xr:uid="{1DF4C89C-5C76-4D0B-A67D-D3850C4C9AA4}"/>
    <hyperlink ref="C1529" r:id="rId4584" display="https://statiz.sporki.com/add/?m=draft_school02&amp;ps_school=60109" xr:uid="{44257F54-E578-4246-B9C9-C3905DDA1FD7}"/>
    <hyperlink ref="A1530" r:id="rId4585" display="https://statiz.sporki.com/player/?m=playerinfo&amp;p_no=12942" xr:uid="{E3C9C3A7-1D06-466F-8891-E39D98A01CFF}"/>
    <hyperlink ref="B1530" r:id="rId4586" display="https://statiz.sporki.com/add/?m=draft_school01&amp;ps_school=50210" xr:uid="{4019D403-AEDD-4B88-A17A-CCC1919983C7}"/>
    <hyperlink ref="C1530" r:id="rId4587" display="https://statiz.sporki.com/add/?m=draft_school02&amp;ps_school=" xr:uid="{2D7FFC52-E590-4FAA-9FD2-5F993ABB0EC3}"/>
    <hyperlink ref="A1531" r:id="rId4588" display="https://statiz.sporki.com/player/?m=playerinfo&amp;p_no=11169" xr:uid="{EE5FF23E-4CAE-4FBF-BF0C-7081EBD63DE4}"/>
    <hyperlink ref="B1531" r:id="rId4589" display="https://statiz.sporki.com/add/?m=draft_school01&amp;ps_school=50701" xr:uid="{F0CDD36B-0658-48B9-9339-BDB9E411B1D0}"/>
    <hyperlink ref="C1531" r:id="rId4590" display="https://statiz.sporki.com/add/?m=draft_school02&amp;ps_school=60804" xr:uid="{B52F0EE7-7636-4C51-906C-1F3A88F05111}"/>
    <hyperlink ref="A1532" r:id="rId4591" display="https://statiz.sporki.com/player/?m=playerinfo&amp;p_no=11130" xr:uid="{DC25ECC8-2BC2-4431-90A6-3EE730FB998C}"/>
    <hyperlink ref="B1532" r:id="rId4592" display="https://statiz.sporki.com/add/?m=draft_school01&amp;ps_school=50110" xr:uid="{709C686E-41AB-4257-862C-CEFEF6C07D4D}"/>
    <hyperlink ref="C1532" r:id="rId4593" display="https://statiz.sporki.com/add/?m=draft_school02&amp;ps_school=60113" xr:uid="{0190629E-9B4D-47AA-8B8D-C3E018D63633}"/>
    <hyperlink ref="A1533" r:id="rId4594" display="https://statiz.sporki.com/player/?m=playerinfo&amp;p_no=11095" xr:uid="{3BBB8AB6-20E0-4138-9EE2-CE1C0B238EE6}"/>
    <hyperlink ref="B1533" r:id="rId4595" display="https://statiz.sporki.com/add/?m=draft_school01&amp;ps_school=50403" xr:uid="{AEB5ABA3-9959-4E47-A005-5600A87DA7C8}"/>
    <hyperlink ref="C1533" r:id="rId4596" display="https://statiz.sporki.com/add/?m=draft_school02&amp;ps_school=" xr:uid="{BABD0815-C6C1-4931-8FF0-E62E942B3D12}"/>
    <hyperlink ref="A1534" r:id="rId4597" display="https://statiz.sporki.com/player/?m=playerinfo&amp;p_no=11070" xr:uid="{7FAA7436-7EA0-448A-86BA-0E84BEBF10E2}"/>
    <hyperlink ref="B1534" r:id="rId4598" display="https://statiz.sporki.com/add/?m=draft_school01&amp;ps_school=50112" xr:uid="{0B6F9238-0AA7-493E-AB42-CB30A5CC647C}"/>
    <hyperlink ref="C1534" r:id="rId4599" display="https://statiz.sporki.com/add/?m=draft_school02&amp;ps_school=60603" xr:uid="{FC8CBC58-E326-4422-B4F2-18141410EEB8}"/>
    <hyperlink ref="A1535" r:id="rId4600" display="https://statiz.sporki.com/player/?m=playerinfo&amp;p_no=11085" xr:uid="{C7DC37ED-8C28-4E60-BD9D-B4AC861BD622}"/>
    <hyperlink ref="B1535" r:id="rId4601" display="https://statiz.sporki.com/add/?m=draft_school01&amp;ps_school=50703" xr:uid="{5D8B16C0-16C1-42E5-BD0F-42284258ED24}"/>
    <hyperlink ref="C1535" r:id="rId4602" display="https://statiz.sporki.com/add/?m=draft_school02&amp;ps_school=60804" xr:uid="{2AFABA3A-733F-4611-A560-FDF8F96D3C84}"/>
    <hyperlink ref="A1536" r:id="rId4603" display="https://statiz.sporki.com/player/?m=playerinfo&amp;p_no=11110" xr:uid="{6101EA4E-FEFF-4971-B89E-404D5E93FA82}"/>
    <hyperlink ref="B1536" r:id="rId4604" display="https://statiz.sporki.com/add/?m=draft_school01&amp;ps_school=50209" xr:uid="{D8A9A669-66E3-43EC-B0E9-03862AF88141}"/>
    <hyperlink ref="C1536" r:id="rId4605" display="https://statiz.sporki.com/add/?m=draft_school02&amp;ps_school=" xr:uid="{75589C3E-E74A-4EA3-8B7A-9C618D13D114}"/>
    <hyperlink ref="A1537" r:id="rId4606" display="https://statiz.sporki.com/player/?m=playerinfo&amp;p_no=11091" xr:uid="{51547221-E682-4580-A64D-BE0EE5EFE800}"/>
    <hyperlink ref="B1537" r:id="rId4607" display="https://statiz.sporki.com/add/?m=draft_school01&amp;ps_school=50802" xr:uid="{B466D093-913E-44F6-A776-0CE9ADD22748}"/>
    <hyperlink ref="C1537" r:id="rId4608" display="https://statiz.sporki.com/add/?m=draft_school02&amp;ps_school=60803" xr:uid="{7A64E4EC-0FB8-4124-B5FB-5450E8001608}"/>
    <hyperlink ref="A1538" r:id="rId4609" display="https://statiz.sporki.com/player/?m=playerinfo&amp;p_no=11141" xr:uid="{EE548DA5-5704-491E-A724-5EF987308DEA}"/>
    <hyperlink ref="B1538" r:id="rId4610" display="https://statiz.sporki.com/add/?m=draft_school01&amp;ps_school=50803" xr:uid="{C852C2E6-8D55-4C7C-B80E-14AD72D164E1}"/>
    <hyperlink ref="C1538" r:id="rId4611" display="https://statiz.sporki.com/add/?m=draft_school02&amp;ps_school=60109" xr:uid="{B8257FB9-2DAC-46DB-9B3E-AE550E609AF9}"/>
    <hyperlink ref="A1539" r:id="rId4612" display="https://statiz.sporki.com/player/?m=playerinfo&amp;p_no=11227" xr:uid="{159F3CD5-EE71-462B-8369-C8823B6AA680}"/>
    <hyperlink ref="B1539" r:id="rId4613" display="https://statiz.sporki.com/add/?m=draft_school01&amp;ps_school=50209" xr:uid="{EEDFAC19-4E93-4036-B513-CE7A2B8E75A7}"/>
    <hyperlink ref="C1539" r:id="rId4614" display="https://statiz.sporki.com/add/?m=draft_school02&amp;ps_school=" xr:uid="{D7506845-E76E-4466-9F0B-D47CBA3F84F5}"/>
    <hyperlink ref="A1540" r:id="rId4615" display="https://statiz.sporki.com/player/?m=playerinfo&amp;p_no=11117" xr:uid="{3EAC857D-B718-43F1-B378-25831E69639D}"/>
    <hyperlink ref="B1540" r:id="rId4616" display="https://statiz.sporki.com/add/?m=draft_school01&amp;ps_school=50808" xr:uid="{C6A7250A-F465-4B32-B456-7275263F0C98}"/>
    <hyperlink ref="C1540" r:id="rId4617" display="https://statiz.sporki.com/add/?m=draft_school02&amp;ps_school=" xr:uid="{7FBBA945-EA53-43C4-BA94-304F4A33B91B}"/>
    <hyperlink ref="A1541" r:id="rId4618" display="https://statiz.sporki.com/player/?m=playerinfo&amp;p_no=13244" xr:uid="{D1DF3B21-1AFF-477A-A8AB-35432658896F}"/>
    <hyperlink ref="B1541" r:id="rId4619" display="https://statiz.sporki.com/add/?m=draft_school01&amp;ps_school=50208" xr:uid="{EAAB6E68-FD10-445F-B411-A63020EA41AE}"/>
    <hyperlink ref="C1541" r:id="rId4620" display="https://statiz.sporki.com/add/?m=draft_school02&amp;ps_school=" xr:uid="{4E0492BA-3561-4616-BEF7-7C17C478DB71}"/>
    <hyperlink ref="A1542" r:id="rId4621" display="https://statiz.sporki.com/player/?m=playerinfo&amp;p_no=11074" xr:uid="{D3BF33DD-2389-42D4-8E40-4C905967E581}"/>
    <hyperlink ref="B1542" r:id="rId4622" display="https://statiz.sporki.com/add/?m=draft_school01&amp;ps_school=50108" xr:uid="{73D61580-6E17-4731-8FA5-4ACB6A6755D9}"/>
    <hyperlink ref="C1542" r:id="rId4623" display="https://statiz.sporki.com/add/?m=draft_school02&amp;ps_school=60203" xr:uid="{4BDEC6D9-A1B9-4D18-8816-90FE9E5947EC}"/>
    <hyperlink ref="A1543" r:id="rId4624" display="https://statiz.sporki.com/player/?m=playerinfo&amp;p_no=11172" xr:uid="{7CF864CB-2C64-4BFB-AACD-D3D31AACC5AD}"/>
    <hyperlink ref="B1543" r:id="rId4625" display="https://statiz.sporki.com/add/?m=draft_school01&amp;ps_school=50702" xr:uid="{2C83C306-0459-4983-B19B-34C47EE6279C}"/>
    <hyperlink ref="C1543" r:id="rId4626" display="https://statiz.sporki.com/add/?m=draft_school02&amp;ps_school=60801" xr:uid="{379EBEE9-074A-4A9D-8C18-78E8243057EB}"/>
    <hyperlink ref="A1544" r:id="rId4627" display="https://statiz.sporki.com/player/?m=playerinfo&amp;p_no=11075" xr:uid="{1BD5DB8F-0810-4C96-BCF6-B1D49FCA01A0}"/>
    <hyperlink ref="B1544" r:id="rId4628" display="https://statiz.sporki.com/add/?m=draft_school01&amp;ps_school=50101" xr:uid="{FFB174EA-AD4B-4EA8-BC00-D6F7E6D17AA5}"/>
    <hyperlink ref="C1544" r:id="rId4629" display="https://statiz.sporki.com/add/?m=draft_school02&amp;ps_school=" xr:uid="{0F8D2440-1603-47C3-894D-0B53CDB6A5EC}"/>
    <hyperlink ref="A1545" r:id="rId4630" display="https://statiz.sporki.com/player/?m=playerinfo&amp;p_no=11083" xr:uid="{D2884C03-E4E3-49E9-B6CC-D2387DC517D9}"/>
    <hyperlink ref="B1545" r:id="rId4631" display="https://statiz.sporki.com/add/?m=draft_school01&amp;ps_school=50105" xr:uid="{8A427432-1589-4927-B14E-83BE17EC14B7}"/>
    <hyperlink ref="C1545" r:id="rId4632" display="https://statiz.sporki.com/add/?m=draft_school02&amp;ps_school=60104" xr:uid="{AEB46567-A5E1-42CA-87F1-5C689E92E453}"/>
    <hyperlink ref="A1546" r:id="rId4633" display="https://statiz.sporki.com/player/?m=playerinfo&amp;p_no=13238" xr:uid="{535C075F-5E68-49F2-BB0F-7FBED463081A}"/>
    <hyperlink ref="B1546" r:id="rId4634" display="https://statiz.sporki.com/add/?m=draft_school01&amp;ps_school=50601" xr:uid="{942C632E-03ED-4313-8D9A-6A5DDE74BEF2}"/>
    <hyperlink ref="C1546" r:id="rId4635" display="https://statiz.sporki.com/add/?m=draft_school02&amp;ps_school=" xr:uid="{D52B5A36-616C-4E9A-A05D-B76738530D99}"/>
    <hyperlink ref="A1547" r:id="rId4636" display="https://statiz.sporki.com/player/?m=playerinfo&amp;p_no=11179" xr:uid="{A682B34C-F629-47EC-A4A3-B053BA753342}"/>
    <hyperlink ref="B1547" r:id="rId4637" display="https://statiz.sporki.com/add/?m=draft_school01&amp;ps_school=50114" xr:uid="{E7AE87EA-576F-4493-82D5-D2C74339DBD1}"/>
    <hyperlink ref="C1547" r:id="rId4638" display="https://statiz.sporki.com/add/?m=draft_school02&amp;ps_school=60104" xr:uid="{908E680C-FA31-4071-85C3-FDE1A2D83FD4}"/>
    <hyperlink ref="A1548" r:id="rId4639" display="https://statiz.sporki.com/player/?m=playerinfo&amp;p_no=11176" xr:uid="{A24517B2-4673-4AA7-884B-944524834291}"/>
    <hyperlink ref="B1548" r:id="rId4640" display="https://statiz.sporki.com/add/?m=draft_school01&amp;ps_school=50101" xr:uid="{A788FED1-EB72-4833-A14B-344ABAB27D3B}"/>
    <hyperlink ref="C1548" r:id="rId4641" display="https://statiz.sporki.com/add/?m=draft_school02&amp;ps_school=60113" xr:uid="{99ADF238-0052-41DB-B630-35660C414556}"/>
    <hyperlink ref="A1549" r:id="rId4642" display="https://statiz.sporki.com/player/?m=playerinfo&amp;p_no=13184" xr:uid="{A6DA8CB4-7AD8-4C98-85C5-1CA4599B4BDD}"/>
    <hyperlink ref="B1549" r:id="rId4643" display="https://statiz.sporki.com/add/?m=draft_school01&amp;ps_school=50102" xr:uid="{8B920DF5-E933-4DF0-A31C-50FE465BB638}"/>
    <hyperlink ref="C1549" r:id="rId4644" display="https://statiz.sporki.com/add/?m=draft_school02&amp;ps_school=60203" xr:uid="{18AEC996-FD9E-4FA2-AD81-83A6AF683044}"/>
    <hyperlink ref="A1550" r:id="rId4645" display="https://statiz.sporki.com/player/?m=playerinfo&amp;p_no=13281" xr:uid="{C1DEB2BF-ED53-4EC4-B6E3-8EF09ABB4F44}"/>
    <hyperlink ref="B1550" r:id="rId4646" display="https://statiz.sporki.com/add/?m=draft_school01&amp;ps_school=50805" xr:uid="{12919558-0ABC-4700-952C-B66C3FEAC05A}"/>
    <hyperlink ref="C1550" r:id="rId4647" display="https://statiz.sporki.com/add/?m=draft_school02&amp;ps_school=" xr:uid="{5D6A48B1-7121-4405-873A-D6DB62310946}"/>
    <hyperlink ref="A1551" r:id="rId4648" display="https://statiz.sporki.com/player/?m=playerinfo&amp;p_no=11076" xr:uid="{787C54C5-9751-48B4-9AB3-2B222746FC60}"/>
    <hyperlink ref="B1551" r:id="rId4649" display="https://statiz.sporki.com/add/?m=draft_school01&amp;ps_school=50602" xr:uid="{C8E3F34A-0DAE-4D56-9619-B9564F276733}"/>
    <hyperlink ref="C1551" r:id="rId4650" display="https://statiz.sporki.com/add/?m=draft_school02&amp;ps_school=60103" xr:uid="{CEF68A74-6E84-4E31-AABD-F5AD77C1684B}"/>
    <hyperlink ref="A1552" r:id="rId4651" display="https://statiz.sporki.com/player/?m=playerinfo&amp;p_no=11154" xr:uid="{273CCB48-E98A-4971-B036-16DA6555D582}"/>
    <hyperlink ref="B1552" r:id="rId4652" display="https://statiz.sporki.com/add/?m=draft_school01&amp;ps_school=50701" xr:uid="{B94A1B60-7529-4558-AC84-CA4C408AEA67}"/>
    <hyperlink ref="C1552" r:id="rId4653" display="https://statiz.sporki.com/add/?m=draft_school02&amp;ps_school=60703" xr:uid="{8057254B-A0A9-4DE0-9E6F-FF2F4CEF7A6C}"/>
    <hyperlink ref="A1553" r:id="rId4654" display="https://statiz.sporki.com/player/?m=playerinfo&amp;p_no=11170" xr:uid="{D59338F2-4F04-4E27-ACCE-4751B60FCE1B}"/>
    <hyperlink ref="B1553" r:id="rId4655" display="https://statiz.sporki.com/add/?m=draft_school01&amp;ps_school=50403" xr:uid="{BA7776B5-1040-4556-B38F-2006600B146E}"/>
    <hyperlink ref="C1553" r:id="rId4656" display="https://statiz.sporki.com/add/?m=draft_school02&amp;ps_school=" xr:uid="{5C099534-457A-41D1-B4CF-64E7357A8E1B}"/>
    <hyperlink ref="A1554" r:id="rId4657" display="https://statiz.sporki.com/player/?m=playerinfo&amp;p_no=11155" xr:uid="{5A4F2B89-47FB-4EF0-B01E-A9224783F9FE}"/>
    <hyperlink ref="B1554" r:id="rId4658" display="https://statiz.sporki.com/add/?m=draft_school01&amp;ps_school=50403" xr:uid="{F89FDC1E-E927-402E-AF84-1E53CADEC75A}"/>
    <hyperlink ref="C1554" r:id="rId4659" display="https://statiz.sporki.com/add/?m=draft_school02&amp;ps_school=60204" xr:uid="{12E85BFC-54A7-405F-86AF-FE6F958C9E8E}"/>
    <hyperlink ref="A1555" r:id="rId4660" display="https://statiz.sporki.com/player/?m=playerinfo&amp;p_no=11175" xr:uid="{F6E734FB-7475-4A31-A68E-FC958F4A486B}"/>
    <hyperlink ref="B1555" r:id="rId4661" display="https://statiz.sporki.com/add/?m=draft_school01&amp;ps_school=50301" xr:uid="{48455069-D93C-41DC-AF53-6831F4948150}"/>
    <hyperlink ref="C1555" r:id="rId4662" display="https://statiz.sporki.com/add/?m=draft_school02&amp;ps_school=60801" xr:uid="{176B741C-8E75-405E-AA22-12A0215D20FE}"/>
    <hyperlink ref="A1556" r:id="rId4663" display="https://statiz.sporki.com/player/?m=playerinfo&amp;p_no=11184" xr:uid="{2345F776-5783-4C8C-B08B-FBB453BA4F4D}"/>
    <hyperlink ref="B1556" r:id="rId4664" display="https://statiz.sporki.com/add/?m=draft_school01&amp;ps_school=" xr:uid="{DF9BFEA3-9C47-4D4E-B28A-D842A7737E82}"/>
    <hyperlink ref="C1556" r:id="rId4665" display="https://statiz.sporki.com/add/?m=draft_school02&amp;ps_school=" xr:uid="{1DF70D40-ACA7-4FEA-BA09-8C17DA5E5496}"/>
    <hyperlink ref="A1557" r:id="rId4666" display="https://statiz.sporki.com/player/?m=playerinfo&amp;p_no=11156" xr:uid="{4FE3C9CC-7B30-4D07-B890-9191D572CD7C}"/>
    <hyperlink ref="B1557" r:id="rId4667" display="https://statiz.sporki.com/add/?m=draft_school01&amp;ps_school=" xr:uid="{6CA16733-7804-4B93-A39D-6ABEA1347A3B}"/>
    <hyperlink ref="C1557" r:id="rId4668" display="https://statiz.sporki.com/add/?m=draft_school02&amp;ps_school=" xr:uid="{A6FDE287-E63A-41D9-937C-6FE3927A9204}"/>
    <hyperlink ref="A1558" r:id="rId4669" display="https://statiz.sporki.com/player/?m=playerinfo&amp;p_no=11158" xr:uid="{01BC2AE0-E255-4B68-B09D-1B987048F221}"/>
    <hyperlink ref="B1558" r:id="rId4670" display="https://statiz.sporki.com/add/?m=draft_school01&amp;ps_school=" xr:uid="{38D978FF-01DB-4A4F-8C7D-D0AEE256C278}"/>
    <hyperlink ref="C1558" r:id="rId4671" display="https://statiz.sporki.com/add/?m=draft_school02&amp;ps_school=" xr:uid="{D3E7C275-2E15-44B1-9FED-D5334589F1BF}"/>
    <hyperlink ref="A1559" r:id="rId4672" display="https://statiz.sporki.com/player/?m=playerinfo&amp;p_no=11157" xr:uid="{E33F5184-7196-4868-AE6E-133ECB25605E}"/>
    <hyperlink ref="B1559" r:id="rId4673" display="https://statiz.sporki.com/add/?m=draft_school01&amp;ps_school=" xr:uid="{55D9563F-BB36-46C4-ADB2-CBCA8A82C0C2}"/>
    <hyperlink ref="C1559" r:id="rId4674" display="https://statiz.sporki.com/add/?m=draft_school02&amp;ps_school=" xr:uid="{EC49EBDB-7587-4FA5-AA14-151E484B73C8}"/>
    <hyperlink ref="A1560" r:id="rId4675" display="https://statiz.sporki.com/player/?m=playerinfo&amp;p_no=11080" xr:uid="{8C5751D7-A051-46B0-8D02-19D730F10D37}"/>
    <hyperlink ref="B1560" r:id="rId4676" display="https://statiz.sporki.com/add/?m=draft_school01&amp;ps_school=" xr:uid="{CEB0456D-DB6B-4DFF-96B1-AE49D190747D}"/>
    <hyperlink ref="C1560" r:id="rId4677" display="https://statiz.sporki.com/add/?m=draft_school02&amp;ps_school=" xr:uid="{94F44663-0D94-43C0-B6D3-A0335E7DC28B}"/>
    <hyperlink ref="A1561" r:id="rId4678" display="https://statiz.sporki.com/player/?m=playerinfo&amp;p_no=11081" xr:uid="{F2D38964-1B3C-401E-B863-C7518B4BE60A}"/>
    <hyperlink ref="B1561" r:id="rId4679" display="https://statiz.sporki.com/add/?m=draft_school01&amp;ps_school=" xr:uid="{F71E3075-0616-4BBC-86DA-CC2F5312BD8E}"/>
    <hyperlink ref="C1561" r:id="rId4680" display="https://statiz.sporki.com/add/?m=draft_school02&amp;ps_school=" xr:uid="{4411C0C4-4C01-4D16-AF11-437C018F81BB}"/>
    <hyperlink ref="A1562" r:id="rId4681" display="https://statiz.sporki.com/player/?m=playerinfo&amp;p_no=11181" xr:uid="{E5BD1F30-185C-4185-B18B-8272B05FE221}"/>
    <hyperlink ref="B1562" r:id="rId4682" display="https://statiz.sporki.com/add/?m=draft_school01&amp;ps_school=" xr:uid="{E7DB8AC4-968D-42F6-BCAE-267F28F7ACD9}"/>
    <hyperlink ref="C1562" r:id="rId4683" display="https://statiz.sporki.com/add/?m=draft_school02&amp;ps_school=" xr:uid="{9B4E6039-C8E4-4508-B858-B98BD59A332E}"/>
    <hyperlink ref="A1563" r:id="rId4684" display="https://statiz.sporki.com/player/?m=playerinfo&amp;p_no=11177" xr:uid="{5B909C80-994C-41EF-A54F-09EAF53FAE76}"/>
    <hyperlink ref="B1563" r:id="rId4685" display="https://statiz.sporki.com/add/?m=draft_school01&amp;ps_school=" xr:uid="{17868CE7-B5B1-4AF4-B8CF-8E2178336CEE}"/>
    <hyperlink ref="C1563" r:id="rId4686" display="https://statiz.sporki.com/add/?m=draft_school02&amp;ps_school=" xr:uid="{07839701-8A7D-4525-A1E2-91121EDF6A33}"/>
    <hyperlink ref="A1564" r:id="rId4687" display="https://statiz.sporki.com/player/?m=playerinfo&amp;p_no=11104" xr:uid="{C3873FBE-7D8D-405E-8482-7E9BD7D4A803}"/>
    <hyperlink ref="B1564" r:id="rId4688" display="https://statiz.sporki.com/add/?m=draft_school01&amp;ps_school=" xr:uid="{8E78E324-15B4-4354-8BE4-ECF5787CE50F}"/>
    <hyperlink ref="C1564" r:id="rId4689" display="https://statiz.sporki.com/add/?m=draft_school02&amp;ps_school=" xr:uid="{5AAD2A01-D80B-44E6-BBD3-FD0C8D50A4FE}"/>
    <hyperlink ref="A1565" r:id="rId4690" display="https://statiz.sporki.com/player/?m=playerinfo&amp;p_no=11103" xr:uid="{172D2121-24BB-44DC-A687-A006D9C37CC0}"/>
    <hyperlink ref="B1565" r:id="rId4691" display="https://statiz.sporki.com/add/?m=draft_school01&amp;ps_school=" xr:uid="{82D7EB35-3B8B-4C63-AD05-AC717B248285}"/>
    <hyperlink ref="C1565" r:id="rId4692" display="https://statiz.sporki.com/add/?m=draft_school02&amp;ps_school=" xr:uid="{B32586B4-5E49-4A6B-9448-3356142A80F1}"/>
    <hyperlink ref="A1566" r:id="rId4693" display="https://statiz.sporki.com/player/?m=playerinfo&amp;p_no=11183" xr:uid="{CCF0CC78-4F34-47EC-89D2-57194042F2D2}"/>
    <hyperlink ref="B1566" r:id="rId4694" display="https://statiz.sporki.com/add/?m=draft_school01&amp;ps_school=" xr:uid="{71BBEEBA-6828-4702-8426-8190A2AA6FBB}"/>
    <hyperlink ref="C1566" r:id="rId4695" display="https://statiz.sporki.com/add/?m=draft_school02&amp;ps_school=" xr:uid="{E20A14D1-3C10-43CC-8D31-1A08936B158B}"/>
    <hyperlink ref="A1567" r:id="rId4696" display="https://statiz.sporki.com/player/?m=playerinfo&amp;p_no=11113" xr:uid="{2BAE2EE3-5C6B-45B3-941F-2E11727CDC76}"/>
    <hyperlink ref="B1567" r:id="rId4697" display="https://statiz.sporki.com/add/?m=draft_school01&amp;ps_school=" xr:uid="{696D3EF6-00DB-42B2-BEF8-46B7C873D7B5}"/>
    <hyperlink ref="C1567" r:id="rId4698" display="https://statiz.sporki.com/add/?m=draft_school02&amp;ps_school=" xr:uid="{FCC08353-6094-4716-A1C6-7BD70141EE3F}"/>
    <hyperlink ref="A1568" r:id="rId4699" display="https://statiz.sporki.com/player/?m=playerinfo&amp;p_no=11307" xr:uid="{2DCFB3D9-919B-4B05-8B1C-7A781598C0F1}"/>
    <hyperlink ref="B1568" r:id="rId4700" display="https://statiz.sporki.com/add/?m=draft_school01&amp;ps_school=50105" xr:uid="{FDE21C56-311C-4572-AF6E-1020D8A4550E}"/>
    <hyperlink ref="C1568" r:id="rId4701" display="https://statiz.sporki.com/add/?m=draft_school02&amp;ps_school=61001" xr:uid="{0E22B843-6868-42ED-B98F-8619E05B9099}"/>
    <hyperlink ref="A1569" r:id="rId4702" display="https://statiz.sporki.com/player/?m=playerinfo&amp;p_no=11192" xr:uid="{793C6668-F1AD-4213-B6C4-2FDED06C271D}"/>
    <hyperlink ref="B1569" r:id="rId4703" display="https://statiz.sporki.com/add/?m=draft_school01&amp;ps_school=50502" xr:uid="{57724B89-476E-48C9-B0F3-69A847D888F2}"/>
    <hyperlink ref="C1569" r:id="rId4704" display="https://statiz.sporki.com/add/?m=draft_school02&amp;ps_school=60607" xr:uid="{4A0321D5-2AAE-41C8-B34A-2A6F07ECE4D6}"/>
    <hyperlink ref="A1570" r:id="rId4705" display="https://statiz.sporki.com/player/?m=playerinfo&amp;p_no=11191" xr:uid="{3DDEF088-1390-41F4-94DC-9A356C1CB7DC}"/>
    <hyperlink ref="B1570" r:id="rId4706" display="https://statiz.sporki.com/add/?m=draft_school01&amp;ps_school=50202" xr:uid="{891F3805-6A80-4729-ACFB-8DD52939F384}"/>
    <hyperlink ref="C1570" r:id="rId4707" display="https://statiz.sporki.com/add/?m=draft_school02&amp;ps_school=60104" xr:uid="{B8F0E750-FFEE-4C27-B7E7-D134B7ACD2AF}"/>
    <hyperlink ref="A1571" r:id="rId4708" display="https://statiz.sporki.com/player/?m=playerinfo&amp;p_no=11186" xr:uid="{4BFF608D-0D23-47D5-AE70-A0774E7DE749}"/>
    <hyperlink ref="B1571" r:id="rId4709" display="https://statiz.sporki.com/add/?m=draft_school01&amp;ps_school=50706" xr:uid="{AA9F8F73-D720-430B-82BB-9D9E00F18B7D}"/>
    <hyperlink ref="C1571" r:id="rId4710" display="https://statiz.sporki.com/add/?m=draft_school02&amp;ps_school=60804" xr:uid="{6E9A3091-3765-45C0-88C0-33DF318C3723}"/>
    <hyperlink ref="A1572" r:id="rId4711" display="https://statiz.sporki.com/player/?m=playerinfo&amp;p_no=12993" xr:uid="{21118A3A-7CCD-4B65-A758-C6ED2EDF164F}"/>
    <hyperlink ref="B1572" r:id="rId4712" display="https://statiz.sporki.com/add/?m=draft_school01&amp;ps_school=50113" xr:uid="{64DEEBB3-2722-493F-9B1A-5C60EB3CEAAD}"/>
    <hyperlink ref="C1572" r:id="rId4713" display="https://statiz.sporki.com/add/?m=draft_school02&amp;ps_school=60501" xr:uid="{3B07DA3E-732A-4F65-8BC9-C496258D5AA5}"/>
    <hyperlink ref="A1573" r:id="rId4714" display="https://statiz.sporki.com/player/?m=playerinfo&amp;p_no=13251" xr:uid="{FC7A4452-6CB0-483A-80B5-5417B2060998}"/>
    <hyperlink ref="B1573" r:id="rId4715" display="https://statiz.sporki.com/add/?m=draft_school01&amp;ps_school=50107" xr:uid="{C4F05614-0DF8-4CC3-83B1-5DB1E3ED3460}"/>
    <hyperlink ref="C1573" r:id="rId4716" display="https://statiz.sporki.com/add/?m=draft_school02&amp;ps_school=60204" xr:uid="{F119A335-8730-477F-BCA3-B23A190E9F33}"/>
    <hyperlink ref="A1574" r:id="rId4717" display="https://statiz.sporki.com/player/?m=playerinfo&amp;p_no=11290" xr:uid="{A8895D27-B163-463F-B7B8-25785F71B69A}"/>
    <hyperlink ref="B1574" r:id="rId4718" display="https://statiz.sporki.com/add/?m=draft_school01&amp;ps_school=51101" xr:uid="{EB2CAE19-116C-499F-A3CC-17FEA1D82F41}"/>
    <hyperlink ref="C1574" r:id="rId4719" display="https://statiz.sporki.com/add/?m=draft_school02&amp;ps_school=61102" xr:uid="{7DBD4EA9-2A8A-4ED1-89ED-CAD517CC4B7B}"/>
    <hyperlink ref="A1575" r:id="rId4720" display="https://statiz.sporki.com/player/?m=playerinfo&amp;p_no=11251" xr:uid="{D5967247-9006-4094-A082-2062E921818C}"/>
    <hyperlink ref="B1575" r:id="rId4721" display="https://statiz.sporki.com/add/?m=draft_school01&amp;ps_school=50802" xr:uid="{3DB4882F-7290-46F5-B57D-589A69771238}"/>
    <hyperlink ref="C1575" r:id="rId4722" display="https://statiz.sporki.com/add/?m=draft_school02&amp;ps_school=60801" xr:uid="{D13918A2-40D8-4893-B062-57229AF572CE}"/>
    <hyperlink ref="A1576" r:id="rId4723" display="https://statiz.sporki.com/player/?m=playerinfo&amp;p_no=11182" xr:uid="{BDBD879D-B384-46DF-A7EE-47F82867489D}"/>
    <hyperlink ref="B1576" r:id="rId4724" display="https://statiz.sporki.com/add/?m=draft_school01&amp;ps_school=50111" xr:uid="{AC454CD5-DE5E-438A-8C70-8B796E43375C}"/>
    <hyperlink ref="C1576" r:id="rId4725" display="https://statiz.sporki.com/add/?m=draft_school02&amp;ps_school=60103" xr:uid="{74A4E6AB-4F72-41FD-9578-F31CEADF7892}"/>
    <hyperlink ref="A1577" r:id="rId4726" display="https://statiz.sporki.com/player/?m=playerinfo&amp;p_no=12972" xr:uid="{4F9547D6-418C-4BED-A624-B9E5AC99C5E4}"/>
    <hyperlink ref="B1577" r:id="rId4727" display="https://statiz.sporki.com/add/?m=draft_school01&amp;ps_school=50101" xr:uid="{D5B117BF-C214-44CF-9DA0-2B5CDA54D725}"/>
    <hyperlink ref="C1577" r:id="rId4728" display="https://statiz.sporki.com/add/?m=draft_school02&amp;ps_school=60101" xr:uid="{3C2DA2A4-CF3B-4FC4-920E-86BA38D556D5}"/>
    <hyperlink ref="A1578" r:id="rId4729" display="https://statiz.sporki.com/player/?m=playerinfo&amp;p_no=11359" xr:uid="{CB212414-FDB6-4AF5-9984-2FE4EF679BD9}"/>
    <hyperlink ref="B1578" r:id="rId4730" display="https://statiz.sporki.com/add/?m=draft_school01&amp;ps_school=50301" xr:uid="{8157CD67-B0EC-4912-8599-64443FB717DC}"/>
    <hyperlink ref="C1578" r:id="rId4731" display="https://statiz.sporki.com/add/?m=draft_school02&amp;ps_school=" xr:uid="{A2B1E848-5CE8-4B8F-8EA6-01A8E8A7A117}"/>
    <hyperlink ref="A1579" r:id="rId4732" display="https://statiz.sporki.com/player/?m=playerinfo&amp;p_no=11152" xr:uid="{C0D93F80-AEC1-41BD-9807-F7F5760FDE99}"/>
    <hyperlink ref="B1579" r:id="rId4733" display="https://statiz.sporki.com/add/?m=draft_school01&amp;ps_school=50201" xr:uid="{A1BD90CB-BFAC-4604-9635-D730C3756B0B}"/>
    <hyperlink ref="C1579" r:id="rId4734" display="https://statiz.sporki.com/add/?m=draft_school02&amp;ps_school=60109" xr:uid="{A81C978D-A8CD-4BFD-9A79-A7075269D133}"/>
    <hyperlink ref="A1580" r:id="rId4735" display="https://statiz.sporki.com/player/?m=playerinfo&amp;p_no=11358" xr:uid="{3227A524-9975-4FA8-BFDD-7E653EF1704E}"/>
    <hyperlink ref="B1580" r:id="rId4736" display="https://statiz.sporki.com/add/?m=draft_school01&amp;ps_school=50804" xr:uid="{4E1BAEA2-C8DE-4533-8653-B0B36D4CCEA0}"/>
    <hyperlink ref="C1580" r:id="rId4737" display="https://statiz.sporki.com/add/?m=draft_school02&amp;ps_school=60101" xr:uid="{83ADC024-8A53-4099-8F6B-40131182C467}"/>
    <hyperlink ref="A1581" r:id="rId4738" display="https://statiz.sporki.com/player/?m=playerinfo&amp;p_no=13185" xr:uid="{033DCBDD-CBA7-4794-B6F7-4C2AAA162FE7}"/>
    <hyperlink ref="B1581" r:id="rId4739" display="https://statiz.sporki.com/add/?m=draft_school01&amp;ps_school=50804" xr:uid="{580146AD-D190-4ABA-8917-E84853F3A031}"/>
    <hyperlink ref="C1581" r:id="rId4740" display="https://statiz.sporki.com/add/?m=draft_school02&amp;ps_school=" xr:uid="{7861A870-1766-4286-B3DD-1061E56FF7F1}"/>
    <hyperlink ref="A1582" r:id="rId4741" display="https://statiz.sporki.com/player/?m=playerinfo&amp;p_no=12999" xr:uid="{987C52F3-83EC-446E-B8AC-5F36D94FF79A}"/>
    <hyperlink ref="B1582" r:id="rId4742" display="https://statiz.sporki.com/add/?m=draft_school01&amp;ps_school=50113" xr:uid="{149FF2A2-C0BE-4D29-BE41-B3186C33DF0F}"/>
    <hyperlink ref="C1582" r:id="rId4743" display="https://statiz.sporki.com/add/?m=draft_school02&amp;ps_school=60503" xr:uid="{0E339F13-26E0-4785-A70A-F1F870EE2D1A}"/>
    <hyperlink ref="A1583" r:id="rId4744" display="https://statiz.sporki.com/player/?m=playerinfo&amp;p_no=13188" xr:uid="{53AEA85D-EDA1-4DF7-867F-59B50582217B}"/>
    <hyperlink ref="B1583" r:id="rId4745" display="https://statiz.sporki.com/add/?m=draft_school01&amp;ps_school=50114" xr:uid="{5380C11A-4FD1-4D7F-AB22-8CA7A986F60B}"/>
    <hyperlink ref="C1583" r:id="rId4746" display="https://statiz.sporki.com/add/?m=draft_school02&amp;ps_school=60503" xr:uid="{A243C07E-00CC-4DC1-BBA5-523DD29985BA}"/>
    <hyperlink ref="A1584" r:id="rId4747" display="https://statiz.sporki.com/player/?m=playerinfo&amp;p_no=11417" xr:uid="{964F7C1B-CF96-489A-A9CF-87FF491AA282}"/>
    <hyperlink ref="B1584" r:id="rId4748" display="https://statiz.sporki.com/add/?m=draft_school01&amp;ps_school=50901" xr:uid="{87F70952-2A02-441B-9557-4FE0EA04B887}"/>
    <hyperlink ref="C1584" r:id="rId4749" display="https://statiz.sporki.com/add/?m=draft_school02&amp;ps_school=60203" xr:uid="{3415BF11-1F86-4012-9B15-E44771A4EFE5}"/>
    <hyperlink ref="A1585" r:id="rId4750" display="https://statiz.sporki.com/player/?m=playerinfo&amp;p_no=11491" xr:uid="{E026EDC6-AA66-4418-BA6C-756FC6A4ADF8}"/>
    <hyperlink ref="B1585" r:id="rId4751" display="https://statiz.sporki.com/add/?m=draft_school01&amp;ps_school=50302" xr:uid="{4E288018-F9A5-4007-A069-37EBEDFB220E}"/>
    <hyperlink ref="C1585" r:id="rId4752" display="https://statiz.sporki.com/add/?m=draft_school02&amp;ps_school=" xr:uid="{830F5A04-FE87-4756-8E33-1357B5B6FBAF}"/>
    <hyperlink ref="A1586" r:id="rId4753" display="https://statiz.sporki.com/player/?m=playerinfo&amp;p_no=11185" xr:uid="{2EDB04C6-04C7-4D0B-A6C9-B90085DEC1D1}"/>
    <hyperlink ref="B1586" r:id="rId4754" display="https://statiz.sporki.com/add/?m=draft_school01&amp;ps_school=51102" xr:uid="{08BAC5C1-2861-4A74-9917-E6ADB19DB641}"/>
    <hyperlink ref="C1586" r:id="rId4755" display="https://statiz.sporki.com/add/?m=draft_school02&amp;ps_school=" xr:uid="{C2DAB046-B32B-4872-9AC7-A03D147252EA}"/>
    <hyperlink ref="A1587" r:id="rId4756" display="https://statiz.sporki.com/player/?m=playerinfo&amp;p_no=11420" xr:uid="{251DDAFD-0C1F-4D78-87A5-7FA000EA840E}"/>
    <hyperlink ref="B1587" r:id="rId4757" display="https://statiz.sporki.com/add/?m=draft_school01&amp;ps_school=50102" xr:uid="{C367F51B-6CF7-4BDF-904B-96DA108DB7E2}"/>
    <hyperlink ref="C1587" r:id="rId4758" display="https://statiz.sporki.com/add/?m=draft_school02&amp;ps_school=" xr:uid="{4FF33B4A-DC90-4F8E-88E3-0928B3E5C916}"/>
    <hyperlink ref="A1588" r:id="rId4759" display="https://statiz.sporki.com/player/?m=playerinfo&amp;p_no=11268" xr:uid="{4469FDF6-FE6C-42C1-92A8-6438767AC1F4}"/>
    <hyperlink ref="B1588" r:id="rId4760" display="https://statiz.sporki.com/add/?m=draft_school01&amp;ps_school=50302" xr:uid="{133DA899-7448-4851-AA38-6AC20340B685}"/>
    <hyperlink ref="C1588" r:id="rId4761" display="https://statiz.sporki.com/add/?m=draft_school02&amp;ps_school=60101" xr:uid="{AD3F24DF-5C7F-4214-B7AB-9E5D0963EF09}"/>
    <hyperlink ref="A1589" r:id="rId4762" display="https://statiz.sporki.com/player/?m=playerinfo&amp;p_no=10913" xr:uid="{24F264B3-261B-47AF-BEAD-1A2AF6D33282}"/>
    <hyperlink ref="B1589" r:id="rId4763" display="https://statiz.sporki.com/add/?m=draft_school01&amp;ps_school=50110" xr:uid="{7735D82A-CFEE-4191-ABFE-ACE4675C4D97}"/>
    <hyperlink ref="C1589" r:id="rId4764" display="https://statiz.sporki.com/add/?m=draft_school02&amp;ps_school=" xr:uid="{C47E80D1-AB62-4DCC-95B7-BB5834D479A2}"/>
    <hyperlink ref="A1590" r:id="rId4765" display="https://statiz.sporki.com/player/?m=playerinfo&amp;p_no=10863" xr:uid="{68F97839-F910-4045-A8E4-70FA60456D71}"/>
    <hyperlink ref="B1590" r:id="rId4766" display="https://statiz.sporki.com/add/?m=draft_school01&amp;ps_school=50802" xr:uid="{36E28741-DEAA-40AF-B523-8F4CF91AD725}"/>
    <hyperlink ref="C1590" r:id="rId4767" display="https://statiz.sporki.com/add/?m=draft_school02&amp;ps_school=" xr:uid="{84E6A8F0-9996-4820-B031-7D47BF2FA9C6}"/>
    <hyperlink ref="A1591" r:id="rId4768" display="https://statiz.sporki.com/player/?m=playerinfo&amp;p_no=10854" xr:uid="{6D2E1C63-132C-4EA4-83E5-17C4DACA6FA4}"/>
    <hyperlink ref="B1591" r:id="rId4769" display="https://statiz.sporki.com/add/?m=draft_school01&amp;ps_school=50403" xr:uid="{C6F7CAF7-7F8A-442C-A555-06DB05B9DB7C}"/>
    <hyperlink ref="C1591" r:id="rId4770" display="https://statiz.sporki.com/add/?m=draft_school02&amp;ps_school=60111" xr:uid="{E957B9E9-60FE-4198-9B9B-101B77E10521}"/>
    <hyperlink ref="A1592" r:id="rId4771" display="https://statiz.sporki.com/player/?m=playerinfo&amp;p_no=10789" xr:uid="{400E3E70-AB86-4ECB-9FE0-6BAB0695566D}"/>
    <hyperlink ref="B1592" r:id="rId4772" display="https://statiz.sporki.com/add/?m=draft_school01&amp;ps_school=50701" xr:uid="{5415895B-8894-4005-99A1-EB4EF42D3EAA}"/>
    <hyperlink ref="C1592" r:id="rId4773" display="https://statiz.sporki.com/add/?m=draft_school02&amp;ps_school=60203" xr:uid="{733C2563-B97A-4E2D-9F5E-DFDCE79FB542}"/>
    <hyperlink ref="A1593" r:id="rId4774" display="https://statiz.sporki.com/player/?m=playerinfo&amp;p_no=10825" xr:uid="{DDDFFC18-39E0-4A3A-9AB1-F2A7BC9BED03}"/>
    <hyperlink ref="B1593" r:id="rId4775" display="https://statiz.sporki.com/add/?m=draft_school01&amp;ps_school=50601" xr:uid="{DB57A935-2EAD-4EC7-A4E2-45794D30CFDD}"/>
    <hyperlink ref="C1593" r:id="rId4776" display="https://statiz.sporki.com/add/?m=draft_school02&amp;ps_school=" xr:uid="{A7EA09B6-7100-4D2C-9C87-361F44AA642E}"/>
    <hyperlink ref="A1594" r:id="rId4777" display="https://statiz.sporki.com/player/?m=playerinfo&amp;p_no=10885" xr:uid="{6805A499-B2AE-4510-878F-C77C48632B85}"/>
    <hyperlink ref="B1594" r:id="rId4778" display="https://statiz.sporki.com/add/?m=draft_school01&amp;ps_school=50601" xr:uid="{10925734-C346-4A61-BD38-EB340285E410}"/>
    <hyperlink ref="C1594" r:id="rId4779" display="https://statiz.sporki.com/add/?m=draft_school02&amp;ps_school=60103" xr:uid="{04C82D5C-35AA-4F78-8E08-4832D4B065E8}"/>
    <hyperlink ref="A1595" r:id="rId4780" display="https://statiz.sporki.com/player/?m=playerinfo&amp;p_no=10879" xr:uid="{E99A3398-04F4-4D7B-9127-9A4B999B4174}"/>
    <hyperlink ref="B1595" r:id="rId4781" display="https://statiz.sporki.com/add/?m=draft_school01&amp;ps_school=50602" xr:uid="{F8A33EE5-6862-46E6-A7AE-14BEE662C40B}"/>
    <hyperlink ref="C1595" r:id="rId4782" display="https://statiz.sporki.com/add/?m=draft_school02&amp;ps_school=" xr:uid="{E559564A-AE85-4308-A2DB-2216859B5DB8}"/>
    <hyperlink ref="A1596" r:id="rId4783" display="https://statiz.sporki.com/player/?m=playerinfo&amp;p_no=10783" xr:uid="{E5C1AC87-808A-477D-8647-D3577FF1F203}"/>
    <hyperlink ref="B1596" r:id="rId4784" display="https://statiz.sporki.com/add/?m=draft_school01&amp;ps_school=50105" xr:uid="{4E393FEF-45E2-467D-A8A4-1B71B0637584}"/>
    <hyperlink ref="C1596" r:id="rId4785" display="https://statiz.sporki.com/add/?m=draft_school02&amp;ps_school=60103" xr:uid="{26C3E926-0C68-480A-8EC1-814EB9FE29F8}"/>
    <hyperlink ref="A1597" r:id="rId4786" display="https://statiz.sporki.com/player/?m=playerinfo&amp;p_no=11137" xr:uid="{3A3CFF77-ED14-40CC-8C52-5D3112CDFA00}"/>
    <hyperlink ref="B1597" r:id="rId4787" display="https://statiz.sporki.com/add/?m=draft_school01&amp;ps_school=50116" xr:uid="{90B8779F-F062-49B0-B523-BB03678E445B}"/>
    <hyperlink ref="C1597" r:id="rId4788" display="https://statiz.sporki.com/add/?m=draft_school02&amp;ps_school=" xr:uid="{FD2BACFF-45FC-4DAA-89AA-7F09FA97547E}"/>
    <hyperlink ref="A1598" r:id="rId4789" display="https://statiz.sporki.com/player/?m=playerinfo&amp;p_no=11162" xr:uid="{5F20C355-D08B-44C3-8C05-41747B41E233}"/>
    <hyperlink ref="B1598" r:id="rId4790" display="https://statiz.sporki.com/add/?m=draft_school01&amp;ps_school=50604" xr:uid="{EF31BC00-FA13-496E-B0E6-A2EBD7E6B305}"/>
    <hyperlink ref="C1598" r:id="rId4791" display="https://statiz.sporki.com/add/?m=draft_school02&amp;ps_school=60109" xr:uid="{C60A5D8F-5992-4DB4-B4BA-8FA497D3E86C}"/>
    <hyperlink ref="A1599" r:id="rId4792" display="https://statiz.sporki.com/player/?m=playerinfo&amp;p_no=10707" xr:uid="{2A0926F4-B9DB-4154-9CB0-668569BA3265}"/>
    <hyperlink ref="B1599" r:id="rId4793" display="https://statiz.sporki.com/add/?m=draft_school01&amp;ps_school=50803" xr:uid="{53FE0DAE-6139-4F3C-AF36-8BE69B9D1394}"/>
    <hyperlink ref="C1599" r:id="rId4794" display="https://statiz.sporki.com/add/?m=draft_school02&amp;ps_school=60501" xr:uid="{9338E3F1-F29F-48B8-90B6-45B052AB1FC3}"/>
    <hyperlink ref="A1600" r:id="rId4795" display="https://statiz.sporki.com/player/?m=playerinfo&amp;p_no=10892" xr:uid="{E76470C2-17C7-44AA-BCA1-9756EBE34F25}"/>
    <hyperlink ref="B1600" r:id="rId4796" display="https://statiz.sporki.com/add/?m=draft_school01&amp;ps_school=50703" xr:uid="{DF963DEB-7DB0-45C9-A58A-69E12A8E6FC5}"/>
    <hyperlink ref="C1600" r:id="rId4797" display="https://statiz.sporki.com/add/?m=draft_school02&amp;ps_school=" xr:uid="{9C372B89-7ECE-4CAB-A935-2BCF7C8F2FE8}"/>
    <hyperlink ref="A1601" r:id="rId4798" display="https://statiz.sporki.com/player/?m=playerinfo&amp;p_no=10882" xr:uid="{FA3B9617-72EF-4A93-887C-DB860699958E}"/>
    <hyperlink ref="B1601" r:id="rId4799" display="https://statiz.sporki.com/add/?m=draft_school01&amp;ps_school=50114" xr:uid="{0B189E00-815A-49B1-98C6-67678563E7CC}"/>
    <hyperlink ref="C1601" r:id="rId4800" display="https://statiz.sporki.com/add/?m=draft_school02&amp;ps_school=" xr:uid="{76437C99-38E5-4A7D-A55C-280FA3203E74}"/>
    <hyperlink ref="A1602" r:id="rId4801" display="https://statiz.sporki.com/player/?m=playerinfo&amp;p_no=10840" xr:uid="{FEDE31AE-1DF6-4B23-9018-B10CEF52B87D}"/>
    <hyperlink ref="B1602" r:id="rId4802" display="https://statiz.sporki.com/add/?m=draft_school01&amp;ps_school=50802" xr:uid="{439EB37D-44CE-4E63-AC42-DAFB4FEDABAE}"/>
    <hyperlink ref="C1602" r:id="rId4803" display="https://statiz.sporki.com/add/?m=draft_school02&amp;ps_school=60803" xr:uid="{75A1778E-8D60-49ED-B25B-9B4B7452F078}"/>
    <hyperlink ref="A1603" r:id="rId4804" display="https://statiz.sporki.com/player/?m=playerinfo&amp;p_no=10795" xr:uid="{1950CA35-7D25-44BD-B445-5FBD59BB000A}"/>
    <hyperlink ref="B1603" r:id="rId4805" display="https://statiz.sporki.com/add/?m=draft_school01&amp;ps_school=50801" xr:uid="{3C6BBCBD-19E6-49D1-8FC7-7C1DBD95FB88}"/>
    <hyperlink ref="C1603" r:id="rId4806" display="https://statiz.sporki.com/add/?m=draft_school02&amp;ps_school=60802" xr:uid="{CF33DC11-6E9F-44DD-B37A-FA2233320AFF}"/>
    <hyperlink ref="A1604" r:id="rId4807" display="https://statiz.sporki.com/player/?m=playerinfo&amp;p_no=10851" xr:uid="{C291A808-725F-479A-8D49-C3E7E437F312}"/>
    <hyperlink ref="B1604" r:id="rId4808" display="https://statiz.sporki.com/add/?m=draft_school01&amp;ps_school=50101" xr:uid="{09107ED1-8E04-4C35-BF25-250D34751D46}"/>
    <hyperlink ref="C1604" r:id="rId4809" display="https://statiz.sporki.com/add/?m=draft_school02&amp;ps_school=60102" xr:uid="{B097C992-8054-4819-961E-EF0CBF44CA4F}"/>
    <hyperlink ref="A1605" r:id="rId4810" display="https://statiz.sporki.com/player/?m=playerinfo&amp;p_no=10864" xr:uid="{D78D0122-2BAA-4B77-B4FD-BB0FC5A0D5A3}"/>
    <hyperlink ref="B1605" r:id="rId4811" display="https://statiz.sporki.com/add/?m=draft_school01&amp;ps_school=50703" xr:uid="{07B6DFF8-C0B9-44CF-96D1-EA05932F5DC2}"/>
    <hyperlink ref="C1605" r:id="rId4812" display="https://statiz.sporki.com/add/?m=draft_school02&amp;ps_school=" xr:uid="{605AC0E4-2C7E-409D-BF2A-99821CC19671}"/>
    <hyperlink ref="A1606" r:id="rId4813" display="https://statiz.sporki.com/player/?m=playerinfo&amp;p_no=10909" xr:uid="{E6FD7C69-6AE2-4399-B8D2-69FEB5D1299F}"/>
    <hyperlink ref="B1606" r:id="rId4814" display="https://statiz.sporki.com/add/?m=draft_school01&amp;ps_school=50701" xr:uid="{6C32425A-EAEE-4102-9978-34A980A5FB54}"/>
    <hyperlink ref="C1606" r:id="rId4815" display="https://statiz.sporki.com/add/?m=draft_school02&amp;ps_school=" xr:uid="{3FB4CB8E-3FEE-469F-AE54-DB62F860E0C8}"/>
    <hyperlink ref="A1607" r:id="rId4816" display="https://statiz.sporki.com/player/?m=playerinfo&amp;p_no=10910" xr:uid="{5181F9C9-9A18-477B-9C24-D7A63582AE32}"/>
    <hyperlink ref="B1607" r:id="rId4817" display="https://statiz.sporki.com/add/?m=draft_school01&amp;ps_school=50111" xr:uid="{9C22E1B8-B963-4E0B-B30E-A44B600DA2A0}"/>
    <hyperlink ref="C1607" r:id="rId4818" display="https://statiz.sporki.com/add/?m=draft_school02&amp;ps_school=" xr:uid="{3E4984E0-3975-4D55-9B2C-538DD36E0B06}"/>
    <hyperlink ref="A1608" r:id="rId4819" display="https://statiz.sporki.com/player/?m=playerinfo&amp;p_no=10865" xr:uid="{68A7CB39-8B0C-4FF0-B72E-252401BE4367}"/>
    <hyperlink ref="B1608" r:id="rId4820" display="https://statiz.sporki.com/add/?m=draft_school01&amp;ps_school=50103" xr:uid="{5755D02D-98DF-4A33-A12B-CFE3E24ED1B2}"/>
    <hyperlink ref="C1608" r:id="rId4821" display="https://statiz.sporki.com/add/?m=draft_school02&amp;ps_school=" xr:uid="{2BA70660-3386-47DB-A794-45A2BA20BFF7}"/>
    <hyperlink ref="A1609" r:id="rId4822" display="https://statiz.sporki.com/player/?m=playerinfo&amp;p_no=10847" xr:uid="{756FF323-C384-4601-9703-30CDCFC04C59}"/>
    <hyperlink ref="B1609" r:id="rId4823" display="https://statiz.sporki.com/add/?m=draft_school01&amp;ps_school=50207" xr:uid="{EF651CAA-2136-4776-817B-2F7F3278F685}"/>
    <hyperlink ref="C1609" r:id="rId4824" display="https://statiz.sporki.com/add/?m=draft_school02&amp;ps_school=" xr:uid="{64891CEE-A744-4786-B38C-022BFFE92C97}"/>
    <hyperlink ref="A1610" r:id="rId4825" display="https://statiz.sporki.com/player/?m=playerinfo&amp;p_no=10817" xr:uid="{696C8F9E-B9A2-42E3-ACB0-EEB30246A6C4}"/>
    <hyperlink ref="B1610" r:id="rId4826" display="https://statiz.sporki.com/add/?m=draft_school01&amp;ps_school=50207" xr:uid="{4ECB4773-C9C1-49CB-9863-F592FB2AA3D5}"/>
    <hyperlink ref="C1610" r:id="rId4827" display="https://statiz.sporki.com/add/?m=draft_school02&amp;ps_school=" xr:uid="{A2B38966-5E5D-4C93-9DF0-F19682D70B65}"/>
    <hyperlink ref="A1611" r:id="rId4828" display="https://statiz.sporki.com/player/?m=playerinfo&amp;p_no=10824" xr:uid="{F4828B04-2A1A-4EA8-BDC0-2B2BDE6DB49E}"/>
    <hyperlink ref="B1611" r:id="rId4829" display="https://statiz.sporki.com/add/?m=draft_school01&amp;ps_school=50103" xr:uid="{5A494D79-0429-4C52-9EA8-43F73E4F85DD}"/>
    <hyperlink ref="C1611" r:id="rId4830" display="https://statiz.sporki.com/add/?m=draft_school02&amp;ps_school=60803" xr:uid="{FC74A4BA-F260-477A-B31E-873BA1A0213C}"/>
    <hyperlink ref="A1612" r:id="rId4831" display="https://statiz.sporki.com/player/?m=playerinfo&amp;p_no=10878" xr:uid="{C3B5DD3D-4EE5-4A9F-9ED6-9E5F5FDEB082}"/>
    <hyperlink ref="B1612" r:id="rId4832" display="https://statiz.sporki.com/add/?m=draft_school01&amp;ps_school=50808" xr:uid="{FDDD6F79-4300-4FC0-9FCB-7F1678C4CC2F}"/>
    <hyperlink ref="C1612" r:id="rId4833" display="https://statiz.sporki.com/add/?m=draft_school02&amp;ps_school=" xr:uid="{318DC80F-E855-477B-ABFB-A8AD004DE638}"/>
    <hyperlink ref="A1613" r:id="rId4834" display="https://statiz.sporki.com/player/?m=playerinfo&amp;p_no=10804" xr:uid="{0ACA0E51-00B3-4802-923A-EA4B26EC8C1C}"/>
    <hyperlink ref="B1613" r:id="rId4835" display="https://statiz.sporki.com/add/?m=draft_school01&amp;ps_school=50705" xr:uid="{74736E6D-7DF7-4CFA-9B71-97FEAECABD49}"/>
    <hyperlink ref="C1613" r:id="rId4836" display="https://statiz.sporki.com/add/?m=draft_school02&amp;ps_school=" xr:uid="{0BF99A7B-CC24-43D8-8042-93926FAC1F3D}"/>
    <hyperlink ref="A1614" r:id="rId4837" display="https://statiz.sporki.com/player/?m=playerinfo&amp;p_no=11153" xr:uid="{7A8FAB25-FEF2-44D3-8F98-9B2F2C5FAE21}"/>
    <hyperlink ref="B1614" r:id="rId4838" display="https://statiz.sporki.com/add/?m=draft_school01&amp;ps_school=50604" xr:uid="{B677AC6E-17F5-4E90-A934-E17EE50CE0F0}"/>
    <hyperlink ref="C1614" r:id="rId4839" display="https://statiz.sporki.com/add/?m=draft_school02&amp;ps_school=" xr:uid="{0CEFC288-51A6-47C5-A5D0-B442D58B1034}"/>
    <hyperlink ref="A1615" r:id="rId4840" display="https://statiz.sporki.com/player/?m=playerinfo&amp;p_no=11148" xr:uid="{CDD89546-B617-48DC-A25C-BA2F2A09D6D8}"/>
    <hyperlink ref="B1615" r:id="rId4841" display="https://statiz.sporki.com/add/?m=draft_school01&amp;ps_school=50101" xr:uid="{A350C8C3-A186-4795-9BF6-C916BCFE0530}"/>
    <hyperlink ref="C1615" r:id="rId4842" display="https://statiz.sporki.com/add/?m=draft_school02&amp;ps_school=" xr:uid="{47755EB8-68CA-4DAA-B433-056142C5ECB1}"/>
    <hyperlink ref="A1616" r:id="rId4843" display="https://statiz.sporki.com/player/?m=playerinfo&amp;p_no=10792" xr:uid="{F1305F80-4DEB-48D5-B095-8EA2200C8A1C}"/>
    <hyperlink ref="B1616" r:id="rId4844" display="https://statiz.sporki.com/add/?m=draft_school01&amp;ps_school=50706" xr:uid="{CBFC2811-1E58-40ED-A88B-82636839E0A7}"/>
    <hyperlink ref="C1616" r:id="rId4845" display="https://statiz.sporki.com/add/?m=draft_school02&amp;ps_school=" xr:uid="{E2FC1A89-09CA-4FC0-A7D5-10A59B196F8B}"/>
    <hyperlink ref="A1617" r:id="rId4846" display="https://statiz.sporki.com/player/?m=playerinfo&amp;p_no=10899" xr:uid="{87E65A68-F26E-4AFE-9B33-945A7CADC5E6}"/>
    <hyperlink ref="B1617" r:id="rId4847" display="https://statiz.sporki.com/add/?m=draft_school01&amp;ps_school=50705" xr:uid="{8C86E9D5-C56B-4D5A-919A-5D0891D3237A}"/>
    <hyperlink ref="C1617" r:id="rId4848" display="https://statiz.sporki.com/add/?m=draft_school02&amp;ps_school=" xr:uid="{8BEA10FA-F177-4CDE-AF4A-9C318DA836DE}"/>
    <hyperlink ref="A1618" r:id="rId4849" display="https://statiz.sporki.com/player/?m=playerinfo&amp;p_no=10894" xr:uid="{83C9E9AA-F91F-459D-84A1-05309C89B58E}"/>
    <hyperlink ref="B1618" r:id="rId4850" display="https://statiz.sporki.com/add/?m=draft_school01&amp;ps_school=50114" xr:uid="{8E041618-ECC2-4597-9A43-5480A1941E30}"/>
    <hyperlink ref="C1618" r:id="rId4851" display="https://statiz.sporki.com/add/?m=draft_school02&amp;ps_school=" xr:uid="{1FB97FF8-DE7F-4714-848C-ADE37D46D6F1}"/>
    <hyperlink ref="A1619" r:id="rId4852" display="https://statiz.sporki.com/player/?m=playerinfo&amp;p_no=10827" xr:uid="{E065696D-9CC3-4FC6-8EFF-DA0E140416FE}"/>
    <hyperlink ref="B1619" r:id="rId4853" display="https://statiz.sporki.com/add/?m=draft_school01&amp;ps_school=50806" xr:uid="{24539B5E-2ED0-4D39-9ADE-E4C0D1B2E2C6}"/>
    <hyperlink ref="C1619" r:id="rId4854" display="https://statiz.sporki.com/add/?m=draft_school02&amp;ps_school=" xr:uid="{CEBDD897-5F4D-4302-BE60-2F7297B37199}"/>
    <hyperlink ref="A1620" r:id="rId4855" display="https://statiz.sporki.com/player/?m=playerinfo&amp;p_no=10821" xr:uid="{2C7A0373-0B91-442F-BAD1-FA6B0F9B1D81}"/>
    <hyperlink ref="B1620" r:id="rId4856" display="https://statiz.sporki.com/add/?m=draft_school01&amp;ps_school=50701" xr:uid="{ED6D640D-65EA-4EEB-8F54-5BF54D096860}"/>
    <hyperlink ref="C1620" r:id="rId4857" display="https://statiz.sporki.com/add/?m=draft_school02&amp;ps_school=" xr:uid="{D1339BB0-658A-4059-AC8E-E728712F5CA1}"/>
    <hyperlink ref="A1621" r:id="rId4858" display="https://statiz.sporki.com/player/?m=playerinfo&amp;p_no=10857" xr:uid="{42650CA0-0CD8-4F1B-9F17-BA5374CD82A5}"/>
    <hyperlink ref="B1621" r:id="rId4859" display="https://statiz.sporki.com/add/?m=draft_school01&amp;ps_school=50703" xr:uid="{8E73C333-69FB-44D8-903A-3A136D48EF9C}"/>
    <hyperlink ref="C1621" r:id="rId4860" display="https://statiz.sporki.com/add/?m=draft_school02&amp;ps_school=" xr:uid="{8CE8245A-4B55-422F-92E6-1714A677C5F9}"/>
    <hyperlink ref="A1622" r:id="rId4861" display="https://statiz.sporki.com/player/?m=playerinfo&amp;p_no=10866" xr:uid="{813D718F-345E-4896-825C-2103797FD2D6}"/>
    <hyperlink ref="B1622" r:id="rId4862" display="https://statiz.sporki.com/add/?m=draft_school01&amp;ps_school=50502" xr:uid="{714CC4C0-7ACD-4082-B639-8CBA51ED9D48}"/>
    <hyperlink ref="C1622" r:id="rId4863" display="https://statiz.sporki.com/add/?m=draft_school02&amp;ps_school=60108" xr:uid="{F00443BB-D83F-4744-8CAE-7240DD0166E5}"/>
    <hyperlink ref="A1623" r:id="rId4864" display="https://statiz.sporki.com/player/?m=playerinfo&amp;p_no=10916" xr:uid="{70BCD54F-BBA2-4211-8054-C67B5D35F8A9}"/>
    <hyperlink ref="B1623" r:id="rId4865" display="https://statiz.sporki.com/add/?m=draft_school01&amp;ps_school=50114" xr:uid="{D9CB7965-B59B-42CF-8EF9-301833118857}"/>
    <hyperlink ref="C1623" r:id="rId4866" display="https://statiz.sporki.com/add/?m=draft_school02&amp;ps_school=60104" xr:uid="{FB62AC6B-0C08-47CF-A621-3263B4073A4E}"/>
    <hyperlink ref="A1624" r:id="rId4867" display="https://statiz.sporki.com/player/?m=playerinfo&amp;p_no=10918" xr:uid="{8F940C22-3CAC-45E0-805E-2A889ED7CAB8}"/>
    <hyperlink ref="B1624" r:id="rId4868" display="https://statiz.sporki.com/add/?m=draft_school01&amp;ps_school=50208" xr:uid="{7E0CBEE2-4E26-4D80-83BA-5ECAED440417}"/>
    <hyperlink ref="C1624" r:id="rId4869" display="https://statiz.sporki.com/add/?m=draft_school02&amp;ps_school=60102" xr:uid="{7F8497CF-D9BB-40D5-A402-CEEEBA27A8F9}"/>
    <hyperlink ref="A1625" r:id="rId4870" display="https://statiz.sporki.com/player/?m=playerinfo&amp;p_no=10867" xr:uid="{2FC83E0C-1E95-4A66-B218-0C50918A7114}"/>
    <hyperlink ref="B1625" r:id="rId4871" display="https://statiz.sporki.com/add/?m=draft_school01&amp;ps_school=50606" xr:uid="{43033A36-2949-416C-9379-6A11FD3D62DC}"/>
    <hyperlink ref="C1625" r:id="rId4872" display="https://statiz.sporki.com/add/?m=draft_school02&amp;ps_school=60804" xr:uid="{2498CCC6-06FE-47A3-A419-A4A2578549A8}"/>
    <hyperlink ref="A1626" r:id="rId4873" display="https://statiz.sporki.com/player/?m=playerinfo&amp;p_no=10848" xr:uid="{84162DDF-3765-40B2-B553-F4573FDCAC7A}"/>
    <hyperlink ref="B1626" r:id="rId4874" display="https://statiz.sporki.com/add/?m=draft_school01&amp;ps_school=50802" xr:uid="{28409034-EDA6-4B98-B52F-A395684BFA51}"/>
    <hyperlink ref="C1626" r:id="rId4875" display="https://statiz.sporki.com/add/?m=draft_school02&amp;ps_school=60803" xr:uid="{28CB821C-2F59-4D73-BB00-53888595A72C}"/>
    <hyperlink ref="A1627" r:id="rId4876" display="https://statiz.sporki.com/player/?m=playerinfo&amp;p_no=10818" xr:uid="{9FBD31D9-11B5-4968-B6B0-0BC633431463}"/>
    <hyperlink ref="B1627" r:id="rId4877" display="https://statiz.sporki.com/add/?m=draft_school01&amp;ps_school=50602" xr:uid="{AB1133EA-2137-4104-B4E5-D3F36A6C43FA}"/>
    <hyperlink ref="C1627" r:id="rId4878" display="https://statiz.sporki.com/add/?m=draft_school02&amp;ps_school=" xr:uid="{B53AFB47-434E-44BA-8D56-431B9329586C}"/>
    <hyperlink ref="A1628" r:id="rId4879" display="https://statiz.sporki.com/player/?m=playerinfo&amp;p_no=10830" xr:uid="{D1FD763A-A83B-46BE-AEE2-DEB8A116A267}"/>
    <hyperlink ref="B1628" r:id="rId4880" display="https://statiz.sporki.com/add/?m=draft_school01&amp;ps_school=50109" xr:uid="{ED6CD59A-F7B7-4F3F-A1B7-D4CF09D3CFBF}"/>
    <hyperlink ref="C1628" r:id="rId4881" display="https://statiz.sporki.com/add/?m=draft_school02&amp;ps_school=60501" xr:uid="{C5374478-250F-4E74-A33F-29C1340BBC73}"/>
    <hyperlink ref="A1629" r:id="rId4882" display="https://statiz.sporki.com/player/?m=playerinfo&amp;p_no=10891" xr:uid="{BF414D75-69F1-42B4-9AD0-69D6CF859A58}"/>
    <hyperlink ref="B1629" r:id="rId4883" display="https://statiz.sporki.com/add/?m=draft_school01&amp;ps_school=50110" xr:uid="{5ABD4624-B15A-42C2-B63B-DD7C573F5301}"/>
    <hyperlink ref="C1629" r:id="rId4884" display="https://statiz.sporki.com/add/?m=draft_school02&amp;ps_school=60103" xr:uid="{9DBCEF06-7C76-4194-938D-E23B963AB00E}"/>
    <hyperlink ref="A1630" r:id="rId4885" display="https://statiz.sporki.com/player/?m=playerinfo&amp;p_no=10902" xr:uid="{8CAC0B83-AD3D-4828-B356-9A793AEE36EA}"/>
    <hyperlink ref="B1630" r:id="rId4886" display="https://statiz.sporki.com/add/?m=draft_school01&amp;ps_school=50403" xr:uid="{011C3004-E484-44C4-835C-44BBA85EB697}"/>
    <hyperlink ref="C1630" r:id="rId4887" display="https://statiz.sporki.com/add/?m=draft_school02&amp;ps_school=" xr:uid="{F00CB7AB-A2DD-4E32-94A2-321340AC7216}"/>
    <hyperlink ref="A1631" r:id="rId4888" display="https://statiz.sporki.com/player/?m=playerinfo&amp;p_no=10808" xr:uid="{1BEC71F8-F00B-4E68-88AC-BC563F501DD6}"/>
    <hyperlink ref="B1631" r:id="rId4889" display="https://statiz.sporki.com/add/?m=draft_school01&amp;ps_school=50803" xr:uid="{AE99F516-C605-4614-8643-9B0EA6F3ED6F}"/>
    <hyperlink ref="C1631" r:id="rId4890" display="https://statiz.sporki.com/add/?m=draft_school02&amp;ps_school=60803" xr:uid="{2315577A-FC6D-4C8E-9D13-6FC504D74D2C}"/>
    <hyperlink ref="A1632" r:id="rId4891" display="https://statiz.sporki.com/player/?m=playerinfo&amp;p_no=11357" xr:uid="{F3E35C0E-5421-4820-A45D-BEFF756605AF}"/>
    <hyperlink ref="B1632" r:id="rId4892" display="https://statiz.sporki.com/add/?m=draft_school01&amp;ps_school=50302" xr:uid="{98EA2321-2B43-4D05-8045-1687758F89E3}"/>
    <hyperlink ref="C1632" r:id="rId4893" display="https://statiz.sporki.com/add/?m=draft_school02&amp;ps_school=" xr:uid="{F496F991-AB39-4D2F-8CDF-7C58F0B66518}"/>
    <hyperlink ref="A1633" r:id="rId4894" display="https://statiz.sporki.com/player/?m=playerinfo&amp;p_no=10813" xr:uid="{B5A67AAD-F79D-4C3E-9F02-7CBA65B3337D}"/>
    <hyperlink ref="B1633" r:id="rId4895" display="https://statiz.sporki.com/add/?m=draft_school01&amp;ps_school=50501" xr:uid="{030EB382-3827-4CE2-A8A9-1DAFC373781E}"/>
    <hyperlink ref="C1633" r:id="rId4896" display="https://statiz.sporki.com/add/?m=draft_school02&amp;ps_school=60607" xr:uid="{E6746B51-3AA0-4130-8472-6EE2D99BC9EE}"/>
    <hyperlink ref="A1634" r:id="rId4897" display="https://statiz.sporki.com/player/?m=playerinfo&amp;p_no=10903" xr:uid="{AF99F4BC-3516-4973-B3C7-65E292CEFCD5}"/>
    <hyperlink ref="B1634" r:id="rId4898" display="https://statiz.sporki.com/add/?m=draft_school01&amp;ps_school=50107" xr:uid="{3376F377-1F60-4556-AE85-92B4CEFDE289}"/>
    <hyperlink ref="C1634" r:id="rId4899" display="https://statiz.sporki.com/add/?m=draft_school02&amp;ps_school=60702" xr:uid="{F8205155-F9DE-4352-B25F-2DC9E356FCDB}"/>
    <hyperlink ref="A1635" r:id="rId4900" display="https://statiz.sporki.com/player/?m=playerinfo&amp;p_no=10884" xr:uid="{F7E2A9B4-20EF-4C85-B756-1DCC353AE89F}"/>
    <hyperlink ref="B1635" r:id="rId4901" display="https://statiz.sporki.com/add/?m=draft_school01&amp;ps_school=50502" xr:uid="{4CBBEA76-0446-4A1D-9732-ED334048D80E}"/>
    <hyperlink ref="C1635" r:id="rId4902" display="https://statiz.sporki.com/add/?m=draft_school02&amp;ps_school=60801" xr:uid="{EEF1C032-213A-4D79-BABA-AA4B3DEECECD}"/>
    <hyperlink ref="A1636" r:id="rId4903" display="https://statiz.sporki.com/player/?m=playerinfo&amp;p_no=10814" xr:uid="{586EB90A-F4CB-4E91-8FF9-6E4EABEF5221}"/>
    <hyperlink ref="B1636" r:id="rId4904" display="https://statiz.sporki.com/add/?m=draft_school01&amp;ps_school=50901" xr:uid="{2386716A-EF7E-4083-AEF2-0AFCEACB51FD}"/>
    <hyperlink ref="C1636" r:id="rId4905" display="https://statiz.sporki.com/add/?m=draft_school02&amp;ps_school=60113" xr:uid="{EACA3130-5AB6-48F7-B670-14BD347E5B29}"/>
    <hyperlink ref="A1637" r:id="rId4906" display="https://statiz.sporki.com/player/?m=playerinfo&amp;p_no=10849" xr:uid="{DCAB9311-AF77-4CA1-9B23-3148B2C40A47}"/>
    <hyperlink ref="B1637" r:id="rId4907" display="https://statiz.sporki.com/add/?m=draft_school01&amp;ps_school=50107" xr:uid="{703B10C6-CAE9-41A6-833B-1E4C6DA90243}"/>
    <hyperlink ref="C1637" r:id="rId4908" display="https://statiz.sporki.com/add/?m=draft_school02&amp;ps_school=" xr:uid="{7D530255-3275-4AC5-AEFF-FDA1830843A4}"/>
    <hyperlink ref="A1638" r:id="rId4909" display="https://statiz.sporki.com/player/?m=playerinfo&amp;p_no=10868" xr:uid="{0A4E6BAC-2375-48AA-BAD6-7AF428441F9B}"/>
    <hyperlink ref="B1638" r:id="rId4910" display="https://statiz.sporki.com/add/?m=draft_school01&amp;ps_school=50116" xr:uid="{777FF3DB-5367-4F22-9010-67A467A66877}"/>
    <hyperlink ref="C1638" r:id="rId4911" display="https://statiz.sporki.com/add/?m=draft_school02&amp;ps_school=" xr:uid="{2644BA83-BB7D-4BA6-84D0-22E0D1F006FC}"/>
    <hyperlink ref="A1639" r:id="rId4912" display="https://statiz.sporki.com/player/?m=playerinfo&amp;p_no=10914" xr:uid="{28277E5E-95E9-4C88-A020-7AD99ACB2B6A}"/>
    <hyperlink ref="B1639" r:id="rId4913" display="https://statiz.sporki.com/add/?m=draft_school01&amp;ps_school=50403" xr:uid="{C6CE92A1-7EDF-4AC8-AB18-FD42DF4E1646}"/>
    <hyperlink ref="C1639" r:id="rId4914" display="https://statiz.sporki.com/add/?m=draft_school02&amp;ps_school=" xr:uid="{649FAD66-D8D9-4001-AAB5-7B02D3161142}"/>
    <hyperlink ref="A1640" r:id="rId4915" display="https://statiz.sporki.com/player/?m=playerinfo&amp;p_no=10911" xr:uid="{C1A5DF23-AD8A-4EAA-9097-9EE5475DD3C8}"/>
    <hyperlink ref="B1640" r:id="rId4916" display="https://statiz.sporki.com/add/?m=draft_school01&amp;ps_school=50806" xr:uid="{6D3A748F-BCDC-48B5-B5C8-732F5684C555}"/>
    <hyperlink ref="C1640" r:id="rId4917" display="https://statiz.sporki.com/add/?m=draft_school02&amp;ps_school=" xr:uid="{F6D62492-F2D5-4D0F-8DA1-3E9C00AA9108}"/>
    <hyperlink ref="A1641" r:id="rId4918" display="https://statiz.sporki.com/player/?m=playerinfo&amp;p_no=10869" xr:uid="{86CCC769-127B-4F3E-A2B8-30934EEBB16C}"/>
    <hyperlink ref="B1641" r:id="rId4919" display="https://statiz.sporki.com/add/?m=draft_school01&amp;ps_school=" xr:uid="{07B34E3F-9B92-462E-AF08-4A6A9267DA4D}"/>
    <hyperlink ref="C1641" r:id="rId4920" display="https://statiz.sporki.com/add/?m=draft_school02&amp;ps_school=" xr:uid="{E2550098-09B5-40C4-8B7D-2D2D6D3FCC40}"/>
    <hyperlink ref="A1642" r:id="rId4921" display="https://statiz.sporki.com/player/?m=playerinfo&amp;p_no=10856" xr:uid="{8BE16729-E4B7-457F-8B86-ABE8F2EF1FDC}"/>
    <hyperlink ref="B1642" r:id="rId4922" display="https://statiz.sporki.com/add/?m=draft_school01&amp;ps_school=50101" xr:uid="{1BFCE5AC-A099-45D4-A3AA-93174B901F4C}"/>
    <hyperlink ref="C1642" r:id="rId4923" display="https://statiz.sporki.com/add/?m=draft_school02&amp;ps_school=60104" xr:uid="{C9C4AB2E-A2C7-4C8C-B93C-AD8F08C7A8ED}"/>
    <hyperlink ref="A1643" r:id="rId4924" display="https://statiz.sporki.com/player/?m=playerinfo&amp;p_no=10820" xr:uid="{2937AF16-5E3A-4CBF-A9DC-93D208F60DD3}"/>
    <hyperlink ref="B1643" r:id="rId4925" display="https://statiz.sporki.com/add/?m=draft_school01&amp;ps_school=50109" xr:uid="{61B2E200-DCC2-4308-AC48-588DBAF7485C}"/>
    <hyperlink ref="C1643" r:id="rId4926" display="https://statiz.sporki.com/add/?m=draft_school02&amp;ps_school=" xr:uid="{D54D626F-6E07-4707-A9BC-A1457124E158}"/>
    <hyperlink ref="A1644" r:id="rId4927" display="https://statiz.sporki.com/player/?m=playerinfo&amp;p_no=10837" xr:uid="{4B2643C4-E825-475F-93C9-5A6D990DF64C}"/>
    <hyperlink ref="B1644" r:id="rId4928" display="https://statiz.sporki.com/add/?m=draft_school01&amp;ps_school=50111" xr:uid="{E835F65B-B028-4953-9768-30DCBCACE15A}"/>
    <hyperlink ref="C1644" r:id="rId4929" display="https://statiz.sporki.com/add/?m=draft_school02&amp;ps_school=60103" xr:uid="{BB5703D3-A2AA-41BD-BF87-FE0121918C36}"/>
    <hyperlink ref="A1645" r:id="rId4930" display="https://statiz.sporki.com/player/?m=playerinfo&amp;p_no=10895" xr:uid="{8ACBE23F-110D-4404-A748-5B341693770D}"/>
    <hyperlink ref="B1645" r:id="rId4931" display="https://statiz.sporki.com/add/?m=draft_school01&amp;ps_school=50107" xr:uid="{941D7ED0-BD90-47D1-B996-5AD612F73259}"/>
    <hyperlink ref="C1645" r:id="rId4932" display="https://statiz.sporki.com/add/?m=draft_school02&amp;ps_school=60109" xr:uid="{BAD1CA5D-17BE-4ECB-AAD8-97D1CADAA7FF}"/>
    <hyperlink ref="A1646" r:id="rId4933" display="https://statiz.sporki.com/player/?m=playerinfo&amp;p_no=10904" xr:uid="{09E09570-7EB5-4C1B-BE63-49A94F264CD9}"/>
    <hyperlink ref="B1646" r:id="rId4934" display="https://statiz.sporki.com/add/?m=draft_school01&amp;ps_school=50201" xr:uid="{8F5AD7A2-1427-4599-9C17-39A522516E07}"/>
    <hyperlink ref="C1646" r:id="rId4935" display="https://statiz.sporki.com/add/?m=draft_school02&amp;ps_school=" xr:uid="{E2166F6A-49EF-4480-A3DF-5D222EB09307}"/>
    <hyperlink ref="A1647" r:id="rId4936" display="https://statiz.sporki.com/player/?m=playerinfo&amp;p_no=10788" xr:uid="{86B3DA59-BCE7-49BE-B37C-39555567D488}"/>
    <hyperlink ref="B1647" r:id="rId4937" display="https://statiz.sporki.com/add/?m=draft_school01&amp;ps_school=50204" xr:uid="{D2DACF87-05B1-4C76-8C83-F1E25C22956A}"/>
    <hyperlink ref="C1647" r:id="rId4938" display="https://statiz.sporki.com/add/?m=draft_school02&amp;ps_school=60103" xr:uid="{BAE55388-D45D-448B-A971-B4A5E83BD3F1}"/>
    <hyperlink ref="A1648" r:id="rId4939" display="https://statiz.sporki.com/player/?m=playerinfo&amp;p_no=11163" xr:uid="{EB4F0670-FB47-409D-8DE4-1DCA29C83ECD}"/>
    <hyperlink ref="B1648" r:id="rId4940" display="https://statiz.sporki.com/add/?m=draft_school01&amp;ps_school=50807" xr:uid="{50000C18-C81F-4A5D-877B-FA658E9F2C1C}"/>
    <hyperlink ref="C1648" r:id="rId4941" display="https://statiz.sporki.com/add/?m=draft_school02&amp;ps_school=" xr:uid="{65AF8F13-AE22-4F19-8924-202866178827}"/>
    <hyperlink ref="A1649" r:id="rId4942" display="https://statiz.sporki.com/player/?m=playerinfo&amp;p_no=11149" xr:uid="{871A8F89-2248-45C8-A1D7-439B22F46AA1}"/>
    <hyperlink ref="B1649" r:id="rId4943" display="https://statiz.sporki.com/add/?m=draft_school01&amp;ps_school=50402" xr:uid="{C9B18D2B-F920-4F66-8A3F-A0D40C68F509}"/>
    <hyperlink ref="C1649" r:id="rId4944" display="https://statiz.sporki.com/add/?m=draft_school02&amp;ps_school=60203" xr:uid="{9E459965-C29E-460C-A9B2-4E8DC4086077}"/>
    <hyperlink ref="A1650" r:id="rId4945" display="https://statiz.sporki.com/player/?m=playerinfo&amp;p_no=10810" xr:uid="{F315DC60-3F35-417C-8755-F2FEFA86C991}"/>
    <hyperlink ref="B1650" r:id="rId4946" display="https://statiz.sporki.com/add/?m=draft_school01&amp;ps_school=50208" xr:uid="{2D6A242D-7492-44F7-97D4-B25041CD6163}"/>
    <hyperlink ref="C1650" r:id="rId4947" display="https://statiz.sporki.com/add/?m=draft_school02&amp;ps_school=" xr:uid="{1E50B7D6-CBDA-4CA3-BBAD-C766D7724625}"/>
    <hyperlink ref="A1651" r:id="rId4948" display="https://statiz.sporki.com/player/?m=playerinfo&amp;p_no=10905" xr:uid="{2B7340C2-00A1-4161-9DAD-364190F35ABB}"/>
    <hyperlink ref="B1651" r:id="rId4949" display="https://statiz.sporki.com/add/?m=draft_school01&amp;ps_school=50402" xr:uid="{2F7CACBC-F129-44B3-A5CB-96061C6B0850}"/>
    <hyperlink ref="C1651" r:id="rId4950" display="https://statiz.sporki.com/add/?m=draft_school02&amp;ps_school=" xr:uid="{F18E4A77-DB76-4EBB-81EC-71252465F26A}"/>
    <hyperlink ref="A1652" r:id="rId4951" display="https://statiz.sporki.com/player/?m=playerinfo&amp;p_no=10896" xr:uid="{BB730863-2CA1-4067-BED3-4793860BF4BC}"/>
    <hyperlink ref="B1652" r:id="rId4952" display="https://statiz.sporki.com/add/?m=draft_school01&amp;ps_school=50702" xr:uid="{CDA2220B-F2AF-4F9A-8B07-4466E8FA8EB3}"/>
    <hyperlink ref="C1652" r:id="rId4953" display="https://statiz.sporki.com/add/?m=draft_school02&amp;ps_school=61002" xr:uid="{3E39CDD0-3A10-490E-BDCE-936C6348A24A}"/>
    <hyperlink ref="A1653" r:id="rId4954" display="https://statiz.sporki.com/player/?m=playerinfo&amp;p_no=10819" xr:uid="{0A1D6C8D-849E-465E-89FB-39EEB6200CA1}"/>
    <hyperlink ref="B1653" r:id="rId4955" display="https://statiz.sporki.com/add/?m=draft_school01&amp;ps_school=50105" xr:uid="{7570145D-3ED4-4176-BB92-07C8DAAFAF8E}"/>
    <hyperlink ref="C1653" r:id="rId4956" display="https://statiz.sporki.com/add/?m=draft_school02&amp;ps_school=60103" xr:uid="{2B7AFA9E-3E0E-449A-B52F-38B52764A3F9}"/>
    <hyperlink ref="A1654" r:id="rId4957" display="https://statiz.sporki.com/player/?m=playerinfo&amp;p_no=10870" xr:uid="{9F1D8C4B-DA22-4650-A467-31753D345327}"/>
    <hyperlink ref="B1654" r:id="rId4958" display="https://statiz.sporki.com/add/?m=draft_school01&amp;ps_school=50402" xr:uid="{E5E4DB02-D338-4A05-B7FC-DF8E307FB71E}"/>
    <hyperlink ref="C1654" r:id="rId4959" display="https://statiz.sporki.com/add/?m=draft_school02&amp;ps_school=" xr:uid="{918B0B44-B17E-4280-9D4A-0DB0DDE794D6}"/>
    <hyperlink ref="A1655" r:id="rId4960" display="https://statiz.sporki.com/player/?m=playerinfo&amp;p_no=10912" xr:uid="{21307095-F528-44A0-A160-8F9D9DEBDA3B}"/>
    <hyperlink ref="B1655" r:id="rId4961" display="https://statiz.sporki.com/add/?m=draft_school01&amp;ps_school=50301" xr:uid="{56FDCCD2-42EB-476D-9F91-30CEF198271E}"/>
    <hyperlink ref="C1655" r:id="rId4962" display="https://statiz.sporki.com/add/?m=draft_school02&amp;ps_school=" xr:uid="{5CA2F306-6CA6-4B48-AA0D-0974382B6C95}"/>
    <hyperlink ref="A1656" r:id="rId4963" display="https://statiz.sporki.com/player/?m=playerinfo&amp;p_no=10917" xr:uid="{39E2A20A-08B8-4BAA-A36B-858F6F7022D2}"/>
    <hyperlink ref="B1656" r:id="rId4964" display="https://statiz.sporki.com/add/?m=draft_school01&amp;ps_school=50802" xr:uid="{EDF058CF-3A0A-4EF5-9E49-E59A360AA69C}"/>
    <hyperlink ref="C1656" r:id="rId4965" display="https://statiz.sporki.com/add/?m=draft_school02&amp;ps_school=60803" xr:uid="{B9D3983A-79FC-4101-AF06-F53A91F96CFD}"/>
    <hyperlink ref="A1657" r:id="rId4966" display="https://statiz.sporki.com/player/?m=playerinfo&amp;p_no=10871" xr:uid="{7E512444-8CCE-410A-ACC8-FF471196CE66}"/>
    <hyperlink ref="B1657" r:id="rId4967" display="https://statiz.sporki.com/add/?m=draft_school01&amp;ps_school=50804" xr:uid="{3C7F6B34-227C-405E-9DCC-75B9456B010C}"/>
    <hyperlink ref="C1657" r:id="rId4968" display="https://statiz.sporki.com/add/?m=draft_school02&amp;ps_school=" xr:uid="{44EB49E0-9F59-4325-AA09-A10B7F4F37D8}"/>
    <hyperlink ref="A1658" r:id="rId4969" display="https://statiz.sporki.com/player/?m=playerinfo&amp;p_no=10906" xr:uid="{0531BE83-8F40-4B7C-A2ED-A047239887A2}"/>
    <hyperlink ref="B1658" r:id="rId4970" display="https://statiz.sporki.com/add/?m=draft_school01&amp;ps_school=51001" xr:uid="{C68A239C-8F26-448F-A6B4-27807646E838}"/>
    <hyperlink ref="C1658" r:id="rId4971" display="https://statiz.sporki.com/add/?m=draft_school02&amp;ps_school=60703" xr:uid="{0937CD40-7ABF-40C5-A0FE-35DFB6733262}"/>
    <hyperlink ref="A1659" r:id="rId4972" display="https://statiz.sporki.com/player/?m=playerinfo&amp;p_no=10859" xr:uid="{3E5193BB-9E5D-466A-B6E3-964125360648}"/>
    <hyperlink ref="B1659" r:id="rId4973" display="https://statiz.sporki.com/add/?m=draft_school01&amp;ps_school=50208" xr:uid="{349CEE74-4BCD-4D77-9CE5-FE397E260F69}"/>
    <hyperlink ref="C1659" r:id="rId4974" display="https://statiz.sporki.com/add/?m=draft_school02&amp;ps_school=60101" xr:uid="{2EFD5818-D18A-4837-859A-62D7F41E3453}"/>
    <hyperlink ref="A1660" r:id="rId4975" display="https://statiz.sporki.com/player/?m=playerinfo&amp;p_no=10836" xr:uid="{F9414380-34CD-4530-8FE9-C2CEC022F182}"/>
    <hyperlink ref="B1660" r:id="rId4976" display="https://statiz.sporki.com/add/?m=draft_school01&amp;ps_school=50602" xr:uid="{FA3A4E17-6429-4D32-B38E-D9FE13ED2B5D}"/>
    <hyperlink ref="C1660" r:id="rId4977" display="https://statiz.sporki.com/add/?m=draft_school02&amp;ps_school=60108" xr:uid="{EB97BB3A-333A-402D-9610-F7ACA58A4F33}"/>
    <hyperlink ref="A1661" r:id="rId4978" display="https://statiz.sporki.com/player/?m=playerinfo&amp;p_no=10799" xr:uid="{9D39C4B4-41AF-4AFE-80DB-60BC0124FB37}"/>
    <hyperlink ref="B1661" r:id="rId4979" display="https://statiz.sporki.com/add/?m=draft_school01&amp;ps_school=" xr:uid="{34F04C60-D824-4FCE-A550-45970D4F66AD}"/>
    <hyperlink ref="C1661" r:id="rId4980" display="https://statiz.sporki.com/add/?m=draft_school02&amp;ps_school=" xr:uid="{DE553C29-6606-4E53-A6A0-4C768B89B04F}"/>
    <hyperlink ref="A1662" r:id="rId4981" display="https://statiz.sporki.com/player/?m=playerinfo&amp;p_no=10889" xr:uid="{B1407CD4-CB62-4DC1-B462-EDA896197F5A}"/>
    <hyperlink ref="B1662" r:id="rId4982" display="https://statiz.sporki.com/add/?m=draft_school01&amp;ps_school=50502" xr:uid="{8026CAA3-AECA-4152-A9EA-0A4147497EB0}"/>
    <hyperlink ref="C1662" r:id="rId4983" display="https://statiz.sporki.com/add/?m=draft_school02&amp;ps_school=60101" xr:uid="{941F783D-37FA-4CBB-9C31-8FEE2533E2D8}"/>
    <hyperlink ref="A1663" r:id="rId4984" display="https://statiz.sporki.com/player/?m=playerinfo&amp;p_no=10815" xr:uid="{B2D88F5E-4A06-40A8-9615-F64286569750}"/>
    <hyperlink ref="B1663" r:id="rId4985" display="https://statiz.sporki.com/add/?m=draft_school01&amp;ps_school=50802" xr:uid="{33D1BEF2-22C8-4F80-A67E-0ED66B938194}"/>
    <hyperlink ref="C1663" r:id="rId4986" display="https://statiz.sporki.com/add/?m=draft_school02&amp;ps_school=60802" xr:uid="{3E7E7FBF-5CDE-4166-B1B1-428CF76E0FB9}"/>
    <hyperlink ref="A1664" r:id="rId4987" display="https://statiz.sporki.com/player/?m=playerinfo&amp;p_no=11138" xr:uid="{9D044440-6C9D-43C8-AD36-636E8259C4DE}"/>
    <hyperlink ref="B1664" r:id="rId4988" display="https://statiz.sporki.com/add/?m=draft_school01&amp;ps_school=50114" xr:uid="{295B319D-4C97-48A5-873F-6B23D8960D96}"/>
    <hyperlink ref="C1664" r:id="rId4989" display="https://statiz.sporki.com/add/?m=draft_school02&amp;ps_school=60102" xr:uid="{C676288D-0C3F-4FF9-ADDE-7D94B45B1D83}"/>
    <hyperlink ref="A1665" r:id="rId4990" display="https://statiz.sporki.com/player/?m=playerinfo&amp;p_no=10901" xr:uid="{F3781876-A352-4025-9870-1E28ED26A9A4}"/>
    <hyperlink ref="B1665" r:id="rId4991" display="https://statiz.sporki.com/add/?m=draft_school01&amp;ps_school=50701" xr:uid="{6DD49B99-0F36-4A9B-822A-5B55435641A4}"/>
    <hyperlink ref="C1665" r:id="rId4992" display="https://statiz.sporki.com/add/?m=draft_school02&amp;ps_school=60109" xr:uid="{22BF7507-23BB-4BAB-93AF-DE62FE371B7E}"/>
    <hyperlink ref="A1666" r:id="rId4993" display="https://statiz.sporki.com/player/?m=playerinfo&amp;p_no=11363" xr:uid="{8673744D-0E8D-4D2C-8820-4AC65881BC0D}"/>
    <hyperlink ref="B1666" r:id="rId4994" display="https://statiz.sporki.com/add/?m=draft_school01&amp;ps_school=50111" xr:uid="{172160D9-53E4-4AE4-BE4D-C7B2068BBC63}"/>
    <hyperlink ref="C1666" r:id="rId4995" display="https://statiz.sporki.com/add/?m=draft_school02&amp;ps_school=" xr:uid="{E486C3F6-B020-4BB3-B906-BA191F16417D}"/>
    <hyperlink ref="A1667" r:id="rId4996" display="https://statiz.sporki.com/player/?m=playerinfo&amp;p_no=10816" xr:uid="{A93D1D7A-94D3-4899-AB26-2E3A9BAB3C08}"/>
    <hyperlink ref="B1667" r:id="rId4997" display="https://statiz.sporki.com/add/?m=draft_school01&amp;ps_school=50801" xr:uid="{26CDC6AD-2D74-424B-8EDD-169758AA5AF0}"/>
    <hyperlink ref="C1667" r:id="rId4998" display="https://statiz.sporki.com/add/?m=draft_school02&amp;ps_school=60802" xr:uid="{123E2791-1CA3-427E-9691-60EA5BB5C11E}"/>
    <hyperlink ref="A1668" r:id="rId4999" display="https://statiz.sporki.com/player/?m=playerinfo&amp;p_no=10872" xr:uid="{692544FA-9672-4CDB-A8E5-1C3112A080A9}"/>
    <hyperlink ref="B1668" r:id="rId5000" display="https://statiz.sporki.com/add/?m=draft_school01&amp;ps_school=50207" xr:uid="{CD5BEDA5-D216-40F8-9DAF-47DA9D28D191}"/>
    <hyperlink ref="C1668" r:id="rId5001" display="https://statiz.sporki.com/add/?m=draft_school02&amp;ps_school=" xr:uid="{66CA79DE-7EE0-4F28-A002-EEA02CBF1461}"/>
    <hyperlink ref="A1669" r:id="rId5002" display="https://statiz.sporki.com/player/?m=playerinfo&amp;p_no=10915" xr:uid="{DFE84496-A8B7-4D49-A95A-C097AC38C098}"/>
    <hyperlink ref="B1669" r:id="rId5003" display="https://statiz.sporki.com/add/?m=draft_school01&amp;ps_school=50403" xr:uid="{A852B362-17D6-496A-B730-08523D8FD6DC}"/>
    <hyperlink ref="C1669" r:id="rId5004" display="https://statiz.sporki.com/add/?m=draft_school02&amp;ps_school=" xr:uid="{B9C789EA-6AB6-494F-AA71-7B9AC2F4C025}"/>
    <hyperlink ref="A1670" r:id="rId5005" display="https://statiz.sporki.com/player/?m=playerinfo&amp;p_no=11165" xr:uid="{9615DDD6-2C41-47AF-8639-AEA9879A483C}"/>
    <hyperlink ref="B1670" r:id="rId5006" display="https://statiz.sporki.com/add/?m=draft_school01&amp;ps_school=50601" xr:uid="{64BF4C15-2CD5-45B0-B1F3-744414CE6CBA}"/>
    <hyperlink ref="C1670" r:id="rId5007" display="https://statiz.sporki.com/add/?m=draft_school02&amp;ps_school=60108" xr:uid="{5ED3A8BB-EAB8-418D-BA6C-FBD5FB2EADCB}"/>
    <hyperlink ref="A1671" r:id="rId5008" display="https://statiz.sporki.com/player/?m=playerinfo&amp;p_no=11159" xr:uid="{404BAB0B-7284-47D9-A0E4-AA130E5D90D7}"/>
    <hyperlink ref="B1671" r:id="rId5009" display="https://statiz.sporki.com/add/?m=draft_school01&amp;ps_school=50605" xr:uid="{77E43D77-2051-4221-82A4-31EDA0D79D6B}"/>
    <hyperlink ref="C1671" r:id="rId5010" display="https://statiz.sporki.com/add/?m=draft_school02&amp;ps_school=" xr:uid="{C86EEA9A-F1FD-4C43-A75C-B89FD4FA4CE3}"/>
    <hyperlink ref="A1672" r:id="rId5011" display="https://statiz.sporki.com/player/?m=playerinfo&amp;p_no=10907" xr:uid="{973F86DE-856C-4813-9ECB-137B1D22F53E}"/>
    <hyperlink ref="B1672" r:id="rId5012" display="https://statiz.sporki.com/add/?m=draft_school01&amp;ps_school=50401" xr:uid="{9AFD5BB8-DF6E-4C42-9CF3-F32F7CA4061B}"/>
    <hyperlink ref="C1672" r:id="rId5013" display="https://statiz.sporki.com/add/?m=draft_school02&amp;ps_school=60113" xr:uid="{4D633CFE-382F-4DCB-9C8B-929DC38C2BE7}"/>
    <hyperlink ref="A1673" r:id="rId5014" display="https://statiz.sporki.com/player/?m=playerinfo&amp;p_no=11145" xr:uid="{C3B850FE-F935-40F4-B967-4215C37B3D49}"/>
    <hyperlink ref="B1673" r:id="rId5015" display="https://statiz.sporki.com/add/?m=draft_school01&amp;ps_school=50108" xr:uid="{A6129071-46B5-4DFC-97E6-1A3DB22B55E0}"/>
    <hyperlink ref="C1673" r:id="rId5016" display="https://statiz.sporki.com/add/?m=draft_school02&amp;ps_school=60203" xr:uid="{AAAA7EA3-958F-471A-BAA4-D21937303F50}"/>
    <hyperlink ref="A1674" r:id="rId5017" display="https://statiz.sporki.com/player/?m=playerinfo&amp;p_no=11125" xr:uid="{D42336A4-D993-49F9-BD58-D11D7062CC26}"/>
    <hyperlink ref="B1674" r:id="rId5018" display="https://statiz.sporki.com/add/?m=draft_school01&amp;ps_school=50202" xr:uid="{D77934FB-F6B8-46CC-8EDA-983DE09399A8}"/>
    <hyperlink ref="C1674" r:id="rId5019" display="https://statiz.sporki.com/add/?m=draft_school02&amp;ps_school=" xr:uid="{69E71935-4053-4CCD-B0AA-19CCC2F26400}"/>
    <hyperlink ref="A1675" r:id="rId5020" display="https://statiz.sporki.com/player/?m=playerinfo&amp;p_no=11151" xr:uid="{6BE915A2-5CCE-4BBF-8A1F-B7732A20B15E}"/>
    <hyperlink ref="B1675" r:id="rId5021" display="https://statiz.sporki.com/add/?m=draft_school01&amp;ps_school=50805" xr:uid="{EE17E6BA-4285-4138-A17F-39B51B3EE16E}"/>
    <hyperlink ref="C1675" r:id="rId5022" display="https://statiz.sporki.com/add/?m=draft_school02&amp;ps_school=" xr:uid="{D157C63A-BD42-4CB1-95C9-85A89C5D1C5C}"/>
    <hyperlink ref="A1676" r:id="rId5023" display="https://statiz.sporki.com/player/?m=playerinfo&amp;p_no=11146" xr:uid="{92FA1546-3432-491B-B687-8B6F50F33721}"/>
    <hyperlink ref="B1676" r:id="rId5024" display="https://statiz.sporki.com/add/?m=draft_school01&amp;ps_school=50207" xr:uid="{718D892D-80DA-4768-8A72-9C8E28228095}"/>
    <hyperlink ref="C1676" r:id="rId5025" display="https://statiz.sporki.com/add/?m=draft_school02&amp;ps_school=" xr:uid="{40665F9C-E32E-46DC-BF23-4BDD335B7F9A}"/>
    <hyperlink ref="A1677" r:id="rId5026" display="https://statiz.sporki.com/player/?m=playerinfo&amp;p_no=11144" xr:uid="{EEA7CC7A-E900-4FD7-A612-DCAED5ECEE9E}"/>
    <hyperlink ref="B1677" r:id="rId5027" display="https://statiz.sporki.com/add/?m=draft_school01&amp;ps_school=50605" xr:uid="{F16BB811-EFF6-49C6-A132-3836F266D777}"/>
    <hyperlink ref="C1677" r:id="rId5028" display="https://statiz.sporki.com/add/?m=draft_school02&amp;ps_school=60104" xr:uid="{3803E95C-2DE4-4A6E-A081-C15844BD6422}"/>
    <hyperlink ref="A1678" r:id="rId5029" display="https://statiz.sporki.com/player/?m=playerinfo&amp;p_no=10794" xr:uid="{FE21AF2B-186E-4212-B6CE-663BA96FB749}"/>
    <hyperlink ref="B1678" r:id="rId5030" display="https://statiz.sporki.com/add/?m=draft_school01&amp;ps_school=" xr:uid="{180336AC-FB1D-4322-A0E0-FB4267D69147}"/>
    <hyperlink ref="C1678" r:id="rId5031" display="https://statiz.sporki.com/add/?m=draft_school02&amp;ps_school=" xr:uid="{9ED0612F-E298-41B7-BFCB-D98B15C7BF48}"/>
    <hyperlink ref="A1679" r:id="rId5032" display="https://statiz.sporki.com/player/?m=playerinfo&amp;p_no=10933" xr:uid="{BA7B6EBB-0ABB-495A-BC7A-11C92BD3E837}"/>
    <hyperlink ref="B1679" r:id="rId5033" display="https://statiz.sporki.com/add/?m=draft_school01&amp;ps_school=" xr:uid="{09489726-20F1-40F6-9D81-2C638DE5AA09}"/>
    <hyperlink ref="C1679" r:id="rId5034" display="https://statiz.sporki.com/add/?m=draft_school02&amp;ps_school=" xr:uid="{842C4A1B-BCEE-43F3-866A-F244F74C4DA3}"/>
    <hyperlink ref="A1680" r:id="rId5035" display="https://statiz.sporki.com/player/?m=playerinfo&amp;p_no=10926" xr:uid="{2E23BA39-CA47-4430-9318-8AE22EB4F754}"/>
    <hyperlink ref="B1680" r:id="rId5036" display="https://statiz.sporki.com/add/?m=draft_school01&amp;ps_school=" xr:uid="{381662A7-B401-4390-810C-5BCDAA542419}"/>
    <hyperlink ref="C1680" r:id="rId5037" display="https://statiz.sporki.com/add/?m=draft_school02&amp;ps_school=" xr:uid="{62655E5A-4157-4E96-8DD7-703ECE476B26}"/>
    <hyperlink ref="A1681" r:id="rId5038" display="https://statiz.sporki.com/player/?m=playerinfo&amp;p_no=11140" xr:uid="{3A5396E6-124B-40F6-991A-738AA4BE5267}"/>
    <hyperlink ref="B1681" r:id="rId5039" display="https://statiz.sporki.com/add/?m=draft_school01&amp;ps_school=50103" xr:uid="{1CC545F1-EDA6-4E91-ABFB-115651543FAA}"/>
    <hyperlink ref="C1681" r:id="rId5040" display="https://statiz.sporki.com/add/?m=draft_school02&amp;ps_school=60203" xr:uid="{B111F59B-0793-42DC-A0BD-47F6A8CCDB65}"/>
    <hyperlink ref="A1682" r:id="rId5041" display="https://statiz.sporki.com/player/?m=playerinfo&amp;p_no=11315" xr:uid="{90F801CC-880C-4E68-8BF6-E2AC94796B9B}"/>
    <hyperlink ref="B1682" r:id="rId5042" display="https://statiz.sporki.com/add/?m=draft_school01&amp;ps_school=50109" xr:uid="{3D108EC8-9D36-4E8B-8E1C-CB4B4D21D0BF}"/>
    <hyperlink ref="C1682" r:id="rId5043" display="https://statiz.sporki.com/add/?m=draft_school02&amp;ps_school=60104" xr:uid="{F2F8BBD8-87FC-484E-A613-B346BAF8547F}"/>
    <hyperlink ref="A1683" r:id="rId5044" display="https://statiz.sporki.com/player/?m=playerinfo&amp;p_no=11133" xr:uid="{D307137D-28B1-4FD0-8A63-BE6EF83441A8}"/>
    <hyperlink ref="B1683" r:id="rId5045" display="https://statiz.sporki.com/add/?m=draft_school01&amp;ps_school=50606" xr:uid="{E03C5187-0F8F-47EF-B442-3F45CE41DBAB}"/>
    <hyperlink ref="C1683" r:id="rId5046" display="https://statiz.sporki.com/add/?m=draft_school02&amp;ps_school=60804" xr:uid="{B6C9FC2F-7532-42B9-8378-8703BFBD9B18}"/>
    <hyperlink ref="A1684" r:id="rId5047" display="https://statiz.sporki.com/player/?m=playerinfo&amp;p_no=10782" xr:uid="{8E5ED8D9-7D4B-4247-8222-BCDF5927B5AF}"/>
    <hyperlink ref="B1684" r:id="rId5048" display="https://statiz.sporki.com/add/?m=draft_school01&amp;ps_school=51100" xr:uid="{28E10711-99C4-4792-9171-F864F41818BF}"/>
    <hyperlink ref="C1684" r:id="rId5049" display="https://statiz.sporki.com/add/?m=draft_school02&amp;ps_school=61100" xr:uid="{9EC1677F-DA99-408A-8E02-20C6029985EE}"/>
    <hyperlink ref="A1685" r:id="rId5050" display="https://statiz.sporki.com/player/?m=playerinfo&amp;p_no=10937" xr:uid="{9C9C2ECC-0C50-45CF-90EF-0AD1CDFF8720}"/>
    <hyperlink ref="B1685" r:id="rId5051" display="https://statiz.sporki.com/add/?m=draft_school01&amp;ps_school=" xr:uid="{68EAB621-19CD-42FD-8F57-0B3DD3954474}"/>
    <hyperlink ref="C1685" r:id="rId5052" display="https://statiz.sporki.com/add/?m=draft_school02&amp;ps_school=" xr:uid="{2B02B572-DF30-4942-897E-4E5CB837E821}"/>
    <hyperlink ref="A1686" r:id="rId5053" display="https://statiz.sporki.com/player/?m=playerinfo&amp;p_no=10844" xr:uid="{7F9B0F36-2642-4918-B8E5-42E73C3C4B8A}"/>
    <hyperlink ref="B1686" r:id="rId5054" display="https://statiz.sporki.com/add/?m=draft_school01&amp;ps_school=" xr:uid="{64A8800D-822E-4EB6-9876-8D6BDA1F1A96}"/>
    <hyperlink ref="C1686" r:id="rId5055" display="https://statiz.sporki.com/add/?m=draft_school02&amp;ps_school=" xr:uid="{D7011CD6-D8E2-4F4A-89BF-7B9F227DBF20}"/>
    <hyperlink ref="A1687" r:id="rId5056" display="https://statiz.sporki.com/player/?m=playerinfo&amp;p_no=10919" xr:uid="{E482584A-5108-4BD1-A9E6-082080D22377}"/>
    <hyperlink ref="B1687" r:id="rId5057" display="https://statiz.sporki.com/add/?m=draft_school01&amp;ps_school=" xr:uid="{7B610DB9-3736-4144-84DE-58F7C73CA97C}"/>
    <hyperlink ref="C1687" r:id="rId5058" display="https://statiz.sporki.com/add/?m=draft_school02&amp;ps_school=" xr:uid="{7D9CBF9C-9D9F-4E88-BFA6-EF8B13E6D487}"/>
    <hyperlink ref="A1688" r:id="rId5059" display="https://statiz.sporki.com/player/?m=playerinfo&amp;p_no=10828" xr:uid="{7FE64F20-529C-4F73-AED7-24D71E0E2F8F}"/>
    <hyperlink ref="B1688" r:id="rId5060" display="https://statiz.sporki.com/add/?m=draft_school01&amp;ps_school=" xr:uid="{7B224443-6FDB-4483-A4F8-8F1EA575C964}"/>
    <hyperlink ref="C1688" r:id="rId5061" display="https://statiz.sporki.com/add/?m=draft_school02&amp;ps_school=" xr:uid="{27B28FE9-2E6D-49FF-8614-D0424689D6C3}"/>
    <hyperlink ref="A1689" r:id="rId5062" display="https://statiz.sporki.com/player/?m=playerinfo&amp;p_no=10880" xr:uid="{A563C040-86C2-4BD4-A2A6-BBCECF03B011}"/>
    <hyperlink ref="B1689" r:id="rId5063" display="https://statiz.sporki.com/add/?m=draft_school01&amp;ps_school=" xr:uid="{F3DDA72C-A3D9-4B48-9B43-6782587DF0DC}"/>
    <hyperlink ref="C1689" r:id="rId5064" display="https://statiz.sporki.com/add/?m=draft_school02&amp;ps_school=" xr:uid="{B66D4C10-55A5-49C8-9786-C9DAD1E5A71C}"/>
    <hyperlink ref="A1690" r:id="rId5065" display="https://statiz.sporki.com/player/?m=playerinfo&amp;p_no=10936" xr:uid="{65B250F8-755B-4A7F-9333-D1A7089BD902}"/>
    <hyperlink ref="B1690" r:id="rId5066" display="https://statiz.sporki.com/add/?m=draft_school01&amp;ps_school=" xr:uid="{3B01F39F-BA67-4E38-BB8C-9D9B2873DC11}"/>
    <hyperlink ref="C1690" r:id="rId5067" display="https://statiz.sporki.com/add/?m=draft_school02&amp;ps_school=" xr:uid="{DDD0F564-DFB7-43B1-A198-C56C48657FBF}"/>
    <hyperlink ref="A1691" r:id="rId5068" display="https://statiz.sporki.com/player/?m=playerinfo&amp;p_no=10908" xr:uid="{0634DB18-3398-4AED-A376-B386E91A7130}"/>
    <hyperlink ref="B1691" r:id="rId5069" display="https://statiz.sporki.com/add/?m=draft_school01&amp;ps_school=" xr:uid="{9FFF5968-9E64-4517-B172-90ACC4EAEFA3}"/>
    <hyperlink ref="C1691" r:id="rId5070" display="https://statiz.sporki.com/add/?m=draft_school02&amp;ps_school=" xr:uid="{05A4110D-A1B3-4DA6-8B6D-44F9BE1D30D6}"/>
    <hyperlink ref="A1692" r:id="rId5071" display="https://statiz.sporki.com/player/?m=playerinfo&amp;p_no=10822" xr:uid="{B19BFDEE-9BFE-4778-A029-60C33869D1AD}"/>
    <hyperlink ref="B1692" r:id="rId5072" display="https://statiz.sporki.com/add/?m=draft_school01&amp;ps_school=50501" xr:uid="{EA21F5C7-7DCB-453D-A4D1-624F75618A3A}"/>
    <hyperlink ref="C1692" r:id="rId5073" display="https://statiz.sporki.com/add/?m=draft_school02&amp;ps_school=" xr:uid="{79DC3D86-0BFA-407C-8038-7C35DBD93E92}"/>
    <hyperlink ref="A1693" r:id="rId5074" display="https://statiz.sporki.com/player/?m=playerinfo&amp;p_no=10942" xr:uid="{A36D5CEB-A1F0-412D-84C1-FF25B5DDB565}"/>
    <hyperlink ref="B1693" r:id="rId5075" display="https://statiz.sporki.com/add/?m=draft_school01&amp;ps_school=50204" xr:uid="{6C9098AD-4E8E-4D28-875D-1161948EAF38}"/>
    <hyperlink ref="C1693" r:id="rId5076" display="https://statiz.sporki.com/add/?m=draft_school02&amp;ps_school=60103" xr:uid="{DACFBB9B-1879-424C-844F-663D0D3063B2}"/>
    <hyperlink ref="A1694" r:id="rId5077" display="https://statiz.sporki.com/player/?m=playerinfo&amp;p_no=10823" xr:uid="{33389D99-3A2B-42F5-B985-0B0239FADAED}"/>
    <hyperlink ref="B1694" r:id="rId5078" display="https://statiz.sporki.com/add/?m=draft_school01&amp;ps_school=50602" xr:uid="{B77E4390-085C-489F-AC0A-B3CD23165A61}"/>
    <hyperlink ref="C1694" r:id="rId5079" display="https://statiz.sporki.com/add/?m=draft_school02&amp;ps_school=60803" xr:uid="{87F1E79C-C4E5-45F9-A873-131DF9AA5C55}"/>
    <hyperlink ref="A1695" r:id="rId5080" display="https://statiz.sporki.com/player/?m=playerinfo&amp;p_no=10787" xr:uid="{8A015B4C-02F8-4A3B-BFA8-F1C51EBF9375}"/>
    <hyperlink ref="B1695" r:id="rId5081" display="https://statiz.sporki.com/add/?m=draft_school01&amp;ps_school=50111" xr:uid="{699A662A-19B5-44FD-92CA-0BBDE7093B95}"/>
    <hyperlink ref="C1695" r:id="rId5082" display="https://statiz.sporki.com/add/?m=draft_school02&amp;ps_school=60204" xr:uid="{F31BC70B-DF2B-452A-A718-B403B1D97D03}"/>
    <hyperlink ref="A1696" r:id="rId5083" display="https://statiz.sporki.com/player/?m=playerinfo&amp;p_no=10940" xr:uid="{46BA12A6-EC1E-4F24-B777-3E49822B9B35}"/>
    <hyperlink ref="B1696" r:id="rId5084" display="https://statiz.sporki.com/add/?m=draft_school01&amp;ps_school=50109" xr:uid="{B1FE4EEC-F914-4CC2-8CCE-8FFBA0FB6EF8}"/>
    <hyperlink ref="C1696" r:id="rId5085" display="https://statiz.sporki.com/add/?m=draft_school02&amp;ps_school=60113" xr:uid="{20A33CDD-B2B8-4718-82BC-C60BC49378DA}"/>
    <hyperlink ref="A1697" r:id="rId5086" display="https://statiz.sporki.com/player/?m=playerinfo&amp;p_no=11174" xr:uid="{E41D7D14-DAD3-44DC-BDE4-6ABB41A44398}"/>
    <hyperlink ref="B1697" r:id="rId5087" display="https://statiz.sporki.com/add/?m=draft_school01&amp;ps_school=50209" xr:uid="{7785ED3E-E38F-4C45-86AE-DC2AEB813F30}"/>
    <hyperlink ref="C1697" r:id="rId5088" display="https://statiz.sporki.com/add/?m=draft_school02&amp;ps_school=60204" xr:uid="{510DB2E0-803A-49CA-B4B6-01DDD67B119A}"/>
    <hyperlink ref="A1698" r:id="rId5089" display="https://statiz.sporki.com/player/?m=playerinfo&amp;p_no=11210" xr:uid="{0CE53478-183F-4BC6-8019-6E12A4E56EA3}"/>
    <hyperlink ref="B1698" r:id="rId5090" display="https://statiz.sporki.com/add/?m=draft_school01&amp;ps_school=50812" xr:uid="{12862EF2-53E3-4EBA-8F61-635BF715E118}"/>
    <hyperlink ref="C1698" r:id="rId5091" display="https://statiz.sporki.com/add/?m=draft_school02&amp;ps_school=60104" xr:uid="{1D88274A-2502-464B-B43D-ED44004A247B}"/>
    <hyperlink ref="A1699" r:id="rId5092" display="https://statiz.sporki.com/player/?m=playerinfo&amp;p_no=11267" xr:uid="{2DE92068-8522-45F5-9A8E-0B8AC9D5B426}"/>
    <hyperlink ref="B1699" r:id="rId5093" display="https://statiz.sporki.com/add/?m=draft_school01&amp;ps_school=50110" xr:uid="{1DF50DB8-A5D2-4B1B-B4EB-EC78F5A90396}"/>
    <hyperlink ref="C1699" r:id="rId5094" display="https://statiz.sporki.com/add/?m=draft_school02&amp;ps_school=60501" xr:uid="{4A9C5F1C-FA6C-4089-871B-B41506946204}"/>
    <hyperlink ref="A1700" r:id="rId5095" display="https://statiz.sporki.com/player/?m=playerinfo&amp;p_no=10807" xr:uid="{142E5CEE-DD92-494A-AFE6-0973EF8D3D48}"/>
    <hyperlink ref="B1700" r:id="rId5096" display="https://statiz.sporki.com/add/?m=draft_school01&amp;ps_school=50802" xr:uid="{A6041288-9FF5-4744-B2FA-C3139EA38463}"/>
    <hyperlink ref="C1700" r:id="rId5097" display="https://statiz.sporki.com/add/?m=draft_school02&amp;ps_school=60803" xr:uid="{5DA203BD-4726-475F-A33D-2D761FC05FF4}"/>
    <hyperlink ref="A1701" r:id="rId5098" display="https://statiz.sporki.com/player/?m=playerinfo&amp;p_no=10811" xr:uid="{EE8CE870-31EF-488A-BFA6-E7DA6B1D26F0}"/>
    <hyperlink ref="B1701" r:id="rId5099" display="https://statiz.sporki.com/add/?m=draft_school01&amp;ps_school=50401" xr:uid="{70D1878A-23D3-4EAC-958D-311A1991D2E2}"/>
    <hyperlink ref="C1701" r:id="rId5100" display="https://statiz.sporki.com/add/?m=draft_school02&amp;ps_school=" xr:uid="{6D6AD581-A101-459B-8D4A-F119AE751315}"/>
    <hyperlink ref="A1702" r:id="rId5101" display="https://statiz.sporki.com/player/?m=playerinfo&amp;p_no=10806" xr:uid="{5D54329C-0AF4-4FBC-91A9-D9CB3F269C80}"/>
    <hyperlink ref="B1702" r:id="rId5102" display="https://statiz.sporki.com/add/?m=draft_school01&amp;ps_school=50116" xr:uid="{D227809A-CB95-47BA-916A-BA71628C19CA}"/>
    <hyperlink ref="C1702" r:id="rId5103" display="https://statiz.sporki.com/add/?m=draft_school02&amp;ps_school=60107" xr:uid="{0012697F-634F-4625-BBC4-02BD994898E4}"/>
    <hyperlink ref="A1703" r:id="rId5104" display="https://statiz.sporki.com/player/?m=playerinfo&amp;p_no=10858" xr:uid="{CD6F2E08-9BA7-47F2-A3EF-8B1DF360A6FA}"/>
    <hyperlink ref="B1703" r:id="rId5105" display="https://statiz.sporki.com/add/?m=draft_school01&amp;ps_school=50605" xr:uid="{D84020C1-AA21-4D2B-85AA-364BFA453F92}"/>
    <hyperlink ref="C1703" r:id="rId5106" display="https://statiz.sporki.com/add/?m=draft_school02&amp;ps_school=" xr:uid="{23AA3088-483E-45F6-93D2-8302449697A0}"/>
    <hyperlink ref="A1704" r:id="rId5107" display="https://statiz.sporki.com/player/?m=playerinfo&amp;p_no=10846" xr:uid="{B517E51D-F05C-4D78-951D-FBBF63D57C5E}"/>
    <hyperlink ref="B1704" r:id="rId5108" display="https://statiz.sporki.com/add/?m=draft_school01&amp;ps_school=50112" xr:uid="{69857377-C049-4284-A79A-46682D8AA3D0}"/>
    <hyperlink ref="C1704" r:id="rId5109" display="https://statiz.sporki.com/add/?m=draft_school02&amp;ps_school=60103" xr:uid="{154F4979-EA6B-41EE-8E23-29AB648D3767}"/>
    <hyperlink ref="A1705" r:id="rId5110" display="https://statiz.sporki.com/player/?m=playerinfo&amp;p_no=10842" xr:uid="{833C91F9-FEB4-4044-908C-A5B40589B76F}"/>
    <hyperlink ref="B1705" r:id="rId5111" display="https://statiz.sporki.com/add/?m=draft_school01&amp;ps_school=50303" xr:uid="{DDE3A0FD-3B31-4624-A03E-1128327449F8}"/>
    <hyperlink ref="C1705" r:id="rId5112" display="https://statiz.sporki.com/add/?m=draft_school02&amp;ps_school=61002" xr:uid="{8131C4D8-67C0-452A-B520-60D785F53BF1}"/>
    <hyperlink ref="A1706" r:id="rId5113" display="https://statiz.sporki.com/player/?m=playerinfo&amp;p_no=10861" xr:uid="{94410113-5276-463C-B9D2-1F9430C4C609}"/>
    <hyperlink ref="B1706" r:id="rId5114" display="https://statiz.sporki.com/add/?m=draft_school01&amp;ps_school=50207" xr:uid="{ED2328A6-C998-472D-A8E3-629F879640EB}"/>
    <hyperlink ref="C1706" r:id="rId5115" display="https://statiz.sporki.com/add/?m=draft_school02&amp;ps_school=" xr:uid="{8168E4F2-1F38-4685-8BE8-11789544BF08}"/>
    <hyperlink ref="A1707" r:id="rId5116" display="https://statiz.sporki.com/player/?m=playerinfo&amp;p_no=10862" xr:uid="{1F464E4D-B6B5-4510-A7D9-CFBA8A84B714}"/>
    <hyperlink ref="B1707" r:id="rId5117" display="https://statiz.sporki.com/add/?m=draft_school01&amp;ps_school=50208" xr:uid="{34EE1853-3042-4F63-A51D-26AFD89AF288}"/>
    <hyperlink ref="C1707" r:id="rId5118" display="https://statiz.sporki.com/add/?m=draft_school02&amp;ps_school=60108" xr:uid="{7C846016-D97D-4B43-9C44-B1DD5666D31D}"/>
    <hyperlink ref="A1708" r:id="rId5119" display="https://statiz.sporki.com/player/?m=playerinfo&amp;p_no=10887" xr:uid="{E449B616-9A00-48B7-8386-4577E5C4450B}"/>
    <hyperlink ref="B1708" r:id="rId5120" display="https://statiz.sporki.com/add/?m=draft_school01&amp;ps_school=50208" xr:uid="{3CE05A80-FC28-4A2F-A7F5-F624A02B1203}"/>
    <hyperlink ref="C1708" r:id="rId5121" display="https://statiz.sporki.com/add/?m=draft_school02&amp;ps_school=" xr:uid="{C010DE4D-928A-45F9-9618-9C6ECB32D535}"/>
    <hyperlink ref="A1709" r:id="rId5122" display="https://statiz.sporki.com/player/?m=playerinfo&amp;p_no=10897" xr:uid="{209B0C4A-B425-4AC6-BBF7-B55049CC3710}"/>
    <hyperlink ref="B1709" r:id="rId5123" display="https://statiz.sporki.com/add/?m=draft_school01&amp;ps_school=51001" xr:uid="{5845C4B4-1AA1-4766-99EA-5BAFE4B27AE9}"/>
    <hyperlink ref="C1709" r:id="rId5124" display="https://statiz.sporki.com/add/?m=draft_school02&amp;ps_school=" xr:uid="{8D6D67AD-5BD8-42EC-84FC-9C1E5B83D92D}"/>
    <hyperlink ref="A1710" r:id="rId5125" display="https://statiz.sporki.com/player/?m=playerinfo&amp;p_no=10835" xr:uid="{E1ABE26E-F09E-4C06-B91C-0C9E833FA698}"/>
    <hyperlink ref="B1710" r:id="rId5126" display="https://statiz.sporki.com/add/?m=draft_school01&amp;ps_school=50802" xr:uid="{DCC98E42-93F6-41AB-8B4E-5D2D2F6C22D7}"/>
    <hyperlink ref="C1710" r:id="rId5127" display="https://statiz.sporki.com/add/?m=draft_school02&amp;ps_school=60704" xr:uid="{BA13913E-1F58-46F5-977D-A11C75A67896}"/>
    <hyperlink ref="A1711" r:id="rId5128" display="https://statiz.sporki.com/player/?m=playerinfo&amp;p_no=10833" xr:uid="{24EBF382-9620-4456-9E2E-51674D23EA97}"/>
    <hyperlink ref="B1711" r:id="rId5129" display="https://statiz.sporki.com/add/?m=draft_school01&amp;ps_school=50208" xr:uid="{61962E11-13D9-4510-B1F3-8F54A5F15FBB}"/>
    <hyperlink ref="C1711" r:id="rId5130" display="https://statiz.sporki.com/add/?m=draft_school02&amp;ps_school=60108" xr:uid="{BADB458B-86AF-467A-A8B0-6E2BE91B73F7}"/>
    <hyperlink ref="A1712" r:id="rId5131" display="https://statiz.sporki.com/player/?m=playerinfo&amp;p_no=10930" xr:uid="{80D498BA-EBAF-4D40-8FF4-438DCAEC0D9F}"/>
    <hyperlink ref="B1712" r:id="rId5132" display="https://statiz.sporki.com/add/?m=draft_school01&amp;ps_school=50206" xr:uid="{147238EC-EE6A-4F19-BDC5-F3B49C186187}"/>
    <hyperlink ref="C1712" r:id="rId5133" display="https://statiz.sporki.com/add/?m=draft_school02&amp;ps_school=60111" xr:uid="{4C38F5B9-C2DF-409E-9713-ADCA6F8B94BD}"/>
    <hyperlink ref="A1713" r:id="rId5134" display="https://statiz.sporki.com/player/?m=playerinfo&amp;p_no=11190" xr:uid="{CA28FC7B-D786-4DD3-ABCC-460802C320FD}"/>
    <hyperlink ref="B1713" r:id="rId5135" display="https://statiz.sporki.com/add/?m=draft_school01&amp;ps_school=50110" xr:uid="{5F49D76F-B569-4A40-8943-1BB9EA58998F}"/>
    <hyperlink ref="C1713" r:id="rId5136" display="https://statiz.sporki.com/add/?m=draft_school02&amp;ps_school=60113" xr:uid="{71FB20DB-B5FE-4671-AD62-AC18DFD23459}"/>
    <hyperlink ref="A1714" r:id="rId5137" display="https://statiz.sporki.com/player/?m=playerinfo&amp;p_no=12674" xr:uid="{77C5A78B-185B-4EE6-A5D9-7474CC60A054}"/>
    <hyperlink ref="B1714" r:id="rId5138" display="https://statiz.sporki.com/add/?m=draft_school01&amp;ps_school=50110" xr:uid="{05F8627B-F584-4747-9E6C-44589FDD443B}"/>
    <hyperlink ref="C1714" r:id="rId5139" display="https://statiz.sporki.com/add/?m=draft_school02&amp;ps_school=60602" xr:uid="{CF476CE4-8A2E-41C0-A3C1-B3A1B076223C}"/>
    <hyperlink ref="A1715" r:id="rId5140" display="https://statiz.sporki.com/player/?m=playerinfo&amp;p_no=11107" xr:uid="{3DF4655F-EC06-47C1-8FC2-E22535AA3BA1}"/>
    <hyperlink ref="B1715" r:id="rId5141" display="https://statiz.sporki.com/add/?m=draft_school01&amp;ps_school=50116" xr:uid="{E2F1EEA9-668F-41D3-8632-99501100EFDA}"/>
    <hyperlink ref="C1715" r:id="rId5142" display="https://statiz.sporki.com/add/?m=draft_school02&amp;ps_school=60108" xr:uid="{CC35B7A3-7DAF-45F8-940D-AE3DB95C4161}"/>
    <hyperlink ref="A1716" r:id="rId5143" display="https://statiz.sporki.com/player/?m=playerinfo&amp;p_no=10943" xr:uid="{450B480D-79EC-4B35-9F40-CFC937CCC76B}"/>
    <hyperlink ref="B1716" r:id="rId5144" display="https://statiz.sporki.com/add/?m=draft_school01&amp;ps_school=50101" xr:uid="{3D16EF5C-F8E3-4F2D-8282-19D5297B399F}"/>
    <hyperlink ref="C1716" r:id="rId5145" display="https://statiz.sporki.com/add/?m=draft_school02&amp;ps_school=60113" xr:uid="{F2050E38-49FD-4389-B81F-5AED697CE732}"/>
    <hyperlink ref="A1717" r:id="rId5146" display="https://statiz.sporki.com/player/?m=playerinfo&amp;p_no=11124" xr:uid="{692A02D1-832B-480F-8301-CE267D13FE40}"/>
    <hyperlink ref="B1717" r:id="rId5147" display="https://statiz.sporki.com/add/?m=draft_school01&amp;ps_school=50403" xr:uid="{18BB292E-3209-4E7A-A4AF-B1E14380F2DA}"/>
    <hyperlink ref="C1717" r:id="rId5148" display="https://statiz.sporki.com/add/?m=draft_school02&amp;ps_school=" xr:uid="{420DC0FB-7E52-43D7-8C99-E7769D76F408}"/>
    <hyperlink ref="A1718" r:id="rId5149" display="https://statiz.sporki.com/player/?m=playerinfo&amp;p_no=11114" xr:uid="{A2E92CBA-17E4-4D7A-A3C1-9E61C9869B8A}"/>
    <hyperlink ref="B1718" r:id="rId5150" display="https://statiz.sporki.com/add/?m=draft_school01&amp;ps_school=50103" xr:uid="{C08A2FC3-7465-4D81-A0A6-A6D4764A0D66}"/>
    <hyperlink ref="C1718" r:id="rId5151" display="https://statiz.sporki.com/add/?m=draft_school02&amp;ps_school=60114" xr:uid="{06D78B58-3800-4A9F-A42E-00362443C9F2}"/>
    <hyperlink ref="A1719" r:id="rId5152" display="https://statiz.sporki.com/player/?m=playerinfo&amp;p_no=10678" xr:uid="{86C2095B-5652-460D-94AE-FF3D1E0820AF}"/>
    <hyperlink ref="B1719" r:id="rId5153" display="https://statiz.sporki.com/add/?m=draft_school01&amp;ps_school=50602" xr:uid="{7268629B-EEE4-4C8D-806A-E8AF4EABFBCB}"/>
    <hyperlink ref="C1719" r:id="rId5154" display="https://statiz.sporki.com/add/?m=draft_school02&amp;ps_school=" xr:uid="{2B9087F0-2149-4B7B-8DDC-3EADFAB47E8D}"/>
    <hyperlink ref="A1720" r:id="rId5155" display="https://statiz.sporki.com/player/?m=playerinfo&amp;p_no=10652" xr:uid="{D5EDCDA5-2550-4880-B1F8-774A148624F7}"/>
    <hyperlink ref="B1720" r:id="rId5156" display="https://statiz.sporki.com/add/?m=draft_school01&amp;ps_school=50116" xr:uid="{A2B18B3A-9148-40A8-B48D-53465752A863}"/>
    <hyperlink ref="C1720" r:id="rId5157" display="https://statiz.sporki.com/add/?m=draft_school02&amp;ps_school=" xr:uid="{4B377D75-BA3A-410B-9778-5C3017554162}"/>
    <hyperlink ref="A1721" r:id="rId5158" display="https://statiz.sporki.com/player/?m=playerinfo&amp;p_no=10657" xr:uid="{C20CDD9D-95AE-40FD-A8AE-8B1D5CDFB97C}"/>
    <hyperlink ref="B1721" r:id="rId5159" display="https://statiz.sporki.com/add/?m=draft_school01&amp;ps_school=50806" xr:uid="{E3A4CCD1-4E12-4854-9C12-0DF5F3F574C5}"/>
    <hyperlink ref="C1721" r:id="rId5160" display="https://statiz.sporki.com/add/?m=draft_school02&amp;ps_school=60804" xr:uid="{C9F3E33D-CD78-489E-832F-A33DA18E19F4}"/>
    <hyperlink ref="A1722" r:id="rId5161" display="https://statiz.sporki.com/player/?m=playerinfo&amp;p_no=10720" xr:uid="{74E0B8F6-0420-4A41-84F2-8E2FFD9E1E04}"/>
    <hyperlink ref="B1722" r:id="rId5162" display="https://statiz.sporki.com/add/?m=draft_school01&amp;ps_school=50802" xr:uid="{30413521-CE29-42E3-9418-E9CB6170623A}"/>
    <hyperlink ref="C1722" r:id="rId5163" display="https://statiz.sporki.com/add/?m=draft_school02&amp;ps_school=60702" xr:uid="{E605F93A-130A-4393-AA6F-FF5BE7D46BB1}"/>
    <hyperlink ref="A1723" r:id="rId5164" display="https://statiz.sporki.com/player/?m=playerinfo&amp;p_no=10680" xr:uid="{95D6A010-AE9E-4EEB-89B1-D35160643D0B}"/>
    <hyperlink ref="B1723" r:id="rId5165" display="https://statiz.sporki.com/add/?m=draft_school01&amp;ps_school=50111" xr:uid="{60C20194-EB63-4836-B6E3-E8A38BA23938}"/>
    <hyperlink ref="C1723" r:id="rId5166" display="https://statiz.sporki.com/add/?m=draft_school02&amp;ps_school=60111" xr:uid="{C7E5CFBC-F1EB-43D4-8A19-B7EA6B8EED11}"/>
    <hyperlink ref="A1724" r:id="rId5167" display="https://statiz.sporki.com/player/?m=playerinfo&amp;p_no=10733" xr:uid="{48AF0CB2-4EE2-44C8-8FAD-C6AF2D10EF6E}"/>
    <hyperlink ref="B1724" r:id="rId5168" display="https://statiz.sporki.com/add/?m=draft_school01&amp;ps_school=50114" xr:uid="{C9FB33C2-6709-4D37-8C5D-D429680B328F}"/>
    <hyperlink ref="C1724" r:id="rId5169" display="https://statiz.sporki.com/add/?m=draft_school02&amp;ps_school=" xr:uid="{32E46BF8-B0C1-4FFD-815A-B5ECE9DC8C06}"/>
    <hyperlink ref="A1725" r:id="rId5170" display="https://statiz.sporki.com/player/?m=playerinfo&amp;p_no=10784" xr:uid="{F330B7DC-BDB1-4044-80F4-659B3DDEE049}"/>
    <hyperlink ref="B1725" r:id="rId5171" display="https://statiz.sporki.com/add/?m=draft_school01&amp;ps_school=50802" xr:uid="{2D021823-5DEC-4E7D-B621-BE90E232F7D2}"/>
    <hyperlink ref="C1725" r:id="rId5172" display="https://statiz.sporki.com/add/?m=draft_school02&amp;ps_school=" xr:uid="{9F09FC94-CF90-4B73-AFA8-674DAD0B0A21}"/>
    <hyperlink ref="A1726" r:id="rId5173" display="https://statiz.sporki.com/player/?m=playerinfo&amp;p_no=10812" xr:uid="{F17F6834-AFB4-4250-A128-2DF8DEC9E9BE}"/>
    <hyperlink ref="B1726" r:id="rId5174" display="https://statiz.sporki.com/add/?m=draft_school01&amp;ps_school=50103" xr:uid="{C931AD5A-FBB1-448E-B739-B5D603CC864C}"/>
    <hyperlink ref="C1726" r:id="rId5175" display="https://statiz.sporki.com/add/?m=draft_school02&amp;ps_school=" xr:uid="{A39D9AAE-74F8-4748-8601-87C9C079F4EC}"/>
    <hyperlink ref="A1727" r:id="rId5176" display="https://statiz.sporki.com/player/?m=playerinfo&amp;p_no=10696" xr:uid="{EE743A10-5912-4DBF-8A7D-C64FEEDE6C10}"/>
    <hyperlink ref="B1727" r:id="rId5177" display="https://statiz.sporki.com/add/?m=draft_school01&amp;ps_school=50605" xr:uid="{7870DB0D-499F-426E-98C3-5C5287BB0F30}"/>
    <hyperlink ref="C1727" r:id="rId5178" display="https://statiz.sporki.com/add/?m=draft_school02&amp;ps_school=" xr:uid="{6843934D-85F6-4554-8BB0-28F60206ACDC}"/>
    <hyperlink ref="A1728" r:id="rId5179" display="https://statiz.sporki.com/player/?m=playerinfo&amp;p_no=11309" xr:uid="{A0CABBDB-95AA-4F79-B123-1F16E6FA12CD}"/>
    <hyperlink ref="B1728" r:id="rId5180" display="https://statiz.sporki.com/add/?m=draft_school01&amp;ps_school=50801" xr:uid="{4863531F-4691-4D0D-A0C6-78FE8FA201B2}"/>
    <hyperlink ref="C1728" r:id="rId5181" display="https://statiz.sporki.com/add/?m=draft_school02&amp;ps_school=60704" xr:uid="{B1B273C9-3B3A-43D7-B366-DE00A2838E27}"/>
    <hyperlink ref="A1729" r:id="rId5182" display="https://statiz.sporki.com/player/?m=playerinfo&amp;p_no=10677" xr:uid="{594DD9D3-A4BF-4A8B-BD2E-6404F4CFCB05}"/>
    <hyperlink ref="B1729" r:id="rId5183" display="https://statiz.sporki.com/add/?m=draft_school01&amp;ps_school=50210" xr:uid="{77A0C95D-B98C-453B-A77A-82C5CC14445F}"/>
    <hyperlink ref="C1729" r:id="rId5184" display="https://statiz.sporki.com/add/?m=draft_school02&amp;ps_school=" xr:uid="{B8373115-CEB5-413C-B19C-47E596EC4B3F}"/>
    <hyperlink ref="A1730" r:id="rId5185" display="https://statiz.sporki.com/player/?m=playerinfo&amp;p_no=10692" xr:uid="{EDB33368-A742-4A03-B0D3-3991C38CC10A}"/>
    <hyperlink ref="B1730" r:id="rId5186" display="https://statiz.sporki.com/add/?m=draft_school01&amp;ps_school=50602" xr:uid="{FC62B5D5-D269-4F4E-8E4C-4E7761A0C4C5}"/>
    <hyperlink ref="C1730" r:id="rId5187" display="https://statiz.sporki.com/add/?m=draft_school02&amp;ps_school=60704" xr:uid="{5D3F0FBD-1622-4A57-9C3E-11294FD6E84F}"/>
    <hyperlink ref="A1731" r:id="rId5188" display="https://statiz.sporki.com/player/?m=playerinfo&amp;p_no=10722" xr:uid="{67E8DFC4-1DAA-454A-8F72-C34C301A31F5}"/>
    <hyperlink ref="B1731" r:id="rId5189" display="https://statiz.sporki.com/add/?m=draft_school01&amp;ps_school=50111" xr:uid="{5862C6F4-7A10-4C49-9205-C986F75BB2E4}"/>
    <hyperlink ref="C1731" r:id="rId5190" display="https://statiz.sporki.com/add/?m=draft_school02&amp;ps_school=" xr:uid="{FCA55777-2522-42E6-9552-22BE8CAA55D0}"/>
    <hyperlink ref="A1732" r:id="rId5191" display="https://statiz.sporki.com/player/?m=playerinfo&amp;p_no=10681" xr:uid="{94D01AA0-D7D5-4572-A92C-E7BC8716832A}"/>
    <hyperlink ref="B1732" r:id="rId5192" display="https://statiz.sporki.com/add/?m=draft_school01&amp;ps_school=50302" xr:uid="{BD916EE1-D379-4B99-94FA-9C8BCF7EF066}"/>
    <hyperlink ref="C1732" r:id="rId5193" display="https://statiz.sporki.com/add/?m=draft_school02&amp;ps_school=" xr:uid="{6BCCE17C-9B0D-471D-8F23-BDA219D32F86}"/>
    <hyperlink ref="A1733" r:id="rId5194" display="https://statiz.sporki.com/player/?m=playerinfo&amp;p_no=10749" xr:uid="{C49DAFE1-409E-45D0-9576-79365A39B7A8}"/>
    <hyperlink ref="B1733" r:id="rId5195" display="https://statiz.sporki.com/add/?m=draft_school01&amp;ps_school=50403" xr:uid="{A979CFD8-FE54-4DCE-B909-D964AFB88A8D}"/>
    <hyperlink ref="C1733" r:id="rId5196" display="https://statiz.sporki.com/add/?m=draft_school02&amp;ps_school=" xr:uid="{B5434D6E-C6A6-4C7D-8C68-57ADD3F83B2A}"/>
    <hyperlink ref="A1734" r:id="rId5197" display="https://statiz.sporki.com/player/?m=playerinfo&amp;p_no=10676" xr:uid="{C6392134-4B7D-45F5-A4A9-4E960CD84EA5}"/>
    <hyperlink ref="B1734" r:id="rId5198" display="https://statiz.sporki.com/add/?m=draft_school01&amp;ps_school=50601" xr:uid="{AAB371FF-7B2E-430F-90C9-9350F72EEF95}"/>
    <hyperlink ref="C1734" r:id="rId5199" display="https://statiz.sporki.com/add/?m=draft_school02&amp;ps_school=" xr:uid="{34F7239F-DCA6-4125-A5A2-357BB29E7D7E}"/>
    <hyperlink ref="A1735" r:id="rId5200" display="https://statiz.sporki.com/player/?m=playerinfo&amp;p_no=10662" xr:uid="{F420B6E1-9471-4273-938E-32E746F219FA}"/>
    <hyperlink ref="B1735" r:id="rId5201" display="https://statiz.sporki.com/add/?m=draft_school01&amp;ps_school=50604" xr:uid="{1C155C88-A357-4057-861E-6AD03992CA76}"/>
    <hyperlink ref="C1735" r:id="rId5202" display="https://statiz.sporki.com/add/?m=draft_school02&amp;ps_school=60109" xr:uid="{D18E668A-42A7-4FAB-89E5-73AA77757749}"/>
    <hyperlink ref="A1736" r:id="rId5203" display="https://statiz.sporki.com/player/?m=playerinfo&amp;p_no=10751" xr:uid="{47EDF2C5-EAD3-4D20-9739-67612295FED1}"/>
    <hyperlink ref="B1736" r:id="rId5204" display="https://statiz.sporki.com/add/?m=draft_school01&amp;ps_school=50111" xr:uid="{787FDAAB-FEBD-4CA2-BA83-EBA994ECEBF1}"/>
    <hyperlink ref="C1736" r:id="rId5205" display="https://statiz.sporki.com/add/?m=draft_school02&amp;ps_school=" xr:uid="{FD9D08B7-ACAD-4917-AAE0-4CA4BAAB63F4}"/>
    <hyperlink ref="A1737" r:id="rId5206" display="https://statiz.sporki.com/player/?m=playerinfo&amp;p_no=10659" xr:uid="{C6CC2509-8EA4-4918-B72E-30B1C24D4FD3}"/>
    <hyperlink ref="B1737" r:id="rId5207" display="https://statiz.sporki.com/add/?m=draft_school01&amp;ps_school=50101" xr:uid="{D77FA919-5E1E-481F-AFF3-DAE514631A40}"/>
    <hyperlink ref="C1737" r:id="rId5208" display="https://statiz.sporki.com/add/?m=draft_school02&amp;ps_school=60113" xr:uid="{AEDC7506-CDFF-4C26-B5E4-B2201D58CC94}"/>
    <hyperlink ref="A1738" r:id="rId5209" display="https://statiz.sporki.com/player/?m=playerinfo&amp;p_no=10721" xr:uid="{0B063878-061F-4A17-BA20-EA8EE725BA56}"/>
    <hyperlink ref="B1738" r:id="rId5210" display="https://statiz.sporki.com/add/?m=draft_school01&amp;ps_school=50809" xr:uid="{2759EC9E-FD60-4F7E-93AC-2F413CBD4600}"/>
    <hyperlink ref="C1738" r:id="rId5211" display="https://statiz.sporki.com/add/?m=draft_school02&amp;ps_school=" xr:uid="{179BE3A9-CFA9-4B39-80A5-257E1481C49B}"/>
    <hyperlink ref="A1739" r:id="rId5212" display="https://statiz.sporki.com/player/?m=playerinfo&amp;p_no=10739" xr:uid="{A1FC2960-EC54-45B6-BBF6-5542C3C44107}"/>
    <hyperlink ref="B1739" r:id="rId5213" display="https://statiz.sporki.com/add/?m=draft_school01&amp;ps_school=50102" xr:uid="{18F6179F-D77D-4DDB-A7E9-A667AEE65A07}"/>
    <hyperlink ref="C1739" r:id="rId5214" display="https://statiz.sporki.com/add/?m=draft_school02&amp;ps_school=60108" xr:uid="{C84797AE-94D3-431E-BA5F-7230EFA3C6F1}"/>
    <hyperlink ref="A1740" r:id="rId5215" display="https://statiz.sporki.com/player/?m=playerinfo&amp;p_no=10735" xr:uid="{C0E62E67-3153-4ABF-B89D-2C8B11AFCEFD}"/>
    <hyperlink ref="B1740" r:id="rId5216" display="https://statiz.sporki.com/add/?m=draft_school01&amp;ps_school=51001" xr:uid="{A7D33D27-2156-45F5-9A55-E8E6EF937C52}"/>
    <hyperlink ref="C1740" r:id="rId5217" display="https://statiz.sporki.com/add/?m=draft_school02&amp;ps_school=" xr:uid="{FBEC2F64-678E-42FC-8C11-1AFA8DC57122}"/>
    <hyperlink ref="A1741" r:id="rId5218" display="https://statiz.sporki.com/player/?m=playerinfo&amp;p_no=10717" xr:uid="{286DCF2E-04C2-420F-83F0-12FF12B3D0AE}"/>
    <hyperlink ref="B1741" r:id="rId5219" display="https://statiz.sporki.com/add/?m=draft_school01&amp;ps_school=50605" xr:uid="{3E9C5F2A-B4A5-445B-B71A-D9C573054BDD}"/>
    <hyperlink ref="C1741" r:id="rId5220" display="https://statiz.sporki.com/add/?m=draft_school02&amp;ps_school=" xr:uid="{0C60C01D-02F4-4551-9F6C-037A5C8D91F7}"/>
    <hyperlink ref="A1742" r:id="rId5221" display="https://statiz.sporki.com/player/?m=playerinfo&amp;p_no=10651" xr:uid="{8778CC25-4033-432D-AC40-9C860B0F7B80}"/>
    <hyperlink ref="B1742" r:id="rId5222" display="https://statiz.sporki.com/add/?m=draft_school01&amp;ps_school=50602" xr:uid="{52044DFA-836F-4F0B-A45F-A06E563C39C4}"/>
    <hyperlink ref="C1742" r:id="rId5223" display="https://statiz.sporki.com/add/?m=draft_school02&amp;ps_school=60501" xr:uid="{9B9EE70C-CBCE-4EC8-BDC8-42264A6C1E23}"/>
    <hyperlink ref="A1743" r:id="rId5224" display="https://statiz.sporki.com/player/?m=playerinfo&amp;p_no=10700" xr:uid="{192C69C1-8E61-44D9-8D2D-A6D1D69113B5}"/>
    <hyperlink ref="B1743" r:id="rId5225" display="https://statiz.sporki.com/add/?m=draft_school01&amp;ps_school=50301" xr:uid="{E7F1C047-B14B-4416-842A-5B64CBED4849}"/>
    <hyperlink ref="C1743" r:id="rId5226" display="https://statiz.sporki.com/add/?m=draft_school02&amp;ps_school=61001" xr:uid="{A31A78F9-AD21-41A8-BBAD-FB94A6F100EE}"/>
    <hyperlink ref="A1744" r:id="rId5227" display="https://statiz.sporki.com/player/?m=playerinfo&amp;p_no=10713" xr:uid="{3BE59032-75DF-4B4F-85EB-CFC0F770976B}"/>
    <hyperlink ref="B1744" r:id="rId5228" display="https://statiz.sporki.com/add/?m=draft_school01&amp;ps_school=50107" xr:uid="{101C7589-2569-43AA-92AE-F4DD9AFE4993}"/>
    <hyperlink ref="C1744" r:id="rId5229" display="https://statiz.sporki.com/add/?m=draft_school02&amp;ps_school=" xr:uid="{0D5903B5-4D73-403E-B2ED-62009A065709}"/>
    <hyperlink ref="A1745" r:id="rId5230" display="https://statiz.sporki.com/player/?m=playerinfo&amp;p_no=10729" xr:uid="{2D73CC85-E1CA-4276-A7AF-9188211599C2}"/>
    <hyperlink ref="B1745" r:id="rId5231" display="https://statiz.sporki.com/add/?m=draft_school01&amp;ps_school=50116" xr:uid="{8FDABC76-6EFC-4E53-9B8B-8F2D507CB07B}"/>
    <hyperlink ref="C1745" r:id="rId5232" display="https://statiz.sporki.com/add/?m=draft_school02&amp;ps_school=60102" xr:uid="{48F6E042-B368-4904-9772-BEC75255446A}"/>
    <hyperlink ref="A1746" r:id="rId5233" display="https://statiz.sporki.com/player/?m=playerinfo&amp;p_no=10746" xr:uid="{D5C4BE2D-4D1B-4219-BF4C-FB9512DCD26F}"/>
    <hyperlink ref="B1746" r:id="rId5234" display="https://statiz.sporki.com/add/?m=draft_school01&amp;ps_school=50602" xr:uid="{B834317A-DC94-4159-A06B-D367C8EE7059}"/>
    <hyperlink ref="C1746" r:id="rId5235" display="https://statiz.sporki.com/add/?m=draft_school02&amp;ps_school=" xr:uid="{C9EA7CC2-0A3C-442A-9E61-07BA47059B6C}"/>
    <hyperlink ref="A1747" r:id="rId5236" display="https://statiz.sporki.com/player/?m=playerinfo&amp;p_no=10637" xr:uid="{A9D1586B-464E-45EB-889F-4DE2AFA0E652}"/>
    <hyperlink ref="B1747" r:id="rId5237" display="https://statiz.sporki.com/add/?m=draft_school01&amp;ps_school=50703" xr:uid="{36CD3EAF-3479-4B66-9FBC-26AC4E2C5F11}"/>
    <hyperlink ref="C1747" r:id="rId5238" display="https://statiz.sporki.com/add/?m=draft_school02&amp;ps_school=60802" xr:uid="{96BC07C6-CC7D-4FAF-8D82-F244049D031D}"/>
    <hyperlink ref="A1748" r:id="rId5239" display="https://statiz.sporki.com/player/?m=playerinfo&amp;p_no=10761" xr:uid="{CDAA3484-E8F6-4B51-834F-181C00BC4FF9}"/>
    <hyperlink ref="B1748" r:id="rId5240" display="https://statiz.sporki.com/add/?m=draft_school01&amp;ps_school=50703" xr:uid="{816211ED-8198-466B-BD04-409B6A4F5B67}"/>
    <hyperlink ref="C1748" r:id="rId5241" display="https://statiz.sporki.com/add/?m=draft_school02&amp;ps_school=60108" xr:uid="{A43F515B-9BE5-4F8A-93ED-B23FAB80973C}"/>
    <hyperlink ref="A1749" r:id="rId5242" display="https://statiz.sporki.com/player/?m=playerinfo&amp;p_no=10748" xr:uid="{B3DAFC30-BAE7-4E57-8855-FD89E028C43E}"/>
    <hyperlink ref="B1749" r:id="rId5243" display="https://statiz.sporki.com/add/?m=draft_school01&amp;ps_school=50403" xr:uid="{9FA9359A-E0CD-4BBD-BE8A-6B20826B9C88}"/>
    <hyperlink ref="C1749" r:id="rId5244" display="https://statiz.sporki.com/add/?m=draft_school02&amp;ps_school=" xr:uid="{F193E4F1-98EE-484A-9B69-313DAEE8E7EE}"/>
    <hyperlink ref="A1750" r:id="rId5245" display="https://statiz.sporki.com/player/?m=playerinfo&amp;p_no=10771" xr:uid="{773E6243-EF9D-4A2C-851E-83668F512449}"/>
    <hyperlink ref="B1750" r:id="rId5246" display="https://statiz.sporki.com/add/?m=draft_school01&amp;ps_school=50601" xr:uid="{845DFD1C-5E51-4AC2-A953-4CC3F7E3AD3A}"/>
    <hyperlink ref="C1750" r:id="rId5247" display="https://statiz.sporki.com/add/?m=draft_school02&amp;ps_school=" xr:uid="{13960C5E-3252-43DF-A39F-A3208EB039DD}"/>
    <hyperlink ref="A1751" r:id="rId5248" display="https://statiz.sporki.com/player/?m=playerinfo&amp;p_no=10673" xr:uid="{8114AF94-56F0-4DF5-B21C-668D71882801}"/>
    <hyperlink ref="B1751" r:id="rId5249" display="https://statiz.sporki.com/add/?m=draft_school01&amp;ps_school=50904" xr:uid="{1CECEC24-79D1-4256-8DF1-0A21547A8A61}"/>
    <hyperlink ref="C1751" r:id="rId5250" display="https://statiz.sporki.com/add/?m=draft_school02&amp;ps_school=60108" xr:uid="{BC30771A-8645-43B1-8C60-E15B1B636498}"/>
    <hyperlink ref="A1752" r:id="rId5251" display="https://statiz.sporki.com/player/?m=playerinfo&amp;p_no=10929" xr:uid="{67CF4B84-0CE3-4519-AF53-96B5B49778BA}"/>
    <hyperlink ref="B1752" r:id="rId5252" display="https://statiz.sporki.com/add/?m=draft_school01&amp;ps_school=50602" xr:uid="{0C6BB061-8BCF-4244-B065-7A9841DA07C5}"/>
    <hyperlink ref="C1752" r:id="rId5253" display="https://statiz.sporki.com/add/?m=draft_school02&amp;ps_school=60103" xr:uid="{760D7E56-78C9-4D75-BEAC-3C1203C104EC}"/>
    <hyperlink ref="A1753" r:id="rId5254" display="https://statiz.sporki.com/player/?m=playerinfo&amp;p_no=11220" xr:uid="{CE05E043-3BC8-475D-BB54-0635E5509826}"/>
    <hyperlink ref="B1753" r:id="rId5255" display="https://statiz.sporki.com/add/?m=draft_school01&amp;ps_school=50606" xr:uid="{EE0F3A48-1790-4102-ABE9-3570C6C37E39}"/>
    <hyperlink ref="C1753" r:id="rId5256" display="https://statiz.sporki.com/add/?m=draft_school02&amp;ps_school=" xr:uid="{33F44838-31EA-4087-A7E3-A24F86D3D5CA}"/>
    <hyperlink ref="A1754" r:id="rId5257" display="https://statiz.sporki.com/player/?m=playerinfo&amp;p_no=10640" xr:uid="{A9711DAB-ABF4-4E46-8294-691883EDF6B5}"/>
    <hyperlink ref="B1754" r:id="rId5258" display="https://statiz.sporki.com/add/?m=draft_school01&amp;ps_school=51001" xr:uid="{F6261B4C-1538-4796-84DB-2F901EF5B913}"/>
    <hyperlink ref="C1754" r:id="rId5259" display="https://statiz.sporki.com/add/?m=draft_school02&amp;ps_school=60703" xr:uid="{534E7EB9-3140-4F93-8352-FD86E139D472}"/>
    <hyperlink ref="A1755" r:id="rId5260" display="https://statiz.sporki.com/player/?m=playerinfo&amp;p_no=10742" xr:uid="{601B7EA9-85C3-4550-B60F-56B891A9D759}"/>
    <hyperlink ref="B1755" r:id="rId5261" display="https://statiz.sporki.com/add/?m=draft_school01&amp;ps_school=50501" xr:uid="{8CE38698-5098-4BEF-9947-78490F4F099F}"/>
    <hyperlink ref="C1755" r:id="rId5262" display="https://statiz.sporki.com/add/?m=draft_school02&amp;ps_school=" xr:uid="{004B4489-45C6-439E-A9F9-BFE0B168D465}"/>
    <hyperlink ref="A1756" r:id="rId5263" display="https://statiz.sporki.com/player/?m=playerinfo&amp;p_no=10645" xr:uid="{88D9E4CA-53AF-4A49-AE9F-99F0B16C5BE4}"/>
    <hyperlink ref="B1756" r:id="rId5264" display="https://statiz.sporki.com/add/?m=draft_school01&amp;ps_school=50208" xr:uid="{90A41543-4A56-41E5-8EB2-2EEE737FB02C}"/>
    <hyperlink ref="C1756" r:id="rId5265" display="https://statiz.sporki.com/add/?m=draft_school02&amp;ps_school=60111" xr:uid="{8FEA9700-ECCF-4474-A3C3-F75F04074A50}"/>
    <hyperlink ref="A1757" r:id="rId5266" display="https://statiz.sporki.com/player/?m=playerinfo&amp;p_no=10705" xr:uid="{9CB025F3-052C-4F86-BE78-047D9A5D97E0}"/>
    <hyperlink ref="B1757" r:id="rId5267" display="https://statiz.sporki.com/add/?m=draft_school01&amp;ps_school=50703" xr:uid="{BC61AD63-B353-49F8-8397-7C5F1D2D89E4}"/>
    <hyperlink ref="C1757" r:id="rId5268" display="https://statiz.sporki.com/add/?m=draft_school02&amp;ps_school=" xr:uid="{8DE95C8A-D6D6-4FC6-9570-B5248DF82DBD}"/>
    <hyperlink ref="A1758" r:id="rId5269" display="https://statiz.sporki.com/player/?m=playerinfo&amp;p_no=10702" xr:uid="{704688F4-A570-4AA5-B318-F4F28EC9C06F}"/>
    <hyperlink ref="B1758" r:id="rId5270" display="https://statiz.sporki.com/add/?m=draft_school01&amp;ps_school=50210" xr:uid="{9056A69E-F1A6-422D-9899-45ED05921789}"/>
    <hyperlink ref="C1758" r:id="rId5271" display="https://statiz.sporki.com/add/?m=draft_school02&amp;ps_school=" xr:uid="{893422F3-76E9-4CE0-9E45-599AD5FFFC2F}"/>
    <hyperlink ref="A1759" r:id="rId5272" display="https://statiz.sporki.com/player/?m=playerinfo&amp;p_no=10803" xr:uid="{FCC41CC7-3BC2-40F4-98EA-AD349AB4F4AB}"/>
    <hyperlink ref="B1759" r:id="rId5273" display="https://statiz.sporki.com/add/?m=draft_school01&amp;ps_school=50501" xr:uid="{9A2D5931-8C8A-42CA-AFCB-5C43D1159316}"/>
    <hyperlink ref="C1759" r:id="rId5274" display="https://statiz.sporki.com/add/?m=draft_school02&amp;ps_school=" xr:uid="{41E301AF-B6E3-4668-8851-94F8CE325648}"/>
    <hyperlink ref="A1760" r:id="rId5275" display="https://statiz.sporki.com/player/?m=playerinfo&amp;p_no=10736" xr:uid="{5863D6B1-B3C4-42A8-8803-9EF20FECCBE8}"/>
    <hyperlink ref="B1760" r:id="rId5276" display="https://statiz.sporki.com/add/?m=draft_school01&amp;ps_school=50101" xr:uid="{27C3C4CD-9F19-4297-8564-8619BED48BA6}"/>
    <hyperlink ref="C1760" r:id="rId5277" display="https://statiz.sporki.com/add/?m=draft_school02&amp;ps_school=" xr:uid="{B67B8DF0-82BB-4754-B12F-5A016776EE17}"/>
    <hyperlink ref="A1761" r:id="rId5278" display="https://statiz.sporki.com/player/?m=playerinfo&amp;p_no=10738" xr:uid="{A2371DAE-5A58-4B5D-8309-800EEB507872}"/>
    <hyperlink ref="B1761" r:id="rId5279" display="https://statiz.sporki.com/add/?m=draft_school01&amp;ps_school=50901" xr:uid="{4F469E72-A291-45CF-8585-86B271D49788}"/>
    <hyperlink ref="C1761" r:id="rId5280" display="https://statiz.sporki.com/add/?m=draft_school02&amp;ps_school=" xr:uid="{BA171C6E-1BDD-4E1E-B16D-6DE359599E08}"/>
    <hyperlink ref="A1762" r:id="rId5281" display="https://statiz.sporki.com/player/?m=playerinfo&amp;p_no=10727" xr:uid="{D1CB70D7-DD32-4196-88A4-4C62E778D19B}"/>
    <hyperlink ref="B1762" r:id="rId5282" display="https://statiz.sporki.com/add/?m=draft_school01&amp;ps_school=50107" xr:uid="{0438F125-0B4A-47D9-A410-ECB8B1FD9F15}"/>
    <hyperlink ref="C1762" r:id="rId5283" display="https://statiz.sporki.com/add/?m=draft_school02&amp;ps_school=60102" xr:uid="{2F38B636-FF67-441E-8F98-B4050FE74A3E}"/>
    <hyperlink ref="A1763" r:id="rId5284" display="https://statiz.sporki.com/player/?m=playerinfo&amp;p_no=11294" xr:uid="{3D09759C-9B7F-4C16-A4E3-7D84B229E274}"/>
    <hyperlink ref="B1763" r:id="rId5285" display="https://statiz.sporki.com/add/?m=draft_school01&amp;ps_school=50403" xr:uid="{9968287A-0169-4DED-8BAA-75320F4C1BA0}"/>
    <hyperlink ref="C1763" r:id="rId5286" display="https://statiz.sporki.com/add/?m=draft_school02&amp;ps_school=" xr:uid="{898C5CC0-B898-4981-B9A6-A10084C7B928}"/>
    <hyperlink ref="A1764" r:id="rId5287" display="https://statiz.sporki.com/player/?m=playerinfo&amp;p_no=10754" xr:uid="{D612FDAB-BB79-4804-9167-5294C9764814}"/>
    <hyperlink ref="B1764" r:id="rId5288" display="https://statiz.sporki.com/add/?m=draft_school01&amp;ps_school=50114" xr:uid="{1C1D4114-B70B-4E68-BCA3-225C54B4765A}"/>
    <hyperlink ref="C1764" r:id="rId5289" display="https://statiz.sporki.com/add/?m=draft_school02&amp;ps_school=" xr:uid="{F0034511-C441-4FCA-822C-B33EA8BC7546}"/>
    <hyperlink ref="A1765" r:id="rId5290" display="https://statiz.sporki.com/player/?m=playerinfo&amp;p_no=10769" xr:uid="{77E066C4-000C-441C-B1AE-24EC1FC01A88}"/>
    <hyperlink ref="B1765" r:id="rId5291" display="https://statiz.sporki.com/add/?m=draft_school01&amp;ps_school=50202" xr:uid="{C7AC5833-E4BC-42EC-B655-C9098E6E2058}"/>
    <hyperlink ref="C1765" r:id="rId5292" display="https://statiz.sporki.com/add/?m=draft_school02&amp;ps_school=" xr:uid="{F1B270BE-6780-45FC-8CF3-827E81AAA1B6}"/>
    <hyperlink ref="A1766" r:id="rId5293" display="https://statiz.sporki.com/player/?m=playerinfo&amp;p_no=10773" xr:uid="{CFB9B6B4-56B9-4455-8BD8-F46E67445DCE}"/>
    <hyperlink ref="B1766" r:id="rId5294" display="https://statiz.sporki.com/add/?m=draft_school01&amp;ps_school=50103" xr:uid="{55AA1237-CD18-43D6-BEE2-C96BEBC03462}"/>
    <hyperlink ref="C1766" r:id="rId5295" display="https://statiz.sporki.com/add/?m=draft_school02&amp;ps_school=" xr:uid="{218078AD-0CEA-43FE-A373-B27741511AE2}"/>
    <hyperlink ref="A1767" r:id="rId5296" display="https://statiz.sporki.com/player/?m=playerinfo&amp;p_no=10753" xr:uid="{E627FA0F-448D-4791-98AB-74FF412638B3}"/>
    <hyperlink ref="B1767" r:id="rId5297" display="https://statiz.sporki.com/add/?m=draft_school01&amp;ps_school=50107" xr:uid="{17427B25-4785-4670-BB05-0A7798457827}"/>
    <hyperlink ref="C1767" r:id="rId5298" display="https://statiz.sporki.com/add/?m=draft_school02&amp;ps_school=" xr:uid="{F714AF45-BC1E-4BCE-B583-9A645EF798C4}"/>
    <hyperlink ref="A1768" r:id="rId5299" display="https://statiz.sporki.com/player/?m=playerinfo&amp;p_no=10764" xr:uid="{30DC5361-7028-4054-B92C-046EE6F1E618}"/>
    <hyperlink ref="B1768" r:id="rId5300" display="https://statiz.sporki.com/add/?m=draft_school01&amp;ps_school=50604" xr:uid="{2E45B827-9D34-4A15-9971-D56974BC1703}"/>
    <hyperlink ref="C1768" r:id="rId5301" display="https://statiz.sporki.com/add/?m=draft_school02&amp;ps_school=" xr:uid="{118665EF-5929-4EA9-8CDB-C3AADD8126D7}"/>
    <hyperlink ref="A1769" r:id="rId5302" display="https://statiz.sporki.com/player/?m=playerinfo&amp;p_no=10745" xr:uid="{90C95F02-4593-454E-9738-57A9D106D060}"/>
    <hyperlink ref="B1769" r:id="rId5303" display="https://statiz.sporki.com/add/?m=draft_school01&amp;ps_school=50111" xr:uid="{BB7F89FA-DF0C-465E-A159-8A6024C56BBB}"/>
    <hyperlink ref="C1769" r:id="rId5304" display="https://statiz.sporki.com/add/?m=draft_school02&amp;ps_school=" xr:uid="{F1263E9A-51C9-4A32-A947-15BA3460F0D2}"/>
    <hyperlink ref="A1770" r:id="rId5305" display="https://statiz.sporki.com/player/?m=playerinfo&amp;p_no=10731" xr:uid="{9AEDC9A1-F3F3-463E-B49B-155F344809B9}"/>
    <hyperlink ref="B1770" r:id="rId5306" display="https://statiz.sporki.com/add/?m=draft_school01&amp;ps_school=50602" xr:uid="{C5098F63-EC2C-4CE4-B1A4-E54CCABAC821}"/>
    <hyperlink ref="C1770" r:id="rId5307" display="https://statiz.sporki.com/add/?m=draft_school02&amp;ps_school=" xr:uid="{B670C2CA-FEFA-4A44-8083-4F06D64E2967}"/>
    <hyperlink ref="A1771" r:id="rId5308" display="https://statiz.sporki.com/player/?m=playerinfo&amp;p_no=10798" xr:uid="{AAEF5C54-051E-446A-97E9-8EB995082E6E}"/>
    <hyperlink ref="B1771" r:id="rId5309" display="https://statiz.sporki.com/add/?m=draft_school01&amp;ps_school=50702" xr:uid="{F998A9F7-8DF2-4C8B-8958-BB6BBD75ED56}"/>
    <hyperlink ref="C1771" r:id="rId5310" display="https://statiz.sporki.com/add/?m=draft_school02&amp;ps_school=60801" xr:uid="{28FBD361-0824-44B2-B745-9D99CAEBA8C1}"/>
    <hyperlink ref="A1772" r:id="rId5311" display="https://statiz.sporki.com/player/?m=playerinfo&amp;p_no=10699" xr:uid="{9AB9201A-E487-4E2A-AA45-FE3221B0DE36}"/>
    <hyperlink ref="B1772" r:id="rId5312" display="https://statiz.sporki.com/add/?m=draft_school01&amp;ps_school=50602" xr:uid="{88E52ED5-FA08-498D-86DE-FD200599AC51}"/>
    <hyperlink ref="C1772" r:id="rId5313" display="https://statiz.sporki.com/add/?m=draft_school02&amp;ps_school=" xr:uid="{446112DF-8984-45A1-A787-5399F037CE65}"/>
    <hyperlink ref="A1773" r:id="rId5314" display="https://statiz.sporki.com/player/?m=playerinfo&amp;p_no=10704" xr:uid="{131E95C3-ACAF-4885-9689-3DCA7C68D97D}"/>
    <hyperlink ref="B1773" r:id="rId5315" display="https://statiz.sporki.com/add/?m=draft_school01&amp;ps_school=" xr:uid="{EAAFDE30-B9A1-4616-8E91-570F74B5EF73}"/>
    <hyperlink ref="C1773" r:id="rId5316" display="https://statiz.sporki.com/add/?m=draft_school02&amp;ps_school=" xr:uid="{7924DF67-1268-4BB6-A6AC-7C0EB0307A67}"/>
    <hyperlink ref="A1774" r:id="rId5317" display="https://statiz.sporki.com/player/?m=playerinfo&amp;p_no=10708" xr:uid="{A8951C63-0EF0-4EEB-9C2E-4E8B2C4EFB32}"/>
    <hyperlink ref="B1774" r:id="rId5318" display="https://statiz.sporki.com/add/?m=draft_school01&amp;ps_school=50702" xr:uid="{0E3C63C9-2507-4B05-B36E-FCCA2B601F0C}"/>
    <hyperlink ref="C1774" r:id="rId5319" display="https://statiz.sporki.com/add/?m=draft_school02&amp;ps_school=60404" xr:uid="{29AAC6C8-EA7B-4D65-A23F-D5E39B157FA2}"/>
    <hyperlink ref="A1775" r:id="rId5320" display="https://statiz.sporki.com/player/?m=playerinfo&amp;p_no=10734" xr:uid="{197FFABE-1C2D-4FC9-A36E-4B7077CEE514}"/>
    <hyperlink ref="B1775" r:id="rId5321" display="https://statiz.sporki.com/add/?m=draft_school01&amp;ps_school=50111" xr:uid="{91AC8420-D988-49C5-942A-3F00925AE628}"/>
    <hyperlink ref="C1775" r:id="rId5322" display="https://statiz.sporki.com/add/?m=draft_school02&amp;ps_school=60104" xr:uid="{8E5BFA4D-B94F-4CED-BC45-B9AEA726B8F2}"/>
    <hyperlink ref="A1776" r:id="rId5323" display="https://statiz.sporki.com/player/?m=playerinfo&amp;p_no=10826" xr:uid="{54693F8A-7E85-4E73-9414-E096D889FDF2}"/>
    <hyperlink ref="B1776" r:id="rId5324" display="https://statiz.sporki.com/add/?m=draft_school01&amp;ps_school=50601" xr:uid="{9471B6EA-30FA-4BB9-8D4F-53102EB696B5}"/>
    <hyperlink ref="C1776" r:id="rId5325" display="https://statiz.sporki.com/add/?m=draft_school02&amp;ps_school=60802" xr:uid="{C0859A22-BD3D-4234-A077-F5A041EF64EB}"/>
    <hyperlink ref="A1777" r:id="rId5326" display="https://statiz.sporki.com/player/?m=playerinfo&amp;p_no=10672" xr:uid="{24D80C6B-BDF4-4A9B-9BFB-3D9E75FE88C8}"/>
    <hyperlink ref="B1777" r:id="rId5327" display="https://statiz.sporki.com/add/?m=draft_school01&amp;ps_school=50403" xr:uid="{19F763D9-3220-4067-9EBA-3087C8EED723}"/>
    <hyperlink ref="C1777" r:id="rId5328" display="https://statiz.sporki.com/add/?m=draft_school02&amp;ps_school=" xr:uid="{D6FE7F28-1A10-4FDD-9434-0103473F4FED}"/>
    <hyperlink ref="A1778" r:id="rId5329" display="https://statiz.sporki.com/player/?m=playerinfo&amp;p_no=10767" xr:uid="{5C54F796-A7DB-419A-A0CB-69A2B6CCC042}"/>
    <hyperlink ref="B1778" r:id="rId5330" display="https://statiz.sporki.com/add/?m=draft_school01&amp;ps_school=50107" xr:uid="{5D414BDE-6871-4545-B6EC-CAA97419F3D7}"/>
    <hyperlink ref="C1778" r:id="rId5331" display="https://statiz.sporki.com/add/?m=draft_school02&amp;ps_school=" xr:uid="{A796BC57-157F-44FE-B4B2-66D2D8785303}"/>
    <hyperlink ref="A1779" r:id="rId5332" display="https://statiz.sporki.com/player/?m=playerinfo&amp;p_no=10756" xr:uid="{2969F80B-50BE-4177-A428-B45290FB56BA}"/>
    <hyperlink ref="B1779" r:id="rId5333" display="https://statiz.sporki.com/add/?m=draft_school01&amp;ps_school=50701" xr:uid="{77CDF273-32A3-4552-9FEE-6CF73C472D8D}"/>
    <hyperlink ref="C1779" r:id="rId5334" display="https://statiz.sporki.com/add/?m=draft_school02&amp;ps_school=60203" xr:uid="{94488CDC-0FD7-4492-8CF0-7A7F0809BDF9}"/>
    <hyperlink ref="A1780" r:id="rId5335" display="https://statiz.sporki.com/player/?m=playerinfo&amp;p_no=10685" xr:uid="{2B91CE85-1648-4468-9E78-395FAEFFB82E}"/>
    <hyperlink ref="B1780" r:id="rId5336" display="https://statiz.sporki.com/add/?m=draft_school01&amp;ps_school=50107" xr:uid="{388FF7A3-B598-4BE2-A07B-FE343149C587}"/>
    <hyperlink ref="C1780" r:id="rId5337" display="https://statiz.sporki.com/add/?m=draft_school02&amp;ps_school=60114" xr:uid="{C8AC22FE-09A8-4594-8CB8-A8B0CB8B83AC}"/>
    <hyperlink ref="A1781" r:id="rId5338" display="https://statiz.sporki.com/player/?m=playerinfo&amp;p_no=10728" xr:uid="{35737117-4303-43F5-BF2E-462DD75BC053}"/>
    <hyperlink ref="B1781" r:id="rId5339" display="https://statiz.sporki.com/add/?m=draft_school01&amp;ps_school=50202" xr:uid="{AB5E2921-692B-4CF0-8117-3EB718A55C04}"/>
    <hyperlink ref="C1781" r:id="rId5340" display="https://statiz.sporki.com/add/?m=draft_school02&amp;ps_school=60602" xr:uid="{FEA2CD33-5521-475F-83DA-BFDE73FDDD9A}"/>
    <hyperlink ref="A1782" r:id="rId5341" display="https://statiz.sporki.com/player/?m=playerinfo&amp;p_no=10741" xr:uid="{3BCF2DD8-CDBB-42A1-88F8-138ED3F9D643}"/>
    <hyperlink ref="B1782" r:id="rId5342" display="https://statiz.sporki.com/add/?m=draft_school01&amp;ps_school=50201" xr:uid="{A251913C-D468-43E2-95FA-BE692F2A7BBA}"/>
    <hyperlink ref="C1782" r:id="rId5343" display="https://statiz.sporki.com/add/?m=draft_school02&amp;ps_school=" xr:uid="{A9D5D29C-11DC-4215-A997-4910C14CA11F}"/>
    <hyperlink ref="A1783" r:id="rId5344" display="https://statiz.sporki.com/player/?m=playerinfo&amp;p_no=10732" xr:uid="{80A2E743-8D70-4E77-8100-CD00FD4354CD}"/>
    <hyperlink ref="B1783" r:id="rId5345" display="https://statiz.sporki.com/add/?m=draft_school01&amp;ps_school=50402" xr:uid="{E3FF3D17-9061-4A5E-A866-E471FA224326}"/>
    <hyperlink ref="C1783" r:id="rId5346" display="https://statiz.sporki.com/add/?m=draft_school02&amp;ps_school=" xr:uid="{2B14698A-0862-4DED-BB40-08C047224220}"/>
    <hyperlink ref="A1784" r:id="rId5347" display="https://statiz.sporki.com/player/?m=playerinfo&amp;p_no=10790" xr:uid="{5F01C1A2-3226-42E5-A2A4-E19CB9161F08}"/>
    <hyperlink ref="B1784" r:id="rId5348" display="https://statiz.sporki.com/add/?m=draft_school01&amp;ps_school=50112" xr:uid="{C7EA4CF3-E77E-4F44-B69A-3BF4C7A1ECEB}"/>
    <hyperlink ref="C1784" r:id="rId5349" display="https://statiz.sporki.com/add/?m=draft_school02&amp;ps_school=" xr:uid="{CEF1E489-67F4-49F8-8D02-408A8EC49A52}"/>
    <hyperlink ref="A1785" r:id="rId5350" display="https://statiz.sporki.com/player/?m=playerinfo&amp;p_no=10932" xr:uid="{3B498622-80CB-4493-8E94-F012397F5DFA}"/>
    <hyperlink ref="B1785" r:id="rId5351" display="https://statiz.sporki.com/add/?m=draft_school01&amp;ps_school=50802" xr:uid="{A03DEF67-AC33-451F-92A2-4B2EAE2BB607}"/>
    <hyperlink ref="C1785" r:id="rId5352" display="https://statiz.sporki.com/add/?m=draft_school02&amp;ps_school=" xr:uid="{82B097BF-10B2-47CF-8691-3F9EFA4F1A5A}"/>
    <hyperlink ref="A1786" r:id="rId5353" display="https://statiz.sporki.com/player/?m=playerinfo&amp;p_no=10730" xr:uid="{02B3EFEA-6D4B-44FB-9364-9F3791EDF907}"/>
    <hyperlink ref="B1786" r:id="rId5354" display="https://statiz.sporki.com/add/?m=draft_school01&amp;ps_school=50402" xr:uid="{3365FEAF-EACE-4C36-8F3F-010EB5B62FA0}"/>
    <hyperlink ref="C1786" r:id="rId5355" display="https://statiz.sporki.com/add/?m=draft_school02&amp;ps_school=" xr:uid="{B9332ADB-BC92-479D-BDF9-B1A0F43AC838}"/>
    <hyperlink ref="A1787" r:id="rId5356" display="https://statiz.sporki.com/player/?m=playerinfo&amp;p_no=10839" xr:uid="{DE36A17F-C1F0-4BC2-AE19-F529D317F45D}"/>
    <hyperlink ref="B1787" r:id="rId5357" display="https://statiz.sporki.com/add/?m=draft_school01&amp;ps_school=50602" xr:uid="{767FF34E-2B9F-473D-A1CB-B688419F6C40}"/>
    <hyperlink ref="C1787" r:id="rId5358" display="https://statiz.sporki.com/add/?m=draft_school02&amp;ps_school=" xr:uid="{FE3174FC-E3E6-493F-BDDE-F8AC25AC857A}"/>
    <hyperlink ref="A1788" r:id="rId5359" display="https://statiz.sporki.com/player/?m=playerinfo&amp;p_no=10724" xr:uid="{B2EC736B-B702-4CF2-8AE8-88EBA65B0358}"/>
    <hyperlink ref="B1788" r:id="rId5360" display="https://statiz.sporki.com/add/?m=draft_school01&amp;ps_school=50114" xr:uid="{9B0561A9-0D44-4179-9E35-235D2B1B0A28}"/>
    <hyperlink ref="C1788" r:id="rId5361" display="https://statiz.sporki.com/add/?m=draft_school02&amp;ps_school=60102" xr:uid="{326B76F9-9084-4B90-80D1-6C1B22AD7D74}"/>
    <hyperlink ref="A1789" r:id="rId5362" display="https://statiz.sporki.com/player/?m=playerinfo&amp;p_no=13187" xr:uid="{92D31AC8-44E2-4AD7-8D11-31DFF471B10B}"/>
    <hyperlink ref="B1789" r:id="rId5363" display="https://statiz.sporki.com/add/?m=draft_school01&amp;ps_school=50301" xr:uid="{F6FD2DC9-F473-40EF-9222-EA0C1EE0F4B8}"/>
    <hyperlink ref="C1789" r:id="rId5364" display="https://statiz.sporki.com/add/?m=draft_school02&amp;ps_school=60704" xr:uid="{E8A77CB1-3CB1-464E-8048-26C476EB9FF5}"/>
    <hyperlink ref="A1790" r:id="rId5365" display="https://statiz.sporki.com/player/?m=playerinfo&amp;p_no=10426" xr:uid="{41989AFE-CEDC-4B69-ADF1-5F159B6A561D}"/>
    <hyperlink ref="B1790" r:id="rId5366" display="https://statiz.sporki.com/add/?m=draft_school01&amp;ps_school=" xr:uid="{B2E15CF7-8C3A-4AFE-8849-5BC575FFCFE2}"/>
    <hyperlink ref="C1790" r:id="rId5367" display="https://statiz.sporki.com/add/?m=draft_school02&amp;ps_school=" xr:uid="{3CA88105-39AC-4AE0-A7B4-6A284F0F5CCF}"/>
    <hyperlink ref="A1791" r:id="rId5368" display="https://statiz.sporki.com/player/?m=playerinfo&amp;p_no=10649" xr:uid="{97485E2B-4AED-4F15-B659-488FC3FDA16A}"/>
    <hyperlink ref="B1791" r:id="rId5369" display="https://statiz.sporki.com/add/?m=draft_school01&amp;ps_school=" xr:uid="{91EA442A-EA63-424A-92D6-CD1BC00898DD}"/>
    <hyperlink ref="C1791" r:id="rId5370" display="https://statiz.sporki.com/add/?m=draft_school02&amp;ps_school=" xr:uid="{52C1BBBC-DCBD-437A-ABEA-2C2F204D9477}"/>
    <hyperlink ref="A1792" r:id="rId5371" display="https://statiz.sporki.com/player/?m=playerinfo&amp;p_no=10670" xr:uid="{2C39BBBF-0494-494C-A018-DAA3B8E6B541}"/>
    <hyperlink ref="B1792" r:id="rId5372" display="https://statiz.sporki.com/add/?m=draft_school01&amp;ps_school=" xr:uid="{9E51E87A-4D59-4340-AA92-5D81EF53C58A}"/>
    <hyperlink ref="C1792" r:id="rId5373" display="https://statiz.sporki.com/add/?m=draft_school02&amp;ps_school=" xr:uid="{328C90C1-ACAB-4A12-8784-3310D00C8932}"/>
    <hyperlink ref="A1793" r:id="rId5374" display="https://statiz.sporki.com/player/?m=playerinfo&amp;p_no=10653" xr:uid="{3446E7B8-84EF-4B5E-AB5D-42699CC6EA99}"/>
    <hyperlink ref="B1793" r:id="rId5375" display="https://statiz.sporki.com/add/?m=draft_school01&amp;ps_school=51100" xr:uid="{D4D047CE-AD42-4651-9360-804C262DC19E}"/>
    <hyperlink ref="C1793" r:id="rId5376" display="https://statiz.sporki.com/add/?m=draft_school02&amp;ps_school=" xr:uid="{395CA9A1-1B8E-4F15-8480-42BE71583FB2}"/>
    <hyperlink ref="A1794" r:id="rId5377" display="https://statiz.sporki.com/player/?m=playerinfo&amp;p_no=10669" xr:uid="{40E4D30B-7667-44D4-A42A-6DAC31E3375E}"/>
    <hyperlink ref="B1794" r:id="rId5378" display="https://statiz.sporki.com/add/?m=draft_school01&amp;ps_school=" xr:uid="{CE2E0A80-C596-4A87-92CD-F843EEAA8C8A}"/>
    <hyperlink ref="C1794" r:id="rId5379" display="https://statiz.sporki.com/add/?m=draft_school02&amp;ps_school=" xr:uid="{5785AE7D-5D1C-43DB-BD63-5F7E651598BF}"/>
    <hyperlink ref="A1795" r:id="rId5380" display="https://statiz.sporki.com/player/?m=playerinfo&amp;p_no=10715" xr:uid="{743E3D88-89F3-43AA-900B-EDB9052CCB11}"/>
    <hyperlink ref="B1795" r:id="rId5381" display="https://statiz.sporki.com/add/?m=draft_school01&amp;ps_school=" xr:uid="{B521EEBB-5005-4485-A729-AAA98ED87248}"/>
    <hyperlink ref="C1795" r:id="rId5382" display="https://statiz.sporki.com/add/?m=draft_school02&amp;ps_school=" xr:uid="{812B1C18-C8B7-4337-9D7C-3CCED118E5B5}"/>
    <hyperlink ref="A1796" r:id="rId5383" display="https://statiz.sporki.com/player/?m=playerinfo&amp;p_no=10658" xr:uid="{55908A27-2280-420C-B522-3E66759422DC}"/>
    <hyperlink ref="B1796" r:id="rId5384" display="https://statiz.sporki.com/add/?m=draft_school01&amp;ps_school=" xr:uid="{A8F8864D-7A7A-4D5F-BF0D-56F9ACF60305}"/>
    <hyperlink ref="C1796" r:id="rId5385" display="https://statiz.sporki.com/add/?m=draft_school02&amp;ps_school=" xr:uid="{93BF62DC-D43C-4D4B-8073-D59EF803F055}"/>
    <hyperlink ref="A1797" r:id="rId5386" display="https://statiz.sporki.com/player/?m=playerinfo&amp;p_no=10641" xr:uid="{4EF1DAE3-EA88-426A-8519-C1915F558B75}"/>
    <hyperlink ref="B1797" r:id="rId5387" display="https://statiz.sporki.com/add/?m=draft_school01&amp;ps_school=" xr:uid="{E02A9334-581D-4F27-AC52-12DA3879BD62}"/>
    <hyperlink ref="C1797" r:id="rId5388" display="https://statiz.sporki.com/add/?m=draft_school02&amp;ps_school=" xr:uid="{FC7805FC-1B24-475A-AEA9-FAD55187CCAE}"/>
    <hyperlink ref="A1798" r:id="rId5389" display="https://statiz.sporki.com/player/?m=playerinfo&amp;p_no=10679" xr:uid="{63188033-C9E9-4B97-9F50-1DF1D21CFB39}"/>
    <hyperlink ref="B1798" r:id="rId5390" display="https://statiz.sporki.com/add/?m=draft_school01&amp;ps_school=" xr:uid="{8B0EA148-EB20-4BF2-95DF-E77E165A6E88}"/>
    <hyperlink ref="C1798" r:id="rId5391" display="https://statiz.sporki.com/add/?m=draft_school02&amp;ps_school=" xr:uid="{64BCD6CC-F4BB-4D00-A9DD-494233C12440}"/>
    <hyperlink ref="A1799" r:id="rId5392" display="https://statiz.sporki.com/player/?m=playerinfo&amp;p_no=10714" xr:uid="{FA6A6BA7-FC08-41DC-A6B6-7B5E62137CF4}"/>
    <hyperlink ref="B1799" r:id="rId5393" display="https://statiz.sporki.com/add/?m=draft_school01&amp;ps_school=" xr:uid="{420A1AE5-8229-4FEF-B466-74E3889BC06E}"/>
    <hyperlink ref="C1799" r:id="rId5394" display="https://statiz.sporki.com/add/?m=draft_school02&amp;ps_school=" xr:uid="{E021280B-93CC-45AE-9A59-C65B72D48A7A}"/>
    <hyperlink ref="A1800" r:id="rId5395" display="https://statiz.sporki.com/player/?m=playerinfo&amp;p_no=10646" xr:uid="{FDAC09C3-D00C-4ADB-8BD4-7F8FA0942C0E}"/>
    <hyperlink ref="B1800" r:id="rId5396" display="https://statiz.sporki.com/add/?m=draft_school01&amp;ps_school=" xr:uid="{E11CA180-3482-4C45-A2E4-41C0A1FBFC0C}"/>
    <hyperlink ref="C1800" r:id="rId5397" display="https://statiz.sporki.com/add/?m=draft_school02&amp;ps_school=" xr:uid="{21C136DB-F3C8-47F6-AA3A-0119EE0015A5}"/>
    <hyperlink ref="A1801" r:id="rId5398" display="https://statiz.sporki.com/player/?m=playerinfo&amp;p_no=10775" xr:uid="{5176AE52-A048-462A-A6CB-45AF6656B56F}"/>
    <hyperlink ref="B1801" r:id="rId5399" display="https://statiz.sporki.com/add/?m=draft_school01&amp;ps_school=" xr:uid="{11B14173-D29F-4B92-8D48-C285C77DB943}"/>
    <hyperlink ref="C1801" r:id="rId5400" display="https://statiz.sporki.com/add/?m=draft_school02&amp;ps_school=" xr:uid="{97DA5A7C-D41C-48F6-8101-E33CBBE50B64}"/>
    <hyperlink ref="A1802" r:id="rId5401" display="https://statiz.sporki.com/player/?m=playerinfo&amp;p_no=10774" xr:uid="{17056BC7-2362-45F3-BDF6-58EB07C9B0FC}"/>
    <hyperlink ref="B1802" r:id="rId5402" display="https://statiz.sporki.com/add/?m=draft_school01&amp;ps_school=" xr:uid="{B8598E87-BFEC-47D4-A383-FC9A59CA510F}"/>
    <hyperlink ref="C1802" r:id="rId5403" display="https://statiz.sporki.com/add/?m=draft_school02&amp;ps_school=" xr:uid="{60255394-682B-4167-8608-6152BA67F66F}"/>
    <hyperlink ref="A1803" r:id="rId5404" display="https://statiz.sporki.com/player/?m=playerinfo&amp;p_no=10638" xr:uid="{E8937BEB-05D2-4817-9891-9537634EAA75}"/>
    <hyperlink ref="B1803" r:id="rId5405" display="https://statiz.sporki.com/add/?m=draft_school01&amp;ps_school=" xr:uid="{BD954B08-25DB-4C9D-8C1F-5BBBF14B1202}"/>
    <hyperlink ref="C1803" r:id="rId5406" display="https://statiz.sporki.com/add/?m=draft_school02&amp;ps_school=" xr:uid="{1AEACCA4-1392-47B6-B85C-CEE9A273EF1B}"/>
    <hyperlink ref="A1804" r:id="rId5407" display="https://statiz.sporki.com/player/?m=playerinfo&amp;p_no=10661" xr:uid="{D625A393-810D-4958-817A-A569CB2413CB}"/>
    <hyperlink ref="B1804" r:id="rId5408" display="https://statiz.sporki.com/add/?m=draft_school01&amp;ps_school=" xr:uid="{E934D213-E985-492E-979C-983E418A2A86}"/>
    <hyperlink ref="C1804" r:id="rId5409" display="https://statiz.sporki.com/add/?m=draft_school02&amp;ps_school=" xr:uid="{D21B2D52-E118-4BAC-BCDA-C233FBDEE631}"/>
    <hyperlink ref="A1805" r:id="rId5410" display="https://statiz.sporki.com/player/?m=playerinfo&amp;p_no=10698" xr:uid="{BC3068F4-610B-4137-B146-C5DF96254275}"/>
    <hyperlink ref="B1805" r:id="rId5411" display="https://statiz.sporki.com/add/?m=draft_school01&amp;ps_school=" xr:uid="{D231018E-E8B7-4F27-B276-1088C05FE316}"/>
    <hyperlink ref="C1805" r:id="rId5412" display="https://statiz.sporki.com/add/?m=draft_school02&amp;ps_school=" xr:uid="{8E5EE857-B06B-4241-ACA2-6D35D8ECCECB}"/>
    <hyperlink ref="A1806" r:id="rId5413" display="https://statiz.sporki.com/player/?m=playerinfo&amp;p_no=10838" xr:uid="{A44B33FB-2163-4BDE-A9D5-EF06ECEFC123}"/>
    <hyperlink ref="B1806" r:id="rId5414" display="https://statiz.sporki.com/add/?m=draft_school01&amp;ps_school=50111" xr:uid="{115B1436-4C40-436C-B7C2-FD6770227B4D}"/>
    <hyperlink ref="C1806" r:id="rId5415" display="https://statiz.sporki.com/add/?m=draft_school02&amp;ps_school=60101" xr:uid="{F3966C89-6256-4A2A-A54D-4AF8F42AE4F1}"/>
    <hyperlink ref="A1807" r:id="rId5416" display="https://statiz.sporki.com/player/?m=playerinfo&amp;p_no=10829" xr:uid="{8FDB5602-D896-4062-B314-82004DEF3FDE}"/>
    <hyperlink ref="B1807" r:id="rId5417" display="https://statiz.sporki.com/add/?m=draft_school01&amp;ps_school=50703" xr:uid="{8FBA741B-EE92-46C9-87B2-9B138F6F83F6}"/>
    <hyperlink ref="C1807" r:id="rId5418" display="https://statiz.sporki.com/add/?m=draft_school02&amp;ps_school=60703" xr:uid="{1CF3C79A-8795-4CED-80C3-86E8794F925A}"/>
    <hyperlink ref="A1808" r:id="rId5419" display="https://statiz.sporki.com/player/?m=playerinfo&amp;p_no=10719" xr:uid="{A5433927-F65C-4990-B979-6657CCA424EE}"/>
    <hyperlink ref="B1808" r:id="rId5420" display="https://statiz.sporki.com/add/?m=draft_school01&amp;ps_school=50209" xr:uid="{BC32FDB6-CA44-44ED-B2CB-15A54E1B24EA}"/>
    <hyperlink ref="C1808" r:id="rId5421" display="https://statiz.sporki.com/add/?m=draft_school02&amp;ps_school=" xr:uid="{D119F061-E2EF-44F5-B992-964A1BBB8705}"/>
    <hyperlink ref="A1809" r:id="rId5422" display="https://statiz.sporki.com/player/?m=playerinfo&amp;p_no=10935" xr:uid="{E02ED0BA-3C8A-4139-A90A-84E9E6C95B06}"/>
    <hyperlink ref="B1809" r:id="rId5423" display="https://statiz.sporki.com/add/?m=draft_school01&amp;ps_school=50204" xr:uid="{E647E2DA-7C0B-4638-9188-2F63893BC77E}"/>
    <hyperlink ref="C1809" r:id="rId5424" display="https://statiz.sporki.com/add/?m=draft_school02&amp;ps_school=60103" xr:uid="{A6D94010-3895-4D5F-BC6D-09E0C52BE960}"/>
    <hyperlink ref="A1810" r:id="rId5425" display="https://statiz.sporki.com/player/?m=playerinfo&amp;p_no=10925" xr:uid="{F981C0C8-88CC-4DCA-A6AC-BBF52BA15052}"/>
    <hyperlink ref="B1810" r:id="rId5426" display="https://statiz.sporki.com/add/?m=draft_school01&amp;ps_school=50102" xr:uid="{0F37F236-E17E-405B-A390-B0CC08F5E037}"/>
    <hyperlink ref="C1810" r:id="rId5427" display="https://statiz.sporki.com/add/?m=draft_school02&amp;ps_school=60114" xr:uid="{68E7B4D9-E6DE-4CDA-8D60-6B767E306396}"/>
    <hyperlink ref="A1811" r:id="rId5428" display="https://statiz.sporki.com/player/?m=playerinfo&amp;p_no=10752" xr:uid="{D2DEDD1B-73C7-4D9C-B5AB-C277CE5625DD}"/>
    <hyperlink ref="B1811" r:id="rId5429" display="https://statiz.sporki.com/add/?m=draft_school01&amp;ps_school=50901" xr:uid="{94B516C0-BC26-454E-8063-0ACA41CA54CC}"/>
    <hyperlink ref="C1811" r:id="rId5430" display="https://statiz.sporki.com/add/?m=draft_school02&amp;ps_school=60301" xr:uid="{7CF90F4D-E2F6-4DA3-86CF-C87EFB7EC6E2}"/>
    <hyperlink ref="A1812" r:id="rId5431" display="https://statiz.sporki.com/player/?m=playerinfo&amp;p_no=10934" xr:uid="{E186C85D-0DC3-4940-B568-BB50DDB23BF8}"/>
    <hyperlink ref="B1812" r:id="rId5432" display="https://statiz.sporki.com/add/?m=draft_school01&amp;ps_school=50902" xr:uid="{5B9E628C-1BF4-4EC3-975B-08E293C56406}"/>
    <hyperlink ref="C1812" r:id="rId5433" display="https://statiz.sporki.com/add/?m=draft_school02&amp;ps_school=60502" xr:uid="{A0B1334C-8AE5-480C-A538-958D83DE72BD}"/>
    <hyperlink ref="A1813" r:id="rId5434" display="https://statiz.sporki.com/player/?m=playerinfo&amp;p_no=10781" xr:uid="{0B9B1BD4-E3E4-483B-A5FE-E4239DFBF192}"/>
    <hyperlink ref="B1813" r:id="rId5435" display="https://statiz.sporki.com/add/?m=draft_school01&amp;ps_school=50110" xr:uid="{CB6879BF-64BE-4A72-8CEF-E2C3E678F332}"/>
    <hyperlink ref="C1813" r:id="rId5436" display="https://statiz.sporki.com/add/?m=draft_school02&amp;ps_school=60102" xr:uid="{4DBD722F-B9D3-4CC1-A6C3-AF3FFE471976}"/>
    <hyperlink ref="A1814" r:id="rId5437" display="https://statiz.sporki.com/player/?m=playerinfo&amp;p_no=12967" xr:uid="{BAE81F22-DAB3-4718-9610-15ACC68F6434}"/>
    <hyperlink ref="B1814" r:id="rId5438" display="https://statiz.sporki.com/add/?m=draft_school01&amp;ps_school=50109" xr:uid="{F4B2D188-AB96-4EE5-89A4-8D1AA2A948FB}"/>
    <hyperlink ref="C1814" r:id="rId5439" display="https://statiz.sporki.com/add/?m=draft_school02&amp;ps_school=" xr:uid="{B06688BE-0AC9-4C53-B803-DE1227E0901B}"/>
    <hyperlink ref="A1815" r:id="rId5440" display="https://statiz.sporki.com/player/?m=playerinfo&amp;p_no=10845" xr:uid="{7ACF7CEE-0829-4924-814E-EBD05F95F8E3}"/>
    <hyperlink ref="B1815" r:id="rId5441" display="https://statiz.sporki.com/add/?m=draft_school01&amp;ps_school=50601" xr:uid="{BF250660-28F6-4129-BD39-19BA4BB35383}"/>
    <hyperlink ref="C1815" r:id="rId5442" display="https://statiz.sporki.com/add/?m=draft_school02&amp;ps_school=60802" xr:uid="{4153A8A4-F762-47AC-9BAE-21F4AEE785BD}"/>
    <hyperlink ref="A1816" r:id="rId5443" display="https://statiz.sporki.com/player/?m=playerinfo&amp;p_no=10860" xr:uid="{86CF089F-9343-4BE7-9F0E-C39C2F0F997C}"/>
    <hyperlink ref="B1816" r:id="rId5444" display="https://statiz.sporki.com/add/?m=draft_school01&amp;ps_school=50601" xr:uid="{58BCE2B9-42DA-435E-A60E-D0204CAA05BD}"/>
    <hyperlink ref="C1816" r:id="rId5445" display="https://statiz.sporki.com/add/?m=draft_school02&amp;ps_school=" xr:uid="{515F44AB-E959-438A-8B23-A724C623D6C4}"/>
    <hyperlink ref="A1817" r:id="rId5446" display="https://statiz.sporki.com/player/?m=playerinfo&amp;p_no=10691" xr:uid="{699856C8-2BC7-47BF-A87B-56A1E6F49FE2}"/>
    <hyperlink ref="B1817" r:id="rId5447" display="https://statiz.sporki.com/add/?m=draft_school01&amp;ps_school=50108" xr:uid="{6D1341D4-FB94-4F94-ACE7-AFF1D611ACDC}"/>
    <hyperlink ref="C1817" r:id="rId5448" display="https://statiz.sporki.com/add/?m=draft_school02&amp;ps_school=" xr:uid="{01370774-15FF-4872-9D5C-D1B21C7CC024}"/>
    <hyperlink ref="A1818" r:id="rId5449" display="https://statiz.sporki.com/player/?m=playerinfo&amp;p_no=10898" xr:uid="{B7E89CC9-163C-4B85-967F-EDF5452D7B25}"/>
    <hyperlink ref="B1818" r:id="rId5450" display="https://statiz.sporki.com/add/?m=draft_school01&amp;ps_school=50805" xr:uid="{B3F4CB26-4FCE-414D-AC92-8C5E2554247D}"/>
    <hyperlink ref="C1818" r:id="rId5451" display="https://statiz.sporki.com/add/?m=draft_school02&amp;ps_school=60103" xr:uid="{1BD8B325-5CF9-403C-AE86-1301E1CA499E}"/>
    <hyperlink ref="A1819" r:id="rId5452" display="https://statiz.sporki.com/player/?m=playerinfo&amp;p_no=10883" xr:uid="{CB0CD233-F636-42DD-AF0D-804B8307A3B3}"/>
    <hyperlink ref="B1819" r:id="rId5453" display="https://statiz.sporki.com/add/?m=draft_school01&amp;ps_school=50208" xr:uid="{3845B260-5E86-4354-BB28-07D14EDC0C80}"/>
    <hyperlink ref="C1819" r:id="rId5454" display="https://statiz.sporki.com/add/?m=draft_school02&amp;ps_school=" xr:uid="{E268D346-41E7-4DE3-80DF-DD9D722B6664}"/>
    <hyperlink ref="A1820" r:id="rId5455" display="https://statiz.sporki.com/player/?m=playerinfo&amp;p_no=10834" xr:uid="{A3550C4C-3902-44CD-9952-1F4AD393A8CA}"/>
    <hyperlink ref="B1820" r:id="rId5456" display="https://statiz.sporki.com/add/?m=draft_school01&amp;ps_school=50805" xr:uid="{8186BE02-5B6E-460C-A2FE-07E5BD67E78E}"/>
    <hyperlink ref="C1820" r:id="rId5457" display="https://statiz.sporki.com/add/?m=draft_school02&amp;ps_school=60404" xr:uid="{37513E04-E61E-4A4E-9921-A3062A4C5DBE}"/>
    <hyperlink ref="A1821" r:id="rId5458" display="https://statiz.sporki.com/player/?m=playerinfo&amp;p_no=10777" xr:uid="{7B31307D-50BD-4FD4-B3CB-A09384E77405}"/>
    <hyperlink ref="B1821" r:id="rId5459" display="https://statiz.sporki.com/add/?m=draft_school01&amp;ps_school=50802" xr:uid="{4E982805-A225-4941-82FB-A9F6582C0E3B}"/>
    <hyperlink ref="C1821" r:id="rId5460" display="https://statiz.sporki.com/add/?m=draft_school02&amp;ps_school=60111" xr:uid="{3D82F82C-2AAA-40D5-BB2D-37DC213A52EB}"/>
    <hyperlink ref="A1822" r:id="rId5461" display="https://statiz.sporki.com/player/?m=playerinfo&amp;p_no=10877" xr:uid="{0ECC9093-FD53-4D2A-865F-4A419639FE16}"/>
    <hyperlink ref="B1822" r:id="rId5462" display="https://statiz.sporki.com/add/?m=draft_school01&amp;ps_school=50105" xr:uid="{DE21AAC7-881F-4893-8723-FAA7443D08A3}"/>
    <hyperlink ref="C1822" r:id="rId5463" display="https://statiz.sporki.com/add/?m=draft_school02&amp;ps_school=60404" xr:uid="{A270C4D3-6B95-44E7-AD71-03AF5146BDB5}"/>
    <hyperlink ref="A1823" r:id="rId5464" display="https://statiz.sporki.com/player/?m=playerinfo&amp;p_no=10726" xr:uid="{79B194D3-A8A4-4CAE-9D48-DDBFB0070121}"/>
    <hyperlink ref="B1823" r:id="rId5465" display="https://statiz.sporki.com/add/?m=draft_school01&amp;ps_school=50706" xr:uid="{0B66E395-C321-46D0-B6FA-109E58AC903B}"/>
    <hyperlink ref="C1823" r:id="rId5466" display="https://statiz.sporki.com/add/?m=draft_school02&amp;ps_school=60104" xr:uid="{17556D15-96F1-486B-B287-81B96A32CD7C}"/>
    <hyperlink ref="A1824" r:id="rId5467" display="https://statiz.sporki.com/player/?m=playerinfo&amp;p_no=10516" xr:uid="{25990CEA-9E82-4EF7-A446-1412F985F8FC}"/>
    <hyperlink ref="B1824" r:id="rId5468" display="https://statiz.sporki.com/add/?m=draft_school01&amp;ps_school=50403" xr:uid="{582D8239-7C92-4E49-A95B-0624769F25C2}"/>
    <hyperlink ref="C1824" r:id="rId5469" display="https://statiz.sporki.com/add/?m=draft_school02&amp;ps_school=60103" xr:uid="{BB1E50B9-9F73-4D9E-A0FE-FC4657CB4685}"/>
    <hyperlink ref="A1825" r:id="rId5470" display="https://statiz.sporki.com/player/?m=playerinfo&amp;p_no=10432" xr:uid="{271D6C27-203B-4961-B88C-EF10A22E3947}"/>
    <hyperlink ref="B1825" r:id="rId5471" display="https://statiz.sporki.com/add/?m=draft_school01&amp;ps_school=50604" xr:uid="{E447CDC9-5304-42E0-8BB8-B6D4DD896E6F}"/>
    <hyperlink ref="C1825" r:id="rId5472" display="https://statiz.sporki.com/add/?m=draft_school02&amp;ps_school=" xr:uid="{EDA5AA1C-84B0-4222-8C10-4DD9E7020EB3}"/>
    <hyperlink ref="A1826" r:id="rId5473" display="https://statiz.sporki.com/player/?m=playerinfo&amp;p_no=10056" xr:uid="{F81BFCA9-34A2-48C9-BC21-2E83D03BDDE8}"/>
    <hyperlink ref="B1826" r:id="rId5474" display="https://statiz.sporki.com/add/?m=draft_school01&amp;ps_school=50602" xr:uid="{7C8D8013-7A11-48A2-B85F-F2A35D9F43C7}"/>
    <hyperlink ref="C1826" r:id="rId5475" display="https://statiz.sporki.com/add/?m=draft_school02&amp;ps_school=" xr:uid="{FCF56CF7-5FEE-4448-979C-6946BC48F046}"/>
    <hyperlink ref="A1827" r:id="rId5476" display="https://statiz.sporki.com/player/?m=playerinfo&amp;p_no=10585" xr:uid="{56E14C88-B7C1-405D-A14B-15DF9F28C629}"/>
    <hyperlink ref="B1827" r:id="rId5477" display="https://statiz.sporki.com/add/?m=draft_school01&amp;ps_school=50403" xr:uid="{59941891-442E-49AF-9FDD-C894B9733E2D}"/>
    <hyperlink ref="C1827" r:id="rId5478" display="https://statiz.sporki.com/add/?m=draft_school02&amp;ps_school=" xr:uid="{E5E70983-563B-4402-8609-0DAFB5DFC6E2}"/>
    <hyperlink ref="A1828" r:id="rId5479" display="https://statiz.sporki.com/player/?m=playerinfo&amp;p_no=10374" xr:uid="{54DA4621-06EC-445F-810F-660996ABB6EB}"/>
    <hyperlink ref="B1828" r:id="rId5480" display="https://statiz.sporki.com/add/?m=draft_school01&amp;ps_school=50105" xr:uid="{760B85B0-1E5E-4414-8B24-F4AF51FFDB58}"/>
    <hyperlink ref="C1828" r:id="rId5481" display="https://statiz.sporki.com/add/?m=draft_school02&amp;ps_school=60103" xr:uid="{F4089156-49A5-4720-9312-FD70D6108EC0}"/>
    <hyperlink ref="A1829" r:id="rId5482" display="https://statiz.sporki.com/player/?m=playerinfo&amp;p_no=10307" xr:uid="{8F445126-56AE-4EEC-9728-010EE0C62745}"/>
    <hyperlink ref="B1829" r:id="rId5483" display="https://statiz.sporki.com/add/?m=draft_school01&amp;ps_school=50802" xr:uid="{A51263B7-14F2-4049-8F80-B3C773FF58BC}"/>
    <hyperlink ref="C1829" r:id="rId5484" display="https://statiz.sporki.com/add/?m=draft_school02&amp;ps_school=" xr:uid="{A74D7FC7-DF64-4CEA-9DB6-0BDF11991F1F}"/>
    <hyperlink ref="A1830" r:id="rId5485" display="https://statiz.sporki.com/player/?m=playerinfo&amp;p_no=10223" xr:uid="{AB297C79-1B2A-4E42-BDDA-820A973D7D9E}"/>
    <hyperlink ref="B1830" r:id="rId5486" display="https://statiz.sporki.com/add/?m=draft_school01&amp;ps_school=50606" xr:uid="{373A9966-77F3-44B8-A781-524F89E772CC}"/>
    <hyperlink ref="C1830" r:id="rId5487" display="https://statiz.sporki.com/add/?m=draft_school02&amp;ps_school=" xr:uid="{729FC7D1-02D2-40B7-825F-F39C13DC524A}"/>
    <hyperlink ref="A1831" r:id="rId5488" display="https://statiz.sporki.com/player/?m=playerinfo&amp;p_no=10130" xr:uid="{25696773-52E8-486A-91DD-1E59ED4028F7}"/>
    <hyperlink ref="B1831" r:id="rId5489" display="https://statiz.sporki.com/add/?m=draft_school01&amp;ps_school=50604" xr:uid="{A8841CB3-440A-44DB-B8EE-0B71FE6E65BC}"/>
    <hyperlink ref="C1831" r:id="rId5490" display="https://statiz.sporki.com/add/?m=draft_school02&amp;ps_school=60804" xr:uid="{1F76663A-9EF3-4215-854C-F8B889DFCE52}"/>
    <hyperlink ref="A1832" r:id="rId5491" display="https://statiz.sporki.com/player/?m=playerinfo&amp;p_no=10131" xr:uid="{34970B5F-FCF7-4BF1-AAF6-DE7B53A7D175}"/>
    <hyperlink ref="B1832" r:id="rId5492" display="https://statiz.sporki.com/add/?m=draft_school01&amp;ps_school=50501" xr:uid="{56448AC1-FFD8-4B9E-9495-F463E2F4E63C}"/>
    <hyperlink ref="C1832" r:id="rId5493" display="https://statiz.sporki.com/add/?m=draft_school02&amp;ps_school=" xr:uid="{B0D7D37C-42C6-462A-B0EB-255118DE6175}"/>
    <hyperlink ref="A1833" r:id="rId5494" display="https://statiz.sporki.com/player/?m=playerinfo&amp;p_no=10220" xr:uid="{04F858BC-04BA-4013-929A-957CD87BF728}"/>
    <hyperlink ref="B1833" r:id="rId5495" display="https://statiz.sporki.com/add/?m=draft_school01&amp;ps_school=50703" xr:uid="{DDE4D656-9C82-430F-8039-BA97590656A3}"/>
    <hyperlink ref="C1833" r:id="rId5496" display="https://statiz.sporki.com/add/?m=draft_school02&amp;ps_school=" xr:uid="{38493B66-4B27-4BAA-AB61-6E00701E08DE}"/>
    <hyperlink ref="A1834" r:id="rId5497" display="https://statiz.sporki.com/player/?m=playerinfo&amp;p_no=10297" xr:uid="{6FB35976-FFF4-4E58-9DDD-F0035EB0D454}"/>
    <hyperlink ref="B1834" r:id="rId5498" display="https://statiz.sporki.com/add/?m=draft_school01&amp;ps_school=50207" xr:uid="{08EF15C4-A47C-4CE0-8FF6-C007EBD54920}"/>
    <hyperlink ref="C1834" r:id="rId5499" display="https://statiz.sporki.com/add/?m=draft_school02&amp;ps_school=" xr:uid="{6F6A2616-47D5-4599-9F09-DE9318180B8B}"/>
    <hyperlink ref="A1835" r:id="rId5500" display="https://statiz.sporki.com/player/?m=playerinfo&amp;p_no=10358" xr:uid="{1ED8798C-FEAF-4441-B251-D4CD7477CC21}"/>
    <hyperlink ref="B1835" r:id="rId5501" display="https://statiz.sporki.com/add/?m=draft_school01&amp;ps_school=50901" xr:uid="{DEC29036-DC6A-4D6C-A198-FDDE68466CB9}"/>
    <hyperlink ref="C1835" r:id="rId5502" display="https://statiz.sporki.com/add/?m=draft_school02&amp;ps_school=60404" xr:uid="{9F9FCC48-697C-4735-B912-EA602E074C44}"/>
    <hyperlink ref="A1836" r:id="rId5503" display="https://statiz.sporki.com/player/?m=playerinfo&amp;p_no=10567" xr:uid="{B8B768A7-72C2-4864-A56E-C95B250C17F0}"/>
    <hyperlink ref="B1836" r:id="rId5504" display="https://statiz.sporki.com/add/?m=draft_school01&amp;ps_school=50403" xr:uid="{836559A6-1990-4E81-B1E3-7B36A7EA1D1E}"/>
    <hyperlink ref="C1836" r:id="rId5505" display="https://statiz.sporki.com/add/?m=draft_school02&amp;ps_school=" xr:uid="{EFC1A849-4283-4F2E-9146-28ABB45A79E3}"/>
    <hyperlink ref="A1837" r:id="rId5506" display="https://statiz.sporki.com/player/?m=playerinfo&amp;p_no=10066" xr:uid="{FC49F2A7-F39C-447A-848D-B2EA4CB1280B}"/>
    <hyperlink ref="B1837" r:id="rId5507" display="https://statiz.sporki.com/add/?m=draft_school01&amp;ps_school=50604" xr:uid="{C9AFF186-D76B-422D-B3BE-73439DA0CC02}"/>
    <hyperlink ref="C1837" r:id="rId5508" display="https://statiz.sporki.com/add/?m=draft_school02&amp;ps_school=60605" xr:uid="{3107122E-4BA8-4A25-B066-C24515CE124D}"/>
    <hyperlink ref="A1838" r:id="rId5509" display="https://statiz.sporki.com/player/?m=playerinfo&amp;p_no=10451" xr:uid="{634E879B-56CE-4653-A9A0-77360B1C97C9}"/>
    <hyperlink ref="B1838" r:id="rId5510" display="https://statiz.sporki.com/add/?m=draft_school01&amp;ps_school=50303" xr:uid="{0FE7F67F-231C-4DD8-82DF-C2888C171609}"/>
    <hyperlink ref="C1838" r:id="rId5511" display="https://statiz.sporki.com/add/?m=draft_school02&amp;ps_school=60501" xr:uid="{E40A689C-45C8-4EEE-86DF-8BA1C7987113}"/>
    <hyperlink ref="A1839" r:id="rId5512" display="https://statiz.sporki.com/player/?m=playerinfo&amp;p_no=10527" xr:uid="{2E1BE3A7-F0D0-4031-BC0B-46AA8A8F2A6B}"/>
    <hyperlink ref="B1839" r:id="rId5513" display="https://statiz.sporki.com/add/?m=draft_school01&amp;ps_school=50605" xr:uid="{D3A78AF0-1EE1-46DE-ACEC-28694F80F9C9}"/>
    <hyperlink ref="C1839" r:id="rId5514" display="https://statiz.sporki.com/add/?m=draft_school02&amp;ps_school=" xr:uid="{4FAE4A20-9570-41BD-8B02-334EE34979B8}"/>
    <hyperlink ref="A1840" r:id="rId5515" display="https://statiz.sporki.com/player/?m=playerinfo&amp;p_no=10522" xr:uid="{0C898FBA-F056-4A1A-904D-AF097C3DFAEF}"/>
    <hyperlink ref="B1840" r:id="rId5516" display="https://statiz.sporki.com/add/?m=draft_school01&amp;ps_school=50601" xr:uid="{221D19ED-D579-44B1-A69C-073B6F01D552}"/>
    <hyperlink ref="C1840" r:id="rId5517" display="https://statiz.sporki.com/add/?m=draft_school02&amp;ps_school=" xr:uid="{6037D458-A125-456A-AACD-07C3AE8C7A5E}"/>
    <hyperlink ref="A1841" r:id="rId5518" display="https://statiz.sporki.com/player/?m=playerinfo&amp;p_no=10706" xr:uid="{0FEF293C-4788-489B-9441-6EC84335F844}"/>
    <hyperlink ref="B1841" r:id="rId5519" display="https://statiz.sporki.com/add/?m=draft_school01&amp;ps_school=50805" xr:uid="{E5C12357-424B-4282-A3C9-A5F2D349DE01}"/>
    <hyperlink ref="C1841" r:id="rId5520" display="https://statiz.sporki.com/add/?m=draft_school02&amp;ps_school=" xr:uid="{ECA1B33B-756C-46BD-83DA-2CAF22FED743}"/>
    <hyperlink ref="A1842" r:id="rId5521" display="https://statiz.sporki.com/player/?m=playerinfo&amp;p_no=10018" xr:uid="{514B599E-B823-48FC-AA42-537FFF35E53E}"/>
    <hyperlink ref="B1842" r:id="rId5522" display="https://statiz.sporki.com/add/?m=draft_school01&amp;ps_school=50103" xr:uid="{E88D3756-FE27-4D20-9BE0-D28F36AA81E9}"/>
    <hyperlink ref="C1842" r:id="rId5523" display="https://statiz.sporki.com/add/?m=draft_school02&amp;ps_school=" xr:uid="{ABCC7A83-26E5-4EC5-B15A-8D6CB288C95A}"/>
    <hyperlink ref="A1843" r:id="rId5524" display="https://statiz.sporki.com/player/?m=playerinfo&amp;p_no=10629" xr:uid="{1E54756E-D428-46FD-8CB7-BA6D7C8D79D5}"/>
    <hyperlink ref="B1843" r:id="rId5525" display="https://statiz.sporki.com/add/?m=draft_school01&amp;ps_school=50401" xr:uid="{05DA92C5-DB8C-4A2F-B570-1133A7A93421}"/>
    <hyperlink ref="C1843" r:id="rId5526" display="https://statiz.sporki.com/add/?m=draft_school02&amp;ps_school=" xr:uid="{92E7A714-6FEB-410C-AE59-5F2C17DD9450}"/>
    <hyperlink ref="A1844" r:id="rId5527" display="https://statiz.sporki.com/player/?m=playerinfo&amp;p_no=10313" xr:uid="{7CBFCF8A-CB01-46F7-8D3F-B63050C1FD7B}"/>
    <hyperlink ref="B1844" r:id="rId5528" display="https://statiz.sporki.com/add/?m=draft_school01&amp;ps_school=50801" xr:uid="{62A93E31-EF26-4E31-AF12-6AD41999B873}"/>
    <hyperlink ref="C1844" r:id="rId5529" display="https://statiz.sporki.com/add/?m=draft_school02&amp;ps_school=" xr:uid="{6DF4E665-A09A-4BDB-A02B-D3DB3062C97B}"/>
    <hyperlink ref="A1845" r:id="rId5530" display="https://statiz.sporki.com/player/?m=playerinfo&amp;p_no=10249" xr:uid="{3D6F6484-AA67-4F2F-850D-244895558CF9}"/>
    <hyperlink ref="B1845" r:id="rId5531" display="https://statiz.sporki.com/add/?m=draft_school01&amp;ps_school=50113" xr:uid="{1A92B298-FD57-4A8B-9294-60BC1E603B3C}"/>
    <hyperlink ref="C1845" r:id="rId5532" display="https://statiz.sporki.com/add/?m=draft_school02&amp;ps_school=" xr:uid="{65909FFA-C6FB-4F82-B155-933C9F996F8F}"/>
    <hyperlink ref="A1846" r:id="rId5533" display="https://statiz.sporki.com/player/?m=playerinfo&amp;p_no=10224" xr:uid="{404F5AC9-A35F-4E4C-8F67-ADD8BDE46284}"/>
    <hyperlink ref="B1846" r:id="rId5534" display="https://statiz.sporki.com/add/?m=draft_school01&amp;ps_school=50108" xr:uid="{5C460091-4A76-4BD7-852D-0132AF0E484C}"/>
    <hyperlink ref="C1846" r:id="rId5535" display="https://statiz.sporki.com/add/?m=draft_school02&amp;ps_school=" xr:uid="{2C4C5F55-77A3-461D-8E82-93AB1D1DF0C1}"/>
    <hyperlink ref="A1847" r:id="rId5536" display="https://statiz.sporki.com/player/?m=playerinfo&amp;p_no=10079" xr:uid="{DC61EEE6-BEB0-448C-A07F-2E98E275621C}"/>
    <hyperlink ref="B1847" r:id="rId5537" display="https://statiz.sporki.com/add/?m=draft_school01&amp;ps_school=50110" xr:uid="{AE3460D8-0E53-46F7-B035-7730F0ECB44D}"/>
    <hyperlink ref="C1847" r:id="rId5538" display="https://statiz.sporki.com/add/?m=draft_school02&amp;ps_school=60102" xr:uid="{5174D496-3F65-4C6C-A0AA-69CF4AAFC836}"/>
    <hyperlink ref="A1848" r:id="rId5539" display="https://statiz.sporki.com/player/?m=playerinfo&amp;p_no=10712" xr:uid="{86263923-0E2D-4129-B9E1-FA90E6957422}"/>
    <hyperlink ref="B1848" r:id="rId5540" display="https://statiz.sporki.com/add/?m=draft_school01&amp;ps_school=50109" xr:uid="{99D88B1B-32B8-4618-9F42-574B289932B2}"/>
    <hyperlink ref="C1848" r:id="rId5541" display="https://statiz.sporki.com/add/?m=draft_school02&amp;ps_school=61001" xr:uid="{D3DD0E57-4D70-4088-9E03-73E7C5AF2EAA}"/>
    <hyperlink ref="A1849" r:id="rId5542" display="https://statiz.sporki.com/player/?m=playerinfo&amp;p_no=10199" xr:uid="{E20A0104-690C-41C0-B3E3-CC87E0C59A44}"/>
    <hyperlink ref="B1849" r:id="rId5543" display="https://statiz.sporki.com/add/?m=draft_school01&amp;ps_school=50701" xr:uid="{9664ACCE-A701-4D32-B63E-56CCD05934EA}"/>
    <hyperlink ref="C1849" r:id="rId5544" display="https://statiz.sporki.com/add/?m=draft_school02&amp;ps_school=" xr:uid="{913CE4DD-7B41-47FE-9150-9F61C92946F1}"/>
    <hyperlink ref="A1850" r:id="rId5545" display="https://statiz.sporki.com/player/?m=playerinfo&amp;p_no=10270" xr:uid="{39E499AC-14C3-4694-88B6-756D4B561BD8}"/>
    <hyperlink ref="B1850" r:id="rId5546" display="https://statiz.sporki.com/add/?m=draft_school01&amp;ps_school=50402" xr:uid="{4D57CCCA-9F08-46F0-8454-487C8AC8AE7D}"/>
    <hyperlink ref="C1850" r:id="rId5547" display="https://statiz.sporki.com/add/?m=draft_school02&amp;ps_school=" xr:uid="{F55C98A6-B567-45FC-BD84-BFB1DE9E043D}"/>
    <hyperlink ref="A1851" r:id="rId5548" display="https://statiz.sporki.com/player/?m=playerinfo&amp;p_no=10324" xr:uid="{6EF9BCF9-201D-487D-8538-6BF48DC5008A}"/>
    <hyperlink ref="B1851" r:id="rId5549" display="https://statiz.sporki.com/add/?m=draft_school01&amp;ps_school=50701" xr:uid="{0AEB02FC-2600-48B2-A00E-124127D0374F}"/>
    <hyperlink ref="C1851" r:id="rId5550" display="https://statiz.sporki.com/add/?m=draft_school02&amp;ps_school=60203" xr:uid="{D7A7061C-45C7-4C36-972A-F4D6B08FF1AD}"/>
    <hyperlink ref="A1852" r:id="rId5551" display="https://statiz.sporki.com/player/?m=playerinfo&amp;p_no=10572" xr:uid="{0D765A61-73B3-4460-8546-139B4A01D146}"/>
    <hyperlink ref="B1852" r:id="rId5552" display="https://statiz.sporki.com/add/?m=draft_school01&amp;ps_school=50701" xr:uid="{A4CAD25E-7E67-4C86-A1C5-3D71881A88F0}"/>
    <hyperlink ref="C1852" r:id="rId5553" display="https://statiz.sporki.com/add/?m=draft_school02&amp;ps_school=60108" xr:uid="{35E10AAB-8B58-4726-AAF2-A6B340E567ED}"/>
    <hyperlink ref="A1853" r:id="rId5554" display="https://statiz.sporki.com/player/?m=playerinfo&amp;p_no=10037" xr:uid="{6DED51F1-3FD6-44AD-8454-684637F5C01B}"/>
    <hyperlink ref="B1853" r:id="rId5555" display="https://statiz.sporki.com/add/?m=draft_school01&amp;ps_school=50110" xr:uid="{0C3869B2-EB35-4740-B970-09EC1CE17B07}"/>
    <hyperlink ref="C1853" r:id="rId5556" display="https://statiz.sporki.com/add/?m=draft_school02&amp;ps_school=60101" xr:uid="{AA04331B-812C-4DE9-9AC3-14455A9B32BE}"/>
    <hyperlink ref="A1854" r:id="rId5557" display="https://statiz.sporki.com/player/?m=playerinfo&amp;p_no=10437" xr:uid="{C2E0C162-2533-4C96-8051-77ABEC885D90}"/>
    <hyperlink ref="B1854" r:id="rId5558" display="https://statiz.sporki.com/add/?m=draft_school01&amp;ps_school=50114" xr:uid="{8B4DDFEB-2412-4666-ADC6-EEF075D02B3E}"/>
    <hyperlink ref="C1854" r:id="rId5559" display="https://statiz.sporki.com/add/?m=draft_school02&amp;ps_school=" xr:uid="{01EBEE96-00EB-4462-9908-83C85EF6DD27}"/>
    <hyperlink ref="A1855" r:id="rId5560" display="https://statiz.sporki.com/player/?m=playerinfo&amp;p_no=10922" xr:uid="{C4D5D4FD-9E53-4051-9075-01F74D0CB00B}"/>
    <hyperlink ref="B1855" r:id="rId5561" display="https://statiz.sporki.com/add/?m=draft_school01&amp;ps_school=50802" xr:uid="{E45A0A64-BD7E-42CD-BBD6-8ED91940876E}"/>
    <hyperlink ref="C1855" r:id="rId5562" display="https://statiz.sporki.com/add/?m=draft_school02&amp;ps_school=" xr:uid="{5D976E69-A7D0-4966-9905-AC352D30AC90}"/>
    <hyperlink ref="A1856" r:id="rId5563" display="https://statiz.sporki.com/player/?m=playerinfo&amp;p_no=11160" xr:uid="{A77177E0-867C-4F95-B0BE-B493291DC75C}"/>
    <hyperlink ref="B1856" r:id="rId5564" display="https://statiz.sporki.com/add/?m=draft_school01&amp;ps_school=50114" xr:uid="{D04C2967-3FA5-40DA-9C34-F33AB0201BC0}"/>
    <hyperlink ref="C1856" r:id="rId5565" display="https://statiz.sporki.com/add/?m=draft_school02&amp;ps_school=60104" xr:uid="{2B52425F-8E6C-45FC-B04F-469512BE454E}"/>
    <hyperlink ref="A1857" r:id="rId5566" display="https://statiz.sporki.com/player/?m=playerinfo&amp;p_no=10403" xr:uid="{30BC93B0-CFCE-406A-B83C-19CD52F78915}"/>
    <hyperlink ref="B1857" r:id="rId5567" display="https://statiz.sporki.com/add/?m=draft_school01&amp;ps_school=50807" xr:uid="{8D825F81-762D-48DB-8B20-FA0C7E5FDFBE}"/>
    <hyperlink ref="C1857" r:id="rId5568" display="https://statiz.sporki.com/add/?m=draft_school02&amp;ps_school=60802" xr:uid="{C807D2FB-07E0-4D2D-9CE2-A6E70E129154}"/>
    <hyperlink ref="A1858" r:id="rId5569" display="https://statiz.sporki.com/player/?m=playerinfo&amp;p_no=10019" xr:uid="{E4743A9B-A318-44DC-84C9-A4606C9D2921}"/>
    <hyperlink ref="B1858" r:id="rId5570" display="https://statiz.sporki.com/add/?m=draft_school01&amp;ps_school=50110" xr:uid="{5E526B80-F988-42CC-A9F8-63E8C4BD7730}"/>
    <hyperlink ref="C1858" r:id="rId5571" display="https://statiz.sporki.com/add/?m=draft_school02&amp;ps_school=" xr:uid="{B8995D6C-C141-4AE1-A1D6-C8E268F3BE2F}"/>
    <hyperlink ref="A1859" r:id="rId5572" display="https://statiz.sporki.com/player/?m=playerinfo&amp;p_no=10609" xr:uid="{26905566-2E40-430B-A3C1-F832D3C31A04}"/>
    <hyperlink ref="B1859" r:id="rId5573" display="https://statiz.sporki.com/add/?m=draft_school01&amp;ps_school=50606" xr:uid="{F7F4D44C-A7A7-408D-B5A2-AF5DDB27FC0D}"/>
    <hyperlink ref="C1859" r:id="rId5574" display="https://statiz.sporki.com/add/?m=draft_school02&amp;ps_school=" xr:uid="{1829AA3D-BB41-41F5-B7B6-F2A24C4F8F9D}"/>
    <hyperlink ref="A1860" r:id="rId5575" display="https://statiz.sporki.com/player/?m=playerinfo&amp;p_no=10356" xr:uid="{F25FC037-C6CD-4287-A1A8-ECDE6E6C48DF}"/>
    <hyperlink ref="B1860" r:id="rId5576" display="https://statiz.sporki.com/add/?m=draft_school01&amp;ps_school=50109" xr:uid="{E16FCC15-1217-476F-A281-2293780A0090}"/>
    <hyperlink ref="C1860" r:id="rId5577" display="https://statiz.sporki.com/add/?m=draft_school02&amp;ps_school=60204" xr:uid="{5C32D6F4-D87D-40F5-925A-11146F1E0D7F}"/>
    <hyperlink ref="A1861" r:id="rId5578" display="https://statiz.sporki.com/player/?m=playerinfo&amp;p_no=10233" xr:uid="{02BEA2CE-5122-4D75-8F4F-D5ED51392387}"/>
    <hyperlink ref="B1861" r:id="rId5579" display="https://statiz.sporki.com/add/?m=draft_school01&amp;ps_school=50109" xr:uid="{2655939B-E044-4F27-9AF2-DA72489326F4}"/>
    <hyperlink ref="C1861" r:id="rId5580" display="https://statiz.sporki.com/add/?m=draft_school02&amp;ps_school=60111" xr:uid="{1A53D693-4771-48EA-AA9C-F07EE6009198}"/>
    <hyperlink ref="A1862" r:id="rId5581" display="https://statiz.sporki.com/player/?m=playerinfo&amp;p_no=10185" xr:uid="{6F431ADB-E802-4AA4-901A-AF8956917D5A}"/>
    <hyperlink ref="B1862" r:id="rId5582" display="https://statiz.sporki.com/add/?m=draft_school01&amp;ps_school=50802" xr:uid="{9C6C147B-4E4F-41B6-986D-CF0B64D47D99}"/>
    <hyperlink ref="C1862" r:id="rId5583" display="https://statiz.sporki.com/add/?m=draft_school02&amp;ps_school=" xr:uid="{D265F386-7D8F-4D06-89CF-34617E601F08}"/>
    <hyperlink ref="A1863" r:id="rId5584" display="https://statiz.sporki.com/player/?m=playerinfo&amp;p_no=10104" xr:uid="{138C1735-4C00-4EEA-828F-44ADF69BD75F}"/>
    <hyperlink ref="B1863" r:id="rId5585" display="https://statiz.sporki.com/add/?m=draft_school01&amp;ps_school=50108" xr:uid="{9574DC3B-5C04-4CAA-B00A-01F81A4C73A9}"/>
    <hyperlink ref="C1863" r:id="rId5586" display="https://statiz.sporki.com/add/?m=draft_school02&amp;ps_school=60114" xr:uid="{F890AE11-BB66-4BED-8B6E-9D36E543DF33}"/>
    <hyperlink ref="A1864" r:id="rId5587" display="https://statiz.sporki.com/player/?m=playerinfo&amp;p_no=10146" xr:uid="{EFE0AAAB-977E-4CC7-9454-1E143541D6AB}"/>
    <hyperlink ref="B1864" r:id="rId5588" display="https://statiz.sporki.com/add/?m=draft_school01&amp;ps_school=50803" xr:uid="{C0FF0387-D04C-42B6-B03F-9CB6F52E3CDF}"/>
    <hyperlink ref="C1864" r:id="rId5589" display="https://statiz.sporki.com/add/?m=draft_school02&amp;ps_school=60802" xr:uid="{291FD409-2613-4D4A-A95E-3B88F846992A}"/>
    <hyperlink ref="A1865" r:id="rId5590" display="https://statiz.sporki.com/player/?m=playerinfo&amp;p_no=10308" xr:uid="{BCEE396D-0E30-499E-B09A-57B981C42DB7}"/>
    <hyperlink ref="B1865" r:id="rId5591" display="https://statiz.sporki.com/add/?m=draft_school01&amp;ps_school=50108" xr:uid="{D701368E-1F33-48DB-BFDD-F1F3F908CCFD}"/>
    <hyperlink ref="C1865" r:id="rId5592" display="https://statiz.sporki.com/add/?m=draft_school02&amp;ps_school=60114" xr:uid="{553EED85-C9D9-43F0-8518-DCEE034D94C6}"/>
    <hyperlink ref="A1866" r:id="rId5593" display="https://statiz.sporki.com/player/?m=playerinfo&amp;p_no=10338" xr:uid="{F1B3C7A9-B85F-4485-BA9D-DC63827D48C4}"/>
    <hyperlink ref="B1866" r:id="rId5594" display="https://statiz.sporki.com/add/?m=draft_school01&amp;ps_school=50703" xr:uid="{5A6FAA56-16B3-443C-A6DE-C8900D37D8B9}"/>
    <hyperlink ref="C1866" r:id="rId5595" display="https://statiz.sporki.com/add/?m=draft_school02&amp;ps_school=60703" xr:uid="{52052CF9-99D8-4CD6-89E6-FE48638A5E7F}"/>
    <hyperlink ref="A1867" r:id="rId5596" display="https://statiz.sporki.com/player/?m=playerinfo&amp;p_no=10549" xr:uid="{E69F184C-DB28-4868-9D88-26EFDD514BAC}"/>
    <hyperlink ref="B1867" r:id="rId5597" display="https://statiz.sporki.com/add/?m=draft_school01&amp;ps_school=50107" xr:uid="{80F60205-7940-4A02-B940-896BB6994869}"/>
    <hyperlink ref="C1867" r:id="rId5598" display="https://statiz.sporki.com/add/?m=draft_school02&amp;ps_school=" xr:uid="{F3ECEDF1-483F-4AF6-BFA8-0746CC6916D3}"/>
    <hyperlink ref="A1868" r:id="rId5599" display="https://statiz.sporki.com/player/?m=playerinfo&amp;p_no=10002" xr:uid="{48C4944E-2E33-4FBD-8473-621644147098}"/>
    <hyperlink ref="B1868" r:id="rId5600" display="https://statiz.sporki.com/add/?m=draft_school01&amp;ps_school=50703" xr:uid="{39ACDF66-6BB1-46F1-9B7B-957CBA707EFE}"/>
    <hyperlink ref="C1868" r:id="rId5601" display="https://statiz.sporki.com/add/?m=draft_school02&amp;ps_school=60703" xr:uid="{DA45B569-1A51-42C4-8EBE-F3028A8FBBBE}"/>
    <hyperlink ref="A1869" r:id="rId5602" display="https://statiz.sporki.com/player/?m=playerinfo&amp;p_no=10760" xr:uid="{E7FFEFEC-B093-4CFE-9543-1E4C5323A320}"/>
    <hyperlink ref="B1869" r:id="rId5603" display="https://statiz.sporki.com/add/?m=draft_school01&amp;ps_school=50109" xr:uid="{7905EAFC-D9F6-4D5A-A722-C7F675945435}"/>
    <hyperlink ref="C1869" r:id="rId5604" display="https://statiz.sporki.com/add/?m=draft_school02&amp;ps_school=60106" xr:uid="{ECBAEBAA-6B3E-4115-88D2-77F8BB414757}"/>
    <hyperlink ref="A1870" r:id="rId5605" display="https://statiz.sporki.com/player/?m=playerinfo&amp;p_no=10924" xr:uid="{67756564-DDF7-4CE3-9EF2-F97114194E80}"/>
    <hyperlink ref="B1870" r:id="rId5606" display="https://statiz.sporki.com/add/?m=draft_school01&amp;ps_school=50805" xr:uid="{746A4143-F281-4556-8569-0CC02C6817C0}"/>
    <hyperlink ref="C1870" r:id="rId5607" display="https://statiz.sporki.com/add/?m=draft_school02&amp;ps_school=" xr:uid="{10A206D1-8324-4B97-B9D0-C76E941CF28E}"/>
    <hyperlink ref="A1871" r:id="rId5608" display="https://statiz.sporki.com/player/?m=playerinfo&amp;p_no=10757" xr:uid="{4BABA0E7-BD71-4F4B-BDF0-4639AA27C660}"/>
    <hyperlink ref="B1871" r:id="rId5609" display="https://statiz.sporki.com/add/?m=draft_school01&amp;ps_school=50703" xr:uid="{9ABD3EFF-E6E7-4A5D-85FC-22EF0EE41A2E}"/>
    <hyperlink ref="C1871" r:id="rId5610" display="https://statiz.sporki.com/add/?m=draft_school02&amp;ps_school=" xr:uid="{5AA5DD7D-1483-4971-BD3F-9A4C1AFD2AF1}"/>
    <hyperlink ref="A1872" r:id="rId5611" display="https://statiz.sporki.com/player/?m=playerinfo&amp;p_no=10391" xr:uid="{F11B6650-96B2-400D-B763-0E365CDD1785}"/>
    <hyperlink ref="B1872" r:id="rId5612" display="https://statiz.sporki.com/add/?m=draft_school01&amp;ps_school=50101" xr:uid="{F0F4BDF1-45BF-40A1-94E6-27C80043346D}"/>
    <hyperlink ref="C1872" r:id="rId5613" display="https://statiz.sporki.com/add/?m=draft_school02&amp;ps_school=60113" xr:uid="{A33E5375-1CED-438F-964D-25718D7E6E26}"/>
    <hyperlink ref="A1873" r:id="rId5614" display="https://statiz.sporki.com/player/?m=playerinfo&amp;p_no=10027" xr:uid="{D6D359DA-8599-4229-91C7-3470F7BDFD8E}"/>
    <hyperlink ref="B1873" r:id="rId5615" display="https://statiz.sporki.com/add/?m=draft_school01&amp;ps_school=50805" xr:uid="{C24BD009-8B87-41AC-A202-CA98A72932BE}"/>
    <hyperlink ref="C1873" r:id="rId5616" display="https://statiz.sporki.com/add/?m=draft_school02&amp;ps_school=60103" xr:uid="{A89D7FA3-E5F2-466B-B9CE-F3C46B9A212D}"/>
    <hyperlink ref="A1874" r:id="rId5617" display="https://statiz.sporki.com/player/?m=playerinfo&amp;p_no=10583" xr:uid="{6EFB379D-19F3-4C2E-8713-0A3D37A3862B}"/>
    <hyperlink ref="B1874" r:id="rId5618" display="https://statiz.sporki.com/add/?m=draft_school01&amp;ps_school=50202" xr:uid="{35F7F9B9-8793-4404-B7BA-104712CF8856}"/>
    <hyperlink ref="C1874" r:id="rId5619" display="https://statiz.sporki.com/add/?m=draft_school02&amp;ps_school=" xr:uid="{E960CF0B-FB45-4953-8A46-97A74C55F9C3}"/>
    <hyperlink ref="A1875" r:id="rId5620" display="https://statiz.sporki.com/player/?m=playerinfo&amp;p_no=10369" xr:uid="{C1DD6C65-183B-44F3-9434-5D1E2B088B91}"/>
    <hyperlink ref="B1875" r:id="rId5621" display="https://statiz.sporki.com/add/?m=draft_school01&amp;ps_school=50403" xr:uid="{EA70C7CB-C9F2-4618-ADF9-FEC6A455A171}"/>
    <hyperlink ref="C1875" r:id="rId5622" display="https://statiz.sporki.com/add/?m=draft_school02&amp;ps_school=60602" xr:uid="{894B2AFD-8396-4630-B3C1-A3F473765BAF}"/>
    <hyperlink ref="A1876" r:id="rId5623" display="https://statiz.sporki.com/player/?m=playerinfo&amp;p_no=10801" xr:uid="{3FC802FD-F8CA-4369-885F-C987ABE650BA}"/>
    <hyperlink ref="B1876" r:id="rId5624" display="https://statiz.sporki.com/add/?m=draft_school01&amp;ps_school=50115" xr:uid="{C92D2E11-8891-4A62-B880-AEA9913A1D13}"/>
    <hyperlink ref="C1876" r:id="rId5625" display="https://statiz.sporki.com/add/?m=draft_school02&amp;ps_school=60100" xr:uid="{700A3593-E752-40CD-B305-6EBFD9EA5FCF}"/>
    <hyperlink ref="A1877" r:id="rId5626" display="https://statiz.sporki.com/player/?m=playerinfo&amp;p_no=10122" xr:uid="{024654EF-BC50-4E20-B2C3-EBC0E9786583}"/>
    <hyperlink ref="B1877" r:id="rId5627" display="https://statiz.sporki.com/add/?m=draft_school01&amp;ps_school=50903" xr:uid="{22D75745-AD24-4FDC-B4C9-14AE8131C361}"/>
    <hyperlink ref="C1877" r:id="rId5628" display="https://statiz.sporki.com/add/?m=draft_school02&amp;ps_school=60404" xr:uid="{438EC9BE-F298-4D25-8275-E7B94CEF18F1}"/>
    <hyperlink ref="A1878" r:id="rId5629" display="https://statiz.sporki.com/player/?m=playerinfo&amp;p_no=10352" xr:uid="{326B68CD-FD04-4068-B350-FD8A52BAE4E9}"/>
    <hyperlink ref="B1878" r:id="rId5630" display="https://statiz.sporki.com/add/?m=draft_school01&amp;ps_school=50801" xr:uid="{569E23E5-AFC4-46C2-87EC-62FCCB8AF20F}"/>
    <hyperlink ref="C1878" r:id="rId5631" display="https://statiz.sporki.com/add/?m=draft_school02&amp;ps_school=" xr:uid="{39F23B3B-DCFA-4CAA-A079-F4302B574322}"/>
    <hyperlink ref="A1879" r:id="rId5632" display="https://statiz.sporki.com/player/?m=playerinfo&amp;p_no=10065" xr:uid="{602DFABC-F927-4FF9-B0C3-15BAE4255A24}"/>
    <hyperlink ref="B1879" r:id="rId5633" display="https://statiz.sporki.com/add/?m=draft_school01&amp;ps_school=50114" xr:uid="{0AD80F5A-C1FF-402A-8B73-29A336580B9D}"/>
    <hyperlink ref="C1879" r:id="rId5634" display="https://statiz.sporki.com/add/?m=draft_school02&amp;ps_school=" xr:uid="{6D62ABCA-13D0-4FDB-8A5B-D5D81BF8FA2B}"/>
    <hyperlink ref="A1880" r:id="rId5635" display="https://statiz.sporki.com/player/?m=playerinfo&amp;p_no=10415" xr:uid="{C0F659EF-C0B8-42C4-A83F-561FAEA71368}"/>
    <hyperlink ref="B1880" r:id="rId5636" display="https://statiz.sporki.com/add/?m=draft_school01&amp;ps_school=50807" xr:uid="{0AC6E053-AD05-45C9-9B45-C3229226D7E0}"/>
    <hyperlink ref="C1880" r:id="rId5637" display="https://statiz.sporki.com/add/?m=draft_school02&amp;ps_school=60804" xr:uid="{709D0C8B-556C-4CB2-AA48-7DEAE0BADAE3}"/>
    <hyperlink ref="A1881" r:id="rId5638" display="https://statiz.sporki.com/player/?m=playerinfo&amp;p_no=10923" xr:uid="{87C34CD8-DF96-4821-833F-751A9A8026EE}"/>
    <hyperlink ref="B1881" r:id="rId5639" display="https://statiz.sporki.com/add/?m=draft_school01&amp;ps_school=50207" xr:uid="{88FC4F5B-65E5-498D-98E7-037235F2E637}"/>
    <hyperlink ref="C1881" r:id="rId5640" display="https://statiz.sporki.com/add/?m=draft_school02&amp;ps_school=" xr:uid="{73CE96DF-CCC9-474E-B285-609400FD5C5A}"/>
    <hyperlink ref="A1882" r:id="rId5641" display="https://statiz.sporki.com/player/?m=playerinfo&amp;p_no=10335" xr:uid="{C14CE398-D0CD-4EB0-920F-0E6C68AF47D4}"/>
    <hyperlink ref="B1882" r:id="rId5642" display="https://statiz.sporki.com/add/?m=draft_school01&amp;ps_school=50803" xr:uid="{0AC38E8D-7777-46FE-AE51-7133C791E2D1}"/>
    <hyperlink ref="C1882" r:id="rId5643" display="https://statiz.sporki.com/add/?m=draft_school02&amp;ps_school=60702" xr:uid="{48951850-C781-4959-9795-88FA87D2DD2A}"/>
    <hyperlink ref="A1883" r:id="rId5644" display="https://statiz.sporki.com/player/?m=playerinfo&amp;p_no=10747" xr:uid="{57F32371-895E-4D83-BEFD-F4320C0F39B5}"/>
    <hyperlink ref="B1883" r:id="rId5645" display="https://statiz.sporki.com/add/?m=draft_school01&amp;ps_school=50112" xr:uid="{D1D23581-9291-4ED9-8C58-3BB45E692E68}"/>
    <hyperlink ref="C1883" r:id="rId5646" display="https://statiz.sporki.com/add/?m=draft_school02&amp;ps_school=60301" xr:uid="{D8AF0C8B-CF95-46C6-8B31-C6B4B7A3DCE5}"/>
    <hyperlink ref="A1884" r:id="rId5647" display="https://statiz.sporki.com/player/?m=playerinfo&amp;p_no=10405" xr:uid="{DA1794C7-70E4-41AB-BD00-B5D9466910F1}"/>
    <hyperlink ref="B1884" r:id="rId5648" display="https://statiz.sporki.com/add/?m=draft_school01&amp;ps_school=50105" xr:uid="{BA148144-B380-444E-9AF9-41A45D91565B}"/>
    <hyperlink ref="C1884" r:id="rId5649" display="https://statiz.sporki.com/add/?m=draft_school02&amp;ps_school=60703" xr:uid="{B3E2C61B-5512-4F3E-B270-5095F345B728}"/>
    <hyperlink ref="A1885" r:id="rId5650" display="https://statiz.sporki.com/player/?m=playerinfo&amp;p_no=10162" xr:uid="{65FCE740-E6C9-4504-A6EA-DEC77BAC15D1}"/>
    <hyperlink ref="B1885" r:id="rId5651" display="https://statiz.sporki.com/add/?m=draft_school01&amp;ps_school=50112" xr:uid="{8EC2FFBE-80AA-4244-AD4C-4C524FD60CF1}"/>
    <hyperlink ref="C1885" r:id="rId5652" display="https://statiz.sporki.com/add/?m=draft_school02&amp;ps_school=60108" xr:uid="{D631F8F7-F599-4598-ADB2-DB14DDC45AEE}"/>
    <hyperlink ref="A1886" r:id="rId5653" display="https://statiz.sporki.com/player/?m=playerinfo&amp;p_no=10047" xr:uid="{AF2792BA-0D2B-49D2-9626-760BCD9942DE}"/>
    <hyperlink ref="B1886" r:id="rId5654" display="https://statiz.sporki.com/add/?m=draft_school01&amp;ps_school=" xr:uid="{768091BC-12D4-40A8-A654-735126E8FA75}"/>
    <hyperlink ref="C1886" r:id="rId5655" display="https://statiz.sporki.com/add/?m=draft_school02&amp;ps_school=" xr:uid="{441BB059-B1A7-46F9-9D1F-C4F6C4D735BC}"/>
    <hyperlink ref="A1887" r:id="rId5656" display="https://statiz.sporki.com/player/?m=playerinfo&amp;p_no=2436" xr:uid="{4F106372-4EE0-4EC3-BBFC-27D8493194CB}"/>
    <hyperlink ref="B1887" r:id="rId5657" display="https://statiz.sporki.com/add/?m=draft_school01&amp;ps_school=" xr:uid="{918BD4E6-47AF-43FD-83C1-B9DA25317463}"/>
    <hyperlink ref="C1887" r:id="rId5658" display="https://statiz.sporki.com/add/?m=draft_school02&amp;ps_school=" xr:uid="{6D3F88A3-BA4D-4CD1-B1CE-C80F8FADA81F}"/>
    <hyperlink ref="A1888" r:id="rId5659" display="https://statiz.sporki.com/player/?m=playerinfo&amp;p_no=2433" xr:uid="{EF349E62-41B5-4E20-9AB6-05481589CC7D}"/>
    <hyperlink ref="B1888" r:id="rId5660" display="https://statiz.sporki.com/add/?m=draft_school01&amp;ps_school=" xr:uid="{E775CF04-AD6D-44C2-B0FA-795DB8DC410F}"/>
    <hyperlink ref="C1888" r:id="rId5661" display="https://statiz.sporki.com/add/?m=draft_school02&amp;ps_school=" xr:uid="{63891DDF-5406-434E-B30D-D502753F3B8B}"/>
    <hyperlink ref="A1889" r:id="rId5662" display="https://statiz.sporki.com/player/?m=playerinfo&amp;p_no=10520" xr:uid="{BE5D9087-F5B4-494F-A1CA-7FBB81DEC960}"/>
    <hyperlink ref="B1889" r:id="rId5663" display="https://statiz.sporki.com/add/?m=draft_school01&amp;ps_school=" xr:uid="{8FCEFD77-EE13-4802-A49A-9067BF275990}"/>
    <hyperlink ref="C1889" r:id="rId5664" display="https://statiz.sporki.com/add/?m=draft_school02&amp;ps_school=" xr:uid="{845948F0-B5FF-45AF-B5B8-0977109A2F0C}"/>
    <hyperlink ref="A1890" r:id="rId5665" display="https://statiz.sporki.com/player/?m=playerinfo&amp;p_no=10499" xr:uid="{CC839365-47DD-402A-AE10-EED32219461E}"/>
    <hyperlink ref="B1890" r:id="rId5666" display="https://statiz.sporki.com/add/?m=draft_school01&amp;ps_school=" xr:uid="{6C346902-8CC7-470B-A2A9-116C108651D6}"/>
    <hyperlink ref="C1890" r:id="rId5667" display="https://statiz.sporki.com/add/?m=draft_school02&amp;ps_school=" xr:uid="{AEAD7658-2AF0-403F-910C-A37F9EBE48A6}"/>
    <hyperlink ref="A1891" r:id="rId5668" display="https://statiz.sporki.com/player/?m=playerinfo&amp;p_no=2434" xr:uid="{06CDC852-85AB-4950-B267-A396E14E05D5}"/>
    <hyperlink ref="B1891" r:id="rId5669" display="https://statiz.sporki.com/add/?m=draft_school01&amp;ps_school=" xr:uid="{5B199FCD-0A72-41D4-A07A-32391A305980}"/>
    <hyperlink ref="C1891" r:id="rId5670" display="https://statiz.sporki.com/add/?m=draft_school02&amp;ps_school=" xr:uid="{4DF9C1E5-387B-418E-8490-D0714157E03D}"/>
    <hyperlink ref="A1892" r:id="rId5671" display="https://statiz.sporki.com/player/?m=playerinfo&amp;p_no=10441" xr:uid="{FDA4454E-52A0-4A02-ACB9-4A3AB6E52A7E}"/>
    <hyperlink ref="B1892" r:id="rId5672" display="https://statiz.sporki.com/add/?m=draft_school01&amp;ps_school=" xr:uid="{3C96CAD5-46CD-42D8-B85D-479B8927C023}"/>
    <hyperlink ref="C1892" r:id="rId5673" display="https://statiz.sporki.com/add/?m=draft_school02&amp;ps_school=" xr:uid="{93710014-2FB7-4D51-BDC0-80A70139846D}"/>
    <hyperlink ref="A1893" r:id="rId5674" display="https://statiz.sporki.com/player/?m=playerinfo&amp;p_no=10231" xr:uid="{D11A3D08-501C-40A5-B1A1-318EFA98EDCE}"/>
    <hyperlink ref="B1893" r:id="rId5675" display="https://statiz.sporki.com/add/?m=draft_school01&amp;ps_school=" xr:uid="{70230AFB-433A-4A6F-94C0-9C510BBA0670}"/>
    <hyperlink ref="C1893" r:id="rId5676" display="https://statiz.sporki.com/add/?m=draft_school02&amp;ps_school=" xr:uid="{51D5852B-6642-4F9E-B7CA-928BA8BD0140}"/>
    <hyperlink ref="A1894" r:id="rId5677" display="https://statiz.sporki.com/player/?m=playerinfo&amp;p_no=10282" xr:uid="{C9C95988-8998-4120-8F08-ACB34EB35427}"/>
    <hyperlink ref="B1894" r:id="rId5678" display="https://statiz.sporki.com/add/?m=draft_school01&amp;ps_school=" xr:uid="{BF4B07AD-356E-4CB0-A2C8-51C4EA48CB09}"/>
    <hyperlink ref="C1894" r:id="rId5679" display="https://statiz.sporki.com/add/?m=draft_school02&amp;ps_school=" xr:uid="{A95F05A9-E0F7-4820-9D86-9B6F2E4760B5}"/>
    <hyperlink ref="A1895" r:id="rId5680" display="https://statiz.sporki.com/player/?m=playerinfo&amp;p_no=2432" xr:uid="{0FAACCEA-A81F-457C-985E-1BE7901321AA}"/>
    <hyperlink ref="B1895" r:id="rId5681" display="https://statiz.sporki.com/add/?m=draft_school01&amp;ps_school=" xr:uid="{5E4A5492-7AC5-42EF-B4CF-E5A4920CCC20}"/>
    <hyperlink ref="C1895" r:id="rId5682" display="https://statiz.sporki.com/add/?m=draft_school02&amp;ps_school=" xr:uid="{1628E884-5821-4CFA-A109-78B9F0AA1CD6}"/>
    <hyperlink ref="A1896" r:id="rId5683" display="https://statiz.sporki.com/player/?m=playerinfo&amp;p_no=10589" xr:uid="{971948C3-F4B8-469A-A59C-F6290722C5B6}"/>
    <hyperlink ref="B1896" r:id="rId5684" display="https://statiz.sporki.com/add/?m=draft_school01&amp;ps_school=" xr:uid="{592A6F58-B13D-48AB-8CAF-3F9091E39F55}"/>
    <hyperlink ref="C1896" r:id="rId5685" display="https://statiz.sporki.com/add/?m=draft_school02&amp;ps_school=" xr:uid="{F384EE6A-05A6-41BC-AACE-D6EA88C42E45}"/>
    <hyperlink ref="A1897" r:id="rId5686" display="https://statiz.sporki.com/player/?m=playerinfo&amp;p_no=2435" xr:uid="{CF7CE390-765A-411A-98BF-50C45517927B}"/>
    <hyperlink ref="B1897" r:id="rId5687" display="https://statiz.sporki.com/add/?m=draft_school01&amp;ps_school=" xr:uid="{C51A1474-328E-46EC-BFC4-FD91324A7B2A}"/>
    <hyperlink ref="C1897" r:id="rId5688" display="https://statiz.sporki.com/add/?m=draft_school02&amp;ps_school=" xr:uid="{7BE0D74D-A142-4E07-A029-EB2B1B1806E6}"/>
    <hyperlink ref="A1898" r:id="rId5689" display="https://statiz.sporki.com/player/?m=playerinfo&amp;p_no=10619" xr:uid="{76C1A929-7DC5-44B9-B7BC-54B4B04B3642}"/>
    <hyperlink ref="B1898" r:id="rId5690" display="https://statiz.sporki.com/add/?m=draft_school01&amp;ps_school=" xr:uid="{1867B257-D413-4050-9F60-E29836EA35E5}"/>
    <hyperlink ref="C1898" r:id="rId5691" display="https://statiz.sporki.com/add/?m=draft_school02&amp;ps_school=" xr:uid="{9AE7591D-69EC-4D96-9F5B-45D368BB4DBA}"/>
    <hyperlink ref="A1899" r:id="rId5692" display="https://statiz.sporki.com/player/?m=playerinfo&amp;p_no=11466" xr:uid="{B892B637-AF44-4D9D-85FF-F9FA39877BBF}"/>
    <hyperlink ref="B1899" r:id="rId5693" display="https://statiz.sporki.com/add/?m=draft_school01&amp;ps_school=50103" xr:uid="{A68E4593-7B34-4FF9-9AB8-2606EA75E823}"/>
    <hyperlink ref="C1899" r:id="rId5694" display="https://statiz.sporki.com/add/?m=draft_school02&amp;ps_school=60102" xr:uid="{06E419D4-00E5-4559-A819-40CE516588D7}"/>
    <hyperlink ref="A1900" r:id="rId5695" display="https://statiz.sporki.com/player/?m=playerinfo&amp;p_no=13280" xr:uid="{462E65E5-F5D8-4952-904D-4F79A8319905}"/>
    <hyperlink ref="B1900" r:id="rId5696" display="https://statiz.sporki.com/add/?m=draft_school01&amp;ps_school=50107" xr:uid="{B81E300C-B077-4C69-BCDC-A49373F0890E}"/>
    <hyperlink ref="C1900" r:id="rId5697" display="https://statiz.sporki.com/add/?m=draft_school02&amp;ps_school=60203" xr:uid="{74206EC4-BDCD-4847-B90A-DB0CF704970E}"/>
    <hyperlink ref="A1901" r:id="rId5698" display="https://statiz.sporki.com/player/?m=playerinfo&amp;p_no=13278" xr:uid="{8CFCFD44-D8AF-484A-87F4-CA204F338AB0}"/>
    <hyperlink ref="B1901" r:id="rId5699" display="https://statiz.sporki.com/add/?m=draft_school01&amp;ps_school=50904" xr:uid="{8B5FA6EA-0C7D-47EB-A1DE-04A9D690F53A}"/>
    <hyperlink ref="C1901" r:id="rId5700" display="https://statiz.sporki.com/add/?m=draft_school02&amp;ps_school=60804" xr:uid="{F7077A3D-922A-4841-A586-2A07BA023EC8}"/>
    <hyperlink ref="A1902" r:id="rId5701" display="https://statiz.sporki.com/player/?m=playerinfo&amp;p_no=10875" xr:uid="{4287AEF7-3C7B-4326-9721-685B4AD21D9C}"/>
    <hyperlink ref="B1902" r:id="rId5702" display="https://statiz.sporki.com/add/?m=draft_school01&amp;ps_school=50705" xr:uid="{DE2B8F71-F72A-4A49-BABE-F9192B177089}"/>
    <hyperlink ref="C1902" r:id="rId5703" display="https://statiz.sporki.com/add/?m=draft_school02&amp;ps_school=" xr:uid="{14F7214A-1309-40FE-B064-1F8FE9954D8F}"/>
    <hyperlink ref="A1903" r:id="rId5704" display="https://statiz.sporki.com/player/?m=playerinfo&amp;p_no=11304" xr:uid="{F9231308-9393-4AE6-9979-288753D59362}"/>
    <hyperlink ref="B1903" r:id="rId5705" display="https://statiz.sporki.com/add/?m=draft_school01&amp;ps_school=50403" xr:uid="{E4C9F704-81AC-4688-BE77-64C4BCFC8982}"/>
    <hyperlink ref="C1903" r:id="rId5706" display="https://statiz.sporki.com/add/?m=draft_school02&amp;ps_school=60108" xr:uid="{582954D8-CEFA-40D1-B58F-EB03619FD14E}"/>
    <hyperlink ref="A1904" r:id="rId5707" display="https://statiz.sporki.com/player/?m=playerinfo&amp;p_no=10703" xr:uid="{EE0CD238-A1AE-40A9-955B-E0ED0FABD2C5}"/>
    <hyperlink ref="B1904" r:id="rId5708" display="https://statiz.sporki.com/add/?m=draft_school01&amp;ps_school=50501" xr:uid="{37FAD06A-5981-49CA-8D6F-F926726A67FD}"/>
    <hyperlink ref="C1904" r:id="rId5709" display="https://statiz.sporki.com/add/?m=draft_school02&amp;ps_school=60103" xr:uid="{87125DB8-8812-4FFD-9E59-AC42A7B0BC46}"/>
    <hyperlink ref="A1905" r:id="rId5710" display="https://statiz.sporki.com/player/?m=playerinfo&amp;p_no=10797" xr:uid="{98072EFE-243A-497E-B980-3B2116D03F5F}"/>
    <hyperlink ref="B1905" r:id="rId5711" display="https://statiz.sporki.com/add/?m=draft_school01&amp;ps_school=50101" xr:uid="{1056DD84-0CE0-486E-87D3-D4B403965810}"/>
    <hyperlink ref="C1905" r:id="rId5712" display="https://statiz.sporki.com/add/?m=draft_school02&amp;ps_school=60104" xr:uid="{8D4D0545-5C28-460D-84CA-944A46FBF830}"/>
    <hyperlink ref="A1906" r:id="rId5713" display="https://statiz.sporki.com/player/?m=playerinfo&amp;p_no=10874" xr:uid="{0B63BD8F-E9B6-4CD7-BD58-2A44CF6B1AB6}"/>
    <hyperlink ref="B1906" r:id="rId5714" display="https://statiz.sporki.com/add/?m=draft_school01&amp;ps_school=50403" xr:uid="{1E11E869-32EC-48CD-8AF8-CBCBF5A17EF1}"/>
    <hyperlink ref="C1906" r:id="rId5715" display="https://statiz.sporki.com/add/?m=draft_school02&amp;ps_school=60204" xr:uid="{AE4ADBD7-3A04-47C5-99FC-A16BF54EB382}"/>
    <hyperlink ref="A1907" r:id="rId5716" display="https://statiz.sporki.com/player/?m=playerinfo&amp;p_no=10688" xr:uid="{8956CD0B-2BE7-4BA9-BD51-9A4CEE0169E9}"/>
    <hyperlink ref="B1907" r:id="rId5717" display="https://statiz.sporki.com/add/?m=draft_school01&amp;ps_school=50108" xr:uid="{06DD5F50-3A35-4787-BF07-9D4583A43245}"/>
    <hyperlink ref="C1907" r:id="rId5718" display="https://statiz.sporki.com/add/?m=draft_school02&amp;ps_school=60111" xr:uid="{8A5EC1FF-886C-453B-851E-3F7AFF3A2F86}"/>
    <hyperlink ref="A1908" r:id="rId5719" display="https://statiz.sporki.com/player/?m=playerinfo&amp;p_no=10890" xr:uid="{F4C88AE9-FE84-4D5C-AAC2-7DE49FA642FE}"/>
    <hyperlink ref="B1908" r:id="rId5720" display="https://statiz.sporki.com/add/?m=draft_school01&amp;ps_school=50112" xr:uid="{375D6B77-EA77-41EE-AE77-B69A5ED10F34}"/>
    <hyperlink ref="C1908" r:id="rId5721" display="https://statiz.sporki.com/add/?m=draft_school02&amp;ps_school=" xr:uid="{D18F7264-CABF-4199-A673-BD79D5F86DBB}"/>
    <hyperlink ref="A1909" r:id="rId5722" display="https://statiz.sporki.com/player/?m=playerinfo&amp;p_no=11147" xr:uid="{E4335A11-FAC7-4615-A6D0-60817A7847DB}"/>
    <hyperlink ref="B1909" r:id="rId5723" display="https://statiz.sporki.com/add/?m=draft_school01&amp;ps_school=50705" xr:uid="{4BA8956E-863C-49D4-B128-D38DD000F008}"/>
    <hyperlink ref="C1909" r:id="rId5724" display="https://statiz.sporki.com/add/?m=draft_school02&amp;ps_school=60301" xr:uid="{ECA6027D-863C-4F09-9935-95FF8F7ED53E}"/>
    <hyperlink ref="A1910" r:id="rId5725" display="https://statiz.sporki.com/player/?m=playerinfo&amp;p_no=11331" xr:uid="{C758A32E-4423-4743-93F2-838436133D12}"/>
    <hyperlink ref="B1910" r:id="rId5726" display="https://statiz.sporki.com/add/?m=draft_school01&amp;ps_school=50703" xr:uid="{7BCAB794-A360-4194-A950-83FAAA08DCA9}"/>
    <hyperlink ref="C1910" r:id="rId5727" display="https://statiz.sporki.com/add/?m=draft_school02&amp;ps_school=" xr:uid="{0DBA830C-E5E3-4537-AE46-70323DC171E0}"/>
    <hyperlink ref="A1911" r:id="rId5728" display="https://statiz.sporki.com/player/?m=playerinfo&amp;p_no=12650" xr:uid="{C105F02C-BE4C-4471-B50F-AAA9C8E15445}"/>
    <hyperlink ref="B1911" r:id="rId5729" display="https://statiz.sporki.com/add/?m=draft_school01&amp;ps_school=50703" xr:uid="{F4F20916-CC7F-4023-8795-8D433BA746E0}"/>
    <hyperlink ref="C1911" r:id="rId5730" display="https://statiz.sporki.com/add/?m=draft_school02&amp;ps_school=" xr:uid="{0815047C-B288-45F9-8BC0-250B1F15AA1F}"/>
    <hyperlink ref="A1912" r:id="rId5731" display="https://statiz.sporki.com/player/?m=playerinfo&amp;p_no=11105" xr:uid="{7E3E7744-0CE8-4C6B-9F39-567F46B59A9B}"/>
    <hyperlink ref="B1912" r:id="rId5732" display="https://statiz.sporki.com/add/?m=draft_school01&amp;ps_school=50708" xr:uid="{79C9C88A-B5B1-45A9-98EE-7A521467D32B}"/>
    <hyperlink ref="C1912" r:id="rId5733" display="https://statiz.sporki.com/add/?m=draft_school02&amp;ps_school=60902" xr:uid="{92D9F573-8929-40EC-BB22-BC091133F0A3}"/>
    <hyperlink ref="A1913" r:id="rId5734" display="https://statiz.sporki.com/player/?m=playerinfo&amp;p_no=10071" xr:uid="{987992DC-AEEE-4AE4-A1C0-8CE1FE9EE73A}"/>
    <hyperlink ref="B1913" r:id="rId5735" display="https://statiz.sporki.com/add/?m=draft_school01&amp;ps_school=50602" xr:uid="{66B6AA5F-5F9A-4959-9FF0-187BE2C66DE0}"/>
    <hyperlink ref="C1913" r:id="rId5736" display="https://statiz.sporki.com/add/?m=draft_school02&amp;ps_school=" xr:uid="{220094C4-739C-4AB6-AA93-B4B04ECF78F2}"/>
    <hyperlink ref="A1914" r:id="rId5737" display="https://statiz.sporki.com/player/?m=playerinfo&amp;p_no=10475" xr:uid="{5B6E0E53-4BA8-4085-A666-4A77D4A5F353}"/>
    <hyperlink ref="B1914" r:id="rId5738" display="https://statiz.sporki.com/add/?m=draft_school01&amp;ps_school=50101" xr:uid="{D0326592-A4DA-427A-BD1E-5E7B72AE5B19}"/>
    <hyperlink ref="C1914" r:id="rId5739" display="https://statiz.sporki.com/add/?m=draft_school02&amp;ps_school=" xr:uid="{930AB0B4-CD40-48E5-8C76-90DE50F18A2B}"/>
    <hyperlink ref="A1915" r:id="rId5740" display="https://statiz.sporki.com/player/?m=playerinfo&amp;p_no=10133" xr:uid="{9426ED68-7ADD-4A5F-8B40-D2706F5055C2}"/>
    <hyperlink ref="B1915" r:id="rId5741" display="https://statiz.sporki.com/add/?m=draft_school01&amp;ps_school=50201" xr:uid="{04F0D30A-1D7A-4494-BCE1-45ED16B058AB}"/>
    <hyperlink ref="C1915" r:id="rId5742" display="https://statiz.sporki.com/add/?m=draft_school02&amp;ps_school=" xr:uid="{173449B6-3F92-4151-B901-E7069730560C}"/>
    <hyperlink ref="A1916" r:id="rId5743" display="https://statiz.sporki.com/player/?m=playerinfo&amp;p_no=10208" xr:uid="{A366CB99-E238-4E97-B40D-380AD9274FCB}"/>
    <hyperlink ref="B1916" r:id="rId5744" display="https://statiz.sporki.com/add/?m=draft_school01&amp;ps_school=50103" xr:uid="{607292C2-AFCE-49FB-AED5-DFA5FD426E51}"/>
    <hyperlink ref="C1916" r:id="rId5745" display="https://statiz.sporki.com/add/?m=draft_school02&amp;ps_school=" xr:uid="{09502947-2D34-46FA-B442-D9F5E3AE0B17}"/>
    <hyperlink ref="A1917" r:id="rId5746" display="https://statiz.sporki.com/player/?m=playerinfo&amp;p_no=10289" xr:uid="{747D38DC-7330-407D-B7AE-504F5997EF10}"/>
    <hyperlink ref="B1917" r:id="rId5747" display="https://statiz.sporki.com/add/?m=draft_school01&amp;ps_school=50805" xr:uid="{73FE09CB-DEA1-4279-9F5D-70AAC6E49315}"/>
    <hyperlink ref="C1917" r:id="rId5748" display="https://statiz.sporki.com/add/?m=draft_school02&amp;ps_school=" xr:uid="{573664DD-5652-48D9-B9A1-67D34244AD26}"/>
    <hyperlink ref="A1918" r:id="rId5749" display="https://statiz.sporki.com/player/?m=playerinfo&amp;p_no=10320" xr:uid="{5A277930-9EF4-4B78-ABE2-EA16582B2D21}"/>
    <hyperlink ref="B1918" r:id="rId5750" display="https://statiz.sporki.com/add/?m=draft_school01&amp;ps_school=50701" xr:uid="{3759A817-DE29-42C8-B275-B1D1B0CCAA53}"/>
    <hyperlink ref="C1918" r:id="rId5751" display="https://statiz.sporki.com/add/?m=draft_school02&amp;ps_school=60702" xr:uid="{25C2BEE5-85B1-4F7B-BFE0-63735784E0F2}"/>
    <hyperlink ref="A1919" r:id="rId5752" display="https://statiz.sporki.com/player/?m=playerinfo&amp;p_no=10554" xr:uid="{2DF11567-5B13-4194-97E4-5C9175D5B408}"/>
    <hyperlink ref="B1919" r:id="rId5753" display="https://statiz.sporki.com/add/?m=draft_school01&amp;ps_school=50301" xr:uid="{E34D49E3-7F8B-4492-A7CB-9F903A46F6D9}"/>
    <hyperlink ref="C1919" r:id="rId5754" display="https://statiz.sporki.com/add/?m=draft_school02&amp;ps_school=60802" xr:uid="{817CAD74-8183-4382-9365-69296C199B89}"/>
    <hyperlink ref="A1920" r:id="rId5755" display="https://statiz.sporki.com/player/?m=playerinfo&amp;p_no=10423" xr:uid="{DFE7AF9F-24D8-4182-A0FD-1BA9C864D999}"/>
    <hyperlink ref="B1920" r:id="rId5756" display="https://statiz.sporki.com/add/?m=draft_school01&amp;ps_school=50111" xr:uid="{4172FC50-AB5E-426B-B4E4-3DC600A766F0}"/>
    <hyperlink ref="C1920" r:id="rId5757" display="https://statiz.sporki.com/add/?m=draft_school02&amp;ps_school=" xr:uid="{32F3BF9B-0092-4D46-9FFC-7B1595CFCD39}"/>
    <hyperlink ref="A1921" r:id="rId5758" display="https://statiz.sporki.com/player/?m=playerinfo&amp;p_no=10014" xr:uid="{9F6DB3FD-D0AA-4C95-B4F3-6192E6747A9A}"/>
    <hyperlink ref="B1921" r:id="rId5759" display="https://statiz.sporki.com/add/?m=draft_school01&amp;ps_school=50107" xr:uid="{476BA1D3-3AC3-4117-AEEE-1D63EF27C8B1}"/>
    <hyperlink ref="C1921" r:id="rId5760" display="https://statiz.sporki.com/add/?m=draft_school02&amp;ps_school=" xr:uid="{A90F4F63-0CD2-45A3-990C-9408285F6BBD}"/>
    <hyperlink ref="A1922" r:id="rId5761" display="https://statiz.sporki.com/player/?m=playerinfo&amp;p_no=10301" xr:uid="{7769B317-A6E4-4A86-954A-0768B9386A41}"/>
    <hyperlink ref="B1922" r:id="rId5762" display="https://statiz.sporki.com/add/?m=draft_school01&amp;ps_school=50606" xr:uid="{CE174811-9030-4875-96E1-E69859C6B866}"/>
    <hyperlink ref="C1922" r:id="rId5763" display="https://statiz.sporki.com/add/?m=draft_school02&amp;ps_school=" xr:uid="{0FFE34AD-0385-4F05-86F2-AC85F7C94E8B}"/>
    <hyperlink ref="A1923" r:id="rId5764" display="https://statiz.sporki.com/player/?m=playerinfo&amp;p_no=10404" xr:uid="{D957174F-EAA5-49C3-AA4F-AE001350C0F2}"/>
    <hyperlink ref="B1923" r:id="rId5765" display="https://statiz.sporki.com/add/?m=draft_school01&amp;ps_school=50203" xr:uid="{4C02F564-A977-40D3-8059-0BCA0C98162B}"/>
    <hyperlink ref="C1923" r:id="rId5766" display="https://statiz.sporki.com/add/?m=draft_school02&amp;ps_school=60106" xr:uid="{6AEA4C6C-6A1C-4F4B-BD53-B6AD6F7751E0}"/>
    <hyperlink ref="A1924" r:id="rId5767" display="https://statiz.sporki.com/player/?m=playerinfo&amp;p_no=10539" xr:uid="{FE6C1782-5141-4805-A27A-430428888998}"/>
    <hyperlink ref="B1924" r:id="rId5768" display="https://statiz.sporki.com/add/?m=draft_school01&amp;ps_school=50501" xr:uid="{6F4B2AB3-1066-4793-A23A-61C2628E0C6C}"/>
    <hyperlink ref="C1924" r:id="rId5769" display="https://statiz.sporki.com/add/?m=draft_school02&amp;ps_school=" xr:uid="{BEC44B08-9E01-4606-8430-EBB5B9AF221A}"/>
    <hyperlink ref="A1925" r:id="rId5770" display="https://statiz.sporki.com/player/?m=playerinfo&amp;p_no=10361" xr:uid="{50A3D6A5-1BCB-4E78-9523-2637B58E45C6}"/>
    <hyperlink ref="B1925" r:id="rId5771" display="https://statiz.sporki.com/add/?m=draft_school01&amp;ps_school=50802" xr:uid="{B270A3C9-D38A-466E-BD53-2A286AA7AD51}"/>
    <hyperlink ref="C1925" r:id="rId5772" display="https://statiz.sporki.com/add/?m=draft_school02&amp;ps_school=60702" xr:uid="{2D7C94BE-C0E9-486C-A4B5-57C76803CF07}"/>
    <hyperlink ref="A1926" r:id="rId5773" display="https://statiz.sporki.com/player/?m=playerinfo&amp;p_no=10581" xr:uid="{9B64AA54-FEB1-4A10-B19B-D1E83058019B}"/>
    <hyperlink ref="B1926" r:id="rId5774" display="https://statiz.sporki.com/add/?m=draft_school01&amp;ps_school=50108" xr:uid="{38343D93-F2AD-4D13-B8B4-AE0DDEC6AB27}"/>
    <hyperlink ref="C1926" r:id="rId5775" display="https://statiz.sporki.com/add/?m=draft_school02&amp;ps_school=60501" xr:uid="{7EA24A4B-F877-4C5B-8DB9-577862A612B1}"/>
    <hyperlink ref="A1927" r:id="rId5776" display="https://statiz.sporki.com/player/?m=playerinfo&amp;p_no=10184" xr:uid="{5ACEA44B-4A45-47F5-8A18-ACD65892C167}"/>
    <hyperlink ref="B1927" r:id="rId5777" display="https://statiz.sporki.com/add/?m=draft_school01&amp;ps_school=50602" xr:uid="{31CB2B6A-B934-460A-863E-E4149D6F2C2D}"/>
    <hyperlink ref="C1927" r:id="rId5778" display="https://statiz.sporki.com/add/?m=draft_school02&amp;ps_school=" xr:uid="{67EF9760-D75A-4506-96AE-D083E4F8B7FE}"/>
    <hyperlink ref="A1928" r:id="rId5779" display="https://statiz.sporki.com/player/?m=playerinfo&amp;p_no=10134" xr:uid="{1A040720-BF57-4368-BEC3-C1C50A5281FC}"/>
    <hyperlink ref="B1928" r:id="rId5780" display="https://statiz.sporki.com/add/?m=draft_school01&amp;ps_school=50502" xr:uid="{5B82130E-3CAE-4C60-BFE9-C2149A368ED2}"/>
    <hyperlink ref="C1928" r:id="rId5781" display="https://statiz.sporki.com/add/?m=draft_school02&amp;ps_school=60102" xr:uid="{6BC70E09-AFA8-4745-945B-BCA96870BEC5}"/>
    <hyperlink ref="A1929" r:id="rId5782" display="https://statiz.sporki.com/player/?m=playerinfo&amp;p_no=10095" xr:uid="{7A7774A9-B3D3-4816-94E0-B5A6AE69E3EA}"/>
    <hyperlink ref="B1929" r:id="rId5783" display="https://statiz.sporki.com/add/?m=draft_school01&amp;ps_school=50604" xr:uid="{BA45ABB1-4631-4D61-B90C-0A2DC8E8CFAA}"/>
    <hyperlink ref="C1929" r:id="rId5784" display="https://statiz.sporki.com/add/?m=draft_school02&amp;ps_school=" xr:uid="{62A3452F-2A93-4EC4-95AD-C004739C8315}"/>
    <hyperlink ref="A1930" r:id="rId5785" display="https://statiz.sporki.com/player/?m=playerinfo&amp;p_no=10189" xr:uid="{60F6E29D-97E6-4710-88CD-55E31D927678}"/>
    <hyperlink ref="B1930" r:id="rId5786" display="https://statiz.sporki.com/add/?m=draft_school01&amp;ps_school=50107" xr:uid="{3BF35190-DB78-467A-85F7-2A355B58E230}"/>
    <hyperlink ref="C1930" r:id="rId5787" display="https://statiz.sporki.com/add/?m=draft_school02&amp;ps_school=" xr:uid="{52B90DCC-86A7-4170-9930-DA9725AD58D1}"/>
    <hyperlink ref="A1931" r:id="rId5788" display="https://statiz.sporki.com/player/?m=playerinfo&amp;p_no=10620" xr:uid="{8D9ED574-8510-4570-A8EE-F37B122F16E1}"/>
    <hyperlink ref="B1931" r:id="rId5789" display="https://statiz.sporki.com/add/?m=draft_school01&amp;ps_school=50101" xr:uid="{824557CE-944D-4058-A77A-32AD002D163F}"/>
    <hyperlink ref="C1931" r:id="rId5790" display="https://statiz.sporki.com/add/?m=draft_school02&amp;ps_school=60108" xr:uid="{67FC2EE7-2C4A-45CF-861D-A627577E5E4E}"/>
    <hyperlink ref="A1932" r:id="rId5791" display="https://statiz.sporki.com/player/?m=playerinfo&amp;p_no=10424" xr:uid="{7D019843-2F67-4F13-965E-C5D5832CAB41}"/>
    <hyperlink ref="B1932" r:id="rId5792" display="https://statiz.sporki.com/add/?m=draft_school01&amp;ps_school=50403" xr:uid="{A2EE6F9B-9BEA-4069-8F96-1F9A1BB94344}"/>
    <hyperlink ref="C1932" r:id="rId5793" display="https://statiz.sporki.com/add/?m=draft_school02&amp;ps_school=" xr:uid="{CD45671B-6AB4-41A0-96BA-F0070773E4DE}"/>
    <hyperlink ref="A1933" r:id="rId5794" display="https://statiz.sporki.com/player/?m=playerinfo&amp;p_no=10343" xr:uid="{F5AEE70A-AFAC-4D2D-B917-EF8634E84385}"/>
    <hyperlink ref="B1933" r:id="rId5795" display="https://statiz.sporki.com/add/?m=draft_school01&amp;ps_school=50604" xr:uid="{D2AD42C2-777C-4D03-ACE3-AEFA990B2B69}"/>
    <hyperlink ref="C1933" r:id="rId5796" display="https://statiz.sporki.com/add/?m=draft_school02&amp;ps_school=" xr:uid="{5517B38C-2ADF-47B8-956C-8154B7F0A55B}"/>
    <hyperlink ref="A1934" r:id="rId5797" display="https://statiz.sporki.com/player/?m=playerinfo&amp;p_no=10535" xr:uid="{2BAC80E7-23AF-4716-896F-1EFB0F63377F}"/>
    <hyperlink ref="B1934" r:id="rId5798" display="https://statiz.sporki.com/add/?m=draft_school01&amp;ps_school=50102" xr:uid="{99D997AE-2DB3-425B-82A2-EEC2908440C4}"/>
    <hyperlink ref="C1934" r:id="rId5799" display="https://statiz.sporki.com/add/?m=draft_school02&amp;ps_school=" xr:uid="{CE417C81-70D3-423F-B650-2D1E6B5DD6D6}"/>
    <hyperlink ref="A1935" r:id="rId5800" display="https://statiz.sporki.com/player/?m=playerinfo&amp;p_no=10248" xr:uid="{0D01BC6A-CE80-4C9E-888D-F5B809CED3D5}"/>
    <hyperlink ref="B1935" r:id="rId5801" display="https://statiz.sporki.com/add/?m=draft_school01&amp;ps_school=50103" xr:uid="{9F83F3C8-114D-440D-A15D-750BAF8CA5F2}"/>
    <hyperlink ref="C1935" r:id="rId5802" display="https://statiz.sporki.com/add/?m=draft_school02&amp;ps_school=60704" xr:uid="{869554B6-AE40-4349-A090-ADFABCE88C70}"/>
    <hyperlink ref="A1936" r:id="rId5803" display="https://statiz.sporki.com/player/?m=playerinfo&amp;p_no=10072" xr:uid="{B559F473-26C2-4ACA-AEEB-67AF63050657}"/>
    <hyperlink ref="B1936" r:id="rId5804" display="https://statiz.sporki.com/add/?m=draft_school01&amp;ps_school=50114" xr:uid="{4787A9BA-1F0B-45BF-89BC-CB87ECBF846A}"/>
    <hyperlink ref="C1936" r:id="rId5805" display="https://statiz.sporki.com/add/?m=draft_school02&amp;ps_school=" xr:uid="{E9FE0ED7-66E4-4A89-84D8-52CE34D8D53B}"/>
    <hyperlink ref="A1937" r:id="rId5806" display="https://statiz.sporki.com/player/?m=playerinfo&amp;p_no=10013" xr:uid="{4910DB29-56B5-43E7-AF9B-72CF60CD3256}"/>
    <hyperlink ref="B1937" r:id="rId5807" display="https://statiz.sporki.com/add/?m=draft_school01&amp;ps_school=50103" xr:uid="{3442765E-9B0A-4DD3-BABE-84EB96122258}"/>
    <hyperlink ref="C1937" r:id="rId5808" display="https://statiz.sporki.com/add/?m=draft_school02&amp;ps_school=60102" xr:uid="{1E0414C3-D865-4598-B1F3-118B23F6F327}"/>
    <hyperlink ref="A1938" r:id="rId5809" display="https://statiz.sporki.com/player/?m=playerinfo&amp;p_no=10305" xr:uid="{016314BE-205E-4F93-B532-6792119E8B2C}"/>
    <hyperlink ref="B1938" r:id="rId5810" display="https://statiz.sporki.com/add/?m=draft_school01&amp;ps_school=50116" xr:uid="{76CF50D5-8D74-4938-BEA8-8DB3240AE7B3}"/>
    <hyperlink ref="C1938" r:id="rId5811" display="https://statiz.sporki.com/add/?m=draft_school02&amp;ps_school=60704" xr:uid="{B00D33C9-BFCE-407C-AC12-776D0EE126C0}"/>
    <hyperlink ref="A1939" r:id="rId5812" display="https://statiz.sporki.com/player/?m=playerinfo&amp;p_no=10387" xr:uid="{E3DA153B-FB18-4B2F-81F5-7C456EB4AF9F}"/>
    <hyperlink ref="B1939" r:id="rId5813" display="https://statiz.sporki.com/add/?m=draft_school01&amp;ps_school=50801" xr:uid="{53AEB5A4-EF16-4B67-A9D3-93BE903FC8E6}"/>
    <hyperlink ref="C1939" r:id="rId5814" display="https://statiz.sporki.com/add/?m=draft_school02&amp;ps_school=" xr:uid="{F683AE12-D94E-43C3-97C3-A8CE5A937C8A}"/>
    <hyperlink ref="A1940" r:id="rId5815" display="https://statiz.sporki.com/player/?m=playerinfo&amp;p_no=10495" xr:uid="{8396FE06-0F6C-4436-999B-CA6CE539418B}"/>
    <hyperlink ref="B1940" r:id="rId5816" display="https://statiz.sporki.com/add/?m=draft_school01&amp;ps_school=50209" xr:uid="{95274D37-FF52-4606-A28D-F4898D674385}"/>
    <hyperlink ref="C1940" r:id="rId5817" display="https://statiz.sporki.com/add/?m=draft_school02&amp;ps_school=" xr:uid="{6E14E0A9-2E34-4945-A02D-BC0284207C07}"/>
    <hyperlink ref="A1941" r:id="rId5818" display="https://statiz.sporki.com/player/?m=playerinfo&amp;p_no=10376" xr:uid="{E255E58B-40CB-4F4A-80C1-6EFA11948581}"/>
    <hyperlink ref="B1941" r:id="rId5819" display="https://statiz.sporki.com/add/?m=draft_school01&amp;ps_school=50703" xr:uid="{42B7655B-15CE-482E-85FB-975EF0B646D8}"/>
    <hyperlink ref="C1941" r:id="rId5820" display="https://statiz.sporki.com/add/?m=draft_school02&amp;ps_school=60702" xr:uid="{E40BEC27-734A-4AA2-8048-70E9E536142A}"/>
    <hyperlink ref="A1942" r:id="rId5821" display="https://statiz.sporki.com/player/?m=playerinfo&amp;p_no=10610" xr:uid="{49D50F17-9A4E-42F3-B932-3D74025F6BCB}"/>
    <hyperlink ref="B1942" r:id="rId5822" display="https://statiz.sporki.com/add/?m=draft_school01&amp;ps_school=50602" xr:uid="{427D1B81-A122-463D-9A05-54CA9EF43FCD}"/>
    <hyperlink ref="C1942" r:id="rId5823" display="https://statiz.sporki.com/add/?m=draft_school02&amp;ps_school=" xr:uid="{932CA719-619B-4D18-923F-1EA37F6B347E}"/>
    <hyperlink ref="A1943" r:id="rId5824" display="https://statiz.sporki.com/player/?m=playerinfo&amp;p_no=10227" xr:uid="{2DF0CC67-B9BD-42B0-BF40-128A24F4B17A}"/>
    <hyperlink ref="B1943" r:id="rId5825" display="https://statiz.sporki.com/add/?m=draft_school01&amp;ps_school=50116" xr:uid="{242A9E7F-72D6-46CA-A606-F48BEBE78F1A}"/>
    <hyperlink ref="C1943" r:id="rId5826" display="https://statiz.sporki.com/add/?m=draft_school02&amp;ps_school=" xr:uid="{937C5AFE-32AF-4093-AD3A-04D740B53062}"/>
    <hyperlink ref="A1944" r:id="rId5827" display="https://statiz.sporki.com/player/?m=playerinfo&amp;p_no=10143" xr:uid="{353FE8EA-082B-44F6-BDBD-AA3729BFC9ED}"/>
    <hyperlink ref="B1944" r:id="rId5828" display="https://statiz.sporki.com/add/?m=draft_school01&amp;ps_school=50207" xr:uid="{F8585D3F-F79B-4A89-8F53-C4F3BF01C4AF}"/>
    <hyperlink ref="C1944" r:id="rId5829" display="https://statiz.sporki.com/add/?m=draft_school02&amp;ps_school=" xr:uid="{5CE2B1CF-88CF-44BF-8CB4-9804C107DEA9}"/>
    <hyperlink ref="A1945" r:id="rId5830" display="https://statiz.sporki.com/player/?m=playerinfo&amp;p_no=10078" xr:uid="{42110CDD-E860-434C-9E93-3AA345EB657F}"/>
    <hyperlink ref="B1945" r:id="rId5831" display="https://statiz.sporki.com/add/?m=draft_school01&amp;ps_school=50113" xr:uid="{D12F6D02-318C-4F9F-AF72-03B72E9FE212}"/>
    <hyperlink ref="C1945" r:id="rId5832" display="https://statiz.sporki.com/add/?m=draft_school02&amp;ps_school=60108" xr:uid="{1358949C-4FEE-4A4C-BC2D-EAB5E0CF7946}"/>
    <hyperlink ref="A1946" r:id="rId5833" display="https://statiz.sporki.com/player/?m=playerinfo&amp;p_no=10595" xr:uid="{9597CCFB-4799-4145-A11F-9AA5DE07F689}"/>
    <hyperlink ref="B1946" r:id="rId5834" display="https://statiz.sporki.com/add/?m=draft_school01&amp;ps_school=50805" xr:uid="{080B8A8E-86C0-4355-B496-FE0F696F0403}"/>
    <hyperlink ref="C1946" r:id="rId5835" display="https://statiz.sporki.com/add/?m=draft_school02&amp;ps_school=60103" xr:uid="{C38286D4-4C82-49A8-BE15-994BAA5761D8}"/>
    <hyperlink ref="A1947" r:id="rId5836" display="https://statiz.sporki.com/player/?m=playerinfo&amp;p_no=10410" xr:uid="{B1FA4FF0-C557-4EFF-B324-6A1E532A6141}"/>
    <hyperlink ref="B1947" r:id="rId5837" display="https://statiz.sporki.com/add/?m=draft_school01&amp;ps_school=50807" xr:uid="{3C695B86-4814-4C4C-9159-AE4F1B03C5B4}"/>
    <hyperlink ref="C1947" r:id="rId5838" display="https://statiz.sporki.com/add/?m=draft_school02&amp;ps_school=60802" xr:uid="{4731960E-9A68-46B9-9540-5D8571698876}"/>
    <hyperlink ref="A1948" r:id="rId5839" display="https://statiz.sporki.com/player/?m=playerinfo&amp;p_no=10536" xr:uid="{56CA353F-FD09-40D6-B204-28CD1B1B7706}"/>
    <hyperlink ref="B1948" r:id="rId5840" display="https://statiz.sporki.com/add/?m=draft_school01&amp;ps_school=50107" xr:uid="{97000E50-BB59-4FBB-AAA9-5FBCED6A8B54}"/>
    <hyperlink ref="C1948" r:id="rId5841" display="https://statiz.sporki.com/add/?m=draft_school02&amp;ps_school=" xr:uid="{91D4E67D-D202-4762-8E77-01956083AB39}"/>
    <hyperlink ref="A1949" r:id="rId5842" display="https://statiz.sporki.com/player/?m=playerinfo&amp;p_no=10337" xr:uid="{35400AB9-4391-4DD1-AF28-908DE121BEE6}"/>
    <hyperlink ref="B1949" r:id="rId5843" display="https://statiz.sporki.com/add/?m=draft_school01&amp;ps_school=50208" xr:uid="{79C4552D-9F3C-4B78-A27B-7BC6DDDFB0E0}"/>
    <hyperlink ref="C1949" r:id="rId5844" display="https://statiz.sporki.com/add/?m=draft_school02&amp;ps_school=60104" xr:uid="{500E80A9-0850-4640-A875-12319CA3EB8A}"/>
    <hyperlink ref="A1950" r:id="rId5845" display="https://statiz.sporki.com/player/?m=playerinfo&amp;p_no=10280" xr:uid="{A80081F4-0091-4B83-BA98-751954365FA7}"/>
    <hyperlink ref="B1950" r:id="rId5846" display="https://statiz.sporki.com/add/?m=draft_school01&amp;ps_school=50402" xr:uid="{6565C3EE-5519-4659-8847-9DF67342C3B4}"/>
    <hyperlink ref="C1950" r:id="rId5847" display="https://statiz.sporki.com/add/?m=draft_school02&amp;ps_school=60803" xr:uid="{CEA40EF0-E940-4CB7-9D56-164FB58F3A84}"/>
    <hyperlink ref="A1951" r:id="rId5848" display="https://statiz.sporki.com/player/?m=playerinfo&amp;p_no=10051" xr:uid="{654DF559-10E5-4D31-8C91-6944D7483D53}"/>
    <hyperlink ref="B1951" r:id="rId5849" display="https://statiz.sporki.com/add/?m=draft_school01&amp;ps_school=50803" xr:uid="{53530C6F-105C-4145-B8B4-C055EEF54037}"/>
    <hyperlink ref="C1951" r:id="rId5850" display="https://statiz.sporki.com/add/?m=draft_school02&amp;ps_school=" xr:uid="{E9AEC69D-550F-4443-8765-2C7B63C3EBD2}"/>
    <hyperlink ref="A1952" r:id="rId5851" display="https://statiz.sporki.com/player/?m=playerinfo&amp;p_no=10057" xr:uid="{2576084E-775C-4FDC-ABA4-DE6062BCB60C}"/>
    <hyperlink ref="B1952" r:id="rId5852" display="https://statiz.sporki.com/add/?m=draft_school01&amp;ps_school=50604" xr:uid="{E6118158-F681-410F-996C-6900811DF27F}"/>
    <hyperlink ref="C1952" r:id="rId5853" display="https://statiz.sporki.com/add/?m=draft_school02&amp;ps_school=60102" xr:uid="{5FDD4A62-7277-43C9-885A-FB34C6B69DF6}"/>
    <hyperlink ref="A1953" r:id="rId5854" display="https://statiz.sporki.com/player/?m=playerinfo&amp;p_no=10283" xr:uid="{9A6604EE-1230-4410-A731-6061EBB22965}"/>
    <hyperlink ref="B1953" r:id="rId5855" display="https://statiz.sporki.com/add/?m=draft_school01&amp;ps_school=50708" xr:uid="{A6B4CD1F-F9ED-4C27-BB99-D4099B0A0A97}"/>
    <hyperlink ref="C1953" r:id="rId5856" display="https://statiz.sporki.com/add/?m=draft_school02&amp;ps_school=60704" xr:uid="{69420C3A-1412-4EEC-B95D-5189C0D859B0}"/>
    <hyperlink ref="A1954" r:id="rId5857" display="https://statiz.sporki.com/player/?m=playerinfo&amp;p_no=10399" xr:uid="{03BADC29-BF26-4732-9CE6-9BB71623E9C6}"/>
    <hyperlink ref="B1954" r:id="rId5858" display="https://statiz.sporki.com/add/?m=draft_school01&amp;ps_school=50112" xr:uid="{200659CE-5F63-4342-A960-27A133734115}"/>
    <hyperlink ref="C1954" r:id="rId5859" display="https://statiz.sporki.com/add/?m=draft_school02&amp;ps_school=60104" xr:uid="{F9C7B519-F02B-433E-9192-6F3B186E9B20}"/>
    <hyperlink ref="A1955" r:id="rId5860" display="https://statiz.sporki.com/player/?m=playerinfo&amp;p_no=10480" xr:uid="{CFD82279-0521-4036-B73C-33287450E4AD}"/>
    <hyperlink ref="B1955" r:id="rId5861" display="https://statiz.sporki.com/add/?m=draft_school01&amp;ps_school=50703" xr:uid="{FD519666-ABF3-4C19-8EFE-4BA1471F0E87}"/>
    <hyperlink ref="C1955" r:id="rId5862" display="https://statiz.sporki.com/add/?m=draft_school02&amp;ps_school=" xr:uid="{09F1B66B-49C7-45B8-9010-7E61A3E624A4}"/>
    <hyperlink ref="A1956" r:id="rId5863" display="https://statiz.sporki.com/player/?m=playerinfo&amp;p_no=10365" xr:uid="{F51273BA-714D-4660-806D-14EE06296AC7}"/>
    <hyperlink ref="B1956" r:id="rId5864" display="https://statiz.sporki.com/add/?m=draft_school01&amp;ps_school=50606" xr:uid="{337E4285-3631-4235-9DE2-0A469B64B1C0}"/>
    <hyperlink ref="C1956" r:id="rId5865" display="https://statiz.sporki.com/add/?m=draft_school02&amp;ps_school=60502" xr:uid="{A96C9BFE-5C55-4FC3-9ED5-5553EDB6D21E}"/>
    <hyperlink ref="A1957" r:id="rId5866" display="https://statiz.sporki.com/player/?m=playerinfo&amp;p_no=10621" xr:uid="{CF24D4B9-F285-4473-800F-6E72A6A93AA6}"/>
    <hyperlink ref="B1957" r:id="rId5867" display="https://statiz.sporki.com/add/?m=draft_school01&amp;ps_school=50113" xr:uid="{8AA1B9E0-B8E6-49CC-AE5B-E7D13AAFA0F1}"/>
    <hyperlink ref="C1957" r:id="rId5868" display="https://statiz.sporki.com/add/?m=draft_school02&amp;ps_school=60108" xr:uid="{CF59B9DE-EC61-495C-A5AD-C0D890AE9917}"/>
    <hyperlink ref="A1958" r:id="rId5869" display="https://statiz.sporki.com/player/?m=playerinfo&amp;p_no=10195" xr:uid="{B3FF4DAD-4527-42EA-B377-22992BE242DA}"/>
    <hyperlink ref="B1958" r:id="rId5870" display="https://statiz.sporki.com/add/?m=draft_school01&amp;ps_school=50208" xr:uid="{9F69496B-EF6C-4AC1-A878-5E9D271CE14A}"/>
    <hyperlink ref="C1958" r:id="rId5871" display="https://statiz.sporki.com/add/?m=draft_school02&amp;ps_school=" xr:uid="{2BD3AEFF-A3F9-47D2-8B33-0BECCC317325}"/>
    <hyperlink ref="A1959" r:id="rId5872" display="https://statiz.sporki.com/player/?m=playerinfo&amp;p_no=10140" xr:uid="{EAF98074-D951-4603-8D6B-198E73AFA477}"/>
    <hyperlink ref="B1959" r:id="rId5873" display="https://statiz.sporki.com/add/?m=draft_school01&amp;ps_school=50602" xr:uid="{B7531CE7-ECE4-4E55-A715-9BB90D9E3068}"/>
    <hyperlink ref="C1959" r:id="rId5874" display="https://statiz.sporki.com/add/?m=draft_school02&amp;ps_school=60103" xr:uid="{93B80054-685B-434F-BB60-6FA4CCBD7C41}"/>
    <hyperlink ref="A1960" r:id="rId5875" display="https://statiz.sporki.com/player/?m=playerinfo&amp;p_no=10127" xr:uid="{DF974885-08E0-4946-AC8B-F2C007CEEB7E}"/>
    <hyperlink ref="B1960" r:id="rId5876" display="https://statiz.sporki.com/add/?m=draft_school01&amp;ps_school=50802" xr:uid="{FC6CFA1E-3BB1-49AE-8AE1-81DE812DE093}"/>
    <hyperlink ref="C1960" r:id="rId5877" display="https://statiz.sporki.com/add/?m=draft_school02&amp;ps_school=60111" xr:uid="{F41BB1E9-67BF-40D9-9297-B38DED3F4BE6}"/>
    <hyperlink ref="A1961" r:id="rId5878" display="https://statiz.sporki.com/player/?m=playerinfo&amp;p_no=10213" xr:uid="{4F913446-4B3F-417E-B603-FBB6CE1367AE}"/>
    <hyperlink ref="B1961" r:id="rId5879" display="https://statiz.sporki.com/add/?m=draft_school01&amp;ps_school=50111" xr:uid="{3329821A-7493-4455-8567-819AA3A5ED5F}"/>
    <hyperlink ref="C1961" r:id="rId5880" display="https://statiz.sporki.com/add/?m=draft_school02&amp;ps_school=60111" xr:uid="{28AE02B0-5EC3-4CB6-B1A8-0353E403CB65}"/>
    <hyperlink ref="A1962" r:id="rId5881" display="https://statiz.sporki.com/player/?m=playerinfo&amp;p_no=10548" xr:uid="{7BF18F95-8D0E-4999-9748-57024AD15CC3}"/>
    <hyperlink ref="B1962" r:id="rId5882" display="https://statiz.sporki.com/add/?m=draft_school01&amp;ps_school=50210" xr:uid="{8C2668EB-394A-4AD3-902B-1D492C0BC0D6}"/>
    <hyperlink ref="C1962" r:id="rId5883" display="https://statiz.sporki.com/add/?m=draft_school02&amp;ps_school=60802" xr:uid="{1C1A1C3E-0C25-44F4-8182-9EF5412CE97B}"/>
    <hyperlink ref="A1963" r:id="rId5884" display="https://statiz.sporki.com/player/?m=playerinfo&amp;p_no=10928" xr:uid="{ABC9590E-E5D0-44A9-847F-593D8C84B535}"/>
    <hyperlink ref="B1963" r:id="rId5885" display="https://statiz.sporki.com/add/?m=draft_school01&amp;ps_school=50107" xr:uid="{E99A1ABE-54F3-4EB3-89D2-41D0EAA96DB3}"/>
    <hyperlink ref="C1963" r:id="rId5886" display="https://statiz.sporki.com/add/?m=draft_school02&amp;ps_school=" xr:uid="{59E2D48B-38BF-48DC-9070-38147FF826ED}"/>
    <hyperlink ref="A1964" r:id="rId5887" display="https://statiz.sporki.com/player/?m=playerinfo&amp;p_no=10373" xr:uid="{42D01DDB-E15F-4393-AB14-024658B1436A}"/>
    <hyperlink ref="B1964" r:id="rId5888" display="https://statiz.sporki.com/add/?m=draft_school01&amp;ps_school=50601" xr:uid="{1B1F9B5E-981E-4B0A-9C20-DED133C16819}"/>
    <hyperlink ref="C1964" r:id="rId5889" display="https://statiz.sporki.com/add/?m=draft_school02&amp;ps_school=" xr:uid="{0DEB0827-D426-43CB-B576-89BDC0012A23}"/>
    <hyperlink ref="A1965" r:id="rId5890" display="https://statiz.sporki.com/player/?m=playerinfo&amp;p_no=10513" xr:uid="{A3AF7B9E-8F8D-408E-B187-239E0C89C715}"/>
    <hyperlink ref="B1965" r:id="rId5891" display="https://statiz.sporki.com/add/?m=draft_school01&amp;ps_school=50102" xr:uid="{4B9A4259-5AB2-4B25-8893-3EB528BB61AC}"/>
    <hyperlink ref="C1965" r:id="rId5892" display="https://statiz.sporki.com/add/?m=draft_school02&amp;ps_school=60602" xr:uid="{6D68EFC0-761A-4CE8-B136-F2094568BB51}"/>
    <hyperlink ref="A1966" r:id="rId5893" display="https://statiz.sporki.com/player/?m=playerinfo&amp;p_no=10237" xr:uid="{15DD8A9C-7C39-4B92-AB4E-0E4F529623A7}"/>
    <hyperlink ref="B1966" r:id="rId5894" display="https://statiz.sporki.com/add/?m=draft_school01&amp;ps_school=50805" xr:uid="{0487E533-A52D-48AF-9C76-6332241472C3}"/>
    <hyperlink ref="C1966" r:id="rId5895" display="https://statiz.sporki.com/add/?m=draft_school02&amp;ps_school=60103" xr:uid="{6A7E6DFA-02FF-4CA8-A78A-9BFA56CFD42A}"/>
    <hyperlink ref="A1967" r:id="rId5896" display="https://statiz.sporki.com/player/?m=playerinfo&amp;p_no=10034" xr:uid="{05485B54-1648-4735-AE5B-D94850EEF6E4}"/>
    <hyperlink ref="B1967" r:id="rId5897" display="https://statiz.sporki.com/add/?m=draft_school01&amp;ps_school=50601" xr:uid="{53923D83-F3C0-4DAA-92A4-B23D260052FA}"/>
    <hyperlink ref="C1967" r:id="rId5898" display="https://statiz.sporki.com/add/?m=draft_school02&amp;ps_school=" xr:uid="{45F0405D-2B66-48F2-B515-5CAD1FF1CA9C}"/>
    <hyperlink ref="A1968" r:id="rId5899" display="https://statiz.sporki.com/player/?m=playerinfo&amp;p_no=10015" xr:uid="{EBEC1E4C-83DE-439B-8B12-6F30D28504EA}"/>
    <hyperlink ref="B1968" r:id="rId5900" display="https://statiz.sporki.com/add/?m=draft_school01&amp;ps_school=50604" xr:uid="{D7964972-7D45-4FBD-8A6B-F5B5F6FC259F}"/>
    <hyperlink ref="C1968" r:id="rId5901" display="https://statiz.sporki.com/add/?m=draft_school02&amp;ps_school=60803" xr:uid="{86F575D5-51A9-49A3-8485-0A02E704055E}"/>
    <hyperlink ref="A1969" r:id="rId5902" display="https://statiz.sporki.com/player/?m=playerinfo&amp;p_no=10809" xr:uid="{35BD9B6F-80A6-4CF5-80D5-99AFC84A5528}"/>
    <hyperlink ref="B1969" r:id="rId5903" display="https://statiz.sporki.com/add/?m=draft_school01&amp;ps_school=50101" xr:uid="{5A6F920A-368A-4179-BE90-DE983450F665}"/>
    <hyperlink ref="C1969" r:id="rId5904" display="https://statiz.sporki.com/add/?m=draft_school02&amp;ps_school=" xr:uid="{BF823EC2-CDC9-4602-9B30-B2E243009C55}"/>
    <hyperlink ref="A1970" r:id="rId5905" display="https://statiz.sporki.com/player/?m=playerinfo&amp;p_no=10468" xr:uid="{90B2744D-63E7-4717-8A1E-FE85849CD7EE}"/>
    <hyperlink ref="B1970" r:id="rId5906" display="https://statiz.sporki.com/add/?m=draft_school01&amp;ps_school=50601" xr:uid="{52A19B74-6E86-47B8-85A2-277B8CECC9FA}"/>
    <hyperlink ref="C1970" r:id="rId5907" display="https://statiz.sporki.com/add/?m=draft_school02&amp;ps_school=" xr:uid="{6BDA293F-D28D-4597-85B6-9BDADC02A123}"/>
    <hyperlink ref="A1971" r:id="rId5908" display="https://statiz.sporki.com/player/?m=playerinfo&amp;p_no=10340" xr:uid="{F847C491-DEF7-4D19-ADCD-262505D4A1D8}"/>
    <hyperlink ref="B1971" r:id="rId5909" display="https://statiz.sporki.com/add/?m=draft_school01&amp;ps_school=50807" xr:uid="{9B6FD9F8-88ED-437C-ADD3-1F532B664D47}"/>
    <hyperlink ref="C1971" r:id="rId5910" display="https://statiz.sporki.com/add/?m=draft_school02&amp;ps_school=60204" xr:uid="{E6756774-1251-4F54-BC41-92454381516A}"/>
    <hyperlink ref="A1972" r:id="rId5911" display="https://statiz.sporki.com/player/?m=playerinfo&amp;p_no=10186" xr:uid="{319F56DE-57D8-412F-81FF-11F655673AA7}"/>
    <hyperlink ref="B1972" r:id="rId5912" display="https://statiz.sporki.com/add/?m=draft_school01&amp;ps_school=50109" xr:uid="{4C8E5E43-A9DF-4F3D-8060-F9DC8F7CD606}"/>
    <hyperlink ref="C1972" r:id="rId5913" display="https://statiz.sporki.com/add/?m=draft_school02&amp;ps_school=" xr:uid="{4B050FEC-DEEC-4C79-BA4C-603C07C26DE2}"/>
    <hyperlink ref="A1973" r:id="rId5914" display="https://statiz.sporki.com/player/?m=playerinfo&amp;p_no=10316" xr:uid="{864BDD36-D48C-4BD2-9F8D-0FF8D517D417}"/>
    <hyperlink ref="B1973" r:id="rId5915" display="https://statiz.sporki.com/add/?m=draft_school01&amp;ps_school=50108" xr:uid="{D14C713D-DDAA-4A70-BC4F-930FD488F1FE}"/>
    <hyperlink ref="C1973" r:id="rId5916" display="https://statiz.sporki.com/add/?m=draft_school02&amp;ps_school=60702" xr:uid="{69CE9136-262D-4C62-88DE-5D57C1A526C4}"/>
    <hyperlink ref="A1974" r:id="rId5917" display="https://statiz.sporki.com/player/?m=playerinfo&amp;p_no=10033" xr:uid="{0BE79D22-A49C-4E73-8F3D-BFDA2D041A9A}"/>
    <hyperlink ref="B1974" r:id="rId5918" display="https://statiz.sporki.com/add/?m=draft_school01&amp;ps_school=50605" xr:uid="{9E45685D-7876-492B-A95A-22375AD08D17}"/>
    <hyperlink ref="C1974" r:id="rId5919" display="https://statiz.sporki.com/add/?m=draft_school02&amp;ps_school=" xr:uid="{670FC4C6-4247-484A-AB72-7FA9E323A7D1}"/>
    <hyperlink ref="A1975" r:id="rId5920" display="https://statiz.sporki.com/player/?m=playerinfo&amp;p_no=10023" xr:uid="{C2DBF7D7-8F31-4C7F-9E11-4D92110739A4}"/>
    <hyperlink ref="B1975" r:id="rId5921" display="https://statiz.sporki.com/add/?m=draft_school01&amp;ps_school=50303" xr:uid="{72DC1FDC-DAF0-4CA6-B519-66E6EB04A7A9}"/>
    <hyperlink ref="C1975" r:id="rId5922" display="https://statiz.sporki.com/add/?m=draft_school02&amp;ps_school=60705" xr:uid="{D2EA080C-5F60-47EC-988D-0B5416CD43D3}"/>
    <hyperlink ref="A1976" r:id="rId5923" display="https://statiz.sporki.com/player/?m=playerinfo&amp;p_no=10370" xr:uid="{5B3D4E8A-AD54-47E3-A59D-E0099D3D06A5}"/>
    <hyperlink ref="B1976" r:id="rId5924" display="https://statiz.sporki.com/add/?m=draft_school01&amp;ps_school=50705" xr:uid="{EC3952FF-8EF0-4563-B445-80FD490A7833}"/>
    <hyperlink ref="C1976" r:id="rId5925" display="https://statiz.sporki.com/add/?m=draft_school02&amp;ps_school=" xr:uid="{8C4C4425-54FA-4DD4-B474-90DCB0803BD2}"/>
    <hyperlink ref="A1977" r:id="rId5926" display="https://statiz.sporki.com/player/?m=playerinfo&amp;p_no=10044" xr:uid="{72185C01-B96B-4970-B5C9-FDE92D791CF7}"/>
    <hyperlink ref="B1977" r:id="rId5927" display="https://statiz.sporki.com/add/?m=draft_school01&amp;ps_school=" xr:uid="{11B97B42-AF06-440B-A994-6E6C8B8DB790}"/>
    <hyperlink ref="C1977" r:id="rId5928" display="https://statiz.sporki.com/add/?m=draft_school02&amp;ps_school=" xr:uid="{ED35CCCF-CBF3-4438-AF64-70FD2AF121CB}"/>
    <hyperlink ref="A1978" r:id="rId5929" display="https://statiz.sporki.com/player/?m=playerinfo&amp;p_no=10048" xr:uid="{1E9E4138-35B3-4984-A7FB-4FAE78F1F489}"/>
    <hyperlink ref="B1978" r:id="rId5930" display="https://statiz.sporki.com/add/?m=draft_school01&amp;ps_school=" xr:uid="{BB780BDA-1BE9-4F3B-AABF-94577CFB5FD0}"/>
    <hyperlink ref="C1978" r:id="rId5931" display="https://statiz.sporki.com/add/?m=draft_school02&amp;ps_school=" xr:uid="{D37996FF-E6F6-42FB-A6C5-2A35ABE285D2}"/>
    <hyperlink ref="A1979" r:id="rId5932" display="https://statiz.sporki.com/player/?m=playerinfo&amp;p_no=10508" xr:uid="{BEE81D5F-292A-45DD-9343-4101AE3FB943}"/>
    <hyperlink ref="B1979" r:id="rId5933" display="https://statiz.sporki.com/add/?m=draft_school01&amp;ps_school=" xr:uid="{D330752A-10FF-4513-8C9D-F32723AC2461}"/>
    <hyperlink ref="C1979" r:id="rId5934" display="https://statiz.sporki.com/add/?m=draft_school02&amp;ps_school=" xr:uid="{BC8D7FD6-035F-4CEF-8699-7424D0BA37D3}"/>
    <hyperlink ref="A1980" r:id="rId5935" display="https://statiz.sporki.com/player/?m=playerinfo&amp;p_no=10534" xr:uid="{15B0B222-F15F-4A5B-BAE2-E2AF2E413945}"/>
    <hyperlink ref="B1980" r:id="rId5936" display="https://statiz.sporki.com/add/?m=draft_school01&amp;ps_school=" xr:uid="{6AF10840-BAC4-48DC-ADEA-985FA1056E73}"/>
    <hyperlink ref="C1980" r:id="rId5937" display="https://statiz.sporki.com/add/?m=draft_school02&amp;ps_school=" xr:uid="{8D6ACA83-4AA6-4F44-A7EC-705745DC40AD}"/>
    <hyperlink ref="A1981" r:id="rId5938" display="https://statiz.sporki.com/player/?m=playerinfo&amp;p_no=10204" xr:uid="{EFED7D27-9FBC-4C8A-AAED-FF81AEBDB4AA}"/>
    <hyperlink ref="B1981" r:id="rId5939" display="https://statiz.sporki.com/add/?m=draft_school01&amp;ps_school=" xr:uid="{94CE54C7-150E-4AAD-9222-08AA70313863}"/>
    <hyperlink ref="C1981" r:id="rId5940" display="https://statiz.sporki.com/add/?m=draft_school02&amp;ps_school=" xr:uid="{285659F1-3507-41A5-9008-77B3386DDE0C}"/>
    <hyperlink ref="A1982" r:id="rId5941" display="https://statiz.sporki.com/player/?m=playerinfo&amp;p_no=10125" xr:uid="{73A2842C-A7C6-42E1-B35E-B3739B70A5DF}"/>
    <hyperlink ref="B1982" r:id="rId5942" display="https://statiz.sporki.com/add/?m=draft_school01&amp;ps_school=" xr:uid="{3055C0F1-0F7C-4EEF-B3F8-77D1EB688E43}"/>
    <hyperlink ref="C1982" r:id="rId5943" display="https://statiz.sporki.com/add/?m=draft_school02&amp;ps_school=" xr:uid="{5145367C-9922-45B2-9F12-E1964FD9B6AB}"/>
    <hyperlink ref="A1983" r:id="rId5944" display="https://statiz.sporki.com/player/?m=playerinfo&amp;p_no=10163" xr:uid="{B25EAF75-4BB0-4D80-BE25-6211F32C01C8}"/>
    <hyperlink ref="B1983" r:id="rId5945" display="https://statiz.sporki.com/add/?m=draft_school01&amp;ps_school=" xr:uid="{9DE2ADA1-65A0-4FE2-BAD7-D3560E58D23B}"/>
    <hyperlink ref="C1983" r:id="rId5946" display="https://statiz.sporki.com/add/?m=draft_school02&amp;ps_school=" xr:uid="{929AC27A-A7C4-4275-A0E4-A9B2D801DE73}"/>
    <hyperlink ref="A1984" r:id="rId5947" display="https://statiz.sporki.com/player/?m=playerinfo&amp;p_no=10209" xr:uid="{F3A4F658-0889-4F32-86CF-F02690F2F306}"/>
    <hyperlink ref="B1984" r:id="rId5948" display="https://statiz.sporki.com/add/?m=draft_school01&amp;ps_school=" xr:uid="{5E8EABA8-A943-49F4-ABB0-581B9FBE9E04}"/>
    <hyperlink ref="C1984" r:id="rId5949" display="https://statiz.sporki.com/add/?m=draft_school02&amp;ps_school=" xr:uid="{FC24360F-C8AE-419D-8DD6-F8DAB8B49652}"/>
    <hyperlink ref="A1985" r:id="rId5950" display="https://statiz.sporki.com/player/?m=playerinfo&amp;p_no=10190" xr:uid="{F6069EA6-F859-498B-9AF8-F2A059D7E651}"/>
    <hyperlink ref="B1985" r:id="rId5951" display="https://statiz.sporki.com/add/?m=draft_school01&amp;ps_school=" xr:uid="{C12DA3F8-D8C6-4F43-AB02-AA968295D2E7}"/>
    <hyperlink ref="C1985" r:id="rId5952" display="https://statiz.sporki.com/add/?m=draft_school02&amp;ps_school=" xr:uid="{EE377FB4-1D2E-4742-87FE-0979A03EDAEB}"/>
    <hyperlink ref="A1986" r:id="rId5953" display="https://statiz.sporki.com/player/?m=playerinfo&amp;p_no=10287" xr:uid="{9EE4D5B4-20EA-4450-B642-CBCEF6A3ADE8}"/>
    <hyperlink ref="B1986" r:id="rId5954" display="https://statiz.sporki.com/add/?m=draft_school01&amp;ps_school=" xr:uid="{4B57FFF3-8DD4-4A28-BA7F-700C3A141BB4}"/>
    <hyperlink ref="C1986" r:id="rId5955" display="https://statiz.sporki.com/add/?m=draft_school02&amp;ps_school=" xr:uid="{7C9EF67C-FA14-4693-B0D2-CCA7EE310288}"/>
    <hyperlink ref="A1987" r:id="rId5956" display="https://statiz.sporki.com/player/?m=playerinfo&amp;p_no=10360" xr:uid="{F8C284E2-2D2C-4785-824F-AD199DA6E3DA}"/>
    <hyperlink ref="B1987" r:id="rId5957" display="https://statiz.sporki.com/add/?m=draft_school01&amp;ps_school=" xr:uid="{22F871D1-2E55-44BE-8934-8BBB41CF528D}"/>
    <hyperlink ref="C1987" r:id="rId5958" display="https://statiz.sporki.com/add/?m=draft_school02&amp;ps_school=" xr:uid="{135A1313-0067-49FE-B37C-C7965DC2C0D1}"/>
    <hyperlink ref="A1988" r:id="rId5959" display="https://statiz.sporki.com/player/?m=playerinfo&amp;p_no=10384" xr:uid="{0BDDD818-447E-4455-94CB-10B97728F7D4}"/>
    <hyperlink ref="B1988" r:id="rId5960" display="https://statiz.sporki.com/add/?m=draft_school01&amp;ps_school=" xr:uid="{8416924B-2FCD-49EC-B2E7-C12BDD38AF31}"/>
    <hyperlink ref="C1988" r:id="rId5961" display="https://statiz.sporki.com/add/?m=draft_school02&amp;ps_school=" xr:uid="{8C2EA116-899C-481C-A883-19526328DD66}"/>
    <hyperlink ref="A1989" r:id="rId5962" display="https://statiz.sporki.com/player/?m=playerinfo&amp;p_no=10366" xr:uid="{A3B3FC26-79F7-46EC-BA80-3BFCDA460990}"/>
    <hyperlink ref="B1989" r:id="rId5963" display="https://statiz.sporki.com/add/?m=draft_school01&amp;ps_school=" xr:uid="{0EB6CFFC-A97F-430B-B9A5-7C1673BDC940}"/>
    <hyperlink ref="C1989" r:id="rId5964" display="https://statiz.sporki.com/add/?m=draft_school02&amp;ps_school=" xr:uid="{8A54054A-BAEA-44B1-B0E0-858079F3A21E}"/>
    <hyperlink ref="A1990" r:id="rId5965" display="https://statiz.sporki.com/player/?m=playerinfo&amp;p_no=10566" xr:uid="{D0E2E0A8-AA79-4A7A-A323-98EFF3198798}"/>
    <hyperlink ref="B1990" r:id="rId5966" display="https://statiz.sporki.com/add/?m=draft_school01&amp;ps_school=" xr:uid="{D646E1E5-0C55-4366-8257-D8EEA4BD0FA6}"/>
    <hyperlink ref="C1990" r:id="rId5967" display="https://statiz.sporki.com/add/?m=draft_school02&amp;ps_school=" xr:uid="{8F326E2C-8880-40D9-B316-F6A2551C1510}"/>
    <hyperlink ref="A1991" r:id="rId5968" display="https://statiz.sporki.com/player/?m=playerinfo&amp;p_no=10603" xr:uid="{A9A09E6A-46CD-4AB6-A23C-4C5B0EEE3BDC}"/>
    <hyperlink ref="B1991" r:id="rId5969" display="https://statiz.sporki.com/add/?m=draft_school01&amp;ps_school=" xr:uid="{0D239512-86F6-46D7-9AD2-F31F0F8239A4}"/>
    <hyperlink ref="C1991" r:id="rId5970" display="https://statiz.sporki.com/add/?m=draft_school02&amp;ps_school=" xr:uid="{8C8CCAE2-9CDD-4763-A39B-FE10A84081C2}"/>
    <hyperlink ref="A1992" r:id="rId5971" display="https://statiz.sporki.com/player/?m=playerinfo&amp;p_no=11480" xr:uid="{959AA454-FE4A-447B-846A-0AA7016D1CA6}"/>
    <hyperlink ref="B1992" r:id="rId5972" display="https://statiz.sporki.com/add/?m=draft_school01&amp;ps_school=" xr:uid="{A3A077FF-A2E0-4B2B-A72D-27F1D0446D51}"/>
    <hyperlink ref="C1992" r:id="rId5973" display="https://statiz.sporki.com/add/?m=draft_school02&amp;ps_school=60111" xr:uid="{4C0D22E3-4D0A-46CB-8EFF-07EE939404DA}"/>
    <hyperlink ref="A1993" r:id="rId5974" display="https://statiz.sporki.com/player/?m=playerinfo&amp;p_no=10941" xr:uid="{46A0505D-DE64-431B-A341-CAED893E0565}"/>
    <hyperlink ref="B1993" r:id="rId5975" display="https://statiz.sporki.com/add/?m=draft_school01&amp;ps_school=50403" xr:uid="{B53AD4B7-29D1-4A3A-8F5E-2CD2266830AA}"/>
    <hyperlink ref="C1993" r:id="rId5976" display="https://statiz.sporki.com/add/?m=draft_school02&amp;ps_school=60203" xr:uid="{6F5F7C5D-B929-4383-A1EE-3A82A2D7EA69}"/>
    <hyperlink ref="A1994" r:id="rId5977" display="https://statiz.sporki.com/player/?m=playerinfo&amp;p_no=10512" xr:uid="{EFC9EDC3-22AF-4CCE-9125-F936B0AA1C81}"/>
    <hyperlink ref="B1994" r:id="rId5978" display="https://statiz.sporki.com/add/?m=draft_school01&amp;ps_school=50207" xr:uid="{076B32D0-A731-40C8-96E4-BA4711124E82}"/>
    <hyperlink ref="C1994" r:id="rId5979" display="https://statiz.sporki.com/add/?m=draft_school02&amp;ps_school=" xr:uid="{03FAA3B0-CC6A-4423-9443-9D8F5284CFDC}"/>
    <hyperlink ref="A1995" r:id="rId5980" display="https://statiz.sporki.com/player/?m=playerinfo&amp;p_no=10476" xr:uid="{1F73B3E2-6138-4802-B1BB-1DA7B0D76551}"/>
    <hyperlink ref="B1995" r:id="rId5981" display="https://statiz.sporki.com/add/?m=draft_school01&amp;ps_school=50602" xr:uid="{CBBA8041-772B-447C-B894-CA33D183C857}"/>
    <hyperlink ref="C1995" r:id="rId5982" display="https://statiz.sporki.com/add/?m=draft_school02&amp;ps_school=60204" xr:uid="{6CF4FCF4-06A8-4496-AA60-4563B316294E}"/>
    <hyperlink ref="A1996" r:id="rId5983" display="https://statiz.sporki.com/player/?m=playerinfo&amp;p_no=11171" xr:uid="{27248054-A800-4702-B161-EB3EF57DDA33}"/>
    <hyperlink ref="B1996" r:id="rId5984" display="https://statiz.sporki.com/add/?m=draft_school01&amp;ps_school=50703" xr:uid="{94A5A764-0F5B-48F7-8618-D31563704504}"/>
    <hyperlink ref="C1996" r:id="rId5985" display="https://statiz.sporki.com/add/?m=draft_school02&amp;ps_school=61002" xr:uid="{E8BE37B4-8043-4D73-8240-3817B62E595B}"/>
    <hyperlink ref="A1997" r:id="rId5986" display="https://statiz.sporki.com/player/?m=playerinfo&amp;p_no=11215" xr:uid="{07063D69-ADDD-48F2-BA67-57FF3E0EF02F}"/>
    <hyperlink ref="B1997" r:id="rId5987" display="https://statiz.sporki.com/add/?m=draft_school01&amp;ps_school=50606" xr:uid="{38ECCCA3-1ED9-40A6-A275-3B4E15ED92AA}"/>
    <hyperlink ref="C1997" r:id="rId5988" display="https://statiz.sporki.com/add/?m=draft_school02&amp;ps_school=" xr:uid="{6FD1332D-0755-471F-92CC-01DCA01EB790}"/>
    <hyperlink ref="A1998" r:id="rId5989" display="https://statiz.sporki.com/player/?m=playerinfo&amp;p_no=10473" xr:uid="{B5D4D4B5-E1BF-49FA-B8D8-BE42C6590A8F}"/>
    <hyperlink ref="B1998" r:id="rId5990" display="https://statiz.sporki.com/add/?m=draft_school01&amp;ps_school=50101" xr:uid="{D99EF0BC-92A0-4037-845C-5D1206940D68}"/>
    <hyperlink ref="C1998" r:id="rId5991" display="https://statiz.sporki.com/add/?m=draft_school02&amp;ps_school=60704" xr:uid="{7E9BB716-6B9A-4721-9772-041062AEF2A4}"/>
    <hyperlink ref="A1999" r:id="rId5992" display="https://statiz.sporki.com/player/?m=playerinfo&amp;p_no=11341" xr:uid="{BE6715F7-C1BC-4D41-B309-4D0198D61438}"/>
    <hyperlink ref="B1999" r:id="rId5993" display="https://statiz.sporki.com/add/?m=draft_school01&amp;ps_school=50202" xr:uid="{FCE404E6-7658-4AEE-A211-CD5C9575FD6E}"/>
    <hyperlink ref="C1999" r:id="rId5994" display="https://statiz.sporki.com/add/?m=draft_school02&amp;ps_school=61001" xr:uid="{CB9B8CB5-35F1-4D65-90A3-7CC4678BFE80}"/>
    <hyperlink ref="A2000" r:id="rId5995" display="https://statiz.sporki.com/player/?m=playerinfo&amp;p_no=10118" xr:uid="{75742A1B-29EA-4FC5-8CE0-622FAC368CAE}"/>
    <hyperlink ref="B2000" r:id="rId5996" display="https://statiz.sporki.com/add/?m=draft_school01&amp;ps_school=50108" xr:uid="{C6737D00-9F8C-447C-AAAD-BAC0B651E474}"/>
    <hyperlink ref="C2000" r:id="rId5997" display="https://statiz.sporki.com/add/?m=draft_school02&amp;ps_school=" xr:uid="{62B4A943-7259-4D57-82F2-FC7C44B238D2}"/>
    <hyperlink ref="A2001" r:id="rId5998" display="https://statiz.sporki.com/player/?m=playerinfo&amp;p_no=10900" xr:uid="{15FBFD49-4DAA-4B1F-BD9F-2CDE1274A8B4}"/>
    <hyperlink ref="B2001" r:id="rId5999" display="https://statiz.sporki.com/add/?m=draft_school01&amp;ps_school=50103" xr:uid="{25229194-2442-463E-8259-3DF9AA03E082}"/>
    <hyperlink ref="C2001" r:id="rId6000" display="https://statiz.sporki.com/add/?m=draft_school02&amp;ps_school=" xr:uid="{76D76256-C87D-456D-87BB-7927964A1589}"/>
    <hyperlink ref="A2002" r:id="rId6001" display="https://statiz.sporki.com/player/?m=playerinfo&amp;p_no=10689" xr:uid="{E91E5C84-27A2-4726-9EEB-B87257DDCE94}"/>
    <hyperlink ref="B2002" r:id="rId6002" display="https://statiz.sporki.com/add/?m=draft_school01&amp;ps_school=50116" xr:uid="{6370640B-85EF-4898-8B4C-E29B8718E8BF}"/>
    <hyperlink ref="C2002" r:id="rId6003" display="https://statiz.sporki.com/add/?m=draft_school02&amp;ps_school=60103" xr:uid="{42E3E476-6E4C-4BFD-9F02-C101C909D68F}"/>
    <hyperlink ref="A2003" r:id="rId6004" display="https://statiz.sporki.com/player/?m=playerinfo&amp;p_no=10371" xr:uid="{702473CF-17D7-47C1-BD9B-CE0B7B721C42}"/>
    <hyperlink ref="B2003" r:id="rId6005" display="https://statiz.sporki.com/add/?m=draft_school01&amp;ps_school=50206" xr:uid="{387EC9DE-92F7-4CB7-8F82-30227938AEE9}"/>
    <hyperlink ref="C2003" r:id="rId6006" display="https://statiz.sporki.com/add/?m=draft_school02&amp;ps_school=60108" xr:uid="{A52AAE2F-B611-49BC-B8B7-6BC9CE4589FF}"/>
    <hyperlink ref="A2004" r:id="rId6007" display="https://statiz.sporki.com/player/?m=playerinfo&amp;p_no=11354" xr:uid="{40221515-A3E5-4D44-AC1F-24F400E5EE4A}"/>
    <hyperlink ref="B2004" r:id="rId6008" display="https://statiz.sporki.com/add/?m=draft_school01&amp;ps_school=50401" xr:uid="{8E23C304-24F0-49CC-88F4-8AC0C78A773F}"/>
    <hyperlink ref="C2004" r:id="rId6009" display="https://statiz.sporki.com/add/?m=draft_school02&amp;ps_school=60503" xr:uid="{DC116082-6EF3-4B04-B09D-BED17A13B8B1}"/>
    <hyperlink ref="A2005" r:id="rId6010" display="https://statiz.sporki.com/player/?m=playerinfo&amp;p_no=11401" xr:uid="{50DC21ED-EB3B-4B22-B8D7-3BB327650487}"/>
    <hyperlink ref="B2005" r:id="rId6011" display="https://statiz.sporki.com/add/?m=draft_school01&amp;ps_school=50703" xr:uid="{67432BA7-DD6A-49B9-B2CA-FB3AAA6B0727}"/>
    <hyperlink ref="C2005" r:id="rId6012" display="https://statiz.sporki.com/add/?m=draft_school02&amp;ps_school=60703" xr:uid="{566B635F-BFAC-4DF4-9C1D-A82F55D54908}"/>
    <hyperlink ref="A2006" r:id="rId6013" display="https://statiz.sporki.com/player/?m=playerinfo&amp;p_no=11327" xr:uid="{798C7C45-E405-4D38-BC9F-92C9BCE415A5}"/>
    <hyperlink ref="B2006" r:id="rId6014" display="https://statiz.sporki.com/add/?m=draft_school01&amp;ps_school=50402" xr:uid="{5E681E76-5DC2-40DF-97B3-47EA7853B6B3}"/>
    <hyperlink ref="C2006" r:id="rId6015" display="https://statiz.sporki.com/add/?m=draft_school02&amp;ps_school=60203" xr:uid="{3BA6188C-9011-4A06-AFF4-5EB42186E466}"/>
    <hyperlink ref="A2007" r:id="rId6016" display="https://statiz.sporki.com/player/?m=playerinfo&amp;p_no=10070" xr:uid="{8B88E258-1BFA-45CF-B9DC-5B522C671D25}"/>
    <hyperlink ref="B2007" r:id="rId6017" display="https://statiz.sporki.com/add/?m=draft_school01&amp;ps_school=50501" xr:uid="{3FB6BB09-2209-4CAF-84D4-96BBE20FA979}"/>
    <hyperlink ref="C2007" r:id="rId6018" display="https://statiz.sporki.com/add/?m=draft_school02&amp;ps_school=" xr:uid="{E2374B29-49DE-4A60-A4B2-1E1EDCDB0031}"/>
    <hyperlink ref="A2008" r:id="rId6019" display="https://statiz.sporki.com/player/?m=playerinfo&amp;p_no=12516" xr:uid="{5A72E2D1-3C72-40EA-A0B5-F13D0724F6BB}"/>
    <hyperlink ref="B2008" r:id="rId6020" display="https://statiz.sporki.com/add/?m=draft_school01&amp;ps_school=50107" xr:uid="{5B4F469A-B54F-4356-99C7-B4A81CED4377}"/>
    <hyperlink ref="C2008" r:id="rId6021" display="https://statiz.sporki.com/add/?m=draft_school02&amp;ps_school=" xr:uid="{E87F19F5-F6B6-4990-BA83-E5373B3C3C16}"/>
    <hyperlink ref="A2009" r:id="rId6022" display="https://statiz.sporki.com/player/?m=playerinfo&amp;p_no=10873" xr:uid="{703EB729-F02D-4F51-872F-81216A3A17AD}"/>
    <hyperlink ref="B2009" r:id="rId6023" display="https://statiz.sporki.com/add/?m=draft_school01&amp;ps_school=50202" xr:uid="{BBB228DE-EC7E-4B89-888C-A432C4B46CCE}"/>
    <hyperlink ref="C2009" r:id="rId6024" display="https://statiz.sporki.com/add/?m=draft_school02&amp;ps_school=" xr:uid="{6672C99E-A904-4E23-B5A8-31B0B170ABF2}"/>
    <hyperlink ref="A2010" r:id="rId6025" display="https://statiz.sporki.com/player/?m=playerinfo&amp;p_no=10229" xr:uid="{020CE6FA-57A4-4411-9664-791CFF67D473}"/>
    <hyperlink ref="B2010" r:id="rId6026" display="https://statiz.sporki.com/add/?m=draft_school01&amp;ps_school=50108" xr:uid="{55F6051C-FE44-46DA-B798-CB9E9CCC2108}"/>
    <hyperlink ref="C2010" r:id="rId6027" display="https://statiz.sporki.com/add/?m=draft_school02&amp;ps_school=60106" xr:uid="{188A3C4C-8EB0-44D3-A651-938A79BE10B8}"/>
    <hyperlink ref="A2011" r:id="rId6028" display="https://statiz.sporki.com/player/?m=playerinfo&amp;p_no=10235" xr:uid="{A3EDF1E1-0656-4522-AF05-3A783AC44910}"/>
    <hyperlink ref="B2011" r:id="rId6029" display="https://statiz.sporki.com/add/?m=draft_school01&amp;ps_school=50802" xr:uid="{27C64164-CA58-4386-AF1A-3CC378F64A31}"/>
    <hyperlink ref="C2011" r:id="rId6030" display="https://statiz.sporki.com/add/?m=draft_school02&amp;ps_school=60704" xr:uid="{DE71F02B-F7D4-4F00-B069-53541A7449AE}"/>
    <hyperlink ref="A2012" r:id="rId6031" display="https://statiz.sporki.com/player/?m=playerinfo&amp;p_no=10341" xr:uid="{B875E868-A4B4-4473-B3BC-B091DD08648D}"/>
    <hyperlink ref="B2012" r:id="rId6032" display="https://statiz.sporki.com/add/?m=draft_school01&amp;ps_school=50705" xr:uid="{50E5E2E7-5CBE-4125-87F6-D80338E482EB}"/>
    <hyperlink ref="C2012" r:id="rId6033" display="https://statiz.sporki.com/add/?m=draft_school02&amp;ps_school=60701" xr:uid="{A6756B7F-F8F4-4754-B75A-157EE5DA0B96}"/>
    <hyperlink ref="A2013" r:id="rId6034" display="https://statiz.sporki.com/player/?m=playerinfo&amp;p_no=10568" xr:uid="{E1E725F1-A5D2-4393-82F3-769EBAE13FE6}"/>
    <hyperlink ref="B2013" r:id="rId6035" display="https://statiz.sporki.com/add/?m=draft_school01&amp;ps_school=50402" xr:uid="{B8FDBF7E-75D9-4A9A-B290-F5EAF7FA21DF}"/>
    <hyperlink ref="C2013" r:id="rId6036" display="https://statiz.sporki.com/add/?m=draft_school02&amp;ps_school=" xr:uid="{AC2FEF2F-ED9B-4C6D-8C01-6D2131CFE92B}"/>
    <hyperlink ref="A2014" r:id="rId6037" display="https://statiz.sporki.com/player/?m=playerinfo&amp;p_no=10304" xr:uid="{5AC7EAF0-1DAA-4592-B72A-1C214B7CB035}"/>
    <hyperlink ref="B2014" r:id="rId6038" display="https://statiz.sporki.com/add/?m=draft_school01&amp;ps_school=50802" xr:uid="{740677FC-529B-4F8E-89CF-459E66DFDFEC}"/>
    <hyperlink ref="C2014" r:id="rId6039" display="https://statiz.sporki.com/add/?m=draft_school02&amp;ps_school=" xr:uid="{E2259593-43E6-47B0-B2BE-1CF0E5FBEFE5}"/>
    <hyperlink ref="A2015" r:id="rId6040" display="https://statiz.sporki.com/player/?m=playerinfo&amp;p_no=10533" xr:uid="{D0C72AFB-9005-46CB-AE55-3981B7365B77}"/>
    <hyperlink ref="B2015" r:id="rId6041" display="https://statiz.sporki.com/add/?m=draft_school01&amp;ps_school=50602" xr:uid="{AAB5032A-0806-4699-91BC-AADF6F0CE7C0}"/>
    <hyperlink ref="C2015" r:id="rId6042" display="https://statiz.sporki.com/add/?m=draft_school02&amp;ps_school=" xr:uid="{078208D8-9F71-41F1-8D7D-F3F69F80DACD}"/>
    <hyperlink ref="A2016" r:id="rId6043" display="https://statiz.sporki.com/player/?m=playerinfo&amp;p_no=10093" xr:uid="{C4D904F8-6FB1-46E8-85BB-E3B2CAA1A529}"/>
    <hyperlink ref="B2016" r:id="rId6044" display="https://statiz.sporki.com/add/?m=draft_school01&amp;ps_school=50602" xr:uid="{70C88A1B-478C-48EB-943E-74B6E00A9498}"/>
    <hyperlink ref="C2016" r:id="rId6045" display="https://statiz.sporki.com/add/?m=draft_school02&amp;ps_school=60108" xr:uid="{BBDC6B67-7767-4496-A57E-1D91B7112C12}"/>
    <hyperlink ref="A2017" r:id="rId6046" display="https://statiz.sporki.com/player/?m=playerinfo&amp;p_no=10643" xr:uid="{89384F9E-99D3-4438-AF6F-47D91F0F61FC}"/>
    <hyperlink ref="B2017" r:id="rId6047" display="https://statiz.sporki.com/add/?m=draft_school01&amp;ps_school=50209" xr:uid="{806D1C42-8125-42DE-8D26-D0843CD668E5}"/>
    <hyperlink ref="C2017" r:id="rId6048" display="https://statiz.sporki.com/add/?m=draft_school02&amp;ps_school=" xr:uid="{C62BDF46-C557-4722-A370-8487078D5DE6}"/>
    <hyperlink ref="A2018" r:id="rId6049" display="https://statiz.sporki.com/player/?m=playerinfo&amp;p_no=10030" xr:uid="{E8DD8D96-A33F-41F3-BB2B-EF52A6D7C0B2}"/>
    <hyperlink ref="B2018" r:id="rId6050" display="https://statiz.sporki.com/add/?m=draft_school01&amp;ps_school=50110" xr:uid="{8E70AD21-65BC-4C2D-A075-F859DAAB6673}"/>
    <hyperlink ref="C2018" r:id="rId6051" display="https://statiz.sporki.com/add/?m=draft_school02&amp;ps_school=60203" xr:uid="{3B53C3FB-C736-414C-8452-161BDEE9ABBD}"/>
    <hyperlink ref="A2019" r:id="rId6052" display="https://statiz.sporki.com/player/?m=playerinfo&amp;p_no=10429" xr:uid="{2E0983CE-D7A6-4ACE-88B8-E685898A5C20}"/>
    <hyperlink ref="B2019" r:id="rId6053" display="https://statiz.sporki.com/add/?m=draft_school01&amp;ps_school=51001" xr:uid="{A1C21321-0018-46BB-BBFA-68F0C2E588CB}"/>
    <hyperlink ref="C2019" r:id="rId6054" display="https://statiz.sporki.com/add/?m=draft_school02&amp;ps_school=" xr:uid="{C41A7103-7486-4A21-9705-4112B0151663}"/>
    <hyperlink ref="A2020" r:id="rId6055" display="https://statiz.sporki.com/player/?m=playerinfo&amp;p_no=10608" xr:uid="{6014B48C-6A68-478E-8DCF-6AADED10A663}"/>
    <hyperlink ref="B2020" r:id="rId6056" display="https://statiz.sporki.com/add/?m=draft_school01&amp;ps_school=50403" xr:uid="{4BAE7697-12A2-4071-A9D3-D3451DAF1FD8}"/>
    <hyperlink ref="C2020" r:id="rId6057" display="https://statiz.sporki.com/add/?m=draft_school02&amp;ps_school=" xr:uid="{F7E96D3A-6045-434E-B32A-B6E5465BDA27}"/>
    <hyperlink ref="A2021" r:id="rId6058" display="https://statiz.sporki.com/player/?m=playerinfo&amp;p_no=10382" xr:uid="{62309AA9-FEC1-4ECB-B9ED-A964472895F3}"/>
    <hyperlink ref="B2021" r:id="rId6059" display="https://statiz.sporki.com/add/?m=draft_school01&amp;ps_school=50111" xr:uid="{F38A9977-79CD-43BE-8612-7B17B84DFA16}"/>
    <hyperlink ref="C2021" r:id="rId6060" display="https://statiz.sporki.com/add/?m=draft_school02&amp;ps_school=" xr:uid="{210E21A0-A21D-4299-AECD-C686D28F552C}"/>
    <hyperlink ref="A2022" r:id="rId6061" display="https://statiz.sporki.com/player/?m=playerinfo&amp;p_no=10725" xr:uid="{67A27102-E66B-45EF-AF94-99C1D71D9A85}"/>
    <hyperlink ref="B2022" r:id="rId6062" display="https://statiz.sporki.com/add/?m=draft_school01&amp;ps_school=50111" xr:uid="{B26B58C7-AA96-464E-91A2-58D83A5A58F1}"/>
    <hyperlink ref="C2022" r:id="rId6063" display="https://statiz.sporki.com/add/?m=draft_school02&amp;ps_school=" xr:uid="{850F4ABF-DA6F-4563-9339-8566417A1802}"/>
    <hyperlink ref="A2023" r:id="rId6064" display="https://statiz.sporki.com/player/?m=playerinfo&amp;p_no=10544" xr:uid="{8AD8B75F-9C1D-4DF8-9461-D739788364CE}"/>
    <hyperlink ref="B2023" r:id="rId6065" display="https://statiz.sporki.com/add/?m=draft_school01&amp;ps_school=50112" xr:uid="{102C490C-DCD6-4EC8-8800-8323008EE5DA}"/>
    <hyperlink ref="C2023" r:id="rId6066" display="https://statiz.sporki.com/add/?m=draft_school02&amp;ps_school=60108" xr:uid="{97BDC5FF-2F42-4F26-B7C6-F4995B60497F}"/>
    <hyperlink ref="A2024" r:id="rId6067" display="https://statiz.sporki.com/player/?m=playerinfo&amp;p_no=10452" xr:uid="{D3C3C946-139C-499C-BD12-8EFCBAC113A7}"/>
    <hyperlink ref="B2024" r:id="rId6068" display="https://statiz.sporki.com/add/?m=draft_school01&amp;ps_school=50601" xr:uid="{50F72DEA-A159-441D-913A-269C844490B6}"/>
    <hyperlink ref="C2024" r:id="rId6069" display="https://statiz.sporki.com/add/?m=draft_school02&amp;ps_school=60109" xr:uid="{58212BD9-566C-4B5E-986A-CA70E8AB957D}"/>
    <hyperlink ref="A2025" r:id="rId6070" display="https://statiz.sporki.com/player/?m=playerinfo&amp;p_no=10024" xr:uid="{51BA2CD9-3BC0-4D73-8452-ADDA0244B233}"/>
    <hyperlink ref="B2025" r:id="rId6071" display="https://statiz.sporki.com/add/?m=draft_school01&amp;ps_school=50401" xr:uid="{B3C54DA2-D070-4DEB-8A94-EF750DBB2DAD}"/>
    <hyperlink ref="C2025" r:id="rId6072" display="https://statiz.sporki.com/add/?m=draft_school02&amp;ps_school=60501" xr:uid="{532582FC-298A-46F7-BE78-8936A28CA174}"/>
    <hyperlink ref="A2026" r:id="rId6073" display="https://statiz.sporki.com/player/?m=playerinfo&amp;p_no=10196" xr:uid="{7AEE1002-4883-4E54-9F4A-94222CDC2777}"/>
    <hyperlink ref="B2026" r:id="rId6074" display="https://statiz.sporki.com/add/?m=draft_school01&amp;ps_school=50109" xr:uid="{21E9608F-784C-438F-90D9-C8E47F85AC3D}"/>
    <hyperlink ref="C2026" r:id="rId6075" display="https://statiz.sporki.com/add/?m=draft_school02&amp;ps_school=60802" xr:uid="{FD206C0B-229F-4E46-8B4B-D5FD8C2AD2BB}"/>
    <hyperlink ref="A2027" r:id="rId6076" display="https://statiz.sporki.com/player/?m=playerinfo&amp;p_no=10136" xr:uid="{7A81E032-4F6C-49E7-8766-5BD7917A662E}"/>
    <hyperlink ref="B2027" r:id="rId6077" display="https://statiz.sporki.com/add/?m=draft_school01&amp;ps_school=50113" xr:uid="{13271D71-DF89-4BBA-AF5C-7F81446813F9}"/>
    <hyperlink ref="C2027" r:id="rId6078" display="https://statiz.sporki.com/add/?m=draft_school02&amp;ps_school=61001" xr:uid="{B1408F1B-2720-4355-AE16-C2A26C0D2729}"/>
    <hyperlink ref="A2028" r:id="rId6079" display="https://statiz.sporki.com/player/?m=playerinfo&amp;p_no=10266" xr:uid="{9B873D04-48E6-4B68-91BF-AF27F776DF99}"/>
    <hyperlink ref="B2028" r:id="rId6080" display="https://statiz.sporki.com/add/?m=draft_school01&amp;ps_school=50702" xr:uid="{14D4A2D3-6823-4833-BD24-C5E091327262}"/>
    <hyperlink ref="C2028" r:id="rId6081" display="https://statiz.sporki.com/add/?m=draft_school02&amp;ps_school=60101" xr:uid="{82533D8D-92C3-4566-8A3E-5DD571569E96}"/>
    <hyperlink ref="A2029" r:id="rId6082" display="https://statiz.sporki.com/player/?m=playerinfo&amp;p_no=10525" xr:uid="{A3A6A0DF-0F43-4560-9D9E-72B025AA7545}"/>
    <hyperlink ref="B2029" r:id="rId6083" display="https://statiz.sporki.com/add/?m=draft_school01&amp;ps_school=50204" xr:uid="{8A0607DE-D4D0-48D1-8AFB-5DE6C49D8C8D}"/>
    <hyperlink ref="C2029" r:id="rId6084" display="https://statiz.sporki.com/add/?m=draft_school02&amp;ps_school=" xr:uid="{9543F62F-08F2-484E-9937-0859EBF5CAA3}"/>
    <hyperlink ref="A2030" r:id="rId6085" display="https://statiz.sporki.com/player/?m=playerinfo&amp;p_no=10459" xr:uid="{9930F211-EACE-46C9-98B8-DA8D14AC9D69}"/>
    <hyperlink ref="B2030" r:id="rId6086" display="https://statiz.sporki.com/add/?m=draft_school01&amp;ps_school=50805" xr:uid="{E1813296-510A-436A-B65B-BE49C45494A3}"/>
    <hyperlink ref="C2030" r:id="rId6087" display="https://statiz.sporki.com/add/?m=draft_school02&amp;ps_school=60106" xr:uid="{29909B3C-BF7C-488F-AE78-F65DFF1FFA14}"/>
    <hyperlink ref="A2031" r:id="rId6088" display="https://statiz.sporki.com/player/?m=playerinfo&amp;p_no=10268" xr:uid="{2670EA67-786B-4B6C-8C25-664DC2ABECA6}"/>
    <hyperlink ref="B2031" r:id="rId6089" display="https://statiz.sporki.com/add/?m=draft_school01&amp;ps_school=50107" xr:uid="{9A1F4A17-7246-4096-A4BF-DA8F047B40F0}"/>
    <hyperlink ref="C2031" r:id="rId6090" display="https://statiz.sporki.com/add/?m=draft_school02&amp;ps_school=60203" xr:uid="{B9FD9F02-6E9B-49B4-B685-5A7A7BA81A36}"/>
    <hyperlink ref="A2032" r:id="rId6091" display="https://statiz.sporki.com/player/?m=playerinfo&amp;p_no=10710" xr:uid="{FA622487-9976-4236-8003-AE4B2BF17F00}"/>
    <hyperlink ref="B2032" r:id="rId6092" display="https://statiz.sporki.com/add/?m=draft_school01&amp;ps_school=50108" xr:uid="{E94BA759-A625-4B9D-8ADC-042FAD7BC8D2}"/>
    <hyperlink ref="C2032" r:id="rId6093" display="https://statiz.sporki.com/add/?m=draft_school02&amp;ps_school=60203" xr:uid="{440E8610-CBFE-4EAD-8094-B23D1144BE30}"/>
    <hyperlink ref="A2033" r:id="rId6094" display="https://statiz.sporki.com/player/?m=playerinfo&amp;p_no=10230" xr:uid="{52494BA2-CCCB-4E74-A18F-94FE31000809}"/>
    <hyperlink ref="B2033" r:id="rId6095" display="https://statiz.sporki.com/add/?m=draft_school01&amp;ps_school=50114" xr:uid="{DC1B3D0F-F19D-448C-AB5D-30A3C5DAA56A}"/>
    <hyperlink ref="C2033" r:id="rId6096" display="https://statiz.sporki.com/add/?m=draft_school02&amp;ps_school=" xr:uid="{79DA2A1F-0269-4571-A89B-C64B28412582}"/>
    <hyperlink ref="A2034" r:id="rId6097" display="https://statiz.sporki.com/player/?m=playerinfo&amp;p_no=10012" xr:uid="{8A5EDB02-9E44-496F-A43F-3EE700E787F7}"/>
    <hyperlink ref="B2034" r:id="rId6098" display="https://statiz.sporki.com/add/?m=draft_school01&amp;ps_school=50703" xr:uid="{10AD8EFA-71B2-4D33-B975-4CDEC77E7548}"/>
    <hyperlink ref="C2034" r:id="rId6099" display="https://statiz.sporki.com/add/?m=draft_school02&amp;ps_school=60109" xr:uid="{08DF0151-8CE3-48FA-926A-E46AF7B08B15}"/>
    <hyperlink ref="A2035" r:id="rId6100" display="https://statiz.sporki.com/player/?m=playerinfo&amp;p_no=10434" xr:uid="{2D1CA61D-9A00-4CCD-8087-51D9663C5D28}"/>
    <hyperlink ref="B2035" r:id="rId6101" display="https://statiz.sporki.com/add/?m=draft_school01&amp;ps_school=50112" xr:uid="{95F5DD71-6810-41F5-8806-2CB7A9431E28}"/>
    <hyperlink ref="C2035" r:id="rId6102" display="https://statiz.sporki.com/add/?m=draft_school02&amp;ps_school=60106" xr:uid="{70BDCB92-E659-4A90-8817-9CB1EA821F15}"/>
    <hyperlink ref="A2036" r:id="rId6103" display="https://statiz.sporki.com/player/?m=playerinfo&amp;p_no=10615" xr:uid="{B8E53CEA-54CA-40F9-B3A0-E5CF0AC2E0E1}"/>
    <hyperlink ref="B2036" r:id="rId6104" display="https://statiz.sporki.com/add/?m=draft_school01&amp;ps_school=50207" xr:uid="{B899EBC5-3B5C-486B-AEF6-6CECA61AA269}"/>
    <hyperlink ref="C2036" r:id="rId6105" display="https://statiz.sporki.com/add/?m=draft_school02&amp;ps_school=" xr:uid="{B5F435B0-CBC4-43BD-9B96-A84B3FE413DB}"/>
    <hyperlink ref="A2037" r:id="rId6106" display="https://statiz.sporki.com/player/?m=playerinfo&amp;p_no=10353" xr:uid="{F5860A84-8117-40AF-9145-1033029EE2FB}"/>
    <hyperlink ref="B2037" r:id="rId6107" display="https://statiz.sporki.com/add/?m=draft_school01&amp;ps_school=50703" xr:uid="{86A5241A-86E8-4ED5-AA96-8D92ED6F2724}"/>
    <hyperlink ref="C2037" r:id="rId6108" display="https://statiz.sporki.com/add/?m=draft_school02&amp;ps_school=" xr:uid="{3F6C92AF-BBD7-4425-96CB-6C4B43550750}"/>
    <hyperlink ref="A2038" r:id="rId6109" display="https://statiz.sporki.com/player/?m=playerinfo&amp;p_no=10345" xr:uid="{FA7747CB-2F7B-4567-923F-8FA3DC06CE6D}"/>
    <hyperlink ref="B2038" r:id="rId6110" display="https://statiz.sporki.com/add/?m=draft_school01&amp;ps_school=50601" xr:uid="{7EB34C55-B779-43B7-A50F-D447EC5CE001}"/>
    <hyperlink ref="C2038" r:id="rId6111" display="https://statiz.sporki.com/add/?m=draft_school02&amp;ps_school=60101" xr:uid="{9833E87B-18C7-4EE7-B3F0-C48580CB1861}"/>
    <hyperlink ref="A2039" r:id="rId6112" display="https://statiz.sporki.com/player/?m=playerinfo&amp;p_no=10557" xr:uid="{370C2AE4-FBA7-4F05-B78B-DEBF1336FCCF}"/>
    <hyperlink ref="B2039" r:id="rId6113" display="https://statiz.sporki.com/add/?m=draft_school01&amp;ps_school=50108" xr:uid="{6AB65BBC-6ADE-4243-A9E2-4DE4EFC8F529}"/>
    <hyperlink ref="C2039" r:id="rId6114" display="https://statiz.sporki.com/add/?m=draft_school02&amp;ps_school=" xr:uid="{B3E67D3E-9028-447B-9B2E-CE92E34D8BA8}"/>
    <hyperlink ref="A2040" r:id="rId6115" display="https://statiz.sporki.com/player/?m=playerinfo&amp;p_no=10417" xr:uid="{20D7B270-4D06-4BEF-A78B-6FCF1DD85809}"/>
    <hyperlink ref="B2040" r:id="rId6116" display="https://statiz.sporki.com/add/?m=draft_school01&amp;ps_school=50103" xr:uid="{F0BA62D8-9AF1-425B-90B6-87CF801B0383}"/>
    <hyperlink ref="C2040" r:id="rId6117" display="https://statiz.sporki.com/add/?m=draft_school02&amp;ps_school=" xr:uid="{816943A3-A8B2-4D04-9D97-7982C93A39BB}"/>
    <hyperlink ref="A2041" r:id="rId6118" display="https://statiz.sporki.com/player/?m=playerinfo&amp;p_no=10466" xr:uid="{6479E54F-AD51-4D1D-BFBD-55F6A13CD109}"/>
    <hyperlink ref="B2041" r:id="rId6119" display="https://statiz.sporki.com/add/?m=draft_school01&amp;ps_school=50109" xr:uid="{4DC6643B-B9CE-4E5B-9BA1-78AFB8E275F3}"/>
    <hyperlink ref="C2041" r:id="rId6120" display="https://statiz.sporki.com/add/?m=draft_school02&amp;ps_school=60103" xr:uid="{E6273671-3358-45D7-9280-66E9C0840269}"/>
    <hyperlink ref="A2042" r:id="rId6121" display="https://statiz.sporki.com/player/?m=playerinfo&amp;p_no=10737" xr:uid="{45A37BEA-A697-4A4D-8E7C-66A89BFB8A66}"/>
    <hyperlink ref="B2042" r:id="rId6122" display="https://statiz.sporki.com/add/?m=draft_school01&amp;ps_school=50210" xr:uid="{7DEECD30-5851-4003-B9B2-8530724A0851}"/>
    <hyperlink ref="C2042" r:id="rId6123" display="https://statiz.sporki.com/add/?m=draft_school02&amp;ps_school=60704" xr:uid="{DF94DAC6-EAFA-4247-AAB5-D1B600979A2A}"/>
    <hyperlink ref="A2043" r:id="rId6124" display="https://statiz.sporki.com/player/?m=playerinfo&amp;p_no=10506" xr:uid="{32940A08-4E3E-4EC1-9B8C-F939F923EBC5}"/>
    <hyperlink ref="B2043" r:id="rId6125" display="https://statiz.sporki.com/add/?m=draft_school01&amp;ps_school=50112" xr:uid="{E56F01E3-4AD1-4AFB-A3AA-B95478AC3D8C}"/>
    <hyperlink ref="C2043" r:id="rId6126" display="https://statiz.sporki.com/add/?m=draft_school02&amp;ps_school=" xr:uid="{72BA7B07-D676-4450-9EE4-2B90AAC50ED6}"/>
    <hyperlink ref="A2044" r:id="rId6127" display="https://statiz.sporki.com/player/?m=playerinfo&amp;p_no=10132" xr:uid="{75A4439D-E3A0-4BA5-82B7-F5E41B1CBE5E}"/>
    <hyperlink ref="B2044" r:id="rId6128" display="https://statiz.sporki.com/add/?m=draft_school01&amp;ps_school=50101" xr:uid="{9FCB6469-C3D1-42C5-A3E0-D85058149081}"/>
    <hyperlink ref="C2044" r:id="rId6129" display="https://statiz.sporki.com/add/?m=draft_school02&amp;ps_school=60103" xr:uid="{23B246A9-CFDD-423E-A5B0-110846601FFC}"/>
    <hyperlink ref="A2045" r:id="rId6130" display="https://statiz.sporki.com/player/?m=playerinfo&amp;p_no=10214" xr:uid="{3AEA9C40-E555-4204-A22F-A4F6CEE88FD2}"/>
    <hyperlink ref="B2045" r:id="rId6131" display="https://statiz.sporki.com/add/?m=draft_school01&amp;ps_school=50116" xr:uid="{F03EB8D6-A75A-48D9-9318-286C1D2F6AD7}"/>
    <hyperlink ref="C2045" r:id="rId6132" display="https://statiz.sporki.com/add/?m=draft_school02&amp;ps_school=" xr:uid="{8DDE1CA9-39F9-405D-8180-985F6BB3DFB8}"/>
    <hyperlink ref="A2046" r:id="rId6133" display="https://statiz.sporki.com/player/?m=playerinfo&amp;p_no=10003" xr:uid="{7D058CB1-F505-46A4-B824-B97792FCBE6E}"/>
    <hyperlink ref="B2046" r:id="rId6134" display="https://statiz.sporki.com/add/?m=draft_school01&amp;ps_school=50111" xr:uid="{9835778F-7ABF-43A7-A052-F1F19D37DDB6}"/>
    <hyperlink ref="C2046" r:id="rId6135" display="https://statiz.sporki.com/add/?m=draft_school02&amp;ps_school=" xr:uid="{E3177C49-39AB-4991-9044-D9774C60C651}"/>
    <hyperlink ref="A2047" r:id="rId6136" display="https://statiz.sporki.com/player/?m=playerinfo&amp;p_no=10611" xr:uid="{C939E3AC-7094-4CB6-9309-D0743963A332}"/>
    <hyperlink ref="B2047" r:id="rId6137" display="https://statiz.sporki.com/add/?m=draft_school01&amp;ps_school=50804" xr:uid="{7AAB92FD-14E4-4CD5-85CB-523073BC19A8}"/>
    <hyperlink ref="C2047" r:id="rId6138" display="https://statiz.sporki.com/add/?m=draft_school02&amp;ps_school=60804" xr:uid="{83C5D662-BD46-463E-8F8D-82E6738B80FF}"/>
    <hyperlink ref="A2048" r:id="rId6139" display="https://statiz.sporki.com/player/?m=playerinfo&amp;p_no=10318" xr:uid="{A281A93F-5F3F-41A5-AA4F-66152A43A407}"/>
    <hyperlink ref="B2048" r:id="rId6140" display="https://statiz.sporki.com/add/?m=draft_school01&amp;ps_school=50802" xr:uid="{EF93B8ED-21A9-4766-B217-B0C16DF47FE6}"/>
    <hyperlink ref="C2048" r:id="rId6141" display="https://statiz.sporki.com/add/?m=draft_school02&amp;ps_school=60113" xr:uid="{494BD487-87FF-4C54-AF4D-436FD3753A58}"/>
    <hyperlink ref="A2049" r:id="rId6142" display="https://statiz.sporki.com/player/?m=playerinfo&amp;p_no=10342" xr:uid="{A160A289-6D06-414D-A753-AD3918B6F34D}"/>
    <hyperlink ref="B2049" r:id="rId6143" display="https://statiz.sporki.com/add/?m=draft_school01&amp;ps_school=50112" xr:uid="{E466B9CF-D7CE-469F-BBB4-0A08185658C7}"/>
    <hyperlink ref="C2049" r:id="rId6144" display="https://statiz.sporki.com/add/?m=draft_school02&amp;ps_school=60104" xr:uid="{A553E37A-5E04-4B71-AF3A-C59436068A31}"/>
    <hyperlink ref="A2050" r:id="rId6145" display="https://statiz.sporki.com/player/?m=playerinfo&amp;p_no=10414" xr:uid="{35DCAC82-6BF0-416F-B4DA-01AE8E7D5948}"/>
    <hyperlink ref="B2050" r:id="rId6146" display="https://statiz.sporki.com/add/?m=draft_school01&amp;ps_school=50203" xr:uid="{F7ED1A45-B0DD-4DDD-9470-BC7339584DBF}"/>
    <hyperlink ref="C2050" r:id="rId6147" display="https://statiz.sporki.com/add/?m=draft_school02&amp;ps_school=60801" xr:uid="{6B76E19F-3312-4F5C-AD37-28D6FB70E5FD}"/>
    <hyperlink ref="A2051" r:id="rId6148" display="https://statiz.sporki.com/player/?m=playerinfo&amp;p_no=10008" xr:uid="{7176FDCC-FC63-4383-BAC6-0D5EAF7ED455}"/>
    <hyperlink ref="B2051" r:id="rId6149" display="https://statiz.sporki.com/add/?m=draft_school01&amp;ps_school=50605" xr:uid="{505B079D-2D64-400F-B7D8-2EE59CDBD48C}"/>
    <hyperlink ref="C2051" r:id="rId6150" display="https://statiz.sporki.com/add/?m=draft_school02&amp;ps_school=" xr:uid="{AF8D46A8-FEF4-4215-8691-6194FC6387A8}"/>
    <hyperlink ref="A2052" r:id="rId6151" display="https://statiz.sporki.com/player/?m=playerinfo&amp;p_no=10167" xr:uid="{2B9F47E0-DCFD-44C1-A05D-7E5BD509ACE2}"/>
    <hyperlink ref="B2052" r:id="rId6152" display="https://statiz.sporki.com/add/?m=draft_school01&amp;ps_school=50601" xr:uid="{4471D443-4B76-4509-8FAA-2CF2E5745BCC}"/>
    <hyperlink ref="C2052" r:id="rId6153" display="https://statiz.sporki.com/add/?m=draft_school02&amp;ps_school=" xr:uid="{5036DDDB-6458-4037-A5ED-88E93F2A666F}"/>
    <hyperlink ref="A2053" r:id="rId6154" display="https://statiz.sporki.com/player/?m=playerinfo&amp;p_no=10116" xr:uid="{9AECCB4E-EA5F-48E1-8362-1D116265FD09}"/>
    <hyperlink ref="B2053" r:id="rId6155" display="https://statiz.sporki.com/add/?m=draft_school01&amp;ps_school=50108" xr:uid="{BBAF4CE4-9DFB-4FA2-9923-11961D072ACD}"/>
    <hyperlink ref="C2053" r:id="rId6156" display="https://statiz.sporki.com/add/?m=draft_school02&amp;ps_school=60103" xr:uid="{F9453153-D032-48B5-BD99-35AB2DAF8EAC}"/>
    <hyperlink ref="A2054" r:id="rId6157" display="https://statiz.sporki.com/player/?m=playerinfo&amp;p_no=10100" xr:uid="{B28A023B-E925-40A2-884F-41692CB8303D}"/>
    <hyperlink ref="B2054" r:id="rId6158" display="https://statiz.sporki.com/add/?m=draft_school01&amp;ps_school=50210" xr:uid="{FE3D91A4-B6A4-4782-B079-5BC205E627BD}"/>
    <hyperlink ref="C2054" r:id="rId6159" display="https://statiz.sporki.com/add/?m=draft_school02&amp;ps_school=61001" xr:uid="{1AF1F69E-CD96-4622-97AF-066B0FF6EFA9}"/>
    <hyperlink ref="A2055" r:id="rId6160" display="https://statiz.sporki.com/player/?m=playerinfo&amp;p_no=10205" xr:uid="{C53D7106-2C6C-45D6-B50C-D6227A7B28F1}"/>
    <hyperlink ref="B2055" r:id="rId6161" display="https://statiz.sporki.com/add/?m=draft_school01&amp;ps_school=50111" xr:uid="{C6C6F4B7-BFA3-4FA7-9D5F-548069576C51}"/>
    <hyperlink ref="C2055" r:id="rId6162" display="https://statiz.sporki.com/add/?m=draft_school02&amp;ps_school=" xr:uid="{0B4EADC1-6F69-4392-B692-B0C0C9D1EF30}"/>
    <hyperlink ref="A2056" r:id="rId6163" display="https://statiz.sporki.com/player/?m=playerinfo&amp;p_no=10115" xr:uid="{E788D6BC-270F-4D4B-B404-BB674CBE2AB6}"/>
    <hyperlink ref="B2056" r:id="rId6164" display="https://statiz.sporki.com/add/?m=draft_school01&amp;ps_school=50115" xr:uid="{D0FC4B1C-8021-4CAE-A490-254670D030C9}"/>
    <hyperlink ref="C2056" r:id="rId6165" display="https://statiz.sporki.com/add/?m=draft_school02&amp;ps_school=60102" xr:uid="{3101FA83-8972-43DE-9D48-19311B9929B3}"/>
    <hyperlink ref="A2057" r:id="rId6166" display="https://statiz.sporki.com/player/?m=playerinfo&amp;p_no=2422" xr:uid="{03E63B1F-F2C3-4757-BEDC-24E56EA8657F}"/>
    <hyperlink ref="B2057" r:id="rId6167" display="https://statiz.sporki.com/add/?m=draft_school01&amp;ps_school=" xr:uid="{D4BD9BFC-3511-4987-ACF0-67C3861AE76B}"/>
    <hyperlink ref="C2057" r:id="rId6168" display="https://statiz.sporki.com/add/?m=draft_school02&amp;ps_school=" xr:uid="{799BA3F7-4390-43E7-A498-338E2F2FF902}"/>
    <hyperlink ref="A2058" r:id="rId6169" display="https://statiz.sporki.com/player/?m=playerinfo&amp;p_no=2429" xr:uid="{BC4EA5B5-8CD0-43D8-9047-0B9607749339}"/>
    <hyperlink ref="B2058" r:id="rId6170" display="https://statiz.sporki.com/add/?m=draft_school01&amp;ps_school=" xr:uid="{ADD0AA29-C61D-4719-8EE9-36B3F46178AC}"/>
    <hyperlink ref="C2058" r:id="rId6171" display="https://statiz.sporki.com/add/?m=draft_school02&amp;ps_school=" xr:uid="{428ADD85-A088-4020-994B-4D348A6A981E}"/>
    <hyperlink ref="A2059" r:id="rId6172" display="https://statiz.sporki.com/player/?m=playerinfo&amp;p_no=2428" xr:uid="{D26496E3-AA6F-47E8-9A6F-18A2BCD4143E}"/>
    <hyperlink ref="B2059" r:id="rId6173" display="https://statiz.sporki.com/add/?m=draft_school01&amp;ps_school=" xr:uid="{266008CC-7D2B-401A-B32E-4D3D6939CB88}"/>
    <hyperlink ref="C2059" r:id="rId6174" display="https://statiz.sporki.com/add/?m=draft_school02&amp;ps_school=" xr:uid="{45AA8327-EF0E-4B0B-9F9B-875F2C2C2A75}"/>
    <hyperlink ref="A2060" r:id="rId6175" display="https://statiz.sporki.com/player/?m=playerinfo&amp;p_no=2420" xr:uid="{6D885EA0-8873-4015-BF30-97DCC59FD34C}"/>
    <hyperlink ref="B2060" r:id="rId6176" display="https://statiz.sporki.com/add/?m=draft_school01&amp;ps_school=" xr:uid="{355EA39D-5774-4EA7-ADB4-14C7507F4C8F}"/>
    <hyperlink ref="C2060" r:id="rId6177" display="https://statiz.sporki.com/add/?m=draft_school02&amp;ps_school=" xr:uid="{32F767C5-8686-46C2-9718-75E8C37320FA}"/>
    <hyperlink ref="A2061" r:id="rId6178" display="https://statiz.sporki.com/player/?m=playerinfo&amp;p_no=2424" xr:uid="{B73F55DA-3F21-4D6C-8A9D-C9A8D77A3EA2}"/>
    <hyperlink ref="B2061" r:id="rId6179" display="https://statiz.sporki.com/add/?m=draft_school01&amp;ps_school=" xr:uid="{9D7A9841-D7C5-4A7A-B145-1E38F2D93CF3}"/>
    <hyperlink ref="C2061" r:id="rId6180" display="https://statiz.sporki.com/add/?m=draft_school02&amp;ps_school=" xr:uid="{1C4CFEA6-27FC-42A9-875F-9206042822E1}"/>
    <hyperlink ref="A2062" r:id="rId6181" display="https://statiz.sporki.com/player/?m=playerinfo&amp;p_no=2416" xr:uid="{A0EFA714-5B0F-493E-9301-5CF453C91FD9}"/>
    <hyperlink ref="B2062" r:id="rId6182" display="https://statiz.sporki.com/add/?m=draft_school01&amp;ps_school=" xr:uid="{46AC38D8-DD8D-4BD8-A242-5794DA5F21CD}"/>
    <hyperlink ref="C2062" r:id="rId6183" display="https://statiz.sporki.com/add/?m=draft_school02&amp;ps_school=" xr:uid="{6DF1E966-C0FB-43E1-918C-FF7ABA516CD5}"/>
    <hyperlink ref="A2063" r:id="rId6184" display="https://statiz.sporki.com/player/?m=playerinfo&amp;p_no=2423" xr:uid="{77C5AD66-9D73-4776-9299-0CACEB353B9A}"/>
    <hyperlink ref="B2063" r:id="rId6185" display="https://statiz.sporki.com/add/?m=draft_school01&amp;ps_school=" xr:uid="{1CAD2939-2F2E-4942-9D46-0D840F270791}"/>
    <hyperlink ref="C2063" r:id="rId6186" display="https://statiz.sporki.com/add/?m=draft_school02&amp;ps_school=" xr:uid="{71AF8DDA-FDFC-45D5-9B4D-8A97B0C5F3DE}"/>
    <hyperlink ref="A2064" r:id="rId6187" display="https://statiz.sporki.com/player/?m=playerinfo&amp;p_no=2418" xr:uid="{855881BA-D77C-4BC5-88D0-EFCDB0805494}"/>
    <hyperlink ref="B2064" r:id="rId6188" display="https://statiz.sporki.com/add/?m=draft_school01&amp;ps_school=" xr:uid="{1DA89992-71B5-42BD-AF50-3B5076C7FE57}"/>
    <hyperlink ref="C2064" r:id="rId6189" display="https://statiz.sporki.com/add/?m=draft_school02&amp;ps_school=" xr:uid="{AFC967FC-3EF0-4516-B582-D85FB91C3C39}"/>
    <hyperlink ref="A2065" r:id="rId6190" display="https://statiz.sporki.com/player/?m=playerinfo&amp;p_no=2419" xr:uid="{1903BAA4-C516-4636-B220-1FE8BB254ECA}"/>
    <hyperlink ref="B2065" r:id="rId6191" display="https://statiz.sporki.com/add/?m=draft_school01&amp;ps_school=" xr:uid="{E159233F-161F-4FFA-B10B-0B8F93F59BF9}"/>
    <hyperlink ref="C2065" r:id="rId6192" display="https://statiz.sporki.com/add/?m=draft_school02&amp;ps_school=" xr:uid="{87B35651-A0A6-41A4-BAEA-E6E4974A8DE0}"/>
    <hyperlink ref="A2066" r:id="rId6193" display="https://statiz.sporki.com/player/?m=playerinfo&amp;p_no=10258" xr:uid="{E2E8CA52-A665-4ABA-9336-C098EE149C11}"/>
    <hyperlink ref="B2066" r:id="rId6194" display="https://statiz.sporki.com/add/?m=draft_school01&amp;ps_school=" xr:uid="{2ABF549E-D324-4160-83C7-D42A2FDD5091}"/>
    <hyperlink ref="C2066" r:id="rId6195" display="https://statiz.sporki.com/add/?m=draft_school02&amp;ps_school=" xr:uid="{9A6B5799-3284-498E-8F5B-023C5DCA2C4E}"/>
    <hyperlink ref="A2067" r:id="rId6196" display="https://statiz.sporki.com/player/?m=playerinfo&amp;p_no=2425" xr:uid="{EA789CCF-F1C5-4CB8-9201-BC313B3C93EE}"/>
    <hyperlink ref="B2067" r:id="rId6197" display="https://statiz.sporki.com/add/?m=draft_school01&amp;ps_school=" xr:uid="{05134C86-B384-4A4F-95B4-85780D4C7426}"/>
    <hyperlink ref="C2067" r:id="rId6198" display="https://statiz.sporki.com/add/?m=draft_school02&amp;ps_school=" xr:uid="{2327CC8D-727C-48EC-B2B7-174A6565B3B4}"/>
    <hyperlink ref="A2068" r:id="rId6199" display="https://statiz.sporki.com/player/?m=playerinfo&amp;p_no=2426" xr:uid="{99DE8243-6596-4A30-BB40-E135062B6060}"/>
    <hyperlink ref="B2068" r:id="rId6200" display="https://statiz.sporki.com/add/?m=draft_school01&amp;ps_school=" xr:uid="{17554A20-FA23-4D68-BE5C-5EF2EAD07FCC}"/>
    <hyperlink ref="C2068" r:id="rId6201" display="https://statiz.sporki.com/add/?m=draft_school02&amp;ps_school=" xr:uid="{527E2DB9-B8DE-484B-8468-5C392818B2F2}"/>
    <hyperlink ref="A2069" r:id="rId6202" display="https://statiz.sporki.com/player/?m=playerinfo&amp;p_no=2427" xr:uid="{FF752A3E-2B45-4207-9CAC-D108C1CC7130}"/>
    <hyperlink ref="B2069" r:id="rId6203" display="https://statiz.sporki.com/add/?m=draft_school01&amp;ps_school=" xr:uid="{14F4A92C-C806-471A-83B8-AF23B38601E1}"/>
    <hyperlink ref="C2069" r:id="rId6204" display="https://statiz.sporki.com/add/?m=draft_school02&amp;ps_school=" xr:uid="{8F3DC07C-D397-48FA-8E26-C8CDB572A083}"/>
    <hyperlink ref="A2070" r:id="rId6205" display="https://statiz.sporki.com/player/?m=playerinfo&amp;p_no=2430" xr:uid="{6B94633B-0102-409E-AA6F-E4CE76D53210}"/>
    <hyperlink ref="B2070" r:id="rId6206" display="https://statiz.sporki.com/add/?m=draft_school01&amp;ps_school=" xr:uid="{B4536461-7181-42F9-846F-74A4D53DDF5B}"/>
    <hyperlink ref="C2070" r:id="rId6207" display="https://statiz.sporki.com/add/?m=draft_school02&amp;ps_school=" xr:uid="{6F3137B9-747B-47A6-8DC3-66392B71E398}"/>
    <hyperlink ref="A2071" r:id="rId6208" display="https://statiz.sporki.com/player/?m=playerinfo&amp;p_no=10546" xr:uid="{D32AC7A9-54A0-4914-8C02-4221FBA0D711}"/>
    <hyperlink ref="B2071" r:id="rId6209" display="https://statiz.sporki.com/add/?m=draft_school01&amp;ps_school=51100" xr:uid="{0B73D21A-A203-4BE5-8E39-2FE947F5C0B2}"/>
    <hyperlink ref="C2071" r:id="rId6210" display="https://statiz.sporki.com/add/?m=draft_school02&amp;ps_school=" xr:uid="{C41B999F-8D86-4360-A210-3CFC35221096}"/>
    <hyperlink ref="A2072" r:id="rId6211" display="https://statiz.sporki.com/player/?m=playerinfo&amp;p_no=10422" xr:uid="{CE8AB45E-447C-44CE-9FB1-7A0794B02C91}"/>
    <hyperlink ref="B2072" r:id="rId6212" display="https://statiz.sporki.com/add/?m=draft_school01&amp;ps_school=" xr:uid="{08500973-EB41-46C0-A1CD-705F4203C7C6}"/>
    <hyperlink ref="C2072" r:id="rId6213" display="https://statiz.sporki.com/add/?m=draft_school02&amp;ps_school=" xr:uid="{9570AD20-8C7E-4DBB-97E5-8A213154F7AA}"/>
    <hyperlink ref="A2073" r:id="rId6214" display="https://statiz.sporki.com/player/?m=playerinfo&amp;p_no=10618" xr:uid="{61A3BD79-68EF-4AA7-B3B8-A4966CCEA5BE}"/>
    <hyperlink ref="B2073" r:id="rId6215" display="https://statiz.sporki.com/add/?m=draft_school01&amp;ps_school=" xr:uid="{88FC4D82-7239-43DC-B521-536B511549E6}"/>
    <hyperlink ref="C2073" r:id="rId6216" display="https://statiz.sporki.com/add/?m=draft_school02&amp;ps_school=" xr:uid="{D55A7E2A-D3CA-41CC-8ABA-20F6B52E7A13}"/>
    <hyperlink ref="A2074" r:id="rId6217" display="https://statiz.sporki.com/player/?m=playerinfo&amp;p_no=2417" xr:uid="{6F2CCF7A-4F25-4215-8C29-6B2E1D1538FC}"/>
    <hyperlink ref="B2074" r:id="rId6218" display="https://statiz.sporki.com/add/?m=draft_school01&amp;ps_school=" xr:uid="{62EB1E78-9A46-49DE-890C-969D0C875D4A}"/>
    <hyperlink ref="C2074" r:id="rId6219" display="https://statiz.sporki.com/add/?m=draft_school02&amp;ps_school=" xr:uid="{2E5AF148-2996-4BCD-A4DC-BBE2EEDD1BDD}"/>
    <hyperlink ref="A2075" r:id="rId6220" display="https://statiz.sporki.com/player/?m=playerinfo&amp;p_no=10482" xr:uid="{4BA7CC21-B6D6-49E8-9A03-D0A792D7C8D7}"/>
    <hyperlink ref="B2075" r:id="rId6221" display="https://statiz.sporki.com/add/?m=draft_school01&amp;ps_school=" xr:uid="{617AC70A-B155-4A98-ACA8-622A94EE2AB2}"/>
    <hyperlink ref="C2075" r:id="rId6222" display="https://statiz.sporki.com/add/?m=draft_school02&amp;ps_school=" xr:uid="{385F4525-AC9C-48FF-8B88-5DFE490EC5CA}"/>
    <hyperlink ref="A2076" r:id="rId6223" display="https://statiz.sporki.com/player/?m=playerinfo&amp;p_no=10494" xr:uid="{97F2164F-C747-40C2-9631-C2725B2DCD44}"/>
    <hyperlink ref="B2076" r:id="rId6224" display="https://statiz.sporki.com/add/?m=draft_school01&amp;ps_school=50102" xr:uid="{BDB87BF9-A31E-447B-B4E8-C3DEDF43072D}"/>
    <hyperlink ref="C2076" r:id="rId6225" display="https://statiz.sporki.com/add/?m=draft_school02&amp;ps_school=60501" xr:uid="{7A7E73FB-D654-48B9-B007-EE76ED43DE4F}"/>
    <hyperlink ref="A2077" r:id="rId6226" display="https://statiz.sporki.com/player/?m=playerinfo&amp;p_no=10855" xr:uid="{429A8C63-73BD-41D3-BA7A-3CFB2D34C513}"/>
    <hyperlink ref="B2077" r:id="rId6227" display="https://statiz.sporki.com/add/?m=draft_school01&amp;ps_school=50602" xr:uid="{0DCF62DA-80B4-4318-9D04-118B2A1D7B31}"/>
    <hyperlink ref="C2077" r:id="rId6228" display="https://statiz.sporki.com/add/?m=draft_school02&amp;ps_school=" xr:uid="{CE02C658-E306-4582-BE71-AF4082BE4DD6}"/>
    <hyperlink ref="A2078" r:id="rId6229" display="https://statiz.sporki.com/player/?m=playerinfo&amp;p_no=11173" xr:uid="{6EC8021D-594C-4BD6-A03F-064FC16970A8}"/>
    <hyperlink ref="B2078" r:id="rId6230" display="https://statiz.sporki.com/add/?m=draft_school01&amp;ps_school=50703" xr:uid="{6FE2075C-59EF-49F6-898C-7AF5552801B6}"/>
    <hyperlink ref="C2078" r:id="rId6231" display="https://statiz.sporki.com/add/?m=draft_school02&amp;ps_school=60113" xr:uid="{0C182384-639E-4E9E-9101-B56392A04DC5}"/>
    <hyperlink ref="A2079" r:id="rId6232" display="https://statiz.sporki.com/player/?m=playerinfo&amp;p_no=10505" xr:uid="{811D60A2-CD3F-487D-A2A5-7AC2E552C03B}"/>
    <hyperlink ref="B2079" r:id="rId6233" display="https://statiz.sporki.com/add/?m=draft_school01&amp;ps_school=50805" xr:uid="{12F631C6-E3F7-435B-8A0A-028D1C439556}"/>
    <hyperlink ref="C2079" r:id="rId6234" display="https://statiz.sporki.com/add/?m=draft_school02&amp;ps_school=60103" xr:uid="{53C991C3-A096-4AA8-8E54-B97527FD5B0A}"/>
    <hyperlink ref="A2080" r:id="rId6235" display="https://statiz.sporki.com/player/?m=playerinfo&amp;p_no=10107" xr:uid="{0D42A3FD-707D-451A-8665-4777E24D4039}"/>
    <hyperlink ref="B2080" r:id="rId6236" display="https://statiz.sporki.com/add/?m=draft_school01&amp;ps_school=50112" xr:uid="{236AE3F1-4B07-4C85-964D-DCF2D04B91DE}"/>
    <hyperlink ref="C2080" r:id="rId6237" display="https://statiz.sporki.com/add/?m=draft_school02&amp;ps_school=60108" xr:uid="{76C0C81E-22E8-48DF-AC76-DFD5701842CE}"/>
    <hyperlink ref="A2081" r:id="rId6238" display="https://statiz.sporki.com/player/?m=playerinfo&amp;p_no=10081" xr:uid="{F5A5169D-079E-49D9-8EBC-4CC067A13B48}"/>
    <hyperlink ref="B2081" r:id="rId6239" display="https://statiz.sporki.com/add/?m=draft_school01&amp;ps_school=50114" xr:uid="{DDE6D725-C7B2-4CB0-8DF8-684F35EE002F}"/>
    <hyperlink ref="C2081" r:id="rId6240" display="https://statiz.sporki.com/add/?m=draft_school02&amp;ps_school=60203" xr:uid="{5E114D5B-79CC-47D5-8001-E78630A9D84D}"/>
    <hyperlink ref="A2082" r:id="rId6241" display="https://statiz.sporki.com/player/?m=playerinfo&amp;p_no=10151" xr:uid="{8ECE451F-49E3-454C-96FA-714EC91ECED4}"/>
    <hyperlink ref="B2082" r:id="rId6242" display="https://statiz.sporki.com/add/?m=draft_school01&amp;ps_school=50104" xr:uid="{6C26A2A2-C22D-4B49-B2F6-735882C0D5E8}"/>
    <hyperlink ref="C2082" r:id="rId6243" display="https://statiz.sporki.com/add/?m=draft_school02&amp;ps_school=60101" xr:uid="{1A9FE0AB-A7F8-4CA5-87D9-25D903A1FD63}"/>
    <hyperlink ref="A2083" r:id="rId6244" display="https://statiz.sporki.com/player/?m=playerinfo&amp;p_no=10141" xr:uid="{F04FABA3-A38C-43D1-97DD-3214345B217D}"/>
    <hyperlink ref="B2083" r:id="rId6245" display="https://statiz.sporki.com/add/?m=draft_school01&amp;ps_school=50109" xr:uid="{95599AD7-DD9D-45D9-8675-E510C3119B88}"/>
    <hyperlink ref="C2083" r:id="rId6246" display="https://statiz.sporki.com/add/?m=draft_school02&amp;ps_school=60113" xr:uid="{21F9E1C1-92CB-4E43-8F82-41168BC2A625}"/>
    <hyperlink ref="A2084" r:id="rId6247" display="https://statiz.sporki.com/player/?m=playerinfo&amp;p_no=10087" xr:uid="{2D82884C-2E78-4AFD-ADD7-62C125C69589}"/>
    <hyperlink ref="B2084" r:id="rId6248" display="https://statiz.sporki.com/add/?m=draft_school01&amp;ps_school=50703" xr:uid="{FD242E9A-F96F-48BE-A733-4222B7F60FC0}"/>
    <hyperlink ref="C2084" r:id="rId6249" display="https://statiz.sporki.com/add/?m=draft_school02&amp;ps_school=60109" xr:uid="{5069E42A-496D-44D7-863A-8D348560C24D}"/>
    <hyperlink ref="A2085" r:id="rId6250" display="https://statiz.sporki.com/player/?m=playerinfo&amp;p_no=10210" xr:uid="{CE77049E-716D-4501-93AA-AC6A68BE13B9}"/>
    <hyperlink ref="B2085" r:id="rId6251" display="https://statiz.sporki.com/add/?m=draft_school01&amp;ps_school=50111" xr:uid="{12F23F99-17E2-48AF-9BA1-BB71FE9F30AA}"/>
    <hyperlink ref="C2085" r:id="rId6252" display="https://statiz.sporki.com/add/?m=draft_school02&amp;ps_school=60501" xr:uid="{804D9524-F9EF-46E6-9FC7-343739C98462}"/>
    <hyperlink ref="A2086" r:id="rId6253" display="https://statiz.sporki.com/player/?m=playerinfo&amp;p_no=10172" xr:uid="{BFA00CCE-4D4E-4549-820A-6B3E0677D9A5}"/>
    <hyperlink ref="B2086" r:id="rId6254" display="https://statiz.sporki.com/add/?m=draft_school01&amp;ps_school=50209" xr:uid="{98307E57-C2B5-48C4-AB13-53B856709AEE}"/>
    <hyperlink ref="C2086" r:id="rId6255" display="https://statiz.sporki.com/add/?m=draft_school02&amp;ps_school=" xr:uid="{9455E460-D622-470F-8160-BD5597585F59}"/>
    <hyperlink ref="A2087" r:id="rId6256" display="https://statiz.sporki.com/player/?m=playerinfo&amp;p_no=10170" xr:uid="{1FC51744-3C0F-4C05-8BE9-6E059C273F02}"/>
    <hyperlink ref="B2087" r:id="rId6257" display="https://statiz.sporki.com/add/?m=draft_school01&amp;ps_school=50103" xr:uid="{9917BCBF-A000-47F0-AFBB-33922FF21F24}"/>
    <hyperlink ref="C2087" r:id="rId6258" display="https://statiz.sporki.com/add/?m=draft_school02&amp;ps_school=60106" xr:uid="{69A6EF22-4836-4146-935E-20F75E35B1FF}"/>
    <hyperlink ref="A2088" r:id="rId6259" display="https://statiz.sporki.com/player/?m=playerinfo&amp;p_no=10647" xr:uid="{AD04F679-A8FB-4D13-AD8B-734E2B9347C3}"/>
    <hyperlink ref="B2088" r:id="rId6260" display="https://statiz.sporki.com/add/?m=draft_school01&amp;ps_school=51001" xr:uid="{DCE881F6-640C-4EB2-B953-F48361276602}"/>
    <hyperlink ref="C2088" r:id="rId6261" display="https://statiz.sporki.com/add/?m=draft_school02&amp;ps_school=" xr:uid="{C5F503C6-73E0-4DBB-BA8A-DBD64261C25D}"/>
    <hyperlink ref="A2089" r:id="rId6262" display="https://statiz.sporki.com/player/?m=playerinfo&amp;p_no=10250" xr:uid="{154D74EE-AF31-4010-AC1B-10C7C94F4C95}"/>
    <hyperlink ref="B2089" r:id="rId6263" display="https://statiz.sporki.com/add/?m=draft_school01&amp;ps_school=50108" xr:uid="{C0BBE5BE-D293-4DA7-8BFC-EA0EABED93AE}"/>
    <hyperlink ref="C2089" r:id="rId6264" display="https://statiz.sporki.com/add/?m=draft_school02&amp;ps_school=60114" xr:uid="{BB9AEED2-808F-4598-AAC7-D570E2639CD2}"/>
    <hyperlink ref="A2090" r:id="rId6265" display="https://statiz.sporki.com/player/?m=playerinfo&amp;p_no=10312" xr:uid="{E50F5242-5056-44DC-85A3-BBB19B45FB43}"/>
    <hyperlink ref="B2090" r:id="rId6266" display="https://statiz.sporki.com/add/?m=draft_school01&amp;ps_school=50210" xr:uid="{B5E2212D-B822-44F6-A95E-275FE5DC3446}"/>
    <hyperlink ref="C2090" r:id="rId6267" display="https://statiz.sporki.com/add/?m=draft_school02&amp;ps_school=60802" xr:uid="{52C2B7B4-BB58-4A59-9E06-4049B78B8A78}"/>
    <hyperlink ref="A2091" r:id="rId6268" display="https://statiz.sporki.com/player/?m=playerinfo&amp;p_no=10626" xr:uid="{3D35C6FC-964E-4CD5-B77F-286A2B34A6CB}"/>
    <hyperlink ref="B2091" r:id="rId6269" display="https://statiz.sporki.com/add/?m=draft_school01&amp;ps_school=50601" xr:uid="{1677A135-FDD0-4DDE-AB5D-C4F26FEE8C28}"/>
    <hyperlink ref="C2091" r:id="rId6270" display="https://statiz.sporki.com/add/?m=draft_school02&amp;ps_school=60108" xr:uid="{7E41F1E2-C1E9-460F-965B-67F07FDDD3AF}"/>
    <hyperlink ref="A2092" r:id="rId6271" display="https://statiz.sporki.com/player/?m=playerinfo&amp;p_no=10563" xr:uid="{BE2C81A1-F21E-49F8-B097-9863D397FBB7}"/>
    <hyperlink ref="B2092" r:id="rId6272" display="https://statiz.sporki.com/add/?m=draft_school01&amp;ps_school=50102" xr:uid="{7E9D4AD8-AED8-4833-8DF1-8DC0ECB79C2E}"/>
    <hyperlink ref="C2092" r:id="rId6273" display="https://statiz.sporki.com/add/?m=draft_school02&amp;ps_school=60803" xr:uid="{F12897C1-1EFE-4391-AA47-1CA0EB7B4F75}"/>
    <hyperlink ref="A2093" r:id="rId6274" display="https://statiz.sporki.com/player/?m=playerinfo&amp;p_no=10586" xr:uid="{8FD40DA2-3614-4D45-932B-6FAB37F6D102}"/>
    <hyperlink ref="B2093" r:id="rId6275" display="https://statiz.sporki.com/add/?m=draft_school01&amp;ps_school=50208" xr:uid="{4F7F3FA9-B9E9-4CFC-98BF-DDA898B09557}"/>
    <hyperlink ref="C2093" r:id="rId6276" display="https://statiz.sporki.com/add/?m=draft_school02&amp;ps_school=" xr:uid="{5D4D0FCB-99FD-4AD4-9DE4-1DFB0B6B09BD}"/>
    <hyperlink ref="A2094" r:id="rId6277" display="https://statiz.sporki.com/player/?m=playerinfo&amp;p_no=11120" xr:uid="{4041DD12-FA4D-43BD-B15C-9D39DD8FCD56}"/>
    <hyperlink ref="B2094" r:id="rId6278" display="https://statiz.sporki.com/add/?m=draft_school01&amp;ps_school=50112" xr:uid="{4D7BA97A-9AF6-4BF8-A2B6-6506F8A3362F}"/>
    <hyperlink ref="C2094" r:id="rId6279" display="https://statiz.sporki.com/add/?m=draft_school02&amp;ps_school=" xr:uid="{FECD41B1-68F1-48EF-8BEA-9EA51E124A03}"/>
    <hyperlink ref="A2095" r:id="rId6280" display="https://statiz.sporki.com/player/?m=playerinfo&amp;p_no=2431" xr:uid="{3C67D2D5-772C-4FE0-88E9-D5DE64DDB3D9}"/>
    <hyperlink ref="B2095" r:id="rId6281" display="https://statiz.sporki.com/add/?m=draft_school01&amp;ps_school=50602" xr:uid="{63BF9DFE-FEF4-4734-A64B-F9BFAC0D3604}"/>
    <hyperlink ref="C2095" r:id="rId6282" display="https://statiz.sporki.com/add/?m=draft_school02&amp;ps_school=60103" xr:uid="{BEC668DF-330C-4871-937E-1C67C879E0C9}"/>
    <hyperlink ref="A2096" r:id="rId6283" display="https://statiz.sporki.com/player/?m=playerinfo&amp;p_no=10222" xr:uid="{AA7AC2AA-BA13-4012-9657-141640B5E281}"/>
    <hyperlink ref="B2096" r:id="rId6284" display="https://statiz.sporki.com/add/?m=draft_school01&amp;ps_school=50107" xr:uid="{53D411F3-1D05-4EAC-B29C-047848256CD8}"/>
    <hyperlink ref="C2096" r:id="rId6285" display="https://statiz.sporki.com/add/?m=draft_school02&amp;ps_school=" xr:uid="{EAFE9FC3-DD97-41ED-AA03-7A8E894FEADA}"/>
    <hyperlink ref="A2097" r:id="rId6286" display="https://statiz.sporki.com/player/?m=playerinfo&amp;p_no=10514" xr:uid="{673C52E4-115B-48B7-977C-D71A53CACB53}"/>
    <hyperlink ref="B2097" r:id="rId6287" display="https://statiz.sporki.com/add/?m=draft_school01&amp;ps_school=50110" xr:uid="{3EFAF536-AC35-4875-B597-545AED8773C6}"/>
    <hyperlink ref="C2097" r:id="rId6288" display="https://statiz.sporki.com/add/?m=draft_school02&amp;ps_school=" xr:uid="{A336951D-0234-45E0-BF42-381D12AC8F73}"/>
    <hyperlink ref="A2098" r:id="rId6289" display="https://statiz.sporki.com/player/?m=playerinfo&amp;p_no=10126" xr:uid="{CADC9C1C-0BDD-4F15-B50A-D6F5A88F0C58}"/>
    <hyperlink ref="B2098" r:id="rId6290" display="https://statiz.sporki.com/add/?m=draft_school01&amp;ps_school=50206" xr:uid="{DE2BCC16-DE8B-4457-B827-25FE04751DF8}"/>
    <hyperlink ref="C2098" r:id="rId6291" display="https://statiz.sporki.com/add/?m=draft_school02&amp;ps_school=" xr:uid="{21CD9804-D6D9-4886-8529-F56D9A90F100}"/>
    <hyperlink ref="A2099" r:id="rId6292" display="https://statiz.sporki.com/player/?m=playerinfo&amp;p_no=10217" xr:uid="{57E3EEA1-1649-43A6-87D5-254D8CEF31BC}"/>
    <hyperlink ref="B2099" r:id="rId6293" display="https://statiz.sporki.com/add/?m=draft_school01&amp;ps_school=50111" xr:uid="{F8810412-C764-46CE-A6D5-2B3B347E9E75}"/>
    <hyperlink ref="C2099" r:id="rId6294" display="https://statiz.sporki.com/add/?m=draft_school02&amp;ps_school=" xr:uid="{932E7154-0209-4B0A-9987-AAA3F5A291C0}"/>
    <hyperlink ref="A2100" r:id="rId6295" display="https://statiz.sporki.com/player/?m=playerinfo&amp;p_no=10309" xr:uid="{986D0ED7-7CD0-4874-9516-8BC54FE3C0E6}"/>
    <hyperlink ref="B2100" r:id="rId6296" display="https://statiz.sporki.com/add/?m=draft_school01&amp;ps_school=50703" xr:uid="{8BDD1DD3-E5EC-4718-BD59-5A6DEF1106CC}"/>
    <hyperlink ref="C2100" r:id="rId6297" display="https://statiz.sporki.com/add/?m=draft_school02&amp;ps_school=" xr:uid="{891BE416-EED6-44B4-B30C-AC5BE2E7D407}"/>
    <hyperlink ref="A2101" r:id="rId6298" display="https://statiz.sporki.com/player/?m=playerinfo&amp;p_no=10059" xr:uid="{00FDA81B-0689-4444-AAE1-3604BAE12F9B}"/>
    <hyperlink ref="B2101" r:id="rId6299" display="https://statiz.sporki.com/add/?m=draft_school01&amp;ps_school=50602" xr:uid="{59F24328-1613-4A0F-93BC-F8B0F78789C4}"/>
    <hyperlink ref="C2101" r:id="rId6300" display="https://statiz.sporki.com/add/?m=draft_school02&amp;ps_school=60204" xr:uid="{21137061-49C4-4DB7-B875-E648945AB128}"/>
    <hyperlink ref="A2102" r:id="rId6301" display="https://statiz.sporki.com/player/?m=playerinfo&amp;p_no=10660" xr:uid="{9BA1AB37-D914-4B48-9FB5-F6ADEFCF7358}"/>
    <hyperlink ref="B2102" r:id="rId6302" display="https://statiz.sporki.com/add/?m=draft_school01&amp;ps_school=50301" xr:uid="{D3CD46DA-71AF-47D6-BC0F-24C9279FA07D}"/>
    <hyperlink ref="C2102" r:id="rId6303" display="https://statiz.sporki.com/add/?m=draft_school02&amp;ps_school=60204" xr:uid="{AF9CCC2B-0AF7-4838-A7DB-AE2C32164375}"/>
    <hyperlink ref="A2103" r:id="rId6304" display="https://statiz.sporki.com/player/?m=playerinfo&amp;p_no=10831" xr:uid="{D8182A3B-5EB2-437B-A1D5-AF35A93BFEFD}"/>
    <hyperlink ref="B2103" r:id="rId6305" display="https://statiz.sporki.com/add/?m=draft_school01&amp;ps_school=50802" xr:uid="{5385AAD1-B26C-4F78-B966-9DB199CA5879}"/>
    <hyperlink ref="C2103" r:id="rId6306" display="https://statiz.sporki.com/add/?m=draft_school02&amp;ps_school=" xr:uid="{CA4D0827-EC25-47D1-9085-B4C200392D09}"/>
    <hyperlink ref="A2104" r:id="rId6307" display="https://statiz.sporki.com/player/?m=playerinfo&amp;p_no=10293" xr:uid="{E22B32F0-0621-4CBB-BFB3-0A1BDC5F9C5F}"/>
    <hyperlink ref="B2104" r:id="rId6308" display="https://statiz.sporki.com/add/?m=draft_school01&amp;ps_school=50802" xr:uid="{8ACEDB61-6FAD-43E3-BCA8-3EEB37EEBF93}"/>
    <hyperlink ref="C2104" r:id="rId6309" display="https://statiz.sporki.com/add/?m=draft_school02&amp;ps_school=" xr:uid="{FA8F372E-7007-4A64-AEEA-44F7A06471CB}"/>
    <hyperlink ref="A2105" r:id="rId6310" display="https://statiz.sporki.com/player/?m=playerinfo&amp;p_no=10292" xr:uid="{9A1E7BC8-3A88-4207-B820-9BF6CC437CF5}"/>
    <hyperlink ref="B2105" r:id="rId6311" display="https://statiz.sporki.com/add/?m=draft_school01&amp;ps_school=50401" xr:uid="{0EC5A71D-7213-4754-8298-8CB2DC58357D}"/>
    <hyperlink ref="C2105" r:id="rId6312" display="https://statiz.sporki.com/add/?m=draft_school02&amp;ps_school=" xr:uid="{E45D09F2-6877-4964-8DB2-FBD1F96CE253}"/>
    <hyperlink ref="A2106" r:id="rId6313" display="https://statiz.sporki.com/player/?m=playerinfo&amp;p_no=10058" xr:uid="{2ED67F37-C5BE-4497-A5C8-36B7FD66FFF4}"/>
    <hyperlink ref="B2106" r:id="rId6314" display="https://statiz.sporki.com/add/?m=draft_school01&amp;ps_school=50601" xr:uid="{89436157-A2C5-45A9-A6F5-30ACCF90D398}"/>
    <hyperlink ref="C2106" r:id="rId6315" display="https://statiz.sporki.com/add/?m=draft_school02&amp;ps_school=" xr:uid="{8E0C3605-4608-4037-AB3B-D115F644D278}"/>
    <hyperlink ref="A2107" r:id="rId6316" display="https://statiz.sporki.com/player/?m=playerinfo&amp;p_no=10453" xr:uid="{F80A9783-C139-4E0A-A2E9-A8AC2F156EAB}"/>
    <hyperlink ref="B2107" r:id="rId6317" display="https://statiz.sporki.com/add/?m=draft_school01&amp;ps_school=50403" xr:uid="{951FBBE2-E774-4C6F-96B4-CE35E2D38C6B}"/>
    <hyperlink ref="C2107" r:id="rId6318" display="https://statiz.sporki.com/add/?m=draft_school02&amp;ps_school=" xr:uid="{A56AB247-B3AA-41EB-B1AE-D6A79F727627}"/>
    <hyperlink ref="A2108" r:id="rId6319" display="https://statiz.sporki.com/player/?m=playerinfo&amp;p_no=10471" xr:uid="{D90B7F22-BC37-41C8-91F3-E32C2BE1CDA0}"/>
    <hyperlink ref="B2108" r:id="rId6320" display="https://statiz.sporki.com/add/?m=draft_school01&amp;ps_school=50902" xr:uid="{12F4E1B5-D2E4-41EE-87AB-154272E25055}"/>
    <hyperlink ref="C2108" r:id="rId6321" display="https://statiz.sporki.com/add/?m=draft_school02&amp;ps_school=60703" xr:uid="{84D84B67-D5D4-4451-A30C-05AA6F73D77D}"/>
    <hyperlink ref="A2109" r:id="rId6322" display="https://statiz.sporki.com/player/?m=playerinfo&amp;p_no=10587" xr:uid="{ED3ABE09-4A89-4A98-A2A0-DB4FAFC21D13}"/>
    <hyperlink ref="B2109" r:id="rId6323" display="https://statiz.sporki.com/add/?m=draft_school01&amp;ps_school=50204" xr:uid="{A8CF01CB-F72F-465C-98B3-CA5CFDE8B510}"/>
    <hyperlink ref="C2109" r:id="rId6324" display="https://statiz.sporki.com/add/?m=draft_school02&amp;ps_school=60704" xr:uid="{D652405F-1A1E-4D06-AC9F-AE99D8AFC76F}"/>
    <hyperlink ref="A2110" r:id="rId6325" display="https://statiz.sporki.com/player/?m=playerinfo&amp;p_no=10785" xr:uid="{B54FF039-BCA3-4A62-88F6-1FC0F0385EE8}"/>
    <hyperlink ref="B2110" r:id="rId6326" display="https://statiz.sporki.com/add/?m=draft_school01&amp;ps_school=50501" xr:uid="{7FCFEDE0-D9F8-4C55-AD09-0C0577F84ADB}"/>
    <hyperlink ref="C2110" r:id="rId6327" display="https://statiz.sporki.com/add/?m=draft_school02&amp;ps_school=60103" xr:uid="{5AA47147-CC25-4720-B4D3-6A4D3AB5D918}"/>
    <hyperlink ref="A2111" r:id="rId6328" display="https://statiz.sporki.com/player/?m=playerinfo&amp;p_no=10218" xr:uid="{804C747A-4B4B-479F-AB5F-44DD6AC23875}"/>
    <hyperlink ref="B2111" r:id="rId6329" display="https://statiz.sporki.com/add/?m=draft_school01&amp;ps_school=50112" xr:uid="{377A8C78-47F1-4DB3-9C44-D50EE448225E}"/>
    <hyperlink ref="C2111" r:id="rId6330" display="https://statiz.sporki.com/add/?m=draft_school02&amp;ps_school=" xr:uid="{22F25509-4024-4E38-86B4-A004D5CAB0F0}"/>
    <hyperlink ref="A2112" r:id="rId6331" display="https://statiz.sporki.com/player/?m=playerinfo&amp;p_no=10363" xr:uid="{8678D9CF-A752-4961-81AD-FF0DA49F2789}"/>
    <hyperlink ref="B2112" r:id="rId6332" display="https://statiz.sporki.com/add/?m=draft_school01&amp;ps_school=50705" xr:uid="{9BC677C3-D921-4669-918D-C735822BD4F7}"/>
    <hyperlink ref="C2112" r:id="rId6333" display="https://statiz.sporki.com/add/?m=draft_school02&amp;ps_school=" xr:uid="{2F495706-1B3E-4AF2-81D0-EA1319F9F7C9}"/>
    <hyperlink ref="A2113" r:id="rId6334" display="https://statiz.sporki.com/player/?m=playerinfo&amp;p_no=10723" xr:uid="{B9A63825-D5FA-4B85-A524-EF704C8B4CC2}"/>
    <hyperlink ref="B2113" r:id="rId6335" display="https://statiz.sporki.com/add/?m=draft_school01&amp;ps_school=50708" xr:uid="{BAA762BF-739F-44FB-982E-F8E7D24C82CB}"/>
    <hyperlink ref="C2113" r:id="rId6336" display="https://statiz.sporki.com/add/?m=draft_school02&amp;ps_school=" xr:uid="{3B9628E5-8A61-4C88-89D9-0BF6D246DF5D}"/>
    <hyperlink ref="A2114" r:id="rId6337" display="https://statiz.sporki.com/player/?m=playerinfo&amp;p_no=10179" xr:uid="{B41713B2-1FB6-4E61-9054-2A3AD48DDF31}"/>
    <hyperlink ref="B2114" r:id="rId6338" display="https://statiz.sporki.com/add/?m=draft_school01&amp;ps_school=50111" xr:uid="{506C789D-2924-4748-889D-F082FFC2C31D}"/>
    <hyperlink ref="C2114" r:id="rId6339" display="https://statiz.sporki.com/add/?m=draft_school02&amp;ps_school=" xr:uid="{F2AE8EA1-8CCE-4D8D-AFB7-A7D388334813}"/>
    <hyperlink ref="A2115" r:id="rId6340" display="https://statiz.sporki.com/player/?m=playerinfo&amp;p_no=10110" xr:uid="{2B416B2D-224A-4553-88ED-5092706EB7D9}"/>
    <hyperlink ref="B2115" r:id="rId6341" display="https://statiz.sporki.com/add/?m=draft_school01&amp;ps_school=50803" xr:uid="{C699149D-405E-4A21-843C-19FD4A883ACA}"/>
    <hyperlink ref="C2115" r:id="rId6342" display="https://statiz.sporki.com/add/?m=draft_school02&amp;ps_school=" xr:uid="{6CA76882-7629-4320-8D6D-EE91804C2B71}"/>
    <hyperlink ref="A2116" r:id="rId6343" display="https://statiz.sporki.com/player/?m=playerinfo&amp;p_no=10545" xr:uid="{E7E1EC27-9EEC-451C-84EA-60995B99E17D}"/>
    <hyperlink ref="B2116" r:id="rId6344" display="https://statiz.sporki.com/add/?m=draft_school01&amp;ps_school=50116" xr:uid="{DB139F04-528F-46DA-88BC-C30BC94F12DE}"/>
    <hyperlink ref="C2116" r:id="rId6345" display="https://statiz.sporki.com/add/?m=draft_school02&amp;ps_school=60109" xr:uid="{85959D5A-F57F-4D59-A50E-6F5685D26A6F}"/>
    <hyperlink ref="A2117" r:id="rId6346" display="https://statiz.sporki.com/player/?m=playerinfo&amp;p_no=10238" xr:uid="{5D96B39C-D986-4577-BF76-56B4CFA2A44E}"/>
    <hyperlink ref="B2117" r:id="rId6347" display="https://statiz.sporki.com/add/?m=draft_school01&amp;ps_school=50104" xr:uid="{132FA8DA-29E4-4C3F-9B17-3A9C3181151D}"/>
    <hyperlink ref="C2117" r:id="rId6348" display="https://statiz.sporki.com/add/?m=draft_school02&amp;ps_school=60704" xr:uid="{035D4FF6-FC3C-4E06-9261-92643BA3AA76}"/>
    <hyperlink ref="A2118" r:id="rId6349" display="https://statiz.sporki.com/player/?m=playerinfo&amp;p_no=10392" xr:uid="{760ADB2A-BF34-4721-A0B6-F54FF3DCD23E}"/>
    <hyperlink ref="B2118" r:id="rId6350" display="https://statiz.sporki.com/add/?m=draft_school01&amp;ps_school=50502" xr:uid="{8B5297F9-D193-442E-848C-1FB06ED2262F}"/>
    <hyperlink ref="C2118" r:id="rId6351" display="https://statiz.sporki.com/add/?m=draft_school02&amp;ps_school=" xr:uid="{71702F2B-0A1A-401A-B411-F87D728D8FF6}"/>
    <hyperlink ref="A2119" r:id="rId6352" display="https://statiz.sporki.com/player/?m=playerinfo&amp;p_no=10089" xr:uid="{D93253BB-15C2-4A12-831D-44D25A8B2379}"/>
    <hyperlink ref="B2119" r:id="rId6353" display="https://statiz.sporki.com/add/?m=draft_school01&amp;ps_school=50501" xr:uid="{86ABBA6C-578D-4102-BB6A-80FECBDC71C1}"/>
    <hyperlink ref="C2119" r:id="rId6354" display="https://statiz.sporki.com/add/?m=draft_school02&amp;ps_school=60108" xr:uid="{1AF7771C-828A-42D9-90F2-6020D89EF83F}"/>
    <hyperlink ref="A2120" r:id="rId6355" display="https://statiz.sporki.com/player/?m=playerinfo&amp;p_no=10038" xr:uid="{A9E247DC-4472-48C1-B160-994B99A21C23}"/>
    <hyperlink ref="B2120" r:id="rId6356" display="https://statiz.sporki.com/add/?m=draft_school01&amp;ps_school=50116" xr:uid="{2C31B472-50AB-42BE-A2D2-4DC28667E1FB}"/>
    <hyperlink ref="C2120" r:id="rId6357" display="https://statiz.sporki.com/add/?m=draft_school02&amp;ps_school=60102" xr:uid="{EAD26C9B-0E2A-43CD-9ADF-732C8F518B8F}"/>
    <hyperlink ref="A2121" r:id="rId6358" display="https://statiz.sporki.com/player/?m=playerinfo&amp;p_no=10396" xr:uid="{2E358B2D-F90D-4B57-BA31-5DABC1D4251D}"/>
    <hyperlink ref="B2121" r:id="rId6359" display="https://statiz.sporki.com/add/?m=draft_school01&amp;ps_school=50209" xr:uid="{92875E2D-2F7D-4985-B17B-CFF086E64422}"/>
    <hyperlink ref="C2121" r:id="rId6360" display="https://statiz.sporki.com/add/?m=draft_school02&amp;ps_school=" xr:uid="{546DECA7-D6DC-4201-931E-7D40F42C4E65}"/>
    <hyperlink ref="A2122" r:id="rId6361" display="https://statiz.sporki.com/player/?m=playerinfo&amp;p_no=10528" xr:uid="{86E4C91D-6A9E-4A50-8216-254D1A95D7D7}"/>
    <hyperlink ref="B2122" r:id="rId6362" display="https://statiz.sporki.com/add/?m=draft_school01&amp;ps_school=50111" xr:uid="{C74AE40D-E939-4B6B-AE51-42DE2463BAE1}"/>
    <hyperlink ref="C2122" r:id="rId6363" display="https://statiz.sporki.com/add/?m=draft_school02&amp;ps_school=" xr:uid="{5E270F01-24C6-42DE-BE8C-768219779A4F}"/>
    <hyperlink ref="A2123" r:id="rId6364" display="https://statiz.sporki.com/player/?m=playerinfo&amp;p_no=10547" xr:uid="{EC104D00-3633-4032-94F1-1AD626B23A52}"/>
    <hyperlink ref="B2123" r:id="rId6365" display="https://statiz.sporki.com/add/?m=draft_school01&amp;ps_school=50602" xr:uid="{F9E559F7-3E72-4E56-980C-8D5FC7E01117}"/>
    <hyperlink ref="C2123" r:id="rId6366" display="https://statiz.sporki.com/add/?m=draft_school02&amp;ps_school=" xr:uid="{D6EAEF46-C86C-4DA0-A914-F23325391893}"/>
    <hyperlink ref="A2124" r:id="rId6367" display="https://statiz.sporki.com/player/?m=playerinfo&amp;p_no=10893" xr:uid="{827F9AAC-2421-40DD-8C0F-B2E17DCB8429}"/>
    <hyperlink ref="B2124" r:id="rId6368" display="https://statiz.sporki.com/add/?m=draft_school01&amp;ps_school=50112" xr:uid="{6082ADE2-79FF-4238-9804-1C0F620D1A1B}"/>
    <hyperlink ref="C2124" r:id="rId6369" display="https://statiz.sporki.com/add/?m=draft_school02&amp;ps_school=" xr:uid="{AB6A1CB9-FDF7-4550-8285-22B0BBE9F04C}"/>
    <hyperlink ref="A2125" r:id="rId6370" display="https://statiz.sporki.com/player/?m=playerinfo&amp;p_no=10328" xr:uid="{1DB3496F-1366-42DA-986F-B8E5EA4C2A6C}"/>
    <hyperlink ref="B2125" r:id="rId6371" display="https://statiz.sporki.com/add/?m=draft_school01&amp;ps_school=50601" xr:uid="{1CC19DE8-E247-4B3D-A747-C8AE1204B72D}"/>
    <hyperlink ref="C2125" r:id="rId6372" display="https://statiz.sporki.com/add/?m=draft_school02&amp;ps_school=" xr:uid="{C73A7AF4-82C5-47DC-BB3A-851BF6D63E35}"/>
    <hyperlink ref="A2126" r:id="rId6373" display="https://statiz.sporki.com/player/?m=playerinfo&amp;p_no=10333" xr:uid="{44E122B4-76C9-495C-AF3D-B5D625ABB8F6}"/>
    <hyperlink ref="B2126" r:id="rId6374" display="https://statiz.sporki.com/add/?m=draft_school01&amp;ps_school=50106" xr:uid="{7D1F114D-71EB-42A3-8848-3441A548D281}"/>
    <hyperlink ref="C2126" r:id="rId6375" display="https://statiz.sporki.com/add/?m=draft_school02&amp;ps_school=60101" xr:uid="{1F20B059-2806-41EE-B6B1-2BE32371F398}"/>
    <hyperlink ref="A2127" r:id="rId6376" display="https://statiz.sporki.com/player/?m=playerinfo&amp;p_no=10690" xr:uid="{900F2E64-5D1E-4C74-AE95-EBCF5973C78F}"/>
    <hyperlink ref="B2127" r:id="rId6377" display="https://statiz.sporki.com/add/?m=draft_school01&amp;ps_school=50101" xr:uid="{FCC87AEE-C239-468A-A0B7-25F64C609D10}"/>
    <hyperlink ref="C2127" r:id="rId6378" display="https://statiz.sporki.com/add/?m=draft_school02&amp;ps_school=" xr:uid="{37959493-D1B2-4346-8DD1-D6E375AB5281}"/>
    <hyperlink ref="A2128" r:id="rId6379" display="https://statiz.sporki.com/player/?m=playerinfo&amp;p_no=11143" xr:uid="{C524D043-A950-4083-820D-1AFB18FC951C}"/>
    <hyperlink ref="B2128" r:id="rId6380" display="https://statiz.sporki.com/add/?m=draft_school01&amp;ps_school=50110" xr:uid="{B8C5FE4E-F9F2-4BE4-B967-C60073FD9DE1}"/>
    <hyperlink ref="C2128" r:id="rId6381" display="https://statiz.sporki.com/add/?m=draft_school02&amp;ps_school=" xr:uid="{D7DEA18D-F6B4-4B49-83C2-4B574B4FF824}"/>
    <hyperlink ref="A2129" r:id="rId6382" display="https://statiz.sporki.com/player/?m=playerinfo&amp;p_no=10261" xr:uid="{41DB62DA-30FB-4231-90E3-06EC69ECCD11}"/>
    <hyperlink ref="B2129" r:id="rId6383" display="https://statiz.sporki.com/add/?m=draft_school01&amp;ps_school=50805" xr:uid="{3ED1F1D9-D5CE-49E3-99C0-E16DC90288EE}"/>
    <hyperlink ref="C2129" r:id="rId6384" display="https://statiz.sporki.com/add/?m=draft_school02&amp;ps_school=" xr:uid="{96362E23-803C-49D7-8C22-E7432145EEE4}"/>
    <hyperlink ref="A2130" r:id="rId6385" display="https://statiz.sporki.com/player/?m=playerinfo&amp;p_no=10538" xr:uid="{2888127A-AC8A-4E52-BE5A-E5A929D3EF10}"/>
    <hyperlink ref="B2130" r:id="rId6386" display="https://statiz.sporki.com/add/?m=draft_school01&amp;ps_school=50103" xr:uid="{341D155B-184A-460F-95C9-99BDBBD048DE}"/>
    <hyperlink ref="C2130" r:id="rId6387" display="https://statiz.sporki.com/add/?m=draft_school02&amp;ps_school=" xr:uid="{DEE1BF06-FD8F-472C-9844-7D740D8CD9FA}"/>
    <hyperlink ref="A2131" r:id="rId6388" display="https://statiz.sporki.com/player/?m=playerinfo&amp;p_no=2405" xr:uid="{0A48C0ED-53C9-4846-9A09-099E48CB131E}"/>
    <hyperlink ref="B2131" r:id="rId6389" display="https://statiz.sporki.com/add/?m=draft_school01&amp;ps_school=50202" xr:uid="{49706D2E-78F4-44ED-A6A4-F261AA91185B}"/>
    <hyperlink ref="C2131" r:id="rId6390" display="https://statiz.sporki.com/add/?m=draft_school02&amp;ps_school=60204" xr:uid="{75F54943-B0DE-4DDE-9041-7589FBD93BB7}"/>
    <hyperlink ref="A2132" r:id="rId6391" display="https://statiz.sporki.com/player/?m=playerinfo&amp;p_no=10569" xr:uid="{349B3F50-B069-4BC7-8FB0-4A99F478DF59}"/>
    <hyperlink ref="B2132" r:id="rId6392" display="https://statiz.sporki.com/add/?m=draft_school01&amp;ps_school=50602" xr:uid="{7BD48296-EEB8-4EEA-A553-6A3D1B26301F}"/>
    <hyperlink ref="C2132" r:id="rId6393" display="https://statiz.sporki.com/add/?m=draft_school02&amp;ps_school=60108" xr:uid="{14734120-80A9-4360-AE9B-006E816DF23D}"/>
    <hyperlink ref="A2133" r:id="rId6394" display="https://statiz.sporki.com/player/?m=playerinfo&amp;p_no=10094" xr:uid="{A4E6330A-A29B-4111-8972-3140580ED6EA}"/>
    <hyperlink ref="B2133" r:id="rId6395" display="https://statiz.sporki.com/add/?m=draft_school01&amp;ps_school=50209" xr:uid="{778027ED-1CE7-4C64-975B-78FA13D2F4C6}"/>
    <hyperlink ref="C2133" r:id="rId6396" display="https://statiz.sporki.com/add/?m=draft_school02&amp;ps_school=" xr:uid="{44EB0F98-0E8C-4854-A6B9-2D232662B704}"/>
    <hyperlink ref="A2134" r:id="rId6397" display="https://statiz.sporki.com/player/?m=playerinfo&amp;p_no=10181" xr:uid="{310F5505-7BB1-4E13-ABA6-9E3D323678FC}"/>
    <hyperlink ref="B2134" r:id="rId6398" display="https://statiz.sporki.com/add/?m=draft_school01&amp;ps_school=50904" xr:uid="{9840E3AB-8DFA-4B97-A12F-8E95F896A511}"/>
    <hyperlink ref="C2134" r:id="rId6399" display="https://statiz.sporki.com/add/?m=draft_school02&amp;ps_school=" xr:uid="{88642C1F-0E48-408F-A131-7B18F4FC716B}"/>
    <hyperlink ref="A2135" r:id="rId6400" display="https://statiz.sporki.com/player/?m=playerinfo&amp;p_no=10888" xr:uid="{10A2D37A-C3CB-413F-BC59-217524C3ABC7}"/>
    <hyperlink ref="B2135" r:id="rId6401" display="https://statiz.sporki.com/add/?m=draft_school01&amp;ps_school=50103" xr:uid="{E48D4232-2859-4EEB-A8B1-8CDD2B5D837F}"/>
    <hyperlink ref="C2135" r:id="rId6402" display="https://statiz.sporki.com/add/?m=draft_school02&amp;ps_school=" xr:uid="{3C3C8073-B068-486D-A1E1-E41D003AF44F}"/>
    <hyperlink ref="A2136" r:id="rId6403" display="https://statiz.sporki.com/player/?m=playerinfo&amp;p_no=10257" xr:uid="{724E063C-A02F-4E55-BD82-8DAE874C0760}"/>
    <hyperlink ref="B2136" r:id="rId6404" display="https://statiz.sporki.com/add/?m=draft_school01&amp;ps_school=50401" xr:uid="{3061C678-1FB7-48EF-BE57-0C5B1EEC7E72}"/>
    <hyperlink ref="C2136" r:id="rId6405" display="https://statiz.sporki.com/add/?m=draft_school02&amp;ps_school=" xr:uid="{6A36967B-7297-4EFB-BB6D-9EF11B909E70}"/>
    <hyperlink ref="A2137" r:id="rId6406" display="https://statiz.sporki.com/player/?m=playerinfo&amp;p_no=11285" xr:uid="{F6A41B0E-E3AB-49F4-B401-00F9D2A08EC8}"/>
    <hyperlink ref="B2137" r:id="rId6407" display="https://statiz.sporki.com/add/?m=draft_school01&amp;ps_school=50104" xr:uid="{CE6D84A7-899D-4FC3-834C-12726083191D}"/>
    <hyperlink ref="C2137" r:id="rId6408" display="https://statiz.sporki.com/add/?m=draft_school02&amp;ps_school=" xr:uid="{ACFEB983-85BA-45B0-ADE0-BBECB408CAD9}"/>
    <hyperlink ref="A2138" r:id="rId6409" display="https://statiz.sporki.com/player/?m=playerinfo&amp;p_no=10662" xr:uid="{F45FB4D6-FB65-476A-A2F5-FA1E7D8FCFE5}"/>
    <hyperlink ref="B2138" r:id="rId6410" display="https://statiz.sporki.com/add/?m=draft_school01&amp;ps_school=50604" xr:uid="{659E3A56-A224-4133-8F68-B59A17F59DCC}"/>
    <hyperlink ref="C2138" r:id="rId6411" display="https://statiz.sporki.com/add/?m=draft_school02&amp;ps_school=60109" xr:uid="{FE204DEF-F716-4523-9064-1801773F7A41}"/>
    <hyperlink ref="A2139" r:id="rId6412" display="https://statiz.sporki.com/player/?m=playerinfo&amp;p_no=10778" xr:uid="{DB189CF2-8430-46BE-A838-013B799D00D7}"/>
    <hyperlink ref="B2139" r:id="rId6413" display="https://statiz.sporki.com/add/?m=draft_school01&amp;ps_school=50116" xr:uid="{D455E1BF-392D-4FED-A405-E461D95D8AA8}"/>
    <hyperlink ref="C2139" r:id="rId6414" display="https://statiz.sporki.com/add/?m=draft_school02&amp;ps_school=60104" xr:uid="{FA3CA4A9-09FC-42EA-8568-63C0AFAF5689}"/>
    <hyperlink ref="A2140" r:id="rId6415" display="https://statiz.sporki.com/player/?m=playerinfo&amp;p_no=10025" xr:uid="{045ACB5F-991A-4007-AA52-A2E1523E0FBC}"/>
    <hyperlink ref="B2140" r:id="rId6416" display="https://statiz.sporki.com/add/?m=draft_school01&amp;ps_school=50602" xr:uid="{A055D24B-1BB0-48C4-9BB1-68A8B1F20CC5}"/>
    <hyperlink ref="C2140" r:id="rId6417" display="https://statiz.sporki.com/add/?m=draft_school02&amp;ps_school=60103" xr:uid="{80398B78-78D2-43EC-BC89-EA5888C2F756}"/>
    <hyperlink ref="A2141" r:id="rId6418" display="https://statiz.sporki.com/player/?m=playerinfo&amp;p_no=11090" xr:uid="{CA458469-EE38-474B-8F02-EF1D28C93A36}"/>
    <hyperlink ref="B2141" r:id="rId6419" display="https://statiz.sporki.com/add/?m=draft_school01&amp;ps_school=50104" xr:uid="{44E32A9C-F73B-4111-98A1-3253E0DC3E87}"/>
    <hyperlink ref="C2141" r:id="rId6420" display="https://statiz.sporki.com/add/?m=draft_school02&amp;ps_school=" xr:uid="{611438B2-62EF-42DA-90E8-FF87D6320F52}"/>
    <hyperlink ref="A2142" r:id="rId6421" display="https://statiz.sporki.com/player/?m=playerinfo&amp;p_no=14888" xr:uid="{BF886FCD-9C4E-40D2-B30F-3871B5DE0BDC}"/>
    <hyperlink ref="B2142" r:id="rId6422" display="https://statiz.sporki.com/add/?m=draft_school01&amp;ps_school=50805" xr:uid="{B3CCCE08-8FCE-4768-B34C-330D9D32E479}"/>
    <hyperlink ref="C2142" r:id="rId6423" display="https://statiz.sporki.com/add/?m=draft_school02&amp;ps_school=" xr:uid="{113CE70B-7F41-413A-8B60-C5D98EF9425D}"/>
    <hyperlink ref="A2143" r:id="rId6424" display="https://statiz.sporki.com/player/?m=playerinfo&amp;p_no=10216" xr:uid="{37EF3B4E-5446-459D-B642-8F1FB832C55D}"/>
    <hyperlink ref="B2143" r:id="rId6425" display="https://statiz.sporki.com/add/?m=draft_school01&amp;ps_school=50806" xr:uid="{2BDC2250-06C7-40E6-B519-41BD62B8F53A}"/>
    <hyperlink ref="C2143" r:id="rId6426" display="https://statiz.sporki.com/add/?m=draft_school02&amp;ps_school=60203" xr:uid="{BB4D508A-6F67-432F-9439-35978ABC4F89}"/>
    <hyperlink ref="A2144" r:id="rId6427" display="https://statiz.sporki.com/player/?m=playerinfo&amp;p_no=10285" xr:uid="{DE87C12A-D68A-4A3D-A2CB-C9630F6DA3CB}"/>
    <hyperlink ref="B2144" r:id="rId6428" display="https://statiz.sporki.com/add/?m=draft_school01&amp;ps_school=50802" xr:uid="{AB873B6C-CD1C-4EE4-879D-700F55891E9E}"/>
    <hyperlink ref="C2144" r:id="rId6429" display="https://statiz.sporki.com/add/?m=draft_school02&amp;ps_school=" xr:uid="{CCF9352F-47AB-4671-9974-2D2BAB0BB702}"/>
    <hyperlink ref="A2145" r:id="rId6430" display="https://statiz.sporki.com/player/?m=playerinfo&amp;p_no=10331" xr:uid="{718EDE2D-748A-4967-8F58-FAD9B160E21B}"/>
    <hyperlink ref="B2145" r:id="rId6431" display="https://statiz.sporki.com/add/?m=draft_school01&amp;ps_school=50801" xr:uid="{7D3CB058-CD7A-43FF-A7A5-EA43C6B064BE}"/>
    <hyperlink ref="C2145" r:id="rId6432" display="https://statiz.sporki.com/add/?m=draft_school02&amp;ps_school=" xr:uid="{AD232F96-1441-43BC-9F5E-3C2788B72301}"/>
    <hyperlink ref="A2146" r:id="rId6433" display="https://statiz.sporki.com/player/?m=playerinfo&amp;p_no=10843" xr:uid="{B7B56685-CECA-4D26-ABCC-ED18CBEA882C}"/>
    <hyperlink ref="B2146" r:id="rId6434" display="https://statiz.sporki.com/add/?m=draft_school01&amp;ps_school=50602" xr:uid="{FFEA1B48-4240-4939-9641-3B362A2B3902}"/>
    <hyperlink ref="C2146" r:id="rId6435" display="https://statiz.sporki.com/add/?m=draft_school02&amp;ps_school=60108" xr:uid="{A049BCB3-95CE-4F1A-A5E2-6A74B03875F1}"/>
    <hyperlink ref="A2147" r:id="rId6436" display="https://statiz.sporki.com/player/?m=playerinfo&amp;p_no=2414" xr:uid="{7B8A765C-8C5E-405B-86DA-635738BAB7D2}"/>
    <hyperlink ref="B2147" r:id="rId6437" display="https://statiz.sporki.com/add/?m=draft_school01&amp;ps_school=" xr:uid="{B56C0F3D-EB92-46F3-A066-1E4ED1434904}"/>
    <hyperlink ref="C2147" r:id="rId6438" display="https://statiz.sporki.com/add/?m=draft_school02&amp;ps_school=" xr:uid="{EF71207C-AA82-4AFF-A487-F922FD1DD576}"/>
    <hyperlink ref="A2148" r:id="rId6439" display="https://statiz.sporki.com/player/?m=playerinfo&amp;p_no=2413" xr:uid="{2A8831D7-62FC-4EE0-A2A0-8F2C3F120103}"/>
    <hyperlink ref="B2148" r:id="rId6440" display="https://statiz.sporki.com/add/?m=draft_school01&amp;ps_school=" xr:uid="{1C85D841-7865-4527-BB60-459A4E22A196}"/>
    <hyperlink ref="C2148" r:id="rId6441" display="https://statiz.sporki.com/add/?m=draft_school02&amp;ps_school=" xr:uid="{124DFA93-42A6-4460-AD4E-1CB431B63442}"/>
    <hyperlink ref="A2149" r:id="rId6442" display="https://statiz.sporki.com/player/?m=playerinfo&amp;p_no=2409" xr:uid="{87C70399-D65E-40DE-9974-C3224F8F8763}"/>
    <hyperlink ref="B2149" r:id="rId6443" display="https://statiz.sporki.com/add/?m=draft_school01&amp;ps_school=" xr:uid="{C41391CB-4FCA-4A88-A8FD-A125705B9CD6}"/>
    <hyperlink ref="C2149" r:id="rId6444" display="https://statiz.sporki.com/add/?m=draft_school02&amp;ps_school=" xr:uid="{78B0BEBA-F829-4E4A-8153-FD9FC4DDFA7C}"/>
    <hyperlink ref="A2150" r:id="rId6445" display="https://statiz.sporki.com/player/?m=playerinfo&amp;p_no=10521" xr:uid="{C99CDC1E-0AF6-4BF7-B80B-ACB417D55D36}"/>
    <hyperlink ref="B2150" r:id="rId6446" display="https://statiz.sporki.com/add/?m=draft_school01&amp;ps_school=" xr:uid="{9A0DB72D-95AB-49A3-AFDF-752D44AA3479}"/>
    <hyperlink ref="C2150" r:id="rId6447" display="https://statiz.sporki.com/add/?m=draft_school02&amp;ps_school=" xr:uid="{1FABC490-5450-4DD1-94E8-73CDC4258929}"/>
    <hyperlink ref="A2151" r:id="rId6448" display="https://statiz.sporki.com/player/?m=playerinfo&amp;p_no=2396" xr:uid="{2961FAF2-5215-46CD-8C82-CA37DFAC3AF7}"/>
    <hyperlink ref="B2151" r:id="rId6449" display="https://statiz.sporki.com/add/?m=draft_school01&amp;ps_school=" xr:uid="{BE8F77F8-93B0-4E1B-8D49-9181403FCE3A}"/>
    <hyperlink ref="C2151" r:id="rId6450" display="https://statiz.sporki.com/add/?m=draft_school02&amp;ps_school=" xr:uid="{32A8F00D-6381-4CB6-9A44-23DA9DF4A756}"/>
    <hyperlink ref="A2152" r:id="rId6451" display="https://statiz.sporki.com/player/?m=playerinfo&amp;p_no=2398" xr:uid="{0D77FCF7-B3ED-45D4-AA48-DBED22EB96A6}"/>
    <hyperlink ref="B2152" r:id="rId6452" display="https://statiz.sporki.com/add/?m=draft_school01&amp;ps_school=" xr:uid="{1015AFB9-A9F4-4C0C-9586-C2D992E87292}"/>
    <hyperlink ref="C2152" r:id="rId6453" display="https://statiz.sporki.com/add/?m=draft_school02&amp;ps_school=" xr:uid="{7772B4BC-95AB-42AC-BE3F-35F9819376AA}"/>
    <hyperlink ref="A2153" r:id="rId6454" display="https://statiz.sporki.com/player/?m=playerinfo&amp;p_no=2406" xr:uid="{D0C4E62B-04CB-45D5-A662-C5F5FE14A78E}"/>
    <hyperlink ref="B2153" r:id="rId6455" display="https://statiz.sporki.com/add/?m=draft_school01&amp;ps_school=" xr:uid="{0D37B501-68BC-46C6-9EEF-DFA898C20009}"/>
    <hyperlink ref="C2153" r:id="rId6456" display="https://statiz.sporki.com/add/?m=draft_school02&amp;ps_school=" xr:uid="{C06342A5-61E9-457B-ADA8-C3A42CE26F9B}"/>
    <hyperlink ref="A2154" r:id="rId6457" display="https://statiz.sporki.com/player/?m=playerinfo&amp;p_no=2412" xr:uid="{EE5411B5-415A-4CBF-A823-B799ED5232EB}"/>
    <hyperlink ref="B2154" r:id="rId6458" display="https://statiz.sporki.com/add/?m=draft_school01&amp;ps_school=" xr:uid="{DF4B6E5A-FE3D-4F15-9B82-F755A755DE4F}"/>
    <hyperlink ref="C2154" r:id="rId6459" display="https://statiz.sporki.com/add/?m=draft_school02&amp;ps_school=" xr:uid="{0FAA25A1-3A63-4886-856E-5A5806E9781C}"/>
    <hyperlink ref="A2155" r:id="rId6460" display="https://statiz.sporki.com/player/?m=playerinfo&amp;p_no=2408" xr:uid="{A543F957-A008-44E1-8F23-F83155F7B8B7}"/>
    <hyperlink ref="B2155" r:id="rId6461" display="https://statiz.sporki.com/add/?m=draft_school01&amp;ps_school=" xr:uid="{2E6DBBE7-C225-4AF2-A01C-006A5A9FA029}"/>
    <hyperlink ref="C2155" r:id="rId6462" display="https://statiz.sporki.com/add/?m=draft_school02&amp;ps_school=" xr:uid="{C841A842-87FD-44D5-9E7E-FB1763844CA3}"/>
    <hyperlink ref="A2156" r:id="rId6463" display="https://statiz.sporki.com/player/?m=playerinfo&amp;p_no=2395" xr:uid="{3BD7DE41-18D9-42B5-BD73-0BC3D64CC2E2}"/>
    <hyperlink ref="B2156" r:id="rId6464" display="https://statiz.sporki.com/add/?m=draft_school01&amp;ps_school=" xr:uid="{F0F27D2F-D75E-461C-A13F-BA2EA600CF92}"/>
    <hyperlink ref="C2156" r:id="rId6465" display="https://statiz.sporki.com/add/?m=draft_school02&amp;ps_school=" xr:uid="{A85407D1-0B89-4AF2-98C3-CA97E98FA6AC}"/>
    <hyperlink ref="A2157" r:id="rId6466" display="https://statiz.sporki.com/player/?m=playerinfo&amp;p_no=2410" xr:uid="{3AF03705-B600-4B0F-8BFF-E8FC3440D9FA}"/>
    <hyperlink ref="B2157" r:id="rId6467" display="https://statiz.sporki.com/add/?m=draft_school01&amp;ps_school=" xr:uid="{0FB831B2-2425-40CE-A91A-F8D8B63BEE54}"/>
    <hyperlink ref="C2157" r:id="rId6468" display="https://statiz.sporki.com/add/?m=draft_school02&amp;ps_school=" xr:uid="{A92949A6-C2D5-4266-8A83-0E1001E2EE7E}"/>
    <hyperlink ref="A2158" r:id="rId6469" display="https://statiz.sporki.com/player/?m=playerinfo&amp;p_no=2404" xr:uid="{F1C2E7BF-0DD0-4E9F-A1B8-BCFD494FE044}"/>
    <hyperlink ref="B2158" r:id="rId6470" display="https://statiz.sporki.com/add/?m=draft_school01&amp;ps_school=50403" xr:uid="{4AD112F6-2FD1-49A5-8180-823A7CA4CC01}"/>
    <hyperlink ref="C2158" r:id="rId6471" display="https://statiz.sporki.com/add/?m=draft_school02&amp;ps_school=60501" xr:uid="{EB325DF3-BDF0-4C38-AFA4-946B886117C2}"/>
    <hyperlink ref="A2159" r:id="rId6472" display="https://statiz.sporki.com/player/?m=playerinfo&amp;p_no=10276" xr:uid="{038DDE9C-B8E0-42F0-9E9F-9AFC2D1B5AC1}"/>
    <hyperlink ref="B2159" r:id="rId6473" display="https://statiz.sporki.com/add/?m=draft_school01&amp;ps_school=50701" xr:uid="{EC620ED8-F32D-491F-B532-B165D864477A}"/>
    <hyperlink ref="C2159" r:id="rId6474" display="https://statiz.sporki.com/add/?m=draft_school02&amp;ps_school=60203" xr:uid="{E4A8C376-3D7E-4F7B-BA01-045976EC041D}"/>
    <hyperlink ref="A2160" r:id="rId6475" display="https://statiz.sporki.com/player/?m=playerinfo&amp;p_no=10931" xr:uid="{B8FB982B-8339-4627-83D5-8F141FEEE459}"/>
    <hyperlink ref="B2160" r:id="rId6476" display="https://statiz.sporki.com/add/?m=draft_school01&amp;ps_school=50110" xr:uid="{CF0ABB09-5F1F-4525-AB06-D5A9C250A9FF}"/>
    <hyperlink ref="C2160" r:id="rId6477" display="https://statiz.sporki.com/add/?m=draft_school02&amp;ps_school=" xr:uid="{89EC49F3-C61A-4D6C-B923-A3195AFAAC58}"/>
    <hyperlink ref="A2161" r:id="rId6478" display="https://statiz.sporki.com/player/?m=playerinfo&amp;p_no=10326" xr:uid="{1CFA4DE8-491C-4B6C-9FF9-98A40BE85EB7}"/>
    <hyperlink ref="B2161" r:id="rId6479" display="https://statiz.sporki.com/add/?m=draft_school01&amp;ps_school=50112" xr:uid="{2427D5F1-D965-4FD1-8AB3-13D871B36261}"/>
    <hyperlink ref="C2161" r:id="rId6480" display="https://statiz.sporki.com/add/?m=draft_school02&amp;ps_school=60106" xr:uid="{AC3604A7-90C9-4602-BE1D-2A95EE4405AA}"/>
    <hyperlink ref="A2162" r:id="rId6481" display="https://statiz.sporki.com/player/?m=playerinfo&amp;p_no=10576" xr:uid="{795FEE04-88AD-4C8E-9CB8-262702358571}"/>
    <hyperlink ref="B2162" r:id="rId6482" display="https://statiz.sporki.com/add/?m=draft_school01&amp;ps_school=50402" xr:uid="{B8F79A29-0646-473A-AAD8-748E26895FE7}"/>
    <hyperlink ref="C2162" r:id="rId6483" display="https://statiz.sporki.com/add/?m=draft_school02&amp;ps_school=60102" xr:uid="{EE957E5A-A86F-4A85-8870-1E892CB9345E}"/>
    <hyperlink ref="A2163" r:id="rId6484" display="https://statiz.sporki.com/player/?m=playerinfo&amp;p_no=10551" xr:uid="{086A23C5-14FE-4972-981F-21437C1C27CE}"/>
    <hyperlink ref="B2163" r:id="rId6485" display="https://statiz.sporki.com/add/?m=draft_school01&amp;ps_school=50301" xr:uid="{F71F61B1-76B3-45AD-A5E9-6EF69C3F5397}"/>
    <hyperlink ref="C2163" r:id="rId6486" display="https://statiz.sporki.com/add/?m=draft_school02&amp;ps_school=" xr:uid="{08FD1F9D-D4FF-4C3B-B16C-7610BEAA56D0}"/>
    <hyperlink ref="A2164" r:id="rId6487" display="https://statiz.sporki.com/player/?m=playerinfo&amp;p_no=10759" xr:uid="{A6430DCC-341D-4F1D-B165-850993F4317D}"/>
    <hyperlink ref="B2164" r:id="rId6488" display="https://statiz.sporki.com/add/?m=draft_school01&amp;ps_school=50207" xr:uid="{5934F8D6-F363-43DB-BB1E-968336821854}"/>
    <hyperlink ref="C2164" r:id="rId6489" display="https://statiz.sporki.com/add/?m=draft_school02&amp;ps_school=" xr:uid="{7A07AEAF-9D4E-47BF-BFF9-92A51CEE20CE}"/>
    <hyperlink ref="A2165" r:id="rId6490" display="https://statiz.sporki.com/player/?m=playerinfo&amp;p_no=10077" xr:uid="{C9CA9E22-522E-48A9-9968-C29C01585F0A}"/>
    <hyperlink ref="B2165" r:id="rId6491" display="https://statiz.sporki.com/add/?m=draft_school01&amp;ps_school=50601" xr:uid="{D3E74B29-7693-42C8-BD17-4997B2CAF9B1}"/>
    <hyperlink ref="C2165" r:id="rId6492" display="https://statiz.sporki.com/add/?m=draft_school02&amp;ps_school=60601" xr:uid="{069E61B8-884E-4F97-A978-5358A8E089C5}"/>
    <hyperlink ref="A2166" r:id="rId6493" display="https://statiz.sporki.com/player/?m=playerinfo&amp;p_no=10503" xr:uid="{C35E0D4A-23B4-4801-BA1F-0FB44E23DA97}"/>
    <hyperlink ref="B2166" r:id="rId6494" display="https://statiz.sporki.com/add/?m=draft_school01&amp;ps_school=50101" xr:uid="{6CA38EE5-8977-462D-8FF2-12FCBBB07DDB}"/>
    <hyperlink ref="C2166" r:id="rId6495" display="https://statiz.sporki.com/add/?m=draft_school02&amp;ps_school=60802" xr:uid="{F3892340-F8C2-4CC7-875D-D9E473651B8C}"/>
    <hyperlink ref="A2167" r:id="rId6496" display="https://statiz.sporki.com/player/?m=playerinfo&amp;p_no=10082" xr:uid="{1D008136-5595-4003-88C1-A5C907CAEB31}"/>
    <hyperlink ref="B2167" r:id="rId6497" display="https://statiz.sporki.com/add/?m=draft_school01&amp;ps_school=50209" xr:uid="{9C7DD89B-E078-4E3A-9CF9-95F53239D304}"/>
    <hyperlink ref="C2167" r:id="rId6498" display="https://statiz.sporki.com/add/?m=draft_school02&amp;ps_school=" xr:uid="{B7A27486-D33E-497D-9758-986E2161023F}"/>
    <hyperlink ref="A2168" r:id="rId6499" display="https://statiz.sporki.com/player/?m=playerinfo&amp;p_no=10247" xr:uid="{C8EAEAAA-C525-4311-9689-58F71F54F379}"/>
    <hyperlink ref="B2168" r:id="rId6500" display="https://statiz.sporki.com/add/?m=draft_school01&amp;ps_school=50805" xr:uid="{AD258ACF-A52D-4430-A556-1CD792EA2A55}"/>
    <hyperlink ref="C2168" r:id="rId6501" display="https://statiz.sporki.com/add/?m=draft_school02&amp;ps_school=" xr:uid="{963D833E-165C-46E7-82C5-DD0FAF254EF8}"/>
    <hyperlink ref="A2169" r:id="rId6502" display="https://statiz.sporki.com/player/?m=playerinfo&amp;p_no=10359" xr:uid="{F7137249-1707-484B-8EFF-37C9F997FF92}"/>
    <hyperlink ref="B2169" r:id="rId6503" display="https://statiz.sporki.com/add/?m=draft_school01&amp;ps_school=50702" xr:uid="{481C7AE0-AFB2-4DB2-9806-C5D297289CA3}"/>
    <hyperlink ref="C2169" r:id="rId6504" display="https://statiz.sporki.com/add/?m=draft_school02&amp;ps_school=60101" xr:uid="{60A7C2D9-063C-4DFA-BCE9-2D6518197F59}"/>
    <hyperlink ref="A2170" r:id="rId6505" display="https://statiz.sporki.com/player/?m=playerinfo&amp;p_no=10604" xr:uid="{0F58AAA5-D175-4304-8904-D94A86A49E8B}"/>
    <hyperlink ref="B2170" r:id="rId6506" display="https://statiz.sporki.com/add/?m=draft_school01&amp;ps_school=50403" xr:uid="{58296CB6-4B18-4805-8859-5584A653F140}"/>
    <hyperlink ref="C2170" r:id="rId6507" display="https://statiz.sporki.com/add/?m=draft_school02&amp;ps_school=" xr:uid="{F651234E-DCBE-46C7-9EE4-7B118E91EC0B}"/>
    <hyperlink ref="A2171" r:id="rId6508" display="https://statiz.sporki.com/player/?m=playerinfo&amp;p_no=10793" xr:uid="{7CF1F706-73B9-461E-9806-C15BC78D0E87}"/>
    <hyperlink ref="B2171" r:id="rId6509" display="https://statiz.sporki.com/add/?m=draft_school01&amp;ps_school=50102" xr:uid="{4DBC4DD7-A922-4961-BC48-9EAC0BE34DEC}"/>
    <hyperlink ref="C2171" r:id="rId6510" display="https://statiz.sporki.com/add/?m=draft_school02&amp;ps_school=" xr:uid="{17309810-B94E-4C39-933A-CFEE394B4654}"/>
    <hyperlink ref="A2172" r:id="rId6511" display="https://statiz.sporki.com/player/?m=playerinfo&amp;p_no=10279" xr:uid="{3983CF6D-E15D-4881-AC60-D24E2DA4A65F}"/>
    <hyperlink ref="B2172" r:id="rId6512" display="https://statiz.sporki.com/add/?m=draft_school01&amp;ps_school=50602" xr:uid="{B99B9499-4700-4815-897B-F94E99F5D51E}"/>
    <hyperlink ref="C2172" r:id="rId6513" display="https://statiz.sporki.com/add/?m=draft_school02&amp;ps_school=60704" xr:uid="{D06EFCC5-76A9-41B2-9756-0A640F010D85}"/>
    <hyperlink ref="A2173" r:id="rId6514" display="https://statiz.sporki.com/player/?m=playerinfo&amp;p_no=10590" xr:uid="{F1E0E80C-BBF5-4396-934E-4C01CE21883F}"/>
    <hyperlink ref="B2173" r:id="rId6515" display="https://statiz.sporki.com/add/?m=draft_school01&amp;ps_school=50202" xr:uid="{CA503798-0E0B-437A-B2F0-8DCB839DE462}"/>
    <hyperlink ref="C2173" r:id="rId6516" display="https://statiz.sporki.com/add/?m=draft_school02&amp;ps_school=60401" xr:uid="{67F4CDB1-5685-461C-AD51-2837FBBABF98}"/>
    <hyperlink ref="A2174" r:id="rId6517" display="https://statiz.sporki.com/player/?m=playerinfo&amp;p_no=10876" xr:uid="{F011D375-A13C-43EB-8A59-EBCC445A3E2D}"/>
    <hyperlink ref="B2174" r:id="rId6518" display="https://statiz.sporki.com/add/?m=draft_school01&amp;ps_school=50209" xr:uid="{E4BFFC09-614E-4975-BC68-455472137D72}"/>
    <hyperlink ref="C2174" r:id="rId6519" display="https://statiz.sporki.com/add/?m=draft_school02&amp;ps_school=" xr:uid="{FA09B209-F008-45F1-92A5-3A13C7E80F5C}"/>
    <hyperlink ref="A2175" r:id="rId6520" display="https://statiz.sporki.com/player/?m=playerinfo&amp;p_no=10054" xr:uid="{457B3CE0-52AC-435F-B759-257016352A9E}"/>
    <hyperlink ref="B2175" r:id="rId6521" display="https://statiz.sporki.com/add/?m=draft_school01&amp;ps_school=50303" xr:uid="{8B67E786-6477-4284-904D-A4CC6B1FF990}"/>
    <hyperlink ref="C2175" r:id="rId6522" display="https://statiz.sporki.com/add/?m=draft_school02&amp;ps_school=" xr:uid="{1708DFE3-1C54-4641-9B6B-6C328C2E4289}"/>
    <hyperlink ref="A2176" r:id="rId6523" display="https://statiz.sporki.com/player/?m=playerinfo&amp;p_no=12944" xr:uid="{8457F069-F9B9-46AD-B50B-79A8926B614D}"/>
    <hyperlink ref="B2176" r:id="rId6524" display="https://statiz.sporki.com/add/?m=draft_school01&amp;ps_school=50104" xr:uid="{6B949143-867C-411E-AD8B-726FC16AB3E9}"/>
    <hyperlink ref="C2176" r:id="rId6525" display="https://statiz.sporki.com/add/?m=draft_school02&amp;ps_school=" xr:uid="{5AE1E0F5-25F6-4E84-B60E-D8BC4DD820EC}"/>
    <hyperlink ref="A2177" r:id="rId6526" display="https://statiz.sporki.com/player/?m=playerinfo&amp;p_no=10381" xr:uid="{9784C955-FCDC-418D-A90B-29FE3B39B396}"/>
    <hyperlink ref="B2177" r:id="rId6527" display="https://statiz.sporki.com/add/?m=draft_school01&amp;ps_school=50501" xr:uid="{99D99440-307E-49DE-9CBF-EF0D2FDE78F5}"/>
    <hyperlink ref="C2177" r:id="rId6528" display="https://statiz.sporki.com/add/?m=draft_school02&amp;ps_school=60702" xr:uid="{AB805361-627B-4E3C-B979-9CD9A211D62A}"/>
    <hyperlink ref="A2178" r:id="rId6529" display="https://statiz.sporki.com/player/?m=playerinfo&amp;p_no=10394" xr:uid="{AAF73891-8BE9-46D8-9C60-569401DAD88D}"/>
    <hyperlink ref="B2178" r:id="rId6530" display="https://statiz.sporki.com/add/?m=draft_school01&amp;ps_school=50602" xr:uid="{02888D35-72FE-46F5-8FE2-0ADBE5EB2A2B}"/>
    <hyperlink ref="C2178" r:id="rId6531" display="https://statiz.sporki.com/add/?m=draft_school02&amp;ps_school=" xr:uid="{AF543CE2-3291-4A1F-93F0-55C3D25680C6}"/>
    <hyperlink ref="A2179" r:id="rId6532" display="https://statiz.sporki.com/player/?m=playerinfo&amp;p_no=2383" xr:uid="{5240E877-0E7F-42D8-BD77-C387B7D6B5D7}"/>
    <hyperlink ref="B2179" r:id="rId6533" display="https://statiz.sporki.com/add/?m=draft_school01&amp;ps_school=50202" xr:uid="{C88C24B1-6570-4768-9AC0-3FC88A63D511}"/>
    <hyperlink ref="C2179" r:id="rId6534" display="https://statiz.sporki.com/add/?m=draft_school02&amp;ps_school=60801" xr:uid="{835C7735-7026-4AF9-8A10-C49415DB88F6}"/>
    <hyperlink ref="A2180" r:id="rId6535" display="https://statiz.sporki.com/player/?m=playerinfo&amp;p_no=10601" xr:uid="{FC95D204-F29B-4423-A0C1-14DF090A9F06}"/>
    <hyperlink ref="B2180" r:id="rId6536" display="https://statiz.sporki.com/add/?m=draft_school01&amp;ps_school=50904" xr:uid="{4C2549D3-028E-40CC-A865-43FBC5BE8FA9}"/>
    <hyperlink ref="C2180" r:id="rId6537" display="https://statiz.sporki.com/add/?m=draft_school02&amp;ps_school=60704" xr:uid="{FA6E6D2E-807A-4DB3-BF0B-418E3CA4A820}"/>
    <hyperlink ref="A2181" r:id="rId6538" display="https://statiz.sporki.com/player/?m=playerinfo&amp;p_no=11161" xr:uid="{11FEBD7A-DDD5-4BCC-8978-C4411234084D}"/>
    <hyperlink ref="B2181" r:id="rId6539" display="https://statiz.sporki.com/add/?m=draft_school01&amp;ps_school=50501" xr:uid="{C2110BF5-9F03-4FBD-8DA3-069EAFBCDB31}"/>
    <hyperlink ref="C2181" r:id="rId6540" display="https://statiz.sporki.com/add/?m=draft_school02&amp;ps_school=" xr:uid="{F13FF410-CA45-45A9-908D-D7F50294B739}"/>
    <hyperlink ref="A2182" r:id="rId6541" display="https://statiz.sporki.com/player/?m=playerinfo&amp;p_no=10052" xr:uid="{0D9B745D-6F8F-488E-B624-12FDC8F90F02}"/>
    <hyperlink ref="B2182" r:id="rId6542" display="https://statiz.sporki.com/add/?m=draft_school01&amp;ps_school=50303" xr:uid="{D6D86507-7979-41B0-BA3A-20CFB32F43D3}"/>
    <hyperlink ref="C2182" r:id="rId6543" display="https://statiz.sporki.com/add/?m=draft_school02&amp;ps_school=60102" xr:uid="{7E1B418B-FEF0-4E7A-AB97-64A17592E164}"/>
    <hyperlink ref="A2183" r:id="rId6544" display="https://statiz.sporki.com/player/?m=playerinfo&amp;p_no=10716" xr:uid="{2F08F5BC-AABD-4C6B-A4A7-DC328CC3D058}"/>
    <hyperlink ref="B2183" r:id="rId6545" display="https://statiz.sporki.com/add/?m=draft_school01&amp;ps_school=50115" xr:uid="{A92FF4B7-C84B-409B-9926-986C0CFC7831}"/>
    <hyperlink ref="C2183" r:id="rId6546" display="https://statiz.sporki.com/add/?m=draft_school02&amp;ps_school=" xr:uid="{0393660A-C479-4372-893A-BAA8E8E08DE1}"/>
    <hyperlink ref="A2184" r:id="rId6547" display="https://statiz.sporki.com/player/?m=playerinfo&amp;p_no=10188" xr:uid="{B0B9088B-4242-4A20-BBA3-DB2443E06C23}"/>
    <hyperlink ref="B2184" r:id="rId6548" display="https://statiz.sporki.com/add/?m=draft_school01&amp;ps_school=50104" xr:uid="{083F3CE5-A4AD-4ED9-87C2-1A2D4AEE3F65}"/>
    <hyperlink ref="C2184" r:id="rId6549" display="https://statiz.sporki.com/add/?m=draft_school02&amp;ps_school=" xr:uid="{654BE9CD-F709-4651-B76A-EDA5AAEB4CBE}"/>
    <hyperlink ref="A2185" r:id="rId6550" display="https://statiz.sporki.com/player/?m=playerinfo&amp;p_no=10427" xr:uid="{3119721A-A4BF-46DA-80A5-05B0188F4B06}"/>
    <hyperlink ref="B2185" r:id="rId6551" display="https://statiz.sporki.com/add/?m=draft_school01&amp;ps_school=50110" xr:uid="{DECDDAEE-A848-41AC-9AEE-D7AB74ACEB25}"/>
    <hyperlink ref="C2185" r:id="rId6552" display="https://statiz.sporki.com/add/?m=draft_school02&amp;ps_school=" xr:uid="{AB3EEB9E-CA6E-4758-992E-2DA4F52789A3}"/>
    <hyperlink ref="A2186" r:id="rId6553" display="https://statiz.sporki.com/player/?m=playerinfo&amp;p_no=10431" xr:uid="{8D381649-7932-4520-BE4C-0BD8E1F78B2B}"/>
    <hyperlink ref="B2186" r:id="rId6554" display="https://statiz.sporki.com/add/?m=draft_school01&amp;ps_school=50104" xr:uid="{7422B2C0-12D8-42A9-A41D-E34D5181F590}"/>
    <hyperlink ref="C2186" r:id="rId6555" display="https://statiz.sporki.com/add/?m=draft_school02&amp;ps_school=" xr:uid="{E8311F5F-32AB-4B13-B20A-54DE306B7FB9}"/>
    <hyperlink ref="A2187" r:id="rId6556" display="https://statiz.sporki.com/player/?m=playerinfo&amp;p_no=10648" xr:uid="{79B509E7-A978-4E7B-B702-7CD18A05AECA}"/>
    <hyperlink ref="B2187" r:id="rId6557" display="https://statiz.sporki.com/add/?m=draft_school01&amp;ps_school=50104" xr:uid="{A745DEB9-B5B3-4134-BEB1-C0698A9FC005}"/>
    <hyperlink ref="C2187" r:id="rId6558" display="https://statiz.sporki.com/add/?m=draft_school02&amp;ps_school=" xr:uid="{40D9A318-CC9D-493A-8FEE-6E07D70E0487}"/>
    <hyperlink ref="A2188" r:id="rId6559" display="https://statiz.sporki.com/player/?m=playerinfo&amp;p_no=10772" xr:uid="{12A8BA15-5CE9-48FB-B570-C784FA90D1D4}"/>
    <hyperlink ref="B2188" r:id="rId6560" display="https://statiz.sporki.com/add/?m=draft_school01&amp;ps_school=50303" xr:uid="{04B1E28E-D4ED-4823-8DA0-F5778C763F12}"/>
    <hyperlink ref="C2188" r:id="rId6561" display="https://statiz.sporki.com/add/?m=draft_school02&amp;ps_school=60704" xr:uid="{D9257A62-FD43-4406-AC6C-96D3B08727CA}"/>
    <hyperlink ref="A2189" r:id="rId6562" display="https://statiz.sporki.com/player/?m=playerinfo&amp;p_no=2390" xr:uid="{AB67B5E3-0EC7-49D8-A4BF-29125E46E9B9}"/>
    <hyperlink ref="B2189" r:id="rId6563" display="https://statiz.sporki.com/add/?m=draft_school01&amp;ps_school=50902" xr:uid="{77DC071D-CC0D-41AE-A19C-0F0479BD03BE}"/>
    <hyperlink ref="C2189" r:id="rId6564" display="https://statiz.sporki.com/add/?m=draft_school02&amp;ps_school=" xr:uid="{AC2EF6DA-C9DE-4BCA-B3AE-99A76BB1D578}"/>
    <hyperlink ref="A2190" r:id="rId6565" display="https://statiz.sporki.com/player/?m=playerinfo&amp;p_no=10636" xr:uid="{E842C02B-9AD1-43B2-BAC2-11865E2029C8}"/>
    <hyperlink ref="B2190" r:id="rId6566" display="https://statiz.sporki.com/add/?m=draft_school01&amp;ps_school=50602" xr:uid="{46912084-FCFE-4183-98DD-50329EC9F43A}"/>
    <hyperlink ref="C2190" r:id="rId6567" display="https://statiz.sporki.com/add/?m=draft_school02&amp;ps_school=" xr:uid="{5E5CD4B6-86FD-4D30-8A34-1B8ED62F6C03}"/>
    <hyperlink ref="A2191" r:id="rId6568" display="https://statiz.sporki.com/player/?m=playerinfo&amp;p_no=10050" xr:uid="{CDE42F7E-6007-4563-8C6B-CB2749BCA99C}"/>
    <hyperlink ref="B2191" r:id="rId6569" display="https://statiz.sporki.com/add/?m=draft_school01&amp;ps_school=50202" xr:uid="{0ED327BB-7EB0-446E-81B1-EF16D7779842}"/>
    <hyperlink ref="C2191" r:id="rId6570" display="https://statiz.sporki.com/add/?m=draft_school02&amp;ps_school=" xr:uid="{BD073188-889D-4BD8-9AED-C641042D44EB}"/>
    <hyperlink ref="A2192" r:id="rId6571" display="https://statiz.sporki.com/player/?m=playerinfo&amp;p_no=10718" xr:uid="{07A5C609-6BF0-4375-A46A-4263C08BA901}"/>
    <hyperlink ref="B2192" r:id="rId6572" display="https://statiz.sporki.com/add/?m=draft_school01&amp;ps_school=50202" xr:uid="{F2C75471-4817-407C-A5F7-8522CD2F536F}"/>
    <hyperlink ref="C2192" r:id="rId6573" display="https://statiz.sporki.com/add/?m=draft_school02&amp;ps_school=" xr:uid="{165FA27C-2DA4-40C3-8FDF-A09E63101EEA}"/>
    <hyperlink ref="A2193" r:id="rId6574" display="https://statiz.sporki.com/player/?m=playerinfo&amp;p_no=10407" xr:uid="{B071A4E7-43FD-4493-982E-97D08581D15E}"/>
    <hyperlink ref="B2193" r:id="rId6575" display="https://statiz.sporki.com/add/?m=draft_school01&amp;ps_school=50101" xr:uid="{CCAC0E2C-967D-4844-930F-0DB8B05A5499}"/>
    <hyperlink ref="C2193" r:id="rId6576" display="https://statiz.sporki.com/add/?m=draft_school02&amp;ps_school=60704" xr:uid="{FEE2CF1A-D7A1-4E07-A3E3-26DBCA050B9A}"/>
    <hyperlink ref="A2194" r:id="rId6577" display="https://statiz.sporki.com/player/?m=playerinfo&amp;p_no=10281" xr:uid="{FA939E1A-D4AA-4788-A6B7-097239443BF3}"/>
    <hyperlink ref="B2194" r:id="rId6578" display="https://statiz.sporki.com/add/?m=draft_school01&amp;ps_school=50208" xr:uid="{D8F4435B-9A60-4915-B312-D90FA30F1B2B}"/>
    <hyperlink ref="C2194" r:id="rId6579" display="https://statiz.sporki.com/add/?m=draft_school02&amp;ps_school=60704" xr:uid="{A794A7A4-B6A1-4BF6-A048-97234FD1E0B3}"/>
    <hyperlink ref="A2195" r:id="rId6580" display="https://statiz.sporki.com/player/?m=playerinfo&amp;p_no=10770" xr:uid="{2199F42D-E6C0-4C70-A22C-F990B34F28AF}"/>
    <hyperlink ref="B2195" r:id="rId6581" display="https://statiz.sporki.com/add/?m=draft_school01&amp;ps_school=50605" xr:uid="{57E6EDA9-9F1A-407B-A159-C5420F1E6E18}"/>
    <hyperlink ref="C2195" r:id="rId6582" display="https://statiz.sporki.com/add/?m=draft_school02&amp;ps_school=" xr:uid="{4666BC9D-3C8E-4986-AE4B-101EC0C5EC41}"/>
    <hyperlink ref="A2196" r:id="rId6583" display="https://statiz.sporki.com/player/?m=playerinfo&amp;p_no=10758" xr:uid="{8E147F9D-576C-48DF-B465-AA480F6878BD}"/>
    <hyperlink ref="B2196" r:id="rId6584" display="https://statiz.sporki.com/add/?m=draft_school01&amp;ps_school=50501" xr:uid="{D5E458FF-2506-4BA3-A878-36379005B711}"/>
    <hyperlink ref="C2196" r:id="rId6585" display="https://statiz.sporki.com/add/?m=draft_school02&amp;ps_school=" xr:uid="{65233E2E-95AB-45E3-A1F6-BF4A5B682CFD}"/>
    <hyperlink ref="A2197" r:id="rId6586" display="https://statiz.sporki.com/player/?m=playerinfo&amp;p_no=10456" xr:uid="{84873B16-A3BB-4FA8-87D0-5007381B819C}"/>
    <hyperlink ref="B2197" r:id="rId6587" display="https://statiz.sporki.com/add/?m=draft_school01&amp;ps_school=50108" xr:uid="{E518C651-7F8F-4D1A-BB36-83C35DD4DF85}"/>
    <hyperlink ref="C2197" r:id="rId6588" display="https://statiz.sporki.com/add/?m=draft_school02&amp;ps_school=" xr:uid="{88470923-0CEC-42D1-9A87-2D21E22BB6D1}"/>
    <hyperlink ref="A2198" r:id="rId6589" display="https://statiz.sporki.com/player/?m=playerinfo&amp;p_no=10274" xr:uid="{9D984B3A-6C79-4BDB-9B3F-3B5667FB1ABD}"/>
    <hyperlink ref="B2198" r:id="rId6590" display="https://statiz.sporki.com/add/?m=draft_school01&amp;ps_school=50802" xr:uid="{06880B3B-6AEB-4255-8060-6DA41EF9A155}"/>
    <hyperlink ref="C2198" r:id="rId6591" display="https://statiz.sporki.com/add/?m=draft_school02&amp;ps_school=60704" xr:uid="{BEAF8977-0C27-4BD3-AE49-7B2A404D5FF0}"/>
    <hyperlink ref="A2199" r:id="rId6592" display="https://statiz.sporki.com/player/?m=playerinfo&amp;p_no=10111" xr:uid="{1B1BDDC3-6911-4AAD-A89F-83578E80D009}"/>
    <hyperlink ref="B2199" r:id="rId6593" display="https://statiz.sporki.com/add/?m=draft_school01&amp;ps_school=50903" xr:uid="{284AA526-468C-46BB-A257-B10E1963933B}"/>
    <hyperlink ref="C2199" r:id="rId6594" display="https://statiz.sporki.com/add/?m=draft_school02&amp;ps_school=" xr:uid="{32759A2F-AD8F-4907-AA27-9BF07E5544AD}"/>
    <hyperlink ref="A2200" r:id="rId6595" display="https://statiz.sporki.com/player/?m=playerinfo&amp;p_no=10763" xr:uid="{F2C09426-734F-4F28-BEDD-0019FBDE446C}"/>
    <hyperlink ref="B2200" r:id="rId6596" display="https://statiz.sporki.com/add/?m=draft_school01&amp;ps_school=50208" xr:uid="{1C67F643-B54E-47B6-99C4-9A30E84992F8}"/>
    <hyperlink ref="C2200" r:id="rId6597" display="https://statiz.sporki.com/add/?m=draft_school02&amp;ps_school=" xr:uid="{C979CFFA-731C-45F3-BC85-FA22CA8EC5E2}"/>
    <hyperlink ref="A2201" r:id="rId6598" display="https://statiz.sporki.com/player/?m=playerinfo&amp;p_no=10267" xr:uid="{283F2ED1-BCD7-443B-B3EF-302B11130302}"/>
    <hyperlink ref="B2201" r:id="rId6599" display="https://statiz.sporki.com/add/?m=draft_school01&amp;ps_school=50805" xr:uid="{20C12339-99CC-4C0C-8E46-21C0315B7A8A}"/>
    <hyperlink ref="C2201" r:id="rId6600" display="https://statiz.sporki.com/add/?m=draft_school02&amp;ps_school=60108" xr:uid="{78B09E83-18F4-46A3-81D7-4ECF385B9F23}"/>
    <hyperlink ref="A2202" r:id="rId6601" display="https://statiz.sporki.com/player/?m=playerinfo&amp;p_no=10791" xr:uid="{48900C8F-58AC-4DD7-A5C8-EF7D67256ED2}"/>
    <hyperlink ref="B2202" r:id="rId6602" display="https://statiz.sporki.com/add/?m=draft_school01&amp;ps_school=50807" xr:uid="{28EB10C8-3AA7-46BB-80AB-CF95AF0AA0F7}"/>
    <hyperlink ref="C2202" r:id="rId6603" display="https://statiz.sporki.com/add/?m=draft_school02&amp;ps_school=" xr:uid="{CEBB92F8-F482-4322-83AE-5E34C7B141D5}"/>
    <hyperlink ref="A2203" r:id="rId6604" display="https://statiz.sporki.com/player/?m=playerinfo&amp;p_no=10182" xr:uid="{8B0590E4-6646-47F4-A913-146ADF9C5FF0}"/>
    <hyperlink ref="B2203" r:id="rId6605" display="https://statiz.sporki.com/add/?m=draft_school01&amp;ps_school=50601" xr:uid="{4BD8E5BD-8157-4FE7-9438-2451E6F2BA19}"/>
    <hyperlink ref="C2203" r:id="rId6606" display="https://statiz.sporki.com/add/?m=draft_school02&amp;ps_school=" xr:uid="{89EEF0F0-2202-4B1C-B3AD-63DB6DFC840F}"/>
    <hyperlink ref="A2204" r:id="rId6607" display="https://statiz.sporki.com/player/?m=playerinfo&amp;p_no=10694" xr:uid="{E129103A-7BE7-4CAA-9675-2E46479293F6}"/>
    <hyperlink ref="B2204" r:id="rId6608" display="https://statiz.sporki.com/add/?m=draft_school01&amp;ps_school=50110" xr:uid="{0A1CE00A-063A-46D5-8373-B56855F6C941}"/>
    <hyperlink ref="C2204" r:id="rId6609" display="https://statiz.sporki.com/add/?m=draft_school02&amp;ps_school=" xr:uid="{9ADC156E-9B28-47D5-97F2-085A94A64F38}"/>
    <hyperlink ref="A2205" r:id="rId6610" display="https://statiz.sporki.com/player/?m=playerinfo&amp;p_no=10390" xr:uid="{9D2E996B-140A-4E12-A334-4913B3329203}"/>
    <hyperlink ref="B2205" r:id="rId6611" display="https://statiz.sporki.com/add/?m=draft_school01&amp;ps_school=50705" xr:uid="{26402DFF-0A62-4123-B885-5E9C01E2014D}"/>
    <hyperlink ref="C2205" r:id="rId6612" display="https://statiz.sporki.com/add/?m=draft_school02&amp;ps_school=" xr:uid="{15DA4D7F-0073-43A0-B8DA-63B0B4A2B07C}"/>
    <hyperlink ref="A2206" r:id="rId6613" display="https://statiz.sporki.com/player/?m=playerinfo&amp;p_no=11092" xr:uid="{EA033D14-2B15-46BD-A17E-9D15CA4D2289}"/>
    <hyperlink ref="B2206" r:id="rId6614" display="https://statiz.sporki.com/add/?m=draft_school01&amp;ps_school=50202" xr:uid="{A197EB1F-5765-4DD3-BCA0-130871699793}"/>
    <hyperlink ref="C2206" r:id="rId6615" display="https://statiz.sporki.com/add/?m=draft_school02&amp;ps_school=" xr:uid="{8FD1B7B3-2F39-4560-9F4C-B6B842EE1F5C}"/>
    <hyperlink ref="A2207" r:id="rId6616" display="https://statiz.sporki.com/player/?m=playerinfo&amp;p_no=10401" xr:uid="{C53EFD65-C992-40EC-92C3-1CD5C33D3EBA}"/>
    <hyperlink ref="B2207" r:id="rId6617" display="https://statiz.sporki.com/add/?m=draft_school01&amp;ps_school=50403" xr:uid="{9379948D-587F-41ED-8486-EDCA382FD21F}"/>
    <hyperlink ref="C2207" r:id="rId6618" display="https://statiz.sporki.com/add/?m=draft_school02&amp;ps_school=" xr:uid="{FE056543-F989-4DD7-93B7-44C23BA9C327}"/>
    <hyperlink ref="A2208" r:id="rId6619" display="https://statiz.sporki.com/player/?m=playerinfo&amp;p_no=10165" xr:uid="{D4551ECE-E4A4-41A2-A831-0A169A14F5F0}"/>
    <hyperlink ref="B2208" r:id="rId6620" display="https://statiz.sporki.com/add/?m=draft_school01&amp;ps_school=50604" xr:uid="{0FDBA3FE-CC30-4306-9F19-B7E903F842A5}"/>
    <hyperlink ref="C2208" r:id="rId6621" display="https://statiz.sporki.com/add/?m=draft_school02&amp;ps_school=" xr:uid="{7A302BE7-CF6E-4DE3-8DC6-17AC9C5A5F98}"/>
    <hyperlink ref="A2209" r:id="rId6622" display="https://statiz.sporki.com/player/?m=playerinfo&amp;p_no=10119" xr:uid="{BDF5B970-B842-4554-86ED-25E5DE22E074}"/>
    <hyperlink ref="B2209" r:id="rId6623" display="https://statiz.sporki.com/add/?m=draft_school01&amp;ps_school=50209" xr:uid="{47D3B78D-18B2-4CE3-9AE8-4F8C4E51BC94}"/>
    <hyperlink ref="C2209" r:id="rId6624" display="https://statiz.sporki.com/add/?m=draft_school02&amp;ps_school=" xr:uid="{710B25F1-6AB9-464E-BFB6-53E96ADE23AE}"/>
    <hyperlink ref="A2210" r:id="rId6625" display="https://statiz.sporki.com/player/?m=playerinfo&amp;p_no=2399" xr:uid="{D5E0C61A-5A45-4D7C-9E19-EFDA5CDB61CF}"/>
    <hyperlink ref="B2210" r:id="rId6626" display="https://statiz.sporki.com/add/?m=draft_school01&amp;ps_school=50104" xr:uid="{F29946CE-1864-410F-BF90-C8E83862051C}"/>
    <hyperlink ref="C2210" r:id="rId6627" display="https://statiz.sporki.com/add/?m=draft_school02&amp;ps_school=60101" xr:uid="{CCBC9E13-B3A9-4B2E-9B8F-BF3E3CE59939}"/>
    <hyperlink ref="A2211" r:id="rId6628" display="https://statiz.sporki.com/player/?m=playerinfo&amp;p_no=10114" xr:uid="{B62149E9-1EB7-45FA-9636-AB51241A068A}"/>
    <hyperlink ref="B2211" r:id="rId6629" display="https://statiz.sporki.com/add/?m=draft_school01&amp;ps_school=50110" xr:uid="{57FF336E-E355-4BBD-BAF4-877435EC592F}"/>
    <hyperlink ref="C2211" r:id="rId6630" display="https://statiz.sporki.com/add/?m=draft_school02&amp;ps_school=" xr:uid="{E3F9FED6-1ECD-401E-B77D-068BC7D3A169}"/>
    <hyperlink ref="A2212" r:id="rId6631" display="https://statiz.sporki.com/player/?m=playerinfo&amp;p_no=2375" xr:uid="{E5332178-8A1D-4072-B421-C93DF797344D}"/>
    <hyperlink ref="B2212" r:id="rId6632" display="https://statiz.sporki.com/add/?m=draft_school01&amp;ps_school=" xr:uid="{974F288A-BF21-4294-A0B3-E5EFBD255537}"/>
    <hyperlink ref="C2212" r:id="rId6633" display="https://statiz.sporki.com/add/?m=draft_school02&amp;ps_school=" xr:uid="{8A2E70F5-1FF3-4B97-A9AB-C392C1D4E727}"/>
    <hyperlink ref="A2213" r:id="rId6634" display="https://statiz.sporki.com/player/?m=playerinfo&amp;p_no=2377" xr:uid="{4A9FDD7C-5A56-4DF8-947A-5AD2FF43F248}"/>
    <hyperlink ref="B2213" r:id="rId6635" display="https://statiz.sporki.com/add/?m=draft_school01&amp;ps_school=" xr:uid="{CA2EC92F-B6BC-4D1C-86BE-6100A1C69951}"/>
    <hyperlink ref="C2213" r:id="rId6636" display="https://statiz.sporki.com/add/?m=draft_school02&amp;ps_school=" xr:uid="{40D6A189-B5D7-40D4-847D-96E1E40DE779}"/>
    <hyperlink ref="A2214" r:id="rId6637" display="https://statiz.sporki.com/player/?m=playerinfo&amp;p_no=2394" xr:uid="{CFD0CD3B-CF6D-4EB1-9C60-85CE7412E64D}"/>
    <hyperlink ref="B2214" r:id="rId6638" display="https://statiz.sporki.com/add/?m=draft_school01&amp;ps_school=" xr:uid="{6AB87F81-ABBE-49C4-BA40-48FAD4EA5986}"/>
    <hyperlink ref="C2214" r:id="rId6639" display="https://statiz.sporki.com/add/?m=draft_school02&amp;ps_school=" xr:uid="{7650F382-15C4-40F1-9DFF-C5246EF02A6C}"/>
    <hyperlink ref="A2215" r:id="rId6640" display="https://statiz.sporki.com/player/?m=playerinfo&amp;p_no=2393" xr:uid="{1F3B8801-798E-4DD7-AB66-56A5F070FE6E}"/>
    <hyperlink ref="B2215" r:id="rId6641" display="https://statiz.sporki.com/add/?m=draft_school01&amp;ps_school=" xr:uid="{68D6F761-772C-4F09-9E9F-591E151C5DEC}"/>
    <hyperlink ref="C2215" r:id="rId6642" display="https://statiz.sporki.com/add/?m=draft_school02&amp;ps_school=" xr:uid="{EBC8B0D5-4EC2-4D3D-A93B-80D4CBBB355A}"/>
    <hyperlink ref="A2216" r:id="rId6643" display="https://statiz.sporki.com/player/?m=playerinfo&amp;p_no=2386" xr:uid="{80C5F341-6D5B-4498-966F-1750E6D5118F}"/>
    <hyperlink ref="B2216" r:id="rId6644" display="https://statiz.sporki.com/add/?m=draft_school01&amp;ps_school=" xr:uid="{AFD77D60-D604-4018-B772-206E313F073B}"/>
    <hyperlink ref="C2216" r:id="rId6645" display="https://statiz.sporki.com/add/?m=draft_school02&amp;ps_school=" xr:uid="{B34543DA-D33B-4DE6-AC2B-58DB900042F7}"/>
    <hyperlink ref="A2217" r:id="rId6646" display="https://statiz.sporki.com/player/?m=playerinfo&amp;p_no=2381" xr:uid="{7F454861-6777-4127-9374-D96FBFFE8474}"/>
    <hyperlink ref="B2217" r:id="rId6647" display="https://statiz.sporki.com/add/?m=draft_school01&amp;ps_school=" xr:uid="{04AA4F82-BA77-4349-A2CE-BFCDC431444A}"/>
    <hyperlink ref="C2217" r:id="rId6648" display="https://statiz.sporki.com/add/?m=draft_school02&amp;ps_school=" xr:uid="{5FC69E5C-3C7C-40F6-AA42-86BD77B4BB19}"/>
    <hyperlink ref="A2218" r:id="rId6649" display="https://statiz.sporki.com/player/?m=playerinfo&amp;p_no=2378" xr:uid="{6606B8A0-4108-4B05-A2CD-4191AB1BFDD5}"/>
    <hyperlink ref="B2218" r:id="rId6650" display="https://statiz.sporki.com/add/?m=draft_school01&amp;ps_school=" xr:uid="{006FFB52-39B1-4AC7-8739-6C99B464C287}"/>
    <hyperlink ref="C2218" r:id="rId6651" display="https://statiz.sporki.com/add/?m=draft_school02&amp;ps_school=" xr:uid="{AF7C72F0-AAD3-450F-80A8-F9B9D830717B}"/>
    <hyperlink ref="A2219" r:id="rId6652" display="https://statiz.sporki.com/player/?m=playerinfo&amp;p_no=2388" xr:uid="{08A59BA7-9888-4A39-A861-18E0C0D62D12}"/>
    <hyperlink ref="B2219" r:id="rId6653" display="https://statiz.sporki.com/add/?m=draft_school01&amp;ps_school=" xr:uid="{8F2FA5F4-1999-4051-881D-5390072F118A}"/>
    <hyperlink ref="C2219" r:id="rId6654" display="https://statiz.sporki.com/add/?m=draft_school02&amp;ps_school=" xr:uid="{F4B00714-3C81-408A-9666-61B0013EC1A8}"/>
    <hyperlink ref="A2220" r:id="rId6655" display="https://statiz.sporki.com/player/?m=playerinfo&amp;p_no=2380" xr:uid="{50CF2DD3-4292-48CE-9C6C-34CC15F058E1}"/>
    <hyperlink ref="B2220" r:id="rId6656" display="https://statiz.sporki.com/add/?m=draft_school01&amp;ps_school=" xr:uid="{90F64DAA-9E02-49CA-AE5D-711CC884B458}"/>
    <hyperlink ref="C2220" r:id="rId6657" display="https://statiz.sporki.com/add/?m=draft_school02&amp;ps_school=" xr:uid="{CE8B7655-39F6-4098-A3D5-F24C1D2BB732}"/>
    <hyperlink ref="A2221" r:id="rId6658" display="https://statiz.sporki.com/player/?m=playerinfo&amp;p_no=2373" xr:uid="{C6A7AAF3-5140-4500-A1E6-5E7F64136D06}"/>
    <hyperlink ref="B2221" r:id="rId6659" display="https://statiz.sporki.com/add/?m=draft_school01&amp;ps_school=" xr:uid="{DE2A0C79-BCBF-4FDE-A5B6-BB83BF5B988F}"/>
    <hyperlink ref="C2221" r:id="rId6660" display="https://statiz.sporki.com/add/?m=draft_school02&amp;ps_school=" xr:uid="{65482AE5-AC65-4EA8-A6FD-C4CCA336355A}"/>
    <hyperlink ref="A2222" r:id="rId6661" display="https://statiz.sporki.com/player/?m=playerinfo&amp;p_no=2387" xr:uid="{2943C260-3226-4B24-A49F-39B6A45CBEAC}"/>
    <hyperlink ref="B2222" r:id="rId6662" display="https://statiz.sporki.com/add/?m=draft_school01&amp;ps_school=" xr:uid="{9496F572-ACBC-43B8-BD58-AC1EA0CE8F68}"/>
    <hyperlink ref="C2222" r:id="rId6663" display="https://statiz.sporki.com/add/?m=draft_school02&amp;ps_school=" xr:uid="{A2CC6EF2-805A-44F0-9934-8DCE95C06C30}"/>
    <hyperlink ref="A2223" r:id="rId6664" display="https://statiz.sporki.com/player/?m=playerinfo&amp;p_no=2374" xr:uid="{447E9059-0336-4F11-800B-D198610C1708}"/>
    <hyperlink ref="B2223" r:id="rId6665" display="https://statiz.sporki.com/add/?m=draft_school01&amp;ps_school=50108" xr:uid="{EAFE295B-2A54-408D-A14C-AC357ECB7A89}"/>
    <hyperlink ref="C2223" r:id="rId6666" display="https://statiz.sporki.com/add/?m=draft_school02&amp;ps_school=" xr:uid="{A296C968-81B2-4642-BEBF-7B7246C99E76}"/>
    <hyperlink ref="A2224" r:id="rId6667" display="https://statiz.sporki.com/player/?m=playerinfo&amp;p_no=10346" xr:uid="{C6F78038-9136-4AA1-922F-9BC5ECA2508A}"/>
    <hyperlink ref="B2224" r:id="rId6668" display="https://statiz.sporki.com/add/?m=draft_school01&amp;ps_school=50101" xr:uid="{A1E0F9A7-06F4-4E3C-8A6A-47C1D97648A3}"/>
    <hyperlink ref="C2224" r:id="rId6669" display="https://statiz.sporki.com/add/?m=draft_school02&amp;ps_school=60114" xr:uid="{0DEFECBD-1850-4FC2-AFD9-99B82E4970F2}"/>
    <hyperlink ref="A2225" r:id="rId6670" display="https://statiz.sporki.com/player/?m=playerinfo&amp;p_no=10656" xr:uid="{2E13B16B-64B8-4686-99EA-8414F82C761E}"/>
    <hyperlink ref="B2225" r:id="rId6671" display="https://statiz.sporki.com/add/?m=draft_school01&amp;ps_school=50113" xr:uid="{DAD77FAE-2333-4F04-BEA9-952CA6688974}"/>
    <hyperlink ref="C2225" r:id="rId6672" display="https://statiz.sporki.com/add/?m=draft_school02&amp;ps_school=60114" xr:uid="{5B2426E9-2258-47ED-8B8C-5E002146A983}"/>
    <hyperlink ref="A2226" r:id="rId6673" display="https://statiz.sporki.com/player/?m=playerinfo&amp;p_no=10212" xr:uid="{44856863-E327-4AE7-827E-967A37C8EFC3}"/>
    <hyperlink ref="B2226" r:id="rId6674" display="https://statiz.sporki.com/add/?m=draft_school01&amp;ps_school=50113" xr:uid="{3E5213E8-6A57-41F9-ADC7-92F282983B9B}"/>
    <hyperlink ref="C2226" r:id="rId6675" display="https://statiz.sporki.com/add/?m=draft_school02&amp;ps_school=60602" xr:uid="{27AF88A0-CDF8-47DE-8816-157EB3CFDD43}"/>
    <hyperlink ref="A2227" r:id="rId6676" display="https://statiz.sporki.com/player/?m=playerinfo&amp;p_no=10701" xr:uid="{9BA853EA-4EA1-414C-8BAE-645E1F5DEBA1}"/>
    <hyperlink ref="B2227" r:id="rId6677" display="https://statiz.sporki.com/add/?m=draft_school01&amp;ps_school=50802" xr:uid="{DD4EC65A-97CE-4022-98E9-1652B2C60AA5}"/>
    <hyperlink ref="C2227" r:id="rId6678" display="https://statiz.sporki.com/add/?m=draft_school02&amp;ps_school=60203" xr:uid="{403B5F1A-B435-45A1-9753-A2839A04A387}"/>
    <hyperlink ref="A2228" r:id="rId6679" display="https://statiz.sporki.com/player/?m=playerinfo&amp;p_no=10477" xr:uid="{6E1A3C25-D7BA-49DC-9A76-A704CEEC9E92}"/>
    <hyperlink ref="B2228" r:id="rId6680" display="https://statiz.sporki.com/add/?m=draft_school01&amp;ps_school=50701" xr:uid="{3716CEEB-BEA2-4E78-B84F-6B708AA29C4F}"/>
    <hyperlink ref="C2228" r:id="rId6681" display="https://statiz.sporki.com/add/?m=draft_school02&amp;ps_school=60113" xr:uid="{6DC50435-4920-48B1-AB16-A06A1D8E62BD}"/>
    <hyperlink ref="A2229" r:id="rId6682" display="https://statiz.sporki.com/player/?m=playerinfo&amp;p_no=10187" xr:uid="{3C2FB166-DB1C-4F15-BB4B-5D2B7314B915}"/>
    <hyperlink ref="B2229" r:id="rId6683" display="https://statiz.sporki.com/add/?m=draft_school01&amp;ps_school=50110" xr:uid="{9AE8BAB3-DB47-4E5A-8D9D-425A3ADBA729}"/>
    <hyperlink ref="C2229" r:id="rId6684" display="https://statiz.sporki.com/add/?m=draft_school02&amp;ps_school=" xr:uid="{3890FA49-642B-4F8A-8084-8385FC5E921A}"/>
    <hyperlink ref="A2230" r:id="rId6685" display="https://statiz.sporki.com/player/?m=playerinfo&amp;p_no=10560" xr:uid="{BF05EACB-331D-4BE7-B563-E98AA1839369}"/>
    <hyperlink ref="B2230" r:id="rId6686" display="https://statiz.sporki.com/add/?m=draft_school01&amp;ps_school=50806" xr:uid="{82E8CA5D-B621-4A42-84BF-B70D5C2115E9}"/>
    <hyperlink ref="C2230" r:id="rId6687" display="https://statiz.sporki.com/add/?m=draft_school02&amp;ps_school=60104" xr:uid="{C873DC04-1312-4C1B-9DF2-FDF201CEE0EF}"/>
    <hyperlink ref="A2231" r:id="rId6688" display="https://statiz.sporki.com/player/?m=playerinfo&amp;p_no=10253" xr:uid="{2CC1F6ED-0182-4AE5-A492-B24DDA5C60CA}"/>
    <hyperlink ref="B2231" r:id="rId6689" display="https://statiz.sporki.com/add/?m=draft_school01&amp;ps_school=50807" xr:uid="{7CFCD31C-AB65-4E29-AA39-F572CBF99B65}"/>
    <hyperlink ref="C2231" r:id="rId6690" display="https://statiz.sporki.com/add/?m=draft_school02&amp;ps_school=" xr:uid="{8DE10777-E9E4-4AE1-8268-DCC1289291BB}"/>
    <hyperlink ref="A2232" r:id="rId6691" display="https://statiz.sporki.com/player/?m=playerinfo&amp;p_no=10043" xr:uid="{DDC3EF3D-693D-431E-9A9C-4043D2DEB884}"/>
    <hyperlink ref="B2232" r:id="rId6692" display="https://statiz.sporki.com/add/?m=draft_school01&amp;ps_school=50602" xr:uid="{A6D4227F-591B-4550-B9A3-60E83F027380}"/>
    <hyperlink ref="C2232" r:id="rId6693" display="https://statiz.sporki.com/add/?m=draft_school02&amp;ps_school=" xr:uid="{403EC9BD-B2FC-454F-A13F-6B4962421747}"/>
    <hyperlink ref="A2233" r:id="rId6694" display="https://statiz.sporki.com/player/?m=playerinfo&amp;p_no=10470" xr:uid="{5C34CB56-BA84-42FC-90FE-CF0B10314C10}"/>
    <hyperlink ref="B2233" r:id="rId6695" display="https://statiz.sporki.com/add/?m=draft_school01&amp;ps_school=50108" xr:uid="{976DE4BD-DA13-4D26-8605-64480BFD42DB}"/>
    <hyperlink ref="C2233" r:id="rId6696" display="https://statiz.sporki.com/add/?m=draft_school02&amp;ps_school=" xr:uid="{89B5E60D-42C5-40A8-B395-703BE5A255A1}"/>
    <hyperlink ref="A2234" r:id="rId6697" display="https://statiz.sporki.com/player/?m=playerinfo&amp;p_no=10106" xr:uid="{9A27176C-5B09-44AF-93CD-6ED72854F80C}"/>
    <hyperlink ref="B2234" r:id="rId6698" display="https://statiz.sporki.com/add/?m=draft_school01&amp;ps_school=50208" xr:uid="{21AAC849-4447-4360-B1C1-2B0FA8DF64E8}"/>
    <hyperlink ref="C2234" r:id="rId6699" display="https://statiz.sporki.com/add/?m=draft_school02&amp;ps_school=" xr:uid="{834FCBBC-1EAF-41D9-ACF3-96FFE27C1C29}"/>
    <hyperlink ref="A2235" r:id="rId6700" display="https://statiz.sporki.com/player/?m=playerinfo&amp;p_no=10197" xr:uid="{7999706D-19AA-4C82-897B-2235A59195C7}"/>
    <hyperlink ref="B2235" r:id="rId6701" display="https://statiz.sporki.com/add/?m=draft_school01&amp;ps_school=50116" xr:uid="{065935CA-A3CA-493D-B821-61BB3373907B}"/>
    <hyperlink ref="C2235" r:id="rId6702" display="https://statiz.sporki.com/add/?m=draft_school02&amp;ps_school=" xr:uid="{1CA5DCF8-E73B-48DF-B8E1-09B0FAE51434}"/>
    <hyperlink ref="A2236" r:id="rId6703" display="https://statiz.sporki.com/player/?m=playerinfo&amp;p_no=10740" xr:uid="{0297EAFF-35E1-4428-ACEA-B7ADDCE2DF5A}"/>
    <hyperlink ref="B2236" r:id="rId6704" display="https://statiz.sporki.com/add/?m=draft_school01&amp;ps_school=50805" xr:uid="{0DE78122-4DE3-471B-87A0-3DA4DFAA1345}"/>
    <hyperlink ref="C2236" r:id="rId6705" display="https://statiz.sporki.com/add/?m=draft_school02&amp;ps_school=60704" xr:uid="{00D9BE37-5046-46C6-8EBA-C04112D63134}"/>
    <hyperlink ref="A2237" r:id="rId6706" display="https://statiz.sporki.com/player/?m=playerinfo&amp;p_no=2385" xr:uid="{75CC510D-AA65-4298-BEFA-2E27EC9EFCD7}"/>
    <hyperlink ref="B2237" r:id="rId6707" display="https://statiz.sporki.com/add/?m=draft_school01&amp;ps_school=50701" xr:uid="{4185AE43-2E10-45B3-903C-0421F015832C}"/>
    <hyperlink ref="C2237" r:id="rId6708" display="https://statiz.sporki.com/add/?m=draft_school02&amp;ps_school=60703" xr:uid="{97C42E14-A749-45E3-A9EE-73B31032584F}"/>
    <hyperlink ref="A2238" r:id="rId6709" display="https://statiz.sporki.com/player/?m=playerinfo&amp;p_no=10607" xr:uid="{F975CFC5-4238-4FA4-86E3-EE355B3DDA93}"/>
    <hyperlink ref="B2238" r:id="rId6710" display="https://statiz.sporki.com/add/?m=draft_school01&amp;ps_school=50402" xr:uid="{ACE01FA6-B088-4A41-8F9B-E86EEEC2B38F}"/>
    <hyperlink ref="C2238" r:id="rId6711" display="https://statiz.sporki.com/add/?m=draft_school02&amp;ps_school=" xr:uid="{05A61D66-5ABF-4CCF-B1C1-BA2603B7A6FD}"/>
    <hyperlink ref="A2239" r:id="rId6712" display="https://statiz.sporki.com/player/?m=playerinfo&amp;p_no=10300" xr:uid="{BD545B8A-0E9C-487D-B8EA-7D509C5A8CC5}"/>
    <hyperlink ref="B2239" r:id="rId6713" display="https://statiz.sporki.com/add/?m=draft_school01&amp;ps_school=50807" xr:uid="{2862F8BB-3E01-4A0F-B62B-2BA425AE4479}"/>
    <hyperlink ref="C2239" r:id="rId6714" display="https://statiz.sporki.com/add/?m=draft_school02&amp;ps_school=60704" xr:uid="{8376A44A-054D-4918-96DB-C6C7FF15ECD2}"/>
    <hyperlink ref="A2240" r:id="rId6715" display="https://statiz.sporki.com/player/?m=playerinfo&amp;p_no=10207" xr:uid="{5E6BAD5C-0C41-45FF-A2C8-9C09E0A8CD5E}"/>
    <hyperlink ref="B2240" r:id="rId6716" display="https://statiz.sporki.com/add/?m=draft_school01&amp;ps_school=50110" xr:uid="{EFB58238-CFB4-4368-B2FA-6B7625F82267}"/>
    <hyperlink ref="C2240" r:id="rId6717" display="https://statiz.sporki.com/add/?m=draft_school02&amp;ps_school=" xr:uid="{FB16AC2F-6CEC-4ACC-AEB8-8FE46536FA0B}"/>
    <hyperlink ref="A2241" r:id="rId6718" display="https://statiz.sporki.com/player/?m=playerinfo&amp;p_no=10655" xr:uid="{1C5D8146-7750-453E-BDED-406327E72DFD}"/>
    <hyperlink ref="B2241" r:id="rId6719" display="https://statiz.sporki.com/add/?m=draft_school01&amp;ps_school=50805" xr:uid="{1B8CE82C-7CE3-412E-A22B-836F994B9348}"/>
    <hyperlink ref="C2241" r:id="rId6720" display="https://statiz.sporki.com/add/?m=draft_school02&amp;ps_school=" xr:uid="{18EECD6D-2952-4AA7-89DF-CB89D7D66D92}"/>
    <hyperlink ref="A2242" r:id="rId6721" display="https://statiz.sporki.com/player/?m=playerinfo&amp;p_no=10602" xr:uid="{5C2A50D5-F2B8-4564-93B7-EE9BB3A2F2C5}"/>
    <hyperlink ref="B2242" r:id="rId6722" display="https://statiz.sporki.com/add/?m=draft_school01&amp;ps_school=50902" xr:uid="{217AE1A1-DDF6-465C-BB05-7A594212F3FE}"/>
    <hyperlink ref="C2242" r:id="rId6723" display="https://statiz.sporki.com/add/?m=draft_school02&amp;ps_school=60704" xr:uid="{B6B163D3-B78D-46D5-B183-FC0968AD6D2C}"/>
    <hyperlink ref="A2243" r:id="rId6724" display="https://statiz.sporki.com/player/?m=playerinfo&amp;p_no=10367" xr:uid="{2F6BE725-6F67-4FE8-91AD-8AECA516ABCA}"/>
    <hyperlink ref="B2243" r:id="rId6725" display="https://statiz.sporki.com/add/?m=draft_school01&amp;ps_school=50101" xr:uid="{C3F3019E-C813-4BF7-AD7B-68F4C4FC8CBD}"/>
    <hyperlink ref="C2243" r:id="rId6726" display="https://statiz.sporki.com/add/?m=draft_school02&amp;ps_school=60203" xr:uid="{2359CDE3-8155-4472-95CE-9FCC591F123E}"/>
    <hyperlink ref="A2244" r:id="rId6727" display="https://statiz.sporki.com/player/?m=playerinfo&amp;p_no=10061" xr:uid="{75D532B6-68C6-4A25-AA8C-C4641AE92418}"/>
    <hyperlink ref="B2244" r:id="rId6728" display="https://statiz.sporki.com/add/?m=draft_school01&amp;ps_school=50207" xr:uid="{6C8C6584-9AF3-4CFD-927A-724BE9D761AA}"/>
    <hyperlink ref="C2244" r:id="rId6729" display="https://statiz.sporki.com/add/?m=draft_school02&amp;ps_school=" xr:uid="{E5BBBBEC-6883-478A-80FC-7E1B5FF764DF}"/>
    <hyperlink ref="A2245" r:id="rId6730" display="https://statiz.sporki.com/player/?m=playerinfo&amp;p_no=10103" xr:uid="{AD9A2A3C-7D9B-4F71-A12B-D1A5CABD39D6}"/>
    <hyperlink ref="B2245" r:id="rId6731" display="https://statiz.sporki.com/add/?m=draft_school01&amp;ps_school=50805" xr:uid="{B67307FA-D2F0-4C7D-B0E8-9E89D9C2D9C1}"/>
    <hyperlink ref="C2245" r:id="rId6732" display="https://statiz.sporki.com/add/?m=draft_school02&amp;ps_school=60103" xr:uid="{4B4DF300-5C89-42B4-863C-AB9309322E0D}"/>
    <hyperlink ref="A2246" r:id="rId6733" display="https://statiz.sporki.com/player/?m=playerinfo&amp;p_no=10852" xr:uid="{FE074BBA-9D10-4033-8221-DB29A71A166B}"/>
    <hyperlink ref="B2246" r:id="rId6734" display="https://statiz.sporki.com/add/?m=draft_school01&amp;ps_school=50702" xr:uid="{F54AB92B-7044-46B3-A67E-201FEC1FFCB4}"/>
    <hyperlink ref="C2246" r:id="rId6735" display="https://statiz.sporki.com/add/?m=draft_school02&amp;ps_school=" xr:uid="{5C79B01E-31F2-4E1F-8A95-23B8DE03A57C}"/>
    <hyperlink ref="A2247" r:id="rId6736" display="https://statiz.sporki.com/player/?m=playerinfo&amp;p_no=10180" xr:uid="{553D14C8-CF92-442D-BD12-847A699923E7}"/>
    <hyperlink ref="B2247" r:id="rId6737" display="https://statiz.sporki.com/add/?m=draft_school01&amp;ps_school=50601" xr:uid="{45FD2F03-B7EC-40E7-9146-E42B344D0C32}"/>
    <hyperlink ref="C2247" r:id="rId6738" display="https://statiz.sporki.com/add/?m=draft_school02&amp;ps_school=" xr:uid="{DC2123B5-9B21-4520-B1BD-9BEFD8FBE141}"/>
    <hyperlink ref="A2248" r:id="rId6739" display="https://statiz.sporki.com/player/?m=playerinfo&amp;p_no=10380" xr:uid="{3590C65F-5575-4C71-9BDC-7E7A48A9E616}"/>
    <hyperlink ref="B2248" r:id="rId6740" display="https://statiz.sporki.com/add/?m=draft_school01&amp;ps_school=50705" xr:uid="{DDB833E4-071B-4042-AD63-C6C62E606C48}"/>
    <hyperlink ref="C2248" r:id="rId6741" display="https://statiz.sporki.com/add/?m=draft_school02&amp;ps_school=" xr:uid="{0623F0D9-7E1E-4BF4-BBAC-B08744B0B601}"/>
    <hyperlink ref="A2249" r:id="rId6742" display="https://statiz.sporki.com/player/?m=playerinfo&amp;p_no=2361" xr:uid="{F22E35FD-CC45-44D4-B9EB-1B11CC68F416}"/>
    <hyperlink ref="B2249" r:id="rId6743" display="https://statiz.sporki.com/add/?m=draft_school01&amp;ps_school=50301" xr:uid="{601833BA-B52F-4288-9487-21D7D6E0BE57}"/>
    <hyperlink ref="C2249" r:id="rId6744" display="https://statiz.sporki.com/add/?m=draft_school02&amp;ps_school=60501" xr:uid="{F9428D2C-96F6-4AA1-A95D-1594108B3BFA}"/>
    <hyperlink ref="A2250" r:id="rId6745" display="https://statiz.sporki.com/player/?m=playerinfo&amp;p_no=10561" xr:uid="{8015080B-69E7-4DD2-A8FF-A8ADFDA5B633}"/>
    <hyperlink ref="B2250" r:id="rId6746" display="https://statiz.sporki.com/add/?m=draft_school01&amp;ps_school=50805" xr:uid="{26340708-18BF-4584-9493-DC4E6B89FE7F}"/>
    <hyperlink ref="C2250" r:id="rId6747" display="https://statiz.sporki.com/add/?m=draft_school02&amp;ps_school=" xr:uid="{820BA753-2074-407F-BAE7-FF6B3889E4DC}"/>
    <hyperlink ref="A2251" r:id="rId6748" display="https://statiz.sporki.com/player/?m=playerinfo&amp;p_no=10067" xr:uid="{07C86D4D-D22A-4EE0-A17C-B0F240DA3CF2}"/>
    <hyperlink ref="B2251" r:id="rId6749" display="https://statiz.sporki.com/add/?m=draft_school01&amp;ps_school=50303" xr:uid="{0731D153-DBD3-4CF2-B455-23E347E345B4}"/>
    <hyperlink ref="C2251" r:id="rId6750" display="https://statiz.sporki.com/add/?m=draft_school02&amp;ps_school=" xr:uid="{8B01E213-3FEA-407A-A43E-9BAC294C945C}"/>
    <hyperlink ref="A2252" r:id="rId6751" display="https://statiz.sporki.com/player/?m=playerinfo&amp;p_no=2411" xr:uid="{1808787E-E176-46C3-97DF-E8E32A10C70F}"/>
    <hyperlink ref="B2252" r:id="rId6752" display="https://statiz.sporki.com/add/?m=draft_school01&amp;ps_school=50115" xr:uid="{F84C7DFF-75EE-44AC-BACE-B97167D1EA4E}"/>
    <hyperlink ref="C2252" r:id="rId6753" display="https://statiz.sporki.com/add/?m=draft_school02&amp;ps_school=" xr:uid="{80433360-D3A9-493A-B2DC-8A0CE36E9C9F}"/>
    <hyperlink ref="A2253" r:id="rId6754" display="https://statiz.sporki.com/player/?m=playerinfo&amp;p_no=10303" xr:uid="{8B005D50-ABCD-4819-B168-D5A14BCE283C}"/>
    <hyperlink ref="B2253" r:id="rId6755" display="https://statiz.sporki.com/add/?m=draft_school01&amp;ps_school=50102" xr:uid="{C3039FE2-C177-4A40-B668-82EF5749214A}"/>
    <hyperlink ref="C2253" r:id="rId6756" display="https://statiz.sporki.com/add/?m=draft_school02&amp;ps_school=60704" xr:uid="{04FC4F04-609D-4344-B981-14D4FC4DC13D}"/>
    <hyperlink ref="A2254" r:id="rId6757" display="https://statiz.sporki.com/player/?m=playerinfo&amp;p_no=14894" xr:uid="{5F9AC382-1F07-47AE-9F96-5E821D8D258B}"/>
    <hyperlink ref="B2254" r:id="rId6758" display="https://statiz.sporki.com/add/?m=draft_school01&amp;ps_school=50116" xr:uid="{00516F20-89A3-40BD-98EC-48C656AD7CD7}"/>
    <hyperlink ref="C2254" r:id="rId6759" display="https://statiz.sporki.com/add/?m=draft_school02&amp;ps_school=" xr:uid="{B2E21ABB-69A7-4106-825C-30EE956E3ADA}"/>
    <hyperlink ref="A2255" r:id="rId6760" display="https://statiz.sporki.com/player/?m=playerinfo&amp;p_no=10921" xr:uid="{BC610602-9321-46D7-91F7-7F6DAA930DA6}"/>
    <hyperlink ref="B2255" r:id="rId6761" display="https://statiz.sporki.com/add/?m=draft_school01&amp;ps_school=50803" xr:uid="{2D7D323D-D223-4F42-829C-2A9D630F91C4}"/>
    <hyperlink ref="C2255" r:id="rId6762" display="https://statiz.sporki.com/add/?m=draft_school02&amp;ps_school=60804" xr:uid="{EA007045-FC70-462E-BF4C-04018754245F}"/>
    <hyperlink ref="A2256" r:id="rId6763" display="https://statiz.sporki.com/player/?m=playerinfo&amp;p_no=10040" xr:uid="{55F97901-A6DD-4EB7-BE63-DCF725C8C648}"/>
    <hyperlink ref="B2256" r:id="rId6764" display="https://statiz.sporki.com/add/?m=draft_school01&amp;ps_school=50203" xr:uid="{7491157A-9274-474E-8B71-5B713394DAA9}"/>
    <hyperlink ref="C2256" r:id="rId6765" display="https://statiz.sporki.com/add/?m=draft_school02&amp;ps_school=60203" xr:uid="{844FEB39-57C2-4A34-AE43-E5C926F2B590}"/>
    <hyperlink ref="A2257" r:id="rId6766" display="https://statiz.sporki.com/player/?m=playerinfo&amp;p_no=10400" xr:uid="{32558EC7-EBCF-4EE4-A9B1-CABF2A6AC979}"/>
    <hyperlink ref="B2257" r:id="rId6767" display="https://statiz.sporki.com/add/?m=draft_school01&amp;ps_school=50207" xr:uid="{A5968F36-D0FA-4B0A-84FF-98EC0BD48318}"/>
    <hyperlink ref="C2257" r:id="rId6768" display="https://statiz.sporki.com/add/?m=draft_school02&amp;ps_school=" xr:uid="{10D9DF53-2239-472A-96D1-BEC9CE12CCC0}"/>
    <hyperlink ref="A2258" r:id="rId6769" display="https://statiz.sporki.com/player/?m=playerinfo&amp;p_no=10425" xr:uid="{3EFCBE05-7F28-445C-8998-12F507935652}"/>
    <hyperlink ref="B2258" r:id="rId6770" display="https://statiz.sporki.com/add/?m=draft_school01&amp;ps_school=50202" xr:uid="{0B86EEF0-71EF-4D5F-A077-5A26510DE3AD}"/>
    <hyperlink ref="C2258" r:id="rId6771" display="https://statiz.sporki.com/add/?m=draft_school02&amp;ps_school=60112" xr:uid="{502BD249-D2AA-4B02-80DF-5B26B309F80A}"/>
    <hyperlink ref="A2259" r:id="rId6772" display="https://statiz.sporki.com/player/?m=playerinfo&amp;p_no=10565" xr:uid="{9BAF1B9D-8AAF-46B4-98E7-36A00E72E0CA}"/>
    <hyperlink ref="B2259" r:id="rId6773" display="https://statiz.sporki.com/add/?m=draft_school01&amp;ps_school=50812" xr:uid="{D0FF3DA0-DB97-48DA-B0DD-152053CBF1A6}"/>
    <hyperlink ref="C2259" r:id="rId6774" display="https://statiz.sporki.com/add/?m=draft_school02&amp;ps_school=" xr:uid="{FC144B70-4094-45BB-9983-D640B5E6E2C8}"/>
    <hyperlink ref="A2260" r:id="rId6775" display="https://statiz.sporki.com/player/?m=playerinfo&amp;p_no=2400" xr:uid="{E1D63341-0DFA-4A23-B3B5-4649F825705A}"/>
    <hyperlink ref="B2260" r:id="rId6776" display="https://statiz.sporki.com/add/?m=draft_school01&amp;ps_school=50901" xr:uid="{109F146B-CE26-40E1-A65A-D3DAE2C51BEE}"/>
    <hyperlink ref="C2260" r:id="rId6777" display="https://statiz.sporki.com/add/?m=draft_school02&amp;ps_school=" xr:uid="{B84BA816-7E06-433A-A949-AEF8EB6F4B90}"/>
    <hyperlink ref="A2261" r:id="rId6778" display="https://statiz.sporki.com/player/?m=playerinfo&amp;p_no=2401" xr:uid="{75817071-7D08-4076-941B-3134B9C43C4F}"/>
    <hyperlink ref="B2261" r:id="rId6779" display="https://statiz.sporki.com/add/?m=draft_school01&amp;ps_school=50113" xr:uid="{F4D6495A-3CB0-465C-B55B-EDFA81CF2CA2}"/>
    <hyperlink ref="C2261" r:id="rId6780" display="https://statiz.sporki.com/add/?m=draft_school02&amp;ps_school=" xr:uid="{2F6A9DB1-3AC1-48D0-B54A-81CFC7635BB3}"/>
    <hyperlink ref="A2262" r:id="rId6781" display="https://statiz.sporki.com/player/?m=playerinfo&amp;p_no=10128" xr:uid="{F492C7C6-F106-429E-BAE0-6F806E32606A}"/>
    <hyperlink ref="B2262" r:id="rId6782" display="https://statiz.sporki.com/add/?m=draft_school01&amp;ps_school=50606" xr:uid="{694FC560-6D64-4B51-A03E-5AA8CDDC5819}"/>
    <hyperlink ref="C2262" r:id="rId6783" display="https://statiz.sporki.com/add/?m=draft_school02&amp;ps_school=" xr:uid="{6EF0C3B7-95FB-46BD-BA30-F3BD126D525C}"/>
    <hyperlink ref="A2263" r:id="rId6784" display="https://statiz.sporki.com/player/?m=playerinfo&amp;p_no=10709" xr:uid="{98CA2DC6-714A-4980-AB16-C89352F0D05A}"/>
    <hyperlink ref="B2263" r:id="rId6785" display="https://statiz.sporki.com/add/?m=draft_school01&amp;ps_school=50809" xr:uid="{470CBE61-BE4A-4F69-B2F4-007308484CDD}"/>
    <hyperlink ref="C2263" r:id="rId6786" display="https://statiz.sporki.com/add/?m=draft_school02&amp;ps_school=" xr:uid="{F3EE512A-E985-4A3C-B92C-AC0AEB5C74BE}"/>
    <hyperlink ref="A2264" r:id="rId6787" display="https://statiz.sporki.com/player/?m=playerinfo&amp;p_no=10832" xr:uid="{C3230E23-5222-46E7-BD83-C4789924E95D}"/>
    <hyperlink ref="B2264" r:id="rId6788" display="https://statiz.sporki.com/add/?m=draft_school01&amp;ps_school=50805" xr:uid="{834D7659-4DE9-4356-ABB2-2C7E7851FC13}"/>
    <hyperlink ref="C2264" r:id="rId6789" display="https://statiz.sporki.com/add/?m=draft_school02&amp;ps_school=60704" xr:uid="{FBCC4968-24B1-4A40-ADD8-26FE561E8F05}"/>
    <hyperlink ref="A2265" r:id="rId6790" display="https://statiz.sporki.com/player/?m=playerinfo&amp;p_no=11253" xr:uid="{B30C8DBA-9F5F-42B1-AE3A-CA79A2276A96}"/>
    <hyperlink ref="B2265" r:id="rId6791" display="https://statiz.sporki.com/add/?m=draft_school01&amp;ps_school=50403" xr:uid="{451A293F-88CD-4D29-9FB7-4248F0F40573}"/>
    <hyperlink ref="C2265" r:id="rId6792" display="https://statiz.sporki.com/add/?m=draft_school02&amp;ps_school=" xr:uid="{A2EAF821-447E-4165-BC3D-DC8B9172D502}"/>
    <hyperlink ref="A2266" r:id="rId6793" display="https://statiz.sporki.com/player/?m=playerinfo&amp;p_no=10347" xr:uid="{500E0940-836D-4483-99D7-759F52ABFDD8}"/>
    <hyperlink ref="B2266" r:id="rId6794" display="https://statiz.sporki.com/add/?m=draft_school01&amp;ps_school=50812" xr:uid="{50E7D86D-B791-44F4-A721-395369D614E9}"/>
    <hyperlink ref="C2266" r:id="rId6795" display="https://statiz.sporki.com/add/?m=draft_school02&amp;ps_school=60602" xr:uid="{B30A42C8-8E77-4E69-9782-E56D8A819801}"/>
    <hyperlink ref="A2267" r:id="rId6796" display="https://statiz.sporki.com/player/?m=playerinfo&amp;p_no=10448" xr:uid="{A76F63D2-16A2-46D8-87DF-FF48EBB0293C}"/>
    <hyperlink ref="B2267" r:id="rId6797" display="https://statiz.sporki.com/add/?m=draft_school01&amp;ps_school=50107" xr:uid="{169727EE-279A-4C6C-A7ED-0C4CAF1387C8}"/>
    <hyperlink ref="C2267" r:id="rId6798" display="https://statiz.sporki.com/add/?m=draft_school02&amp;ps_school=60106" xr:uid="{1E85EBFD-7EC2-4D09-8D0E-9158F52659A9}"/>
    <hyperlink ref="A2268" r:id="rId6799" display="https://statiz.sporki.com/player/?m=playerinfo&amp;p_no=10206" xr:uid="{33BAC614-5540-47D1-8F20-80D623F27F9F}"/>
    <hyperlink ref="B2268" r:id="rId6800" display="https://statiz.sporki.com/add/?m=draft_school01&amp;ps_school=50401" xr:uid="{5E94715F-D64A-4BFF-909C-92AD90E30C79}"/>
    <hyperlink ref="C2268" r:id="rId6801" display="https://statiz.sporki.com/add/?m=draft_school02&amp;ps_school=60113" xr:uid="{509C7993-B387-4585-8867-93EF37E85771}"/>
    <hyperlink ref="A2269" r:id="rId6802" display="https://statiz.sporki.com/player/?m=playerinfo&amp;p_no=10409" xr:uid="{8DD57CF3-9FEE-4572-B996-7A4793A9AB5A}"/>
    <hyperlink ref="B2269" r:id="rId6803" display="https://statiz.sporki.com/add/?m=draft_school01&amp;ps_school=50108" xr:uid="{1C645DBF-7788-4993-B1A1-ECA22F6AFA36}"/>
    <hyperlink ref="C2269" r:id="rId6804" display="https://statiz.sporki.com/add/?m=draft_school02&amp;ps_school=" xr:uid="{181C15AC-0C12-4DCB-9DBC-17AA0E03835B}"/>
    <hyperlink ref="A2270" r:id="rId6805" display="https://statiz.sporki.com/player/?m=playerinfo&amp;p_no=2343" xr:uid="{767CAE36-FF5C-4CEE-A39C-F121326B6108}"/>
    <hyperlink ref="B2270" r:id="rId6806" display="https://statiz.sporki.com/add/?m=draft_school01&amp;ps_school=50601" xr:uid="{CB26FAE5-476E-46DF-B9B7-01BF7BEF59F7}"/>
    <hyperlink ref="C2270" r:id="rId6807" display="https://statiz.sporki.com/add/?m=draft_school02&amp;ps_school=60108" xr:uid="{5803366C-F588-4349-8C05-F296F98C710B}"/>
    <hyperlink ref="A2271" r:id="rId6808" display="https://statiz.sporki.com/player/?m=playerinfo&amp;p_no=10540" xr:uid="{952BE907-76B4-4F67-BBD0-60F98E51AA9F}"/>
    <hyperlink ref="B2271" r:id="rId6809" display="https://statiz.sporki.com/add/?m=draft_school01&amp;ps_school=50301" xr:uid="{8122B145-9720-469A-B5EE-9FC27362F81E}"/>
    <hyperlink ref="C2271" r:id="rId6810" display="https://statiz.sporki.com/add/?m=draft_school02&amp;ps_school=60501" xr:uid="{C017E8A0-44BB-497B-95B6-15B653374B81}"/>
    <hyperlink ref="A2272" r:id="rId6811" display="https://statiz.sporki.com/player/?m=playerinfo&amp;p_no=10234" xr:uid="{B4F81CE4-B460-4C62-96D6-CC7DA2493712}"/>
    <hyperlink ref="B2272" r:id="rId6812" display="https://statiz.sporki.com/add/?m=draft_school01&amp;ps_school=50115" xr:uid="{3A8E32CD-CCA7-48D9-9F2B-054AD0D153FB}"/>
    <hyperlink ref="C2272" r:id="rId6813" display="https://statiz.sporki.com/add/?m=draft_school02&amp;ps_school=60804" xr:uid="{0FCAAA08-565A-4B84-A51F-7AA660AF2924}"/>
    <hyperlink ref="A2273" r:id="rId6814" display="https://statiz.sporki.com/player/?m=playerinfo&amp;p_no=10075" xr:uid="{E764847B-F5BB-449C-A713-09055A6F75FF}"/>
    <hyperlink ref="B2273" r:id="rId6815" display="https://statiz.sporki.com/add/?m=draft_school01&amp;ps_school=50804" xr:uid="{D99524CB-6C2A-40A4-9EB1-E4C60DCB96A8}"/>
    <hyperlink ref="C2273" r:id="rId6816" display="https://statiz.sporki.com/add/?m=draft_school02&amp;ps_school=" xr:uid="{0A78238C-A97F-4393-A194-D2D903CD0A61}"/>
    <hyperlink ref="A2274" r:id="rId6817" display="https://statiz.sporki.com/player/?m=playerinfo&amp;p_no=10588" xr:uid="{166B3E5B-9609-4303-B7CB-E7E9E9C102CA}"/>
    <hyperlink ref="B2274" r:id="rId6818" display="https://statiz.sporki.com/add/?m=draft_school01&amp;ps_school=50403" xr:uid="{590D3E48-1A56-491E-B52B-5AF8383E19EB}"/>
    <hyperlink ref="C2274" r:id="rId6819" display="https://statiz.sporki.com/add/?m=draft_school02&amp;ps_school=60704" xr:uid="{9710E14C-E30D-4BB7-9434-8B9610A0AC2A}"/>
    <hyperlink ref="A2275" r:id="rId6820" display="https://statiz.sporki.com/player/?m=playerinfo&amp;p_no=10841" xr:uid="{B4620DB3-2F42-4FB7-BC61-DBC0E07477FB}"/>
    <hyperlink ref="B2275" r:id="rId6821" display="https://statiz.sporki.com/add/?m=draft_school01&amp;ps_school=50804" xr:uid="{3513EC59-3ED0-4958-A1D6-FA38D191F45D}"/>
    <hyperlink ref="C2275" r:id="rId6822" display="https://statiz.sporki.com/add/?m=draft_school02&amp;ps_school=" xr:uid="{C71635C9-0E9E-4020-AF83-2CCF71A28265}"/>
    <hyperlink ref="A2276" r:id="rId6823" display="https://statiz.sporki.com/player/?m=playerinfo&amp;p_no=2372" xr:uid="{D8FA889F-736D-451C-A7BF-CCD01F0E11AC}"/>
    <hyperlink ref="B2276" r:id="rId6824" display="https://statiz.sporki.com/add/?m=draft_school01&amp;ps_school=50107" xr:uid="{3DD4DB52-3EF8-4315-B197-43B25C08373D}"/>
    <hyperlink ref="C2276" r:id="rId6825" display="https://statiz.sporki.com/add/?m=draft_school02&amp;ps_school=61002" xr:uid="{2A20FA96-88EF-485E-9CEC-BBBBEC10424F}"/>
    <hyperlink ref="A2277" r:id="rId6826" display="https://statiz.sporki.com/player/?m=playerinfo&amp;p_no=2357" xr:uid="{9E8A1051-E41F-43EC-95FF-01702FE24ED7}"/>
    <hyperlink ref="B2277" r:id="rId6827" display="https://statiz.sporki.com/add/?m=draft_school01&amp;ps_school=" xr:uid="{459A99C9-8927-4B25-A696-64879CE884BB}"/>
    <hyperlink ref="C2277" r:id="rId6828" display="https://statiz.sporki.com/add/?m=draft_school02&amp;ps_school=" xr:uid="{181FC655-104C-470D-BECF-80301FA6A1AA}"/>
    <hyperlink ref="A2278" r:id="rId6829" display="https://statiz.sporki.com/player/?m=playerinfo&amp;p_no=2354" xr:uid="{1ECCB2DC-A8C0-4C7C-89C2-DEF1B5B3B91C}"/>
    <hyperlink ref="B2278" r:id="rId6830" display="https://statiz.sporki.com/add/?m=draft_school01&amp;ps_school=" xr:uid="{803CF72E-B549-4315-A25F-195C8026A702}"/>
    <hyperlink ref="C2278" r:id="rId6831" display="https://statiz.sporki.com/add/?m=draft_school02&amp;ps_school=" xr:uid="{9697CC2F-A20A-4789-937E-4DB5AF9ABEB8}"/>
    <hyperlink ref="A2279" r:id="rId6832" display="https://statiz.sporki.com/player/?m=playerinfo&amp;p_no=10211" xr:uid="{191FF1AF-2E2B-43FF-8A8C-4A7885A1E990}"/>
    <hyperlink ref="B2279" r:id="rId6833" display="https://statiz.sporki.com/add/?m=draft_school01&amp;ps_school=" xr:uid="{E73264AC-5E13-424B-BB2F-51BC79FF9225}"/>
    <hyperlink ref="C2279" r:id="rId6834" display="https://statiz.sporki.com/add/?m=draft_school02&amp;ps_school=" xr:uid="{8211E4BD-5E24-45C5-B916-8CBE3C88222C}"/>
    <hyperlink ref="A2280" r:id="rId6835" display="https://statiz.sporki.com/player/?m=playerinfo&amp;p_no=2349" xr:uid="{0346D20F-9CDB-4C6F-9B37-736C65D69A7A}"/>
    <hyperlink ref="B2280" r:id="rId6836" display="https://statiz.sporki.com/add/?m=draft_school01&amp;ps_school=" xr:uid="{F997C363-60A4-4175-924C-38576C582148}"/>
    <hyperlink ref="C2280" r:id="rId6837" display="https://statiz.sporki.com/add/?m=draft_school02&amp;ps_school=" xr:uid="{5C1AB72B-0800-47DE-85CD-31AD81D0AEBA}"/>
    <hyperlink ref="A2281" r:id="rId6838" display="https://statiz.sporki.com/player/?m=playerinfo&amp;p_no=2366" xr:uid="{E3B7EEAB-DDF4-453A-81D9-20ADC529A7BA}"/>
    <hyperlink ref="B2281" r:id="rId6839" display="https://statiz.sporki.com/add/?m=draft_school01&amp;ps_school=" xr:uid="{63E2BE2F-1E73-460F-8945-A6A82E9BFDEA}"/>
    <hyperlink ref="C2281" r:id="rId6840" display="https://statiz.sporki.com/add/?m=draft_school02&amp;ps_school=" xr:uid="{70F0FA58-B0D1-4688-9DCB-E8EAE0F99B97}"/>
    <hyperlink ref="A2282" r:id="rId6841" display="https://statiz.sporki.com/player/?m=playerinfo&amp;p_no=2369" xr:uid="{858F0769-DBEE-483F-A42E-EB4424BC6955}"/>
    <hyperlink ref="B2282" r:id="rId6842" display="https://statiz.sporki.com/add/?m=draft_school01&amp;ps_school=" xr:uid="{36C8B74D-65BC-4EFA-AA76-286411F75E14}"/>
    <hyperlink ref="C2282" r:id="rId6843" display="https://statiz.sporki.com/add/?m=draft_school02&amp;ps_school=" xr:uid="{35E551B2-10E5-4516-844F-10498315D43D}"/>
    <hyperlink ref="A2283" r:id="rId6844" display="https://statiz.sporki.com/player/?m=playerinfo&amp;p_no=2358" xr:uid="{7C08BC65-0B9E-4103-9D3A-7360E34F5236}"/>
    <hyperlink ref="B2283" r:id="rId6845" display="https://statiz.sporki.com/add/?m=draft_school01&amp;ps_school=" xr:uid="{1FACAE0E-EEE2-4B01-94F3-72BD462C3AE0}"/>
    <hyperlink ref="C2283" r:id="rId6846" display="https://statiz.sporki.com/add/?m=draft_school02&amp;ps_school=" xr:uid="{D6131F75-8434-4835-B262-D37D825F6BE1}"/>
    <hyperlink ref="A2284" r:id="rId6847" display="https://statiz.sporki.com/player/?m=playerinfo&amp;p_no=2355" xr:uid="{269494F6-7DBD-4FCA-B706-C75E8D70B279}"/>
    <hyperlink ref="B2284" r:id="rId6848" display="https://statiz.sporki.com/add/?m=draft_school01&amp;ps_school=" xr:uid="{48BADF57-A138-4A5A-B979-0A7BB94EDCF0}"/>
    <hyperlink ref="C2284" r:id="rId6849" display="https://statiz.sporki.com/add/?m=draft_school02&amp;ps_school=" xr:uid="{7135C639-E3B0-4B0C-8B95-B4A06E4E080F}"/>
    <hyperlink ref="A2285" r:id="rId6850" display="https://statiz.sporki.com/player/?m=playerinfo&amp;p_no=2362" xr:uid="{B69B694E-3273-49B3-BD2E-350845014136}"/>
    <hyperlink ref="B2285" r:id="rId6851" display="https://statiz.sporki.com/add/?m=draft_school01&amp;ps_school=" xr:uid="{80A3584D-A12C-44AA-BE2E-3CF7C53C0EE3}"/>
    <hyperlink ref="C2285" r:id="rId6852" display="https://statiz.sporki.com/add/?m=draft_school02&amp;ps_school=" xr:uid="{67D01FE5-5708-4C2A-B910-EAFBC566843E}"/>
    <hyperlink ref="A2286" r:id="rId6853" display="https://statiz.sporki.com/player/?m=playerinfo&amp;p_no=2350" xr:uid="{C467DCA7-A0B4-4A24-8BF4-41C438A7DBAC}"/>
    <hyperlink ref="B2286" r:id="rId6854" display="https://statiz.sporki.com/add/?m=draft_school01&amp;ps_school=" xr:uid="{E6319B9A-16A0-480C-8C9E-2F8A58CA6123}"/>
    <hyperlink ref="C2286" r:id="rId6855" display="https://statiz.sporki.com/add/?m=draft_school02&amp;ps_school=" xr:uid="{F1FA7C56-00FA-4663-9A53-DF3D350890CB}"/>
    <hyperlink ref="A2287" r:id="rId6856" display="https://statiz.sporki.com/player/?m=playerinfo&amp;p_no=2371" xr:uid="{0318612E-99FE-4367-A276-5E50823308C5}"/>
    <hyperlink ref="B2287" r:id="rId6857" display="https://statiz.sporki.com/add/?m=draft_school01&amp;ps_school=" xr:uid="{1C4F8BC1-3519-405C-B66E-9C81328392D7}"/>
    <hyperlink ref="C2287" r:id="rId6858" display="https://statiz.sporki.com/add/?m=draft_school02&amp;ps_school=" xr:uid="{700419D4-D04F-4169-934A-7BADD5E0B62B}"/>
    <hyperlink ref="A2288" r:id="rId6859" display="https://statiz.sporki.com/player/?m=playerinfo&amp;p_no=2370" xr:uid="{D64389CF-E7A9-46C1-A10C-A656D980F28A}"/>
    <hyperlink ref="B2288" r:id="rId6860" display="https://statiz.sporki.com/add/?m=draft_school01&amp;ps_school=" xr:uid="{5310275B-E17A-4998-B092-6A164E4F6C28}"/>
    <hyperlink ref="C2288" r:id="rId6861" display="https://statiz.sporki.com/add/?m=draft_school02&amp;ps_school=" xr:uid="{125A43CA-46CA-4FF8-A82A-29F69C95EC5D}"/>
    <hyperlink ref="A2289" r:id="rId6862" display="https://statiz.sporki.com/player/?m=playerinfo&amp;p_no=2356" xr:uid="{96261FC2-3C04-47C7-ABD6-94431D5019C7}"/>
    <hyperlink ref="B2289" r:id="rId6863" display="https://statiz.sporki.com/add/?m=draft_school01&amp;ps_school=" xr:uid="{6940286E-16A6-43E8-A954-1A63BEE0CA7A}"/>
    <hyperlink ref="C2289" r:id="rId6864" display="https://statiz.sporki.com/add/?m=draft_school02&amp;ps_school=" xr:uid="{D427EA77-FED2-4163-B8DD-C2682C0BBD28}"/>
    <hyperlink ref="A2290" r:id="rId6865" display="https://statiz.sporki.com/player/?m=playerinfo&amp;p_no=2344" xr:uid="{324CA6D2-ED8F-4D6A-8156-31C447A7770C}"/>
    <hyperlink ref="B2290" r:id="rId6866" display="https://statiz.sporki.com/add/?m=draft_school01&amp;ps_school=" xr:uid="{B0D98542-4F35-4DB5-AD15-6392068B1BA9}"/>
    <hyperlink ref="C2290" r:id="rId6867" display="https://statiz.sporki.com/add/?m=draft_school02&amp;ps_school=" xr:uid="{02FE326B-3DC3-4D25-9074-CF24B7502071}"/>
    <hyperlink ref="A2291" r:id="rId6868" display="https://statiz.sporki.com/player/?m=playerinfo&amp;p_no=2368" xr:uid="{D827BEE0-E258-472E-B434-FA3AF587C3C0}"/>
    <hyperlink ref="B2291" r:id="rId6869" display="https://statiz.sporki.com/add/?m=draft_school01&amp;ps_school=" xr:uid="{2E76D88F-C62E-42F0-B418-321D33EC3592}"/>
    <hyperlink ref="C2291" r:id="rId6870" display="https://statiz.sporki.com/add/?m=draft_school02&amp;ps_school=" xr:uid="{1C9A4C5E-F058-42B4-BFC6-557A36DDC167}"/>
    <hyperlink ref="A2292" r:id="rId6871" display="https://statiz.sporki.com/player/?m=playerinfo&amp;p_no=14895" xr:uid="{E94F3635-839B-4376-AB14-3B1CDD5F7EB4}"/>
    <hyperlink ref="B2292" r:id="rId6872" display="https://statiz.sporki.com/add/?m=draft_school01&amp;ps_school=" xr:uid="{180E8FD8-17F1-48EB-AAFA-C0D0659B5964}"/>
    <hyperlink ref="C2292" r:id="rId6873" display="https://statiz.sporki.com/add/?m=draft_school02&amp;ps_school=" xr:uid="{D7218FE9-43FE-4BF9-9764-5E2E369EBCF2}"/>
    <hyperlink ref="A2293" r:id="rId6874" display="https://statiz.sporki.com/player/?m=playerinfo&amp;p_no=2342" xr:uid="{522736FF-A55A-4128-B8A8-7C38114C8B2B}"/>
    <hyperlink ref="B2293" r:id="rId6875" display="https://statiz.sporki.com/add/?m=draft_school01&amp;ps_school=" xr:uid="{3F24A83A-7A72-4CFF-B075-AA5F7398236A}"/>
    <hyperlink ref="C2293" r:id="rId6876" display="https://statiz.sporki.com/add/?m=draft_school02&amp;ps_school=" xr:uid="{DF41B5F4-B01A-40C3-86E1-620964B66907}"/>
    <hyperlink ref="A2294" r:id="rId6877" display="https://statiz.sporki.com/player/?m=playerinfo&amp;p_no=2397" xr:uid="{87E9E242-E072-45A8-91DD-87C3C88B6854}"/>
    <hyperlink ref="B2294" r:id="rId6878" display="https://statiz.sporki.com/add/?m=draft_school01&amp;ps_school=50201" xr:uid="{0856D4A0-12AD-4F96-82EC-9308CE25756D}"/>
    <hyperlink ref="C2294" r:id="rId6879" display="https://statiz.sporki.com/add/?m=draft_school02&amp;ps_school=" xr:uid="{C21FA505-1D30-453F-9761-B64FC4D6D8A8}"/>
    <hyperlink ref="A2295" r:id="rId6880" display="https://statiz.sporki.com/player/?m=playerinfo&amp;p_no=2345" xr:uid="{92960EF7-4D74-48CA-A333-9BFD5299F59D}"/>
    <hyperlink ref="B2295" r:id="rId6881" display="https://statiz.sporki.com/add/?m=draft_school01&amp;ps_school=50110" xr:uid="{9CF976D8-FE79-477E-8D31-1154494F88C9}"/>
    <hyperlink ref="C2295" r:id="rId6882" display="https://statiz.sporki.com/add/?m=draft_school02&amp;ps_school=60114" xr:uid="{C469517F-F8EB-4B69-8516-64A5ECAADCBA}"/>
    <hyperlink ref="A2296" r:id="rId6883" display="https://statiz.sporki.com/player/?m=playerinfo&amp;p_no=2339" xr:uid="{68314CB2-E782-4AD9-89F3-D9B2ED08DB18}"/>
    <hyperlink ref="B2296" r:id="rId6884" display="https://statiz.sporki.com/add/?m=draft_school01&amp;ps_school=50602" xr:uid="{A69F771C-9796-48D3-8084-4EE192245AF0}"/>
    <hyperlink ref="C2296" r:id="rId6885" display="https://statiz.sporki.com/add/?m=draft_school02&amp;ps_school=60602" xr:uid="{7FAF732E-4BFC-46C8-A661-5A981F0A962C}"/>
    <hyperlink ref="A2297" r:id="rId6886" display="https://statiz.sporki.com/player/?m=playerinfo&amp;p_no=2359" xr:uid="{F4A57490-18C3-43B8-AD6E-1C6E95F9ECDA}"/>
    <hyperlink ref="B2297" r:id="rId6887" display="https://statiz.sporki.com/add/?m=draft_school01&amp;ps_school=50303" xr:uid="{FDEE0D61-0085-49AC-8048-25C7BC1AB7CD}"/>
    <hyperlink ref="C2297" r:id="rId6888" display="https://statiz.sporki.com/add/?m=draft_school02&amp;ps_school=60703" xr:uid="{78E8DF4C-3971-41B6-A9A8-AA40D5D7B456}"/>
    <hyperlink ref="A2298" r:id="rId6889" display="https://statiz.sporki.com/player/?m=playerinfo&amp;p_no=2365" xr:uid="{542CA554-8E7F-457F-AC64-902ACFBBBE98}"/>
    <hyperlink ref="B2298" r:id="rId6890" display="https://statiz.sporki.com/add/?m=draft_school01&amp;ps_school=50110" xr:uid="{E5DBF4A7-B3A5-4E77-9A96-6DB3732468E1}"/>
    <hyperlink ref="C2298" r:id="rId6891" display="https://statiz.sporki.com/add/?m=draft_school02&amp;ps_school=60103" xr:uid="{F79EAECD-78C2-40D5-8BF3-AED8BE49111B}"/>
    <hyperlink ref="A2299" r:id="rId6892" display="https://statiz.sporki.com/player/?m=playerinfo&amp;p_no=11462" xr:uid="{112C04B7-2B0B-4B99-BAB5-2DC7E8F969A8}"/>
    <hyperlink ref="B2299" r:id="rId6893" display="https://statiz.sporki.com/add/?m=draft_school01&amp;ps_school=50201" xr:uid="{EA895F82-B1C9-4E90-A0EC-4809C4559EA0}"/>
    <hyperlink ref="C2299" r:id="rId6894" display="https://statiz.sporki.com/add/?m=draft_school02&amp;ps_school=" xr:uid="{EDD9E980-7EA6-49EB-A030-32A6C81ABAC8}"/>
    <hyperlink ref="A2300" r:id="rId6895" display="https://statiz.sporki.com/player/?m=playerinfo&amp;p_no=2363" xr:uid="{8A04EE01-C235-4FEA-A475-DD173C012729}"/>
    <hyperlink ref="B2300" r:id="rId6896" display="https://statiz.sporki.com/add/?m=draft_school01&amp;ps_school=50602" xr:uid="{5D5B534E-D5D3-4BCF-8D5E-1E42D2C0E401}"/>
    <hyperlink ref="C2300" r:id="rId6897" display="https://statiz.sporki.com/add/?m=draft_school02&amp;ps_school=60204" xr:uid="{5C739563-52C7-48B7-A481-247CD12BCDAB}"/>
    <hyperlink ref="A2301" r:id="rId6898" display="https://statiz.sporki.com/player/?m=playerinfo&amp;p_no=10004" xr:uid="{922C0370-31D5-4DBD-8B80-7223AB58FF20}"/>
    <hyperlink ref="B2301" r:id="rId6899" display="https://statiz.sporki.com/add/?m=draft_school01&amp;ps_school=50204" xr:uid="{6239FC29-D9D4-4857-A932-ABC360D66A9D}"/>
    <hyperlink ref="C2301" r:id="rId6900" display="https://statiz.sporki.com/add/?m=draft_school02&amp;ps_school=" xr:uid="{E513FC11-414F-47CA-B859-828B98ACA9B4}"/>
    <hyperlink ref="A2302" r:id="rId6901" display="https://statiz.sporki.com/player/?m=playerinfo&amp;p_no=2384" xr:uid="{7B6086B5-B63B-4A26-9445-4E11FFDFF33E}"/>
    <hyperlink ref="B2302" r:id="rId6902" display="https://statiz.sporki.com/add/?m=draft_school01&amp;ps_school=50113" xr:uid="{7C14C2FF-D48F-45E5-972D-885CE4F5EA21}"/>
    <hyperlink ref="C2302" r:id="rId6903" display="https://statiz.sporki.com/add/?m=draft_school02&amp;ps_school=" xr:uid="{D53276E7-DFEE-403C-BFB4-12E22A487FCD}"/>
    <hyperlink ref="A2303" r:id="rId6904" display="https://statiz.sporki.com/player/?m=playerinfo&amp;p_no=10577" xr:uid="{26A90D05-82BA-4E51-9EBE-26A6089DC085}"/>
    <hyperlink ref="B2303" r:id="rId6905" display="https://statiz.sporki.com/add/?m=draft_school01&amp;ps_school=50112" xr:uid="{B357DC24-3250-4175-AB5E-9D8BF5822F49}"/>
    <hyperlink ref="C2303" r:id="rId6906" display="https://statiz.sporki.com/add/?m=draft_school02&amp;ps_school=60203" xr:uid="{9A907A04-D306-4256-9B42-5262406C8A18}"/>
    <hyperlink ref="A2304" r:id="rId6907" display="https://statiz.sporki.com/player/?m=playerinfo&amp;p_no=10650" xr:uid="{4FB59F93-890D-4138-9A7B-AE2B5AC057CB}"/>
    <hyperlink ref="B2304" r:id="rId6908" display="https://statiz.sporki.com/add/?m=draft_school01&amp;ps_school=50601" xr:uid="{2DB9B953-CFC0-4D2C-B378-2F087E52FBCB}"/>
    <hyperlink ref="C2304" r:id="rId6909" display="https://statiz.sporki.com/add/?m=draft_school02&amp;ps_school=" xr:uid="{6B9E63BD-9DD4-4D47-BAFC-D5A2FFBF8C26}"/>
    <hyperlink ref="A2305" r:id="rId6910" display="https://statiz.sporki.com/player/?m=playerinfo&amp;p_no=10750" xr:uid="{7B16C8B8-7842-495A-84C6-1E94AA1F7185}"/>
    <hyperlink ref="B2305" r:id="rId6911" display="https://statiz.sporki.com/add/?m=draft_school01&amp;ps_school=50105" xr:uid="{F62DD399-72DA-46D2-8943-0E282F9639EF}"/>
    <hyperlink ref="C2305" r:id="rId6912" display="https://statiz.sporki.com/add/?m=draft_school02&amp;ps_school=" xr:uid="{DF652B0D-593B-449A-A9BC-81847FA29992}"/>
    <hyperlink ref="A2306" r:id="rId6913" display="https://statiz.sporki.com/player/?m=playerinfo&amp;p_no=2328" xr:uid="{0DFD7F7C-5FA7-444E-8C16-E2935198E29C}"/>
    <hyperlink ref="B2306" r:id="rId6914" display="https://statiz.sporki.com/add/?m=draft_school01&amp;ps_school=50206" xr:uid="{9D59765C-2DF2-47BE-83D3-E917CBB4652F}"/>
    <hyperlink ref="C2306" r:id="rId6915" display="https://statiz.sporki.com/add/?m=draft_school02&amp;ps_school=" xr:uid="{0ECF22DE-0CFC-4B9D-8A2C-272B1A920C68}"/>
    <hyperlink ref="A2307" r:id="rId6916" display="https://statiz.sporki.com/player/?m=playerinfo&amp;p_no=10174" xr:uid="{D9001B0B-72BF-480A-AA37-2A43B9443CC8}"/>
    <hyperlink ref="B2307" r:id="rId6917" display="https://statiz.sporki.com/add/?m=draft_school01&amp;ps_school=50112" xr:uid="{EA3AEE97-E791-4699-9DF4-14DB7770A6BC}"/>
    <hyperlink ref="C2307" r:id="rId6918" display="https://statiz.sporki.com/add/?m=draft_school02&amp;ps_school=" xr:uid="{3E637647-F7A5-432D-917D-E6B3C6CB6F4A}"/>
    <hyperlink ref="A2308" r:id="rId6919" display="https://statiz.sporki.com/player/?m=playerinfo&amp;p_no=10299" xr:uid="{1720C68D-71AC-4D12-A537-DDD861175DC0}"/>
    <hyperlink ref="B2308" r:id="rId6920" display="https://statiz.sporki.com/add/?m=draft_school01&amp;ps_school=50805" xr:uid="{4C1863A1-6C27-418A-BBB7-A71778D5FBFC}"/>
    <hyperlink ref="C2308" r:id="rId6921" display="https://statiz.sporki.com/add/?m=draft_school02&amp;ps_school=60704" xr:uid="{19D612C9-69EE-4FCF-ABBE-7DC9352E0D43}"/>
    <hyperlink ref="A2309" r:id="rId6922" display="https://statiz.sporki.com/player/?m=playerinfo&amp;p_no=10322" xr:uid="{82326CEC-CC7C-49C7-B4F1-5441AA9222AA}"/>
    <hyperlink ref="B2309" r:id="rId6923" display="https://statiz.sporki.com/add/?m=draft_school01&amp;ps_school=50703" xr:uid="{EA496C63-B15F-4438-BE82-99FC8F279BBE}"/>
    <hyperlink ref="C2309" r:id="rId6924" display="https://statiz.sporki.com/add/?m=draft_school02&amp;ps_school=60702" xr:uid="{43106E53-5710-4F03-842D-008A35FAEB34}"/>
    <hyperlink ref="A2310" r:id="rId6925" display="https://statiz.sporki.com/player/?m=playerinfo&amp;p_no=10671" xr:uid="{B615972B-27DB-4C64-99C9-43066832FDCB}"/>
    <hyperlink ref="B2310" r:id="rId6926" display="https://statiz.sporki.com/add/?m=draft_school01&amp;ps_school=50403" xr:uid="{A95D5A9E-B1B1-4D28-8158-D4F45C8B5A2E}"/>
    <hyperlink ref="C2310" r:id="rId6927" display="https://statiz.sporki.com/add/?m=draft_school02&amp;ps_school=" xr:uid="{4AEEEAA5-AC5F-4AA7-BEF4-8CF4D5C1ADC9}"/>
    <hyperlink ref="A2311" r:id="rId6928" display="https://statiz.sporki.com/player/?m=playerinfo&amp;p_no=10368" xr:uid="{746AC57F-8161-46BA-950F-8240ED155A7C}"/>
    <hyperlink ref="B2311" r:id="rId6929" display="https://statiz.sporki.com/add/?m=draft_school01&amp;ps_school=50801" xr:uid="{5F31348B-C532-410D-90F9-03F426BE76CD}"/>
    <hyperlink ref="C2311" r:id="rId6930" display="https://statiz.sporki.com/add/?m=draft_school02&amp;ps_school=60804" xr:uid="{775C5452-3842-420B-8D9D-B6ED0FD34B9C}"/>
    <hyperlink ref="A2312" r:id="rId6931" display="https://statiz.sporki.com/player/?m=playerinfo&amp;p_no=10273" xr:uid="{6E7A633C-C133-463A-BCDF-184734F14AF4}"/>
    <hyperlink ref="B2312" r:id="rId6932" display="https://statiz.sporki.com/add/?m=draft_school01&amp;ps_school=50606" xr:uid="{319286AF-4652-4F32-8092-9EFF181B6C70}"/>
    <hyperlink ref="C2312" r:id="rId6933" display="https://statiz.sporki.com/add/?m=draft_school02&amp;ps_school=60704" xr:uid="{ABA277A3-788B-407A-AEEE-ABE54F0776A7}"/>
    <hyperlink ref="A2313" r:id="rId6934" display="https://statiz.sporki.com/player/?m=playerinfo&amp;p_no=10598" xr:uid="{E60FD308-DFD2-4F99-AE28-BEAFAAC21171}"/>
    <hyperlink ref="B2313" r:id="rId6935" display="https://statiz.sporki.com/add/?m=draft_school01&amp;ps_school=50301" xr:uid="{16D53C9A-D806-430D-953C-D244891A347B}"/>
    <hyperlink ref="C2313" r:id="rId6936" display="https://statiz.sporki.com/add/?m=draft_school02&amp;ps_school=" xr:uid="{9BE21273-D141-46E5-B8FE-6BCB309296AD}"/>
    <hyperlink ref="A2314" r:id="rId6937" display="https://statiz.sporki.com/player/?m=playerinfo&amp;p_no=10145" xr:uid="{0312D297-F8FD-4900-85E5-EDF304BDCD4B}"/>
    <hyperlink ref="B2314" r:id="rId6938" display="https://statiz.sporki.com/add/?m=draft_school01&amp;ps_school=50109" xr:uid="{A8FC7887-C799-42C2-B2A3-DD7D260E8304}"/>
    <hyperlink ref="C2314" r:id="rId6939" display="https://statiz.sporki.com/add/?m=draft_school02&amp;ps_school=" xr:uid="{4C4E5D73-13E3-47E9-B100-FC060808875D}"/>
    <hyperlink ref="A2315" r:id="rId6940" display="https://statiz.sporki.com/player/?m=playerinfo&amp;p_no=2333" xr:uid="{4E9A7D76-E95B-438B-A4FD-44B627FBA9E9}"/>
    <hyperlink ref="B2315" r:id="rId6941" display="https://statiz.sporki.com/add/?m=draft_school01&amp;ps_school=50805" xr:uid="{5E03EDDE-0B31-4249-847F-0B6ABCF90B9C}"/>
    <hyperlink ref="C2315" r:id="rId6942" display="https://statiz.sporki.com/add/?m=draft_school02&amp;ps_school=" xr:uid="{9F19EF3E-3C0A-427A-9561-2A7E78371900}"/>
    <hyperlink ref="A2316" r:id="rId6943" display="https://statiz.sporki.com/player/?m=playerinfo&amp;p_no=10445" xr:uid="{B255EE4A-5315-4C7A-B88D-0E9D83CE6BEA}"/>
    <hyperlink ref="B2316" r:id="rId6944" display="https://statiz.sporki.com/add/?m=draft_school01&amp;ps_school=50113" xr:uid="{16E39D9E-AFBA-4F7E-A350-EB5BB879EDDA}"/>
    <hyperlink ref="C2316" r:id="rId6945" display="https://statiz.sporki.com/add/?m=draft_school02&amp;ps_school=" xr:uid="{26F4F3EB-DC4F-4AED-9FCD-B905B81A18B2}"/>
    <hyperlink ref="A2317" r:id="rId6946" display="https://statiz.sporki.com/player/?m=playerinfo&amp;p_no=10063" xr:uid="{EEB82E33-F881-4AE7-B56E-991D7AE4752A}"/>
    <hyperlink ref="B2317" r:id="rId6947" display="https://statiz.sporki.com/add/?m=draft_school01&amp;ps_school=50303" xr:uid="{609E486C-A7F1-4C92-B432-E7926FFB473D}"/>
    <hyperlink ref="C2317" r:id="rId6948" display="https://statiz.sporki.com/add/?m=draft_school02&amp;ps_school=60203" xr:uid="{496178AE-1822-43AF-B1AC-3CBD915067F5}"/>
    <hyperlink ref="A2318" r:id="rId6949" display="https://statiz.sporki.com/player/?m=playerinfo&amp;p_no=10496" xr:uid="{9D1B16BD-2CA6-4A43-BF20-C2758997BEC7}"/>
    <hyperlink ref="B2318" r:id="rId6950" display="https://statiz.sporki.com/add/?m=draft_school01&amp;ps_school=50601" xr:uid="{5788CB2F-B529-4B36-ADAA-69A3D29F6D9A}"/>
    <hyperlink ref="C2318" r:id="rId6951" display="https://statiz.sporki.com/add/?m=draft_school02&amp;ps_school=" xr:uid="{4AE37F80-F6BE-46C3-8F7C-2EEDCEC6E619}"/>
    <hyperlink ref="A2319" r:id="rId6952" display="https://statiz.sporki.com/player/?m=playerinfo&amp;p_no=10302" xr:uid="{B6C6B9AB-E777-4832-BE94-1C60C84F2C3C}"/>
    <hyperlink ref="B2319" r:id="rId6953" display="https://statiz.sporki.com/add/?m=draft_school01&amp;ps_school=50805" xr:uid="{AB00DF2C-681E-4CA5-B21A-DE83927C566F}"/>
    <hyperlink ref="C2319" r:id="rId6954" display="https://statiz.sporki.com/add/?m=draft_school02&amp;ps_school=" xr:uid="{3F715FF5-C1A9-4F39-9E16-A5DF2DA042C6}"/>
    <hyperlink ref="A2320" r:id="rId6955" display="https://statiz.sporki.com/player/?m=playerinfo&amp;p_no=10578" xr:uid="{A6638BF0-0254-4B88-BD2F-83064AF46BC4}"/>
    <hyperlink ref="B2320" r:id="rId6956" display="https://statiz.sporki.com/add/?m=draft_school01&amp;ps_school=50104" xr:uid="{E5B0C429-033C-45B9-A3B9-9D70EC475290}"/>
    <hyperlink ref="C2320" r:id="rId6957" display="https://statiz.sporki.com/add/?m=draft_school02&amp;ps_school=60403" xr:uid="{C4B2AE5C-499B-491C-8F33-1582F31986CB}"/>
    <hyperlink ref="A2321" r:id="rId6958" display="https://statiz.sporki.com/player/?m=playerinfo&amp;p_no=10156" xr:uid="{21E5833D-0F70-453E-86F7-AADF41EAC983}"/>
    <hyperlink ref="B2321" r:id="rId6959" display="https://statiz.sporki.com/add/?m=draft_school01&amp;ps_school=50804" xr:uid="{1A43FDFC-2927-492A-A6B5-56FC8F49C001}"/>
    <hyperlink ref="C2321" r:id="rId6960" display="https://statiz.sporki.com/add/?m=draft_school02&amp;ps_school=" xr:uid="{7DE3A13B-717C-432C-B081-0E68ADD68E0E}"/>
    <hyperlink ref="A2322" r:id="rId6961" display="https://statiz.sporki.com/player/?m=playerinfo&amp;p_no=2332" xr:uid="{58939ECA-540F-4207-8BDE-FDA92C5A1A4D}"/>
    <hyperlink ref="B2322" r:id="rId6962" display="https://statiz.sporki.com/add/?m=draft_school01&amp;ps_school=50102" xr:uid="{2DE53793-AD6C-4F8A-B356-5560AA381DA9}"/>
    <hyperlink ref="C2322" r:id="rId6963" display="https://statiz.sporki.com/add/?m=draft_school02&amp;ps_school=" xr:uid="{E7963EAA-1B9F-4DF4-9181-78BCAEA11FBD}"/>
    <hyperlink ref="A2323" r:id="rId6964" display="https://statiz.sporki.com/player/?m=playerinfo&amp;p_no=10682" xr:uid="{52E62F3C-6544-403C-95B4-B3873E734FE9}"/>
    <hyperlink ref="B2323" r:id="rId6965" display="https://statiz.sporki.com/add/?m=draft_school01&amp;ps_school=50609" xr:uid="{AD134489-F6DB-4DF6-8AB5-8BB78911BA6D}"/>
    <hyperlink ref="C2323" r:id="rId6966" display="https://statiz.sporki.com/add/?m=draft_school02&amp;ps_school=" xr:uid="{1EBB5190-3D42-4EA8-9FFF-4AC64FCF4B53}"/>
    <hyperlink ref="A2324" r:id="rId6967" display="https://statiz.sporki.com/player/?m=playerinfo&amp;p_no=11112" xr:uid="{AB9050FC-432B-45F4-AB65-A28C8293C8F1}"/>
    <hyperlink ref="B2324" r:id="rId6968" display="https://statiz.sporki.com/add/?m=draft_school01&amp;ps_school=50805" xr:uid="{86ADE768-DB7A-4F02-99D5-11FC9FCD5D4E}"/>
    <hyperlink ref="C2324" r:id="rId6969" display="https://statiz.sporki.com/add/?m=draft_school02&amp;ps_school=" xr:uid="{9D070A52-4D00-4BFD-B6AA-AED02C0ACE68}"/>
    <hyperlink ref="A2325" r:id="rId6970" display="https://statiz.sporki.com/player/?m=playerinfo&amp;p_no=10035" xr:uid="{5BDECA02-761A-4073-8650-7116B469EF3A}"/>
    <hyperlink ref="B2325" r:id="rId6971" display="https://statiz.sporki.com/add/?m=draft_school01&amp;ps_school=50104" xr:uid="{A7271F1E-D7F2-45B6-ABA1-A599CF5D1A0D}"/>
    <hyperlink ref="C2325" r:id="rId6972" display="https://statiz.sporki.com/add/?m=draft_school02&amp;ps_school=" xr:uid="{13532B09-227F-45F1-AA46-3743DE04F00B}"/>
    <hyperlink ref="A2326" r:id="rId6973" display="https://statiz.sporki.com/player/?m=playerinfo&amp;p_no=10311" xr:uid="{43A83AB5-14C1-4BC3-9D0B-35DC7518B388}"/>
    <hyperlink ref="B2326" r:id="rId6974" display="https://statiz.sporki.com/add/?m=draft_school01&amp;ps_school=50111" xr:uid="{0C789709-90A2-4A03-B3EE-0F2BAC2D8885}"/>
    <hyperlink ref="C2326" r:id="rId6975" display="https://statiz.sporki.com/add/?m=draft_school02&amp;ps_school=60802" xr:uid="{0C646EF9-15E7-4C4C-9D6C-E20018E8971D}"/>
    <hyperlink ref="A2327" r:id="rId6976" display="https://statiz.sporki.com/player/?m=playerinfo&amp;p_no=10232" xr:uid="{DCB2F1E0-22FE-4864-B354-777BB54DA99C}"/>
    <hyperlink ref="B2327" r:id="rId6977" display="https://statiz.sporki.com/add/?m=draft_school01&amp;ps_school=50706" xr:uid="{D668508E-BDF1-4228-998A-638ACA853917}"/>
    <hyperlink ref="C2327" r:id="rId6978" display="https://statiz.sporki.com/add/?m=draft_school02&amp;ps_school=60202" xr:uid="{4344B24D-8FAE-4279-9D5B-DDE9C886332C}"/>
    <hyperlink ref="A2328" r:id="rId6979" display="https://statiz.sporki.com/player/?m=playerinfo&amp;p_no=10541" xr:uid="{4D8FF1F7-A4EB-4DC2-AA88-1FF83643A60A}"/>
    <hyperlink ref="B2328" r:id="rId6980" display="https://statiz.sporki.com/add/?m=draft_school01&amp;ps_school=50401" xr:uid="{5F47E26B-F857-4D8C-B988-49545B26E877}"/>
    <hyperlink ref="C2328" r:id="rId6981" display="https://statiz.sporki.com/add/?m=draft_school02&amp;ps_school=60401" xr:uid="{D21F820A-E647-451E-A716-AA08BDAC7FB0}"/>
    <hyperlink ref="A2329" r:id="rId6982" display="https://statiz.sporki.com/player/?m=playerinfo&amp;p_no=10160" xr:uid="{3C6F6627-6479-4DF7-A485-AA7C677BCDAD}"/>
    <hyperlink ref="B2329" r:id="rId6983" display="https://statiz.sporki.com/add/?m=draft_school01&amp;ps_school=50401" xr:uid="{D5FD9B24-E33A-404C-99BF-46178AB220CC}"/>
    <hyperlink ref="C2329" r:id="rId6984" display="https://statiz.sporki.com/add/?m=draft_school02&amp;ps_school=" xr:uid="{C0C1BA3C-C23F-4678-B64B-57BD780262ED}"/>
    <hyperlink ref="A2330" r:id="rId6985" display="https://statiz.sporki.com/player/?m=playerinfo&amp;p_no=10644" xr:uid="{78CACF30-3F32-47EE-B1C9-1E4A1CBC72D8}"/>
    <hyperlink ref="B2330" r:id="rId6986" display="https://statiz.sporki.com/add/?m=draft_school01&amp;ps_school=50201" xr:uid="{4B54E791-FA17-49D8-BDB9-D7F076B0494A}"/>
    <hyperlink ref="C2330" r:id="rId6987" display="https://statiz.sporki.com/add/?m=draft_school02&amp;ps_school=" xr:uid="{0DBFF4F7-3F96-4A49-984D-4524B1C8C3D0}"/>
    <hyperlink ref="A2331" r:id="rId6988" display="https://statiz.sporki.com/player/?m=playerinfo&amp;p_no=10765" xr:uid="{C24E3EA9-1BF9-4CFC-8F33-50F7A0B99E18}"/>
    <hyperlink ref="B2331" r:id="rId6989" display="https://statiz.sporki.com/add/?m=draft_school01&amp;ps_school=50605" xr:uid="{F36096EE-7E94-410A-A657-CE4C94E8F985}"/>
    <hyperlink ref="C2331" r:id="rId6990" display="https://statiz.sporki.com/add/?m=draft_school02&amp;ps_school=" xr:uid="{3BD2F1DB-87C2-46C9-9AEA-CF1A64FCABFE}"/>
    <hyperlink ref="A2332" r:id="rId6991" display="https://statiz.sporki.com/player/?m=playerinfo&amp;p_no=10805" xr:uid="{44AE5EFB-2D43-4016-94DF-195EB6375120}"/>
    <hyperlink ref="B2332" r:id="rId6992" display="https://statiz.sporki.com/add/?m=draft_school01&amp;ps_school=50604" xr:uid="{FD392732-0A04-4C85-8021-3F9B1D5137F9}"/>
    <hyperlink ref="C2332" r:id="rId6993" display="https://statiz.sporki.com/add/?m=draft_school02&amp;ps_school=" xr:uid="{D1328833-1DB0-4B3E-BCED-FE21AC46E1AF}"/>
    <hyperlink ref="A2333" r:id="rId6994" display="https://statiz.sporki.com/player/?m=playerinfo&amp;p_no=2308" xr:uid="{09636025-E46F-448D-8C31-81317D792E8C}"/>
    <hyperlink ref="B2333" r:id="rId6995" display="https://statiz.sporki.com/add/?m=draft_school01&amp;ps_school=50303" xr:uid="{E7FDDBC6-90DF-4C6C-B284-96C07039E911}"/>
    <hyperlink ref="C2333" r:id="rId6996" display="https://statiz.sporki.com/add/?m=draft_school02&amp;ps_school=" xr:uid="{0263BA08-8643-4BF0-8A6F-5B5A15567C92}"/>
    <hyperlink ref="A2334" r:id="rId6997" display="https://statiz.sporki.com/player/?m=playerinfo&amp;p_no=10614" xr:uid="{BD388898-EEF1-4686-9E04-453F8EE6E57B}"/>
    <hyperlink ref="B2334" r:id="rId6998" display="https://statiz.sporki.com/add/?m=draft_school01&amp;ps_school=50206" xr:uid="{AF8AF9B3-CA07-4BF1-9E35-DD3DF7C109EE}"/>
    <hyperlink ref="C2334" r:id="rId6999" display="https://statiz.sporki.com/add/?m=draft_school02&amp;ps_school=" xr:uid="{6EB63D2C-831A-4B71-804C-5AD0653E3A83}"/>
    <hyperlink ref="A2335" r:id="rId7000" display="https://statiz.sporki.com/player/?m=playerinfo&amp;p_no=2364" xr:uid="{021B1726-CCE6-4443-9997-AEF07C7568EF}"/>
    <hyperlink ref="B2335" r:id="rId7001" display="https://statiz.sporki.com/add/?m=draft_school01&amp;ps_school=50701" xr:uid="{875B2FA6-F8F2-4241-B0CB-7E72E76FAC42}"/>
    <hyperlink ref="C2335" r:id="rId7002" display="https://statiz.sporki.com/add/?m=draft_school02&amp;ps_school=" xr:uid="{7BB38EA3-A6CC-4771-88BC-46D96DC76650}"/>
    <hyperlink ref="A2336" r:id="rId7003" display="https://statiz.sporki.com/player/?m=playerinfo&amp;p_no=2421" xr:uid="{99277A00-C4D9-4D62-8EC2-38D09525B10C}"/>
    <hyperlink ref="B2336" r:id="rId7004" display="https://statiz.sporki.com/add/?m=draft_school01&amp;ps_school=50602" xr:uid="{F363FE51-3654-41D8-9691-5E3EAF5FF69F}"/>
    <hyperlink ref="C2336" r:id="rId7005" display="https://statiz.sporki.com/add/?m=draft_school02&amp;ps_school=" xr:uid="{FA6D78F8-8C5C-43CB-9B9B-48FE1EE7D0B3}"/>
    <hyperlink ref="A2337" r:id="rId7006" display="https://statiz.sporki.com/player/?m=playerinfo&amp;p_no=10064" xr:uid="{269B5B4E-C95E-4726-8696-0B21CC65F030}"/>
    <hyperlink ref="B2337" r:id="rId7007" display="https://statiz.sporki.com/add/?m=draft_school01&amp;ps_school=50702" xr:uid="{F1BE42C7-4A0D-4AF0-8BA9-33413D19B247}"/>
    <hyperlink ref="C2337" r:id="rId7008" display="https://statiz.sporki.com/add/?m=draft_school02&amp;ps_school=60802" xr:uid="{0D5EAC00-19E2-4388-A463-D14382C1E35F}"/>
    <hyperlink ref="A2338" r:id="rId7009" display="https://statiz.sporki.com/player/?m=playerinfo&amp;p_no=10654" xr:uid="{C0CF0877-B87B-4BBB-AB35-E8EEB5367614}"/>
    <hyperlink ref="B2338" r:id="rId7010" display="https://statiz.sporki.com/add/?m=draft_school01&amp;ps_school=50116" xr:uid="{89F6F407-2CC7-42E6-883E-32E45F354789}"/>
    <hyperlink ref="C2338" r:id="rId7011" display="https://statiz.sporki.com/add/?m=draft_school02&amp;ps_school=60106" xr:uid="{C6965047-E8E7-42F6-AE05-658B3BE95CE6}"/>
    <hyperlink ref="A2339" r:id="rId7012" display="https://statiz.sporki.com/player/?m=playerinfo&amp;p_no=10294" xr:uid="{77D2268D-AA6C-4781-92C0-01C2D89D71D0}"/>
    <hyperlink ref="B2339" r:id="rId7013" display="https://statiz.sporki.com/add/?m=draft_school01&amp;ps_school=50104" xr:uid="{21391FE9-FCB6-4F0C-9AB3-E4FF8CE4A8D0}"/>
    <hyperlink ref="C2339" r:id="rId7014" display="https://statiz.sporki.com/add/?m=draft_school02&amp;ps_school=60704" xr:uid="{B0C733F3-83CF-4C64-B594-361E470D7479}"/>
    <hyperlink ref="A2340" r:id="rId7015" display="https://statiz.sporki.com/player/?m=playerinfo&amp;p_no=10120" xr:uid="{82314979-1920-43F0-983D-CDD118EE74A6}"/>
    <hyperlink ref="B2340" r:id="rId7016" display="https://statiz.sporki.com/add/?m=draft_school01&amp;ps_school=50110" xr:uid="{66123A21-6A13-4CDF-BD99-F329591B5031}"/>
    <hyperlink ref="C2340" r:id="rId7017" display="https://statiz.sporki.com/add/?m=draft_school02&amp;ps_school=" xr:uid="{C00E3BAD-CA6B-448B-88DF-49705E619B77}"/>
    <hyperlink ref="A2341" r:id="rId7018" display="https://statiz.sporki.com/player/?m=playerinfo&amp;p_no=11461" xr:uid="{3E8E81EF-CBD2-4D45-AA80-A64812E29438}"/>
    <hyperlink ref="B2341" r:id="rId7019" display="https://statiz.sporki.com/add/?m=draft_school01&amp;ps_school=50701" xr:uid="{5FAA9F7D-1773-4CFB-8177-C5D175B11EC5}"/>
    <hyperlink ref="C2341" r:id="rId7020" display="https://statiz.sporki.com/add/?m=draft_school02&amp;ps_school=" xr:uid="{1F343E48-EB33-4472-B932-C2F30CE3E255}"/>
    <hyperlink ref="A2342" r:id="rId7021" display="https://statiz.sporki.com/player/?m=playerinfo&amp;p_no=10786" xr:uid="{7903390F-F87F-4F6F-82AB-D317105FADA9}"/>
    <hyperlink ref="B2342" r:id="rId7022" display="https://statiz.sporki.com/add/?m=draft_school01&amp;ps_school=50602" xr:uid="{C2F10AA0-63B5-4867-AFC8-63EFA86EB9F0}"/>
    <hyperlink ref="C2342" r:id="rId7023" display="https://statiz.sporki.com/add/?m=draft_school02&amp;ps_school=" xr:uid="{B0C0C1A3-F574-42C8-B2C3-5A1785C664BA}"/>
    <hyperlink ref="A2343" r:id="rId7024" display="https://statiz.sporki.com/player/?m=playerinfo&amp;p_no=10383" xr:uid="{535E5BF6-3A65-40D5-B011-25406F72EC11}"/>
    <hyperlink ref="B2343" r:id="rId7025" display="https://statiz.sporki.com/add/?m=draft_school01&amp;ps_school=50501" xr:uid="{5439877F-86E1-495E-8168-7BB19AE7469A}"/>
    <hyperlink ref="C2343" r:id="rId7026" display="https://statiz.sporki.com/add/?m=draft_school02&amp;ps_school=" xr:uid="{216E908A-06FF-4625-BAAC-538EF6530401}"/>
    <hyperlink ref="A2344" r:id="rId7027" display="https://statiz.sporki.com/player/?m=playerinfo&amp;p_no=10306" xr:uid="{BFBE0073-D76E-43EA-8DE2-DACFBE123678}"/>
    <hyperlink ref="B2344" r:id="rId7028" display="https://statiz.sporki.com/add/?m=draft_school01&amp;ps_school=50807" xr:uid="{A1776278-C2A4-4DEA-A9E7-94CFB2A6855E}"/>
    <hyperlink ref="C2344" r:id="rId7029" display="https://statiz.sporki.com/add/?m=draft_school02&amp;ps_school=" xr:uid="{D6AAC693-A013-4AEE-AEE6-5D81C7EA487C}"/>
    <hyperlink ref="A2345" r:id="rId7030" display="https://statiz.sporki.com/player/?m=playerinfo&amp;p_no=11166" xr:uid="{232A9E7E-44E7-4D65-A884-81CB5B554944}"/>
    <hyperlink ref="B2345" r:id="rId7031" display="https://statiz.sporki.com/add/?m=draft_school01&amp;ps_school=50204" xr:uid="{99793667-A731-4EE0-99BD-AFD2B0C5BEEF}"/>
    <hyperlink ref="C2345" r:id="rId7032" display="https://statiz.sporki.com/add/?m=draft_school02&amp;ps_school=" xr:uid="{6BF463AF-D6D0-435B-9F88-A2E3BFBFBC05}"/>
    <hyperlink ref="A2346" r:id="rId7033" display="https://statiz.sporki.com/player/?m=playerinfo&amp;p_no=2324" xr:uid="{FCBAD7ED-A5E7-427C-828B-EF79A1CBAC0E}"/>
    <hyperlink ref="B2346" r:id="rId7034" display="https://statiz.sporki.com/add/?m=draft_school01&amp;ps_school=50105" xr:uid="{F8CD763C-42F7-4197-B383-1F34E4F41F5A}"/>
    <hyperlink ref="C2346" r:id="rId7035" display="https://statiz.sporki.com/add/?m=draft_school02&amp;ps_school=61002" xr:uid="{9D782463-C32D-4543-93E6-02A5C15C4546}"/>
    <hyperlink ref="A2347" r:id="rId7036" display="https://statiz.sporki.com/player/?m=playerinfo&amp;p_no=2327" xr:uid="{0EBFBFA4-EAD7-4D31-AE71-A46E17244EF5}"/>
    <hyperlink ref="B2347" r:id="rId7037" display="https://statiz.sporki.com/add/?m=draft_school01&amp;ps_school=50601" xr:uid="{9D724947-1811-4EE5-96C7-08BD49B5C8EE}"/>
    <hyperlink ref="C2347" r:id="rId7038" display="https://statiz.sporki.com/add/?m=draft_school02&amp;ps_school=60108" xr:uid="{5D7CFE91-3BF7-44A2-98FB-CE900A48197D}"/>
    <hyperlink ref="A2348" r:id="rId7039" display="https://statiz.sporki.com/player/?m=playerinfo&amp;p_no=10776" xr:uid="{EF32D422-CE87-46A7-A820-516934E67DF7}"/>
    <hyperlink ref="B2348" r:id="rId7040" display="https://statiz.sporki.com/add/?m=draft_school01&amp;ps_school=50203" xr:uid="{790C8307-48E1-4B99-94C1-03455839C26E}"/>
    <hyperlink ref="C2348" r:id="rId7041" display="https://statiz.sporki.com/add/?m=draft_school02&amp;ps_school=" xr:uid="{2D285D11-FD0D-47F4-A6AD-CA4D86FD62D4}"/>
    <hyperlink ref="A2349" r:id="rId7042" display="https://statiz.sporki.com/player/?m=playerinfo&amp;p_no=11132" xr:uid="{83C3A5A4-EEF0-4EC2-8DC4-0B3819EBA001}"/>
    <hyperlink ref="B2349" r:id="rId7043" display="https://statiz.sporki.com/add/?m=draft_school01&amp;ps_school=50109" xr:uid="{3F54F507-9693-47EA-AD81-B393603CF779}"/>
    <hyperlink ref="C2349" r:id="rId7044" display="https://statiz.sporki.com/add/?m=draft_school02&amp;ps_school=" xr:uid="{7CC64CB2-9F3C-44B0-86CA-C1721489244D}"/>
    <hyperlink ref="A2350" r:id="rId7045" display="https://statiz.sporki.com/player/?m=playerinfo&amp;p_no=10166" xr:uid="{E8DACAE3-CDEE-49BF-81DB-2EA2D5BEFB82}"/>
    <hyperlink ref="B2350" r:id="rId7046" display="https://statiz.sporki.com/add/?m=draft_school01&amp;ps_school=50705" xr:uid="{C8E43D52-0092-4458-9289-445745759475}"/>
    <hyperlink ref="C2350" r:id="rId7047" display="https://statiz.sporki.com/add/?m=draft_school02&amp;ps_school=60803" xr:uid="{29A4A5D2-BB9F-42AA-85B8-CD1C2B351340}"/>
    <hyperlink ref="A2351" r:id="rId7048" display="https://statiz.sporki.com/player/?m=playerinfo&amp;p_no=10802" xr:uid="{836AAC00-90A2-4265-8FAB-B5E990C8596B}"/>
    <hyperlink ref="B2351" r:id="rId7049" display="https://statiz.sporki.com/add/?m=draft_school01&amp;ps_school=50104" xr:uid="{7FFB97AB-E39B-4779-8497-454545E30CC2}"/>
    <hyperlink ref="C2351" r:id="rId7050" display="https://statiz.sporki.com/add/?m=draft_school02&amp;ps_school=" xr:uid="{D1FF70CF-2CC5-4A5A-A7A4-4156C8EAEDA9}"/>
    <hyperlink ref="A2352" r:id="rId7051" display="https://statiz.sporki.com/player/?m=playerinfo&amp;p_no=2323" xr:uid="{5CF2F982-E148-4F56-BBDE-C4E3D4DFAA53}"/>
    <hyperlink ref="B2352" r:id="rId7052" display="https://statiz.sporki.com/add/?m=draft_school01&amp;ps_school=50702" xr:uid="{E8B68009-6BB1-4E80-AAD9-DDA7F4D3BEC0}"/>
    <hyperlink ref="C2352" r:id="rId7053" display="https://statiz.sporki.com/add/?m=draft_school02&amp;ps_school=" xr:uid="{5F9B38FF-5DB2-4BF3-8324-9E164AEFAC45}"/>
    <hyperlink ref="A2353" r:id="rId7054" display="https://statiz.sporki.com/player/?m=playerinfo&amp;p_no=2326" xr:uid="{E1CB9D38-1372-43C9-A510-15E55AC85FD3}"/>
    <hyperlink ref="B2353" r:id="rId7055" display="https://statiz.sporki.com/add/?m=draft_school01&amp;ps_school=" xr:uid="{A90D918D-53E5-42FD-B56C-0BCD4AF01D4F}"/>
    <hyperlink ref="C2353" r:id="rId7056" display="https://statiz.sporki.com/add/?m=draft_school02&amp;ps_school=" xr:uid="{7379A8A6-9622-4BE3-A068-118582BFA0A3}"/>
    <hyperlink ref="A2354" r:id="rId7057" display="https://statiz.sporki.com/player/?m=playerinfo&amp;p_no=2335" xr:uid="{A31B1358-5EF7-4571-A8E3-674F68A39B61}"/>
    <hyperlink ref="B2354" r:id="rId7058" display="https://statiz.sporki.com/add/?m=draft_school01&amp;ps_school=" xr:uid="{016ECC3C-68F1-4449-B318-333739A60A88}"/>
    <hyperlink ref="C2354" r:id="rId7059" display="https://statiz.sporki.com/add/?m=draft_school02&amp;ps_school=" xr:uid="{35F4E72C-C7F8-4026-AE5B-61E9502527E5}"/>
    <hyperlink ref="A2355" r:id="rId7060" display="https://statiz.sporki.com/player/?m=playerinfo&amp;p_no=2338" xr:uid="{9B6621F5-67F6-4E3E-9A34-36212C680638}"/>
    <hyperlink ref="B2355" r:id="rId7061" display="https://statiz.sporki.com/add/?m=draft_school01&amp;ps_school=" xr:uid="{2376F346-54DB-407C-9D07-548E742641F7}"/>
    <hyperlink ref="C2355" r:id="rId7062" display="https://statiz.sporki.com/add/?m=draft_school02&amp;ps_school=" xr:uid="{DC812FE0-CE91-4E2F-9663-4E197B6FE23E}"/>
    <hyperlink ref="A2356" r:id="rId7063" display="https://statiz.sporki.com/player/?m=playerinfo&amp;p_no=2334" xr:uid="{D4464190-31D6-4688-AF1D-F888DE74F303}"/>
    <hyperlink ref="B2356" r:id="rId7064" display="https://statiz.sporki.com/add/?m=draft_school01&amp;ps_school=" xr:uid="{529792C6-5871-412D-B85B-83CFAF36D32E}"/>
    <hyperlink ref="C2356" r:id="rId7065" display="https://statiz.sporki.com/add/?m=draft_school02&amp;ps_school=" xr:uid="{4E4110DE-3F18-42D9-98C5-D2BD03FC1D9F}"/>
    <hyperlink ref="A2357" r:id="rId7066" display="https://statiz.sporki.com/player/?m=playerinfo&amp;p_no=2309" xr:uid="{0AB604A8-9481-4AB8-987A-405BBCE8D56A}"/>
    <hyperlink ref="B2357" r:id="rId7067" display="https://statiz.sporki.com/add/?m=draft_school01&amp;ps_school=" xr:uid="{6CA3A705-DC7C-4AE4-87AE-0A9A2080E10B}"/>
    <hyperlink ref="C2357" r:id="rId7068" display="https://statiz.sporki.com/add/?m=draft_school02&amp;ps_school=" xr:uid="{1905AAF7-B076-479A-ADD8-366BCE0EF39E}"/>
    <hyperlink ref="A2358" r:id="rId7069" display="https://statiz.sporki.com/player/?m=playerinfo&amp;p_no=2315" xr:uid="{C615643B-B058-462A-8C11-CA73337D565E}"/>
    <hyperlink ref="B2358" r:id="rId7070" display="https://statiz.sporki.com/add/?m=draft_school01&amp;ps_school=" xr:uid="{C8BD3517-CF02-42FD-8A53-E7742D141EEB}"/>
    <hyperlink ref="C2358" r:id="rId7071" display="https://statiz.sporki.com/add/?m=draft_school02&amp;ps_school=" xr:uid="{E6943810-BEC2-47A5-97ED-646B16A1E4B5}"/>
    <hyperlink ref="A2359" r:id="rId7072" display="https://statiz.sporki.com/player/?m=playerinfo&amp;p_no=2337" xr:uid="{AFB82252-863F-4CF1-BD45-0A4E16C523A4}"/>
    <hyperlink ref="B2359" r:id="rId7073" display="https://statiz.sporki.com/add/?m=draft_school01&amp;ps_school=" xr:uid="{4673D9A1-84B8-49D0-8632-53BC51D4C5EE}"/>
    <hyperlink ref="C2359" r:id="rId7074" display="https://statiz.sporki.com/add/?m=draft_school02&amp;ps_school=" xr:uid="{2D31C2E4-C33E-4FDB-8737-C69F6AFA23F9}"/>
    <hyperlink ref="A2360" r:id="rId7075" display="https://statiz.sporki.com/player/?m=playerinfo&amp;p_no=2310" xr:uid="{F5BED8BD-86A6-4C79-8C89-1B9CB4502D82}"/>
    <hyperlink ref="B2360" r:id="rId7076" display="https://statiz.sporki.com/add/?m=draft_school01&amp;ps_school=" xr:uid="{2535AC0C-F572-496E-BB2A-78CDFB75D0EF}"/>
    <hyperlink ref="C2360" r:id="rId7077" display="https://statiz.sporki.com/add/?m=draft_school02&amp;ps_school=" xr:uid="{5C91A5E6-CE0F-4C3E-91ED-F19CB9B081B4}"/>
    <hyperlink ref="A2361" r:id="rId7078" display="https://statiz.sporki.com/player/?m=playerinfo&amp;p_no=2314" xr:uid="{E102AF88-66EF-4B59-86D2-DFD68A683447}"/>
    <hyperlink ref="B2361" r:id="rId7079" display="https://statiz.sporki.com/add/?m=draft_school01&amp;ps_school=" xr:uid="{8123C506-F903-4F5E-8F91-C460CA8BD5A7}"/>
    <hyperlink ref="C2361" r:id="rId7080" display="https://statiz.sporki.com/add/?m=draft_school02&amp;ps_school=" xr:uid="{6A6F47DD-8523-43F4-B5F7-79ED20CE5917}"/>
    <hyperlink ref="A2362" r:id="rId7081" display="https://statiz.sporki.com/player/?m=playerinfo&amp;p_no=2336" xr:uid="{4026027A-B913-406E-AB8A-0E13809D84DA}"/>
    <hyperlink ref="B2362" r:id="rId7082" display="https://statiz.sporki.com/add/?m=draft_school01&amp;ps_school=" xr:uid="{21A1E63E-4791-427E-89A4-C263B75F165A}"/>
    <hyperlink ref="C2362" r:id="rId7083" display="https://statiz.sporki.com/add/?m=draft_school02&amp;ps_school=" xr:uid="{94BC9FDA-04A7-4669-A1A5-D351C8543149}"/>
    <hyperlink ref="A2363" r:id="rId7084" display="https://statiz.sporki.com/player/?m=playerinfo&amp;p_no=2311" xr:uid="{E9F57696-4D1F-45C8-8D4A-8EA50623D322}"/>
    <hyperlink ref="B2363" r:id="rId7085" display="https://statiz.sporki.com/add/?m=draft_school01&amp;ps_school=" xr:uid="{4A744566-B81A-450B-8BBD-AB63E48C9E48}"/>
    <hyperlink ref="C2363" r:id="rId7086" display="https://statiz.sporki.com/add/?m=draft_school02&amp;ps_school=" xr:uid="{2E60CBBD-6A11-4CB8-ACCA-35615CE3B2B9}"/>
    <hyperlink ref="A2364" r:id="rId7087" display="https://statiz.sporki.com/player/?m=playerinfo&amp;p_no=2367" xr:uid="{B393261B-3DE3-442C-90C5-D968D59CB0B8}"/>
    <hyperlink ref="B2364" r:id="rId7088" display="https://statiz.sporki.com/add/?m=draft_school01&amp;ps_school=50901" xr:uid="{A749DFEC-407A-49B1-B177-07847CBC5584}"/>
    <hyperlink ref="C2364" r:id="rId7089" display="https://statiz.sporki.com/add/?m=draft_school02&amp;ps_school=" xr:uid="{3685AF6A-961A-434D-97F5-27CC6CD20578}"/>
    <hyperlink ref="A2365" r:id="rId7090" display="https://statiz.sporki.com/player/?m=playerinfo&amp;p_no=2341" xr:uid="{D1982A12-8E08-4ECB-A16F-4175B851269C}"/>
    <hyperlink ref="B2365" r:id="rId7091" display="https://statiz.sporki.com/add/?m=draft_school01&amp;ps_school=50201" xr:uid="{1F93AE2A-91D7-4323-B6A7-AF4D0E0BBAB8}"/>
    <hyperlink ref="C2365" r:id="rId7092" display="https://statiz.sporki.com/add/?m=draft_school02&amp;ps_school=" xr:uid="{1980E544-7511-4311-BD04-AF77665CCCE0}"/>
    <hyperlink ref="A2366" r:id="rId7093" display="https://statiz.sporki.com/player/?m=playerinfo&amp;p_no=2313" xr:uid="{49999235-E053-4B37-A60F-6D5ADD033642}"/>
    <hyperlink ref="B2366" r:id="rId7094" display="https://statiz.sporki.com/add/?m=draft_school01&amp;ps_school=50805" xr:uid="{61C10C0C-F9EE-4245-B287-1758B96FE071}"/>
    <hyperlink ref="C2366" r:id="rId7095" display="https://statiz.sporki.com/add/?m=draft_school02&amp;ps_school=60111" xr:uid="{62780AE2-2A85-4B1B-A07D-B14D75142DF1}"/>
    <hyperlink ref="A2367" r:id="rId7096" display="https://statiz.sporki.com/player/?m=playerinfo&amp;p_no=2307" xr:uid="{FF085031-1A2D-4FEC-80C9-7852C1D27567}"/>
    <hyperlink ref="B2367" r:id="rId7097" display="https://statiz.sporki.com/add/?m=draft_school01&amp;ps_school=50604" xr:uid="{C271572E-454C-4857-A93E-063096F998AD}"/>
    <hyperlink ref="C2367" r:id="rId7098" display="https://statiz.sporki.com/add/?m=draft_school02&amp;ps_school=60501" xr:uid="{D7D34172-4C8F-47BD-9C12-833E367B31BE}"/>
    <hyperlink ref="A2368" r:id="rId7099" display="https://statiz.sporki.com/player/?m=playerinfo&amp;p_no=2325" xr:uid="{B456C927-31AF-4B68-A613-70C862B97975}"/>
    <hyperlink ref="B2368" r:id="rId7100" display="https://statiz.sporki.com/add/?m=draft_school01&amp;ps_school=50108" xr:uid="{CE0FF48D-8376-43BD-97E7-FAF87F401E21}"/>
    <hyperlink ref="C2368" r:id="rId7101" display="https://statiz.sporki.com/add/?m=draft_school02&amp;ps_school=61002" xr:uid="{4D5728F6-F581-453D-ABE8-C5C2BB5BC241}"/>
    <hyperlink ref="A2369" r:id="rId7102" display="https://statiz.sporki.com/player/?m=playerinfo&amp;p_no=10042" xr:uid="{FCA52147-87F3-4D24-92B5-844BD3B6583F}"/>
    <hyperlink ref="B2369" r:id="rId7103" display="https://statiz.sporki.com/add/?m=draft_school01&amp;ps_school=50602" xr:uid="{3E991202-6552-408C-A591-DE6EBFB59626}"/>
    <hyperlink ref="C2369" r:id="rId7104" display="https://statiz.sporki.com/add/?m=draft_school02&amp;ps_school=" xr:uid="{843155B5-0749-424B-9EFC-6A7325306AC3}"/>
    <hyperlink ref="A2370" r:id="rId7105" display="https://statiz.sporki.com/player/?m=playerinfo&amp;p_no=10469" xr:uid="{FC94B61D-4D9C-446E-B94B-F15D85A3816D}"/>
    <hyperlink ref="B2370" r:id="rId7106" display="https://statiz.sporki.com/add/?m=draft_school01&amp;ps_school=50108" xr:uid="{DEAD010B-A683-4B25-A8F5-A3662738CA9C}"/>
    <hyperlink ref="C2370" r:id="rId7107" display="https://statiz.sporki.com/add/?m=draft_school02&amp;ps_school=60106" xr:uid="{98125A7F-F23B-4B47-9D37-E9A7E9E3B31F}"/>
    <hyperlink ref="A2371" r:id="rId7108" display="https://statiz.sporki.com/player/?m=playerinfo&amp;p_no=10203" xr:uid="{0F30342D-E782-4C6C-89B9-77D65C85D073}"/>
    <hyperlink ref="B2371" r:id="rId7109" display="https://statiz.sporki.com/add/?m=draft_school01&amp;ps_school=50108" xr:uid="{AB05DDA9-348B-435B-BE5B-EB6080763ECC}"/>
    <hyperlink ref="C2371" r:id="rId7110" display="https://statiz.sporki.com/add/?m=draft_school02&amp;ps_school=" xr:uid="{DF3264F3-2B95-433B-84C9-18C4D7D9EAF8}"/>
    <hyperlink ref="A2372" r:id="rId7111" display="https://statiz.sporki.com/player/?m=playerinfo&amp;p_no=10259" xr:uid="{82EF4FC9-C404-4005-AE7A-4D28267035A2}"/>
    <hyperlink ref="B2372" r:id="rId7112" display="https://statiz.sporki.com/add/?m=draft_school01&amp;ps_school=50802" xr:uid="{ED539874-925B-49F0-A3C6-037EB3B66C20}"/>
    <hyperlink ref="C2372" r:id="rId7113" display="https://statiz.sporki.com/add/?m=draft_school02&amp;ps_school=" xr:uid="{639C104E-64B7-4B73-A7D2-8BCB0EFEF43C}"/>
    <hyperlink ref="A2373" r:id="rId7114" display="https://statiz.sporki.com/player/?m=playerinfo&amp;p_no=10137" xr:uid="{73AB2231-B261-4EB1-B8D9-C1C52A697B3E}"/>
    <hyperlink ref="B2373" r:id="rId7115" display="https://statiz.sporki.com/add/?m=draft_school01&amp;ps_school=50202" xr:uid="{B8B71006-7A58-41B6-8A27-7A4B048BD75E}"/>
    <hyperlink ref="C2373" r:id="rId7116" display="https://statiz.sporki.com/add/?m=draft_school02&amp;ps_school=" xr:uid="{E5C36C35-7566-4638-B8C5-12B26F6F0B0D}"/>
    <hyperlink ref="A2374" r:id="rId7117" display="https://statiz.sporki.com/player/?m=playerinfo&amp;p_no=10600" xr:uid="{6EBA9EAE-76AC-438C-B6C6-7E0B033011F6}"/>
    <hyperlink ref="B2374" r:id="rId7118" display="https://statiz.sporki.com/add/?m=draft_school01&amp;ps_school=50403" xr:uid="{B24872FF-7953-4AA9-AEEC-ABAD677FC3FB}"/>
    <hyperlink ref="C2374" r:id="rId7119" display="https://statiz.sporki.com/add/?m=draft_school02&amp;ps_school=60401" xr:uid="{B428D821-B797-42F3-9C3C-EC48D5D09C7C}"/>
    <hyperlink ref="A2375" r:id="rId7120" display="https://statiz.sporki.com/player/?m=playerinfo&amp;p_no=10271" xr:uid="{256471BD-8E0F-4DB8-87FB-E49D5A62FB26}"/>
    <hyperlink ref="B2375" r:id="rId7121" display="https://statiz.sporki.com/add/?m=draft_school01&amp;ps_school=50602" xr:uid="{8548CA14-37AC-46D9-88EB-7483CC9AB975}"/>
    <hyperlink ref="C2375" r:id="rId7122" display="https://statiz.sporki.com/add/?m=draft_school02&amp;ps_school=" xr:uid="{32F6B1DE-D5EB-4AD2-828D-80A9FA273BFC}"/>
    <hyperlink ref="A2376" r:id="rId7123" display="https://statiz.sporki.com/player/?m=playerinfo&amp;p_no=10168" xr:uid="{AE547EFD-D4EA-45B6-A8EF-C369F26B46F3}"/>
    <hyperlink ref="B2376" r:id="rId7124" display="https://statiz.sporki.com/add/?m=draft_school01&amp;ps_school=50606" xr:uid="{37261940-D8BD-4FD9-A469-3E7E832D37DF}"/>
    <hyperlink ref="C2376" r:id="rId7125" display="https://statiz.sporki.com/add/?m=draft_school02&amp;ps_school=" xr:uid="{FA23146A-DE5E-4664-80DB-81E736ACD100}"/>
    <hyperlink ref="A2377" r:id="rId7126" display="https://statiz.sporki.com/player/?m=playerinfo&amp;p_no=10486" xr:uid="{D58DAA5E-7CF7-449F-A6A5-A8D8B08830FA}"/>
    <hyperlink ref="B2377" r:id="rId7127" display="https://statiz.sporki.com/add/?m=draft_school01&amp;ps_school=50101" xr:uid="{4246922B-B85B-47E0-A2C2-3E24C457D38D}"/>
    <hyperlink ref="C2377" r:id="rId7128" display="https://statiz.sporki.com/add/?m=draft_school02&amp;ps_school=60605" xr:uid="{0C1C583A-22B9-487A-BB33-86E9C0861576}"/>
    <hyperlink ref="A2378" r:id="rId7129" display="https://statiz.sporki.com/player/?m=playerinfo&amp;p_no=10683" xr:uid="{8BD9953F-4613-4991-A933-5DFF84D9E89A}"/>
    <hyperlink ref="B2378" r:id="rId7130" display="https://statiz.sporki.com/add/?m=draft_school01&amp;ps_school=50116" xr:uid="{6C67FB0F-5C50-43CD-BEA4-B0A649AF205B}"/>
    <hyperlink ref="C2378" r:id="rId7131" display="https://statiz.sporki.com/add/?m=draft_school02&amp;ps_school=" xr:uid="{202946E8-9ADF-44DD-8A7C-EC8EBCE8E208}"/>
    <hyperlink ref="A2379" r:id="rId7132" display="https://statiz.sporki.com/player/?m=playerinfo&amp;p_no=10319" xr:uid="{D371784B-93D5-4B92-9159-A03E7BD149FB}"/>
    <hyperlink ref="B2379" r:id="rId7133" display="https://statiz.sporki.com/add/?m=draft_school01&amp;ps_school=50604" xr:uid="{D3F0C94E-CFB9-402B-A391-2EAEC083AD1F}"/>
    <hyperlink ref="C2379" r:id="rId7134" display="https://statiz.sporki.com/add/?m=draft_school02&amp;ps_school=61002" xr:uid="{C53EF9B0-55B5-4FF5-B8F1-D2A5DCDF8FEE}"/>
    <hyperlink ref="A2380" r:id="rId7135" display="https://statiz.sporki.com/player/?m=playerinfo&amp;p_no=10152" xr:uid="{844DEFB4-C511-4C6F-B8AA-6D6F35A09B56}"/>
    <hyperlink ref="B2380" r:id="rId7136" display="https://statiz.sporki.com/add/?m=draft_school01&amp;ps_school=50805" xr:uid="{411A070F-9AB8-420A-B036-C80B932597CC}"/>
    <hyperlink ref="C2380" r:id="rId7137" display="https://statiz.sporki.com/add/?m=draft_school02&amp;ps_school=60602" xr:uid="{3C5CC066-5D54-433A-BC93-76E334FD3098}"/>
    <hyperlink ref="A2381" r:id="rId7138" display="https://statiz.sporki.com/player/?m=playerinfo&amp;p_no=10570" xr:uid="{E602C262-5A39-4FA1-AF25-AE03A98D45D1}"/>
    <hyperlink ref="B2381" r:id="rId7139" display="https://statiz.sporki.com/add/?m=draft_school01&amp;ps_school=50403" xr:uid="{99A5E78E-00A4-4118-B028-BAC5B2163B3E}"/>
    <hyperlink ref="C2381" r:id="rId7140" display="https://statiz.sporki.com/add/?m=draft_school02&amp;ps_school=" xr:uid="{ACDCCB88-4AE1-4563-914B-B0B06C774CEC}"/>
    <hyperlink ref="A2382" r:id="rId7141" display="https://statiz.sporki.com/player/?m=playerinfo&amp;p_no=10606" xr:uid="{739ACE5E-E29A-4CD3-B762-0A20B866D51A}"/>
    <hyperlink ref="B2382" r:id="rId7142" display="https://statiz.sporki.com/add/?m=draft_school01&amp;ps_school=50402" xr:uid="{0A0A134A-D4F5-4379-8379-A18AEA618254}"/>
    <hyperlink ref="C2382" r:id="rId7143" display="https://statiz.sporki.com/add/?m=draft_school02&amp;ps_school=60401" xr:uid="{44703551-1DAD-4CC7-87FD-EC7A718D651F}"/>
    <hyperlink ref="A2383" r:id="rId7144" display="https://statiz.sporki.com/player/?m=playerinfo&amp;p_no=10278" xr:uid="{5DA6F4B2-1D77-4052-BCDE-78AD6C4C1F96}"/>
    <hyperlink ref="B2383" r:id="rId7145" display="https://statiz.sporki.com/add/?m=draft_school01&amp;ps_school=50107" xr:uid="{E2EE948D-FA05-43F7-B971-F2973F260AEB}"/>
    <hyperlink ref="C2383" r:id="rId7146" display="https://statiz.sporki.com/add/?m=draft_school02&amp;ps_school=" xr:uid="{DAAD2BC2-46AE-4834-9AD1-DFA8829BC2D9}"/>
    <hyperlink ref="A2384" r:id="rId7147" display="https://statiz.sporki.com/player/?m=playerinfo&amp;p_no=10490" xr:uid="{B2980CA8-F90F-412A-9D00-F4E76F66E596}"/>
    <hyperlink ref="B2384" r:id="rId7148" display="https://statiz.sporki.com/add/?m=draft_school01&amp;ps_school=50602" xr:uid="{DBB5799C-BCEF-4623-9F0B-81C8AB6C327E}"/>
    <hyperlink ref="C2384" r:id="rId7149" display="https://statiz.sporki.com/add/?m=draft_school02&amp;ps_school=" xr:uid="{51AE2ECE-569D-4489-866C-8C60E1944BE3}"/>
    <hyperlink ref="A2385" r:id="rId7150" display="https://statiz.sporki.com/player/?m=playerinfo&amp;p_no=10068" xr:uid="{49E70F94-067B-4F26-966D-751BC4C9F407}"/>
    <hyperlink ref="B2385" r:id="rId7151" display="https://statiz.sporki.com/add/?m=draft_school01&amp;ps_school=50202" xr:uid="{B69B14C4-D4A2-45BD-B290-F02C7B7F88C8}"/>
    <hyperlink ref="C2385" r:id="rId7152" display="https://statiz.sporki.com/add/?m=draft_school02&amp;ps_school=" xr:uid="{44248273-2A75-4058-8285-18107D572B93}"/>
    <hyperlink ref="A2386" r:id="rId7153" display="https://statiz.sporki.com/player/?m=playerinfo&amp;p_no=10464" xr:uid="{AF5999C8-10C6-47C9-B726-5F67C14C74C7}"/>
    <hyperlink ref="B2386" r:id="rId7154" display="https://statiz.sporki.com/add/?m=draft_school01&amp;ps_school=50113" xr:uid="{CA0C12A6-9B6C-4C85-9A7F-EFD36E887CD7}"/>
    <hyperlink ref="C2386" r:id="rId7155" display="https://statiz.sporki.com/add/?m=draft_school02&amp;ps_school=" xr:uid="{85350699-CB01-472D-92C5-FAA72135CA75}"/>
    <hyperlink ref="A2387" r:id="rId7156" display="https://statiz.sporki.com/player/?m=playerinfo&amp;p_no=10092" xr:uid="{8348B673-AA49-44AA-93F8-B00ABAB302FB}"/>
    <hyperlink ref="B2387" r:id="rId7157" display="https://statiz.sporki.com/add/?m=draft_school01&amp;ps_school=50403" xr:uid="{9173D701-3926-41B8-AB40-0E9DC4D9016C}"/>
    <hyperlink ref="C2387" r:id="rId7158" display="https://statiz.sporki.com/add/?m=draft_school02&amp;ps_school=" xr:uid="{A6DC6B6F-F02B-4597-A896-BED18AD2EB27}"/>
    <hyperlink ref="A2388" r:id="rId7159" display="https://statiz.sporki.com/player/?m=playerinfo&amp;p_no=2276" xr:uid="{29AF9438-ECD6-4EE8-B801-9AE9A9DF2CD9}"/>
    <hyperlink ref="B2388" r:id="rId7160" display="https://statiz.sporki.com/add/?m=draft_school01&amp;ps_school=50609" xr:uid="{1D36A0E9-E87B-4B5B-BCCE-788A3AB60E52}"/>
    <hyperlink ref="C2388" r:id="rId7161" display="https://statiz.sporki.com/add/?m=draft_school02&amp;ps_school=" xr:uid="{D628FA62-1EDD-43CA-A5C0-B87D9FFDA96B}"/>
    <hyperlink ref="A2389" r:id="rId7162" display="https://statiz.sporki.com/player/?m=playerinfo&amp;p_no=10288" xr:uid="{7A3794A3-1F89-4ACE-A69B-C2FF1E404B72}"/>
    <hyperlink ref="B2389" r:id="rId7163" display="https://statiz.sporki.com/add/?m=draft_school01&amp;ps_school=50805" xr:uid="{C3D102B7-D2A6-432B-AD89-5FE4012CE344}"/>
    <hyperlink ref="C2389" r:id="rId7164" display="https://statiz.sporki.com/add/?m=draft_school02&amp;ps_school=60804" xr:uid="{3A9CB76B-A652-48C2-A61E-58F7D4BF4FA0}"/>
    <hyperlink ref="A2390" r:id="rId7165" display="https://statiz.sporki.com/player/?m=playerinfo&amp;p_no=10523" xr:uid="{C3B823A9-C9F2-4F3C-B215-3625F002D4CD}"/>
    <hyperlink ref="B2390" r:id="rId7166" display="https://statiz.sporki.com/add/?m=draft_school01&amp;ps_school=50116" xr:uid="{61F28380-3859-4DED-9383-DF99FC13A6EA}"/>
    <hyperlink ref="C2390" r:id="rId7167" display="https://statiz.sporki.com/add/?m=draft_school02&amp;ps_school=" xr:uid="{29DD5FBF-D887-4456-9076-9D60C8F2E96D}"/>
    <hyperlink ref="A2391" r:id="rId7168" display="https://statiz.sporki.com/player/?m=playerinfo&amp;p_no=2274" xr:uid="{0E872E29-1B63-48B5-9B70-7EEF0A00773A}"/>
    <hyperlink ref="B2391" r:id="rId7169" display="https://statiz.sporki.com/add/?m=draft_school01&amp;ps_school=50602" xr:uid="{B4B8F61D-98B0-4F23-AC50-00E3774CAFC6}"/>
    <hyperlink ref="C2391" r:id="rId7170" display="https://statiz.sporki.com/add/?m=draft_school02&amp;ps_school=" xr:uid="{51960E9F-97EA-492D-ADDD-22BF667F206D}"/>
    <hyperlink ref="A2392" r:id="rId7171" display="https://statiz.sporki.com/player/?m=playerinfo&amp;p_no=10433" xr:uid="{7D0CC1FD-E31A-4FF2-8B51-C37BF8FFD9F8}"/>
    <hyperlink ref="B2392" r:id="rId7172" display="https://statiz.sporki.com/add/?m=draft_school01&amp;ps_school=50805" xr:uid="{9B0581FF-B3CF-415D-8B04-A99C19D8B1AE}"/>
    <hyperlink ref="C2392" r:id="rId7173" display="https://statiz.sporki.com/add/?m=draft_school02&amp;ps_school=" xr:uid="{904A12D3-13A3-42B5-8012-E42B95FC6FD1}"/>
    <hyperlink ref="A2393" r:id="rId7174" display="https://statiz.sporki.com/player/?m=playerinfo&amp;p_no=10354" xr:uid="{2F52B202-071C-474D-901F-C6A41EF9F881}"/>
    <hyperlink ref="B2393" r:id="rId7175" display="https://statiz.sporki.com/add/?m=draft_school01&amp;ps_school=50702" xr:uid="{13409B5F-B048-4524-A7CD-91FE2C4C0122}"/>
    <hyperlink ref="C2393" r:id="rId7176" display="https://statiz.sporki.com/add/?m=draft_school02&amp;ps_school=60705" xr:uid="{AFDB557D-42EB-4F7C-B5D8-BD8773E6BFF1}"/>
    <hyperlink ref="A2394" r:id="rId7177" display="https://statiz.sporki.com/player/?m=playerinfo&amp;p_no=2305" xr:uid="{8A6EAFEC-7F1D-4971-948C-D4E3837529F7}"/>
    <hyperlink ref="B2394" r:id="rId7178" display="https://statiz.sporki.com/add/?m=draft_school01&amp;ps_school=50107" xr:uid="{AEAAB227-AD78-41D1-BBE9-4D09A8842788}"/>
    <hyperlink ref="C2394" r:id="rId7179" display="https://statiz.sporki.com/add/?m=draft_school02&amp;ps_school=" xr:uid="{1D3A7D7C-C335-4F1C-8399-7A2A0CBADAF2}"/>
    <hyperlink ref="A2395" r:id="rId7180" display="https://statiz.sporki.com/player/?m=playerinfo&amp;p_no=2319" xr:uid="{9FE63D50-C868-4B71-B99C-83161E8B5FC8}"/>
    <hyperlink ref="B2395" r:id="rId7181" display="https://statiz.sporki.com/add/?m=draft_school01&amp;ps_school=50702" xr:uid="{8CFEF7C9-2869-4C63-B504-B471B9635341}"/>
    <hyperlink ref="C2395" r:id="rId7182" display="https://statiz.sporki.com/add/?m=draft_school02&amp;ps_school=" xr:uid="{B5D38740-E5AD-4140-9B94-14EB86A4830E}"/>
    <hyperlink ref="A2396" r:id="rId7183" display="https://statiz.sporki.com/player/?m=playerinfo&amp;p_no=10576" xr:uid="{656F37C4-4B85-4D5C-95F7-B838DA2BADEE}"/>
    <hyperlink ref="B2396" r:id="rId7184" display="https://statiz.sporki.com/add/?m=draft_school01&amp;ps_school=50402" xr:uid="{89D57A1E-E6DC-4CBE-A8D9-890727632059}"/>
    <hyperlink ref="C2396" r:id="rId7185" display="https://statiz.sporki.com/add/?m=draft_school02&amp;ps_school=60102" xr:uid="{440BE2E2-7504-40FC-89C7-97F55B566BA7}"/>
    <hyperlink ref="A2397" r:id="rId7186" display="https://statiz.sporki.com/player/?m=playerinfo&amp;p_no=2301" xr:uid="{AD762254-CBDD-4D29-BE3A-8A155FD47BB4}"/>
    <hyperlink ref="B2397" r:id="rId7187" display="https://statiz.sporki.com/add/?m=draft_school01&amp;ps_school=50803" xr:uid="{ED152AEE-AFAC-4348-BA25-9FBAB48BE930}"/>
    <hyperlink ref="C2397" r:id="rId7188" display="https://statiz.sporki.com/add/?m=draft_school02&amp;ps_school=" xr:uid="{76306D00-5333-45F9-B45B-D65AF0235425}"/>
    <hyperlink ref="A2398" r:id="rId7189" display="https://statiz.sporki.com/player/?m=playerinfo&amp;p_no=2306" xr:uid="{27EEFA9C-0A36-4724-889F-7D3FFF7DAE99}"/>
    <hyperlink ref="B2398" r:id="rId7190" display="https://statiz.sporki.com/add/?m=draft_school01&amp;ps_school=50107" xr:uid="{992AFCD7-9430-4E28-A678-52D18F905E43}"/>
    <hyperlink ref="C2398" r:id="rId7191" display="https://statiz.sporki.com/add/?m=draft_school02&amp;ps_school=" xr:uid="{2CF1990A-0A7F-484F-A22D-F533BE7F33CF}"/>
    <hyperlink ref="A2399" r:id="rId7192" display="https://statiz.sporki.com/player/?m=playerinfo&amp;p_no=2286" xr:uid="{957B3A63-CC95-40D1-84AD-4F723E432E2F}"/>
    <hyperlink ref="B2399" r:id="rId7193" display="https://statiz.sporki.com/add/?m=draft_school01&amp;ps_school=50201" xr:uid="{EA43F54C-BB6D-48AA-849D-531856517756}"/>
    <hyperlink ref="C2399" r:id="rId7194" display="https://statiz.sporki.com/add/?m=draft_school02&amp;ps_school=" xr:uid="{924D8B9C-F535-4B28-BC70-1CC88C1017CD}"/>
    <hyperlink ref="A2400" r:id="rId7195" display="https://statiz.sporki.com/player/?m=playerinfo&amp;p_no=10202" xr:uid="{80B58177-FDA8-4F70-9EDF-8C8793A0EEBA}"/>
    <hyperlink ref="B2400" r:id="rId7196" display="https://statiz.sporki.com/add/?m=draft_school01&amp;ps_school=50105" xr:uid="{E50CD5A8-A46E-4DB7-84E6-F02C1CFF32CC}"/>
    <hyperlink ref="C2400" r:id="rId7197" display="https://statiz.sporki.com/add/?m=draft_school02&amp;ps_school=61002" xr:uid="{2017B1D3-7AF5-4CE0-B1F7-180600CF5CDC}"/>
    <hyperlink ref="A2401" r:id="rId7198" display="https://statiz.sporki.com/player/?m=playerinfo&amp;p_no=10149" xr:uid="{9BFC8E77-9B9B-4E0B-AA1B-9C876BBDFBF3}"/>
    <hyperlink ref="B2401" r:id="rId7199" display="https://statiz.sporki.com/add/?m=draft_school01&amp;ps_school=50106" xr:uid="{D01A10F3-224B-4DC4-A11F-9EA3BC4139DA}"/>
    <hyperlink ref="C2401" r:id="rId7200" display="https://statiz.sporki.com/add/?m=draft_school02&amp;ps_school=61000" xr:uid="{EECD6369-369E-4A15-B41A-86804426C14D}"/>
    <hyperlink ref="A2402" r:id="rId7201" display="https://statiz.sporki.com/player/?m=playerinfo&amp;p_no=10684" xr:uid="{B31D0509-ABEF-4B4A-ACDD-5AE7675D6C43}"/>
    <hyperlink ref="B2402" r:id="rId7202" display="https://statiz.sporki.com/add/?m=draft_school01&amp;ps_school=50107" xr:uid="{CDD24907-9CDF-4BDE-AA5F-4101471BEB14}"/>
    <hyperlink ref="C2402" r:id="rId7203" display="https://statiz.sporki.com/add/?m=draft_school02&amp;ps_school=60203" xr:uid="{4BACE237-DCFB-4029-A6EE-0F1D12D7BB44}"/>
    <hyperlink ref="A2403" r:id="rId7204" display="https://statiz.sporki.com/player/?m=playerinfo&amp;p_no=10275" xr:uid="{037F1859-5011-44E8-85FE-C9224CA6637E}"/>
    <hyperlink ref="B2403" r:id="rId7205" display="https://statiz.sporki.com/add/?m=draft_school01&amp;ps_school=50606" xr:uid="{5DABA158-E837-498B-9EC7-2D9FCA4A72BE}"/>
    <hyperlink ref="C2403" r:id="rId7206" display="https://statiz.sporki.com/add/?m=draft_school02&amp;ps_school=60102" xr:uid="{9964804A-5081-4DC0-8669-06C0296A4E6D}"/>
    <hyperlink ref="A2404" r:id="rId7207" display="https://statiz.sporki.com/player/?m=playerinfo&amp;p_no=10144" xr:uid="{7889990F-CCE3-4756-968C-EEB738737402}"/>
    <hyperlink ref="B2404" r:id="rId7208" display="https://statiz.sporki.com/add/?m=draft_school01&amp;ps_school=50606" xr:uid="{7D7C40ED-7862-43C0-A536-EBAB3C794ECF}"/>
    <hyperlink ref="C2404" r:id="rId7209" display="https://statiz.sporki.com/add/?m=draft_school02&amp;ps_school=60108" xr:uid="{5C5211A9-80CD-464C-AC4E-867224E54E0D}"/>
    <hyperlink ref="A2405" r:id="rId7210" display="https://statiz.sporki.com/player/?m=playerinfo&amp;p_no=10073" xr:uid="{2865CBFE-5342-4228-848A-A1E29BC23A8E}"/>
    <hyperlink ref="B2405" r:id="rId7211" display="https://statiz.sporki.com/add/?m=draft_school01&amp;ps_school=50802" xr:uid="{693ED013-2A2A-485A-9CAD-505D2287AD82}"/>
    <hyperlink ref="C2405" r:id="rId7212" display="https://statiz.sporki.com/add/?m=draft_school02&amp;ps_school=60113" xr:uid="{7AA68EC0-813F-46E9-9562-FE729E941F96}"/>
    <hyperlink ref="A2406" r:id="rId7213" display="https://statiz.sporki.com/player/?m=playerinfo&amp;p_no=10263" xr:uid="{09835B12-A9B6-410A-9363-624663E49472}"/>
    <hyperlink ref="B2406" r:id="rId7214" display="https://statiz.sporki.com/add/?m=draft_school01&amp;ps_school=50106" xr:uid="{993B10FB-B23F-4AB1-93D6-01142A4D6C38}"/>
    <hyperlink ref="C2406" r:id="rId7215" display="https://statiz.sporki.com/add/?m=draft_school02&amp;ps_school=60803" xr:uid="{0781C8D1-3D3B-49CE-8387-88D158422516}"/>
    <hyperlink ref="A2407" r:id="rId7216" display="https://statiz.sporki.com/player/?m=playerinfo&amp;p_no=10178" xr:uid="{1061F2C8-9968-4F44-855B-FB8B90DB44C3}"/>
    <hyperlink ref="B2407" r:id="rId7217" display="https://statiz.sporki.com/add/?m=draft_school01&amp;ps_school=50207" xr:uid="{2110D6BA-FE2E-4FDC-8C8F-F54D29A2A294}"/>
    <hyperlink ref="C2407" r:id="rId7218" display="https://statiz.sporki.com/add/?m=draft_school02&amp;ps_school=60102" xr:uid="{963912C8-20A2-424E-8F38-7373AE7C73EB}"/>
    <hyperlink ref="A2408" r:id="rId7219" display="https://statiz.sporki.com/player/?m=playerinfo&amp;p_no=10693" xr:uid="{4F367CE4-5F82-4E20-883C-42DFC9B564B7}"/>
    <hyperlink ref="B2408" r:id="rId7220" display="https://statiz.sporki.com/add/?m=draft_school01&amp;ps_school=50402" xr:uid="{57C28EE6-6732-4E00-B202-F4C1445EF883}"/>
    <hyperlink ref="C2408" r:id="rId7221" display="https://statiz.sporki.com/add/?m=draft_school02&amp;ps_school=60109" xr:uid="{252317F7-8C82-4E63-9889-4C7FB08E7300}"/>
    <hyperlink ref="A2409" r:id="rId7222" display="https://statiz.sporki.com/player/?m=playerinfo&amp;p_no=2402" xr:uid="{164FD3C6-D6DC-4B0B-B999-914261463336}"/>
    <hyperlink ref="B2409" r:id="rId7223" display="https://statiz.sporki.com/add/?m=draft_school01&amp;ps_school=50602" xr:uid="{2CEB11F5-05CE-4ED4-9A32-65A8C608DA91}"/>
    <hyperlink ref="C2409" r:id="rId7224" display="https://statiz.sporki.com/add/?m=draft_school02&amp;ps_school=60803" xr:uid="{84032A41-F8F4-4A6C-A43D-7502F116280E}"/>
    <hyperlink ref="A2410" r:id="rId7225" display="https://statiz.sporki.com/player/?m=playerinfo&amp;p_no=10484" xr:uid="{A83249C1-AF73-482E-A4F6-496D7C24DCA1}"/>
    <hyperlink ref="B2410" r:id="rId7226" display="https://statiz.sporki.com/add/?m=draft_school01&amp;ps_school=50606" xr:uid="{BE889697-F03B-44C6-A438-A6AEFF8F042F}"/>
    <hyperlink ref="C2410" r:id="rId7227" display="https://statiz.sporki.com/add/?m=draft_school02&amp;ps_school=60103" xr:uid="{24CC3FDA-E214-41D3-828E-C4C74ECB40E7}"/>
    <hyperlink ref="A2411" r:id="rId7228" display="https://statiz.sporki.com/player/?m=playerinfo&amp;p_no=10159" xr:uid="{734CD4B9-F6E4-4BAC-A133-DAF9137AC1AC}"/>
    <hyperlink ref="B2411" r:id="rId7229" display="https://statiz.sporki.com/add/?m=draft_school01&amp;ps_school=" xr:uid="{67C144FC-A32E-4741-8A77-181789B2E8B9}"/>
    <hyperlink ref="C2411" r:id="rId7230" display="https://statiz.sporki.com/add/?m=draft_school02&amp;ps_school=" xr:uid="{B421DEEA-79BC-4907-AD54-72404048D279}"/>
    <hyperlink ref="A2412" r:id="rId7231" display="https://statiz.sporki.com/player/?m=playerinfo&amp;p_no=2294" xr:uid="{8D0C3A6D-A9C1-49F7-B771-285B484A601D}"/>
    <hyperlink ref="B2412" r:id="rId7232" display="https://statiz.sporki.com/add/?m=draft_school01&amp;ps_school=51100" xr:uid="{445518A8-58D3-4A71-82D2-1A3AE9F0C2BC}"/>
    <hyperlink ref="C2412" r:id="rId7233" display="https://statiz.sporki.com/add/?m=draft_school02&amp;ps_school=" xr:uid="{505D7BD3-A1CB-41AA-8782-901CEC766716}"/>
    <hyperlink ref="A2413" r:id="rId7234" display="https://statiz.sporki.com/player/?m=playerinfo&amp;p_no=2282" xr:uid="{D85A5D33-C881-4E5D-A9F2-66AC00BC2422}"/>
    <hyperlink ref="B2413" r:id="rId7235" display="https://statiz.sporki.com/add/?m=draft_school01&amp;ps_school=" xr:uid="{3948EDD8-950D-4BCE-BF5B-9265E1ADDF24}"/>
    <hyperlink ref="C2413" r:id="rId7236" display="https://statiz.sporki.com/add/?m=draft_school02&amp;ps_school=" xr:uid="{90662452-7F1F-4371-9DA0-07457B75E459}"/>
    <hyperlink ref="A2414" r:id="rId7237" display="https://statiz.sporki.com/player/?m=playerinfo&amp;p_no=2275" xr:uid="{45B19323-FE6B-4620-84F9-263D43D14B3E}"/>
    <hyperlink ref="B2414" r:id="rId7238" display="https://statiz.sporki.com/add/?m=draft_school01&amp;ps_school=" xr:uid="{ED58A902-0FAB-43DC-B3C6-800A935FD856}"/>
    <hyperlink ref="C2414" r:id="rId7239" display="https://statiz.sporki.com/add/?m=draft_school02&amp;ps_school=" xr:uid="{0CB13070-DB6B-4F06-AA73-39E9D82E69F1}"/>
    <hyperlink ref="A2415" r:id="rId7240" display="https://statiz.sporki.com/player/?m=playerinfo&amp;p_no=2298" xr:uid="{BD9FB7BB-8B42-42E2-AB27-46D6150B844D}"/>
    <hyperlink ref="B2415" r:id="rId7241" display="https://statiz.sporki.com/add/?m=draft_school01&amp;ps_school=" xr:uid="{B63DD1AF-B64D-4632-9059-2A165B9F9F11}"/>
    <hyperlink ref="C2415" r:id="rId7242" display="https://statiz.sporki.com/add/?m=draft_school02&amp;ps_school=" xr:uid="{D5281138-67F6-477F-A6D2-54B97D943B4F}"/>
    <hyperlink ref="A2416" r:id="rId7243" display="https://statiz.sporki.com/player/?m=playerinfo&amp;p_no=2302" xr:uid="{2573FDD4-1F78-4213-97C5-A2FA108E389F}"/>
    <hyperlink ref="B2416" r:id="rId7244" display="https://statiz.sporki.com/add/?m=draft_school01&amp;ps_school=" xr:uid="{BF48A888-CF3E-4CD9-A6B2-1E74F16A77B1}"/>
    <hyperlink ref="C2416" r:id="rId7245" display="https://statiz.sporki.com/add/?m=draft_school02&amp;ps_school=" xr:uid="{01C8CB55-61FE-4202-9160-6E574138F74D}"/>
    <hyperlink ref="A2417" r:id="rId7246" display="https://statiz.sporki.com/player/?m=playerinfo&amp;p_no=2289" xr:uid="{C78B1034-1B01-4829-81E5-71E51A682DD6}"/>
    <hyperlink ref="B2417" r:id="rId7247" display="https://statiz.sporki.com/add/?m=draft_school01&amp;ps_school=" xr:uid="{1085233E-5B0F-4745-8DF1-706E88188BAA}"/>
    <hyperlink ref="C2417" r:id="rId7248" display="https://statiz.sporki.com/add/?m=draft_school02&amp;ps_school=" xr:uid="{50549163-47DF-43F7-8B78-223398C6515C}"/>
    <hyperlink ref="A2418" r:id="rId7249" display="https://statiz.sporki.com/player/?m=playerinfo&amp;p_no=2273" xr:uid="{FB399CE4-D2D9-46C1-A875-E58621625E75}"/>
    <hyperlink ref="B2418" r:id="rId7250" display="https://statiz.sporki.com/add/?m=draft_school01&amp;ps_school=" xr:uid="{94764E66-1F4F-4047-9BA0-14E52282E115}"/>
    <hyperlink ref="C2418" r:id="rId7251" display="https://statiz.sporki.com/add/?m=draft_school02&amp;ps_school=" xr:uid="{55780E1E-0595-4A90-9D78-F0AF3E013BBA}"/>
    <hyperlink ref="A2419" r:id="rId7252" display="https://statiz.sporki.com/player/?m=playerinfo&amp;p_no=2281" xr:uid="{3C5C2C9E-402A-4CBE-90E7-ADCA2F40F9CC}"/>
    <hyperlink ref="B2419" r:id="rId7253" display="https://statiz.sporki.com/add/?m=draft_school01&amp;ps_school=" xr:uid="{2752A330-6856-48AB-803E-B66B33F357CD}"/>
    <hyperlink ref="C2419" r:id="rId7254" display="https://statiz.sporki.com/add/?m=draft_school02&amp;ps_school=" xr:uid="{46750409-CF00-4037-97D3-593FE417C3B8}"/>
    <hyperlink ref="A2420" r:id="rId7255" display="https://statiz.sporki.com/player/?m=playerinfo&amp;p_no=2285" xr:uid="{FD6FE170-A611-4931-8C4C-768DED2E24F8}"/>
    <hyperlink ref="B2420" r:id="rId7256" display="https://statiz.sporki.com/add/?m=draft_school01&amp;ps_school=" xr:uid="{354FB402-BF3A-488A-9EB9-E07DFC7DB316}"/>
    <hyperlink ref="C2420" r:id="rId7257" display="https://statiz.sporki.com/add/?m=draft_school02&amp;ps_school=" xr:uid="{AFF2300F-0AAA-41CB-AAF1-5DE12564265F}"/>
    <hyperlink ref="A2421" r:id="rId7258" display="https://statiz.sporki.com/player/?m=playerinfo&amp;p_no=2290" xr:uid="{B3063AE5-4D96-4088-925E-BE536D4294EB}"/>
    <hyperlink ref="B2421" r:id="rId7259" display="https://statiz.sporki.com/add/?m=draft_school01&amp;ps_school=" xr:uid="{0B26E28A-BAB0-42A9-8B76-E3702E9A5D2C}"/>
    <hyperlink ref="C2421" r:id="rId7260" display="https://statiz.sporki.com/add/?m=draft_school02&amp;ps_school=" xr:uid="{074A213F-99E0-467D-8745-A7F07BFF5390}"/>
    <hyperlink ref="A2422" r:id="rId7261" display="https://statiz.sporki.com/player/?m=playerinfo&amp;p_no=2295" xr:uid="{021E1A9A-E591-4E24-902E-9826754B01CC}"/>
    <hyperlink ref="B2422" r:id="rId7262" display="https://statiz.sporki.com/add/?m=draft_school01&amp;ps_school=" xr:uid="{EB69657D-6692-43EE-81E7-3C00D871BE40}"/>
    <hyperlink ref="C2422" r:id="rId7263" display="https://statiz.sporki.com/add/?m=draft_school02&amp;ps_school=" xr:uid="{C830575D-C4D3-4BDA-9D03-A3E00A2EC401}"/>
    <hyperlink ref="A2423" r:id="rId7264" display="https://statiz.sporki.com/player/?m=playerinfo&amp;p_no=2300" xr:uid="{854C8C6B-BAA9-4BB0-8F09-54F4470EC9E7}"/>
    <hyperlink ref="B2423" r:id="rId7265" display="https://statiz.sporki.com/add/?m=draft_school01&amp;ps_school=" xr:uid="{2AF14336-F3B6-4F7E-B46C-2304D712A74E}"/>
    <hyperlink ref="C2423" r:id="rId7266" display="https://statiz.sporki.com/add/?m=draft_school02&amp;ps_school=" xr:uid="{3486E842-D9DF-46F6-9134-B122A0945916}"/>
    <hyperlink ref="A2424" r:id="rId7267" display="https://statiz.sporki.com/player/?m=playerinfo&amp;p_no=2277" xr:uid="{DB964D30-3EDA-4709-AC55-D2C961EB9FB6}"/>
    <hyperlink ref="B2424" r:id="rId7268" display="https://statiz.sporki.com/add/?m=draft_school01&amp;ps_school=" xr:uid="{DE1184C2-2F82-42C2-862A-32E418D54E87}"/>
    <hyperlink ref="C2424" r:id="rId7269" display="https://statiz.sporki.com/add/?m=draft_school02&amp;ps_school=" xr:uid="{E691BB7A-4997-4AB4-9DDB-52C48FFBCF92}"/>
    <hyperlink ref="A2425" r:id="rId7270" display="https://statiz.sporki.com/player/?m=playerinfo&amp;p_no=2270" xr:uid="{674A16DE-C6CF-41B4-9EF2-1FEADE34D396}"/>
    <hyperlink ref="B2425" r:id="rId7271" display="https://statiz.sporki.com/add/?m=draft_school01&amp;ps_school=" xr:uid="{48BE6DA2-FD1D-470B-99A2-68DBE95E23CA}"/>
    <hyperlink ref="C2425" r:id="rId7272" display="https://statiz.sporki.com/add/?m=draft_school02&amp;ps_school=" xr:uid="{8565CD8D-519C-4156-B10A-5CDDF6C194F9}"/>
    <hyperlink ref="A2426" r:id="rId7273" display="https://statiz.sporki.com/player/?m=playerinfo&amp;p_no=10411" xr:uid="{22DC3FBD-7D06-45C0-B078-4F4307D960FD}"/>
    <hyperlink ref="B2426" r:id="rId7274" display="https://statiz.sporki.com/add/?m=draft_school01&amp;ps_school=" xr:uid="{FC7E8833-5FAC-4487-99F9-DBB6B5B0E113}"/>
    <hyperlink ref="C2426" r:id="rId7275" display="https://statiz.sporki.com/add/?m=draft_school02&amp;ps_school=" xr:uid="{CADD44C9-8127-4805-B5F3-14A73F7CA570}"/>
    <hyperlink ref="A2427" r:id="rId7276" display="https://statiz.sporki.com/player/?m=playerinfo&amp;p_no=2296" xr:uid="{051635A6-34F0-4ADF-805A-0B48893EF9EB}"/>
    <hyperlink ref="B2427" r:id="rId7277" display="https://statiz.sporki.com/add/?m=draft_school01&amp;ps_school=" xr:uid="{4619856F-2FF2-45C7-B6E9-DD955522171A}"/>
    <hyperlink ref="C2427" r:id="rId7278" display="https://statiz.sporki.com/add/?m=draft_school02&amp;ps_school=" xr:uid="{9677637C-499D-4841-8D43-B2D1CEED1EB6}"/>
    <hyperlink ref="A2428" r:id="rId7279" display="https://statiz.sporki.com/player/?m=playerinfo&amp;p_no=11457" xr:uid="{7F7CE3AB-94C4-4FFC-B400-5ECBDC2A94D3}"/>
    <hyperlink ref="B2428" r:id="rId7280" display="https://statiz.sporki.com/add/?m=draft_school01&amp;ps_school=50502" xr:uid="{BAD02F3A-5FF7-46B2-A30C-DEA171159244}"/>
    <hyperlink ref="C2428" r:id="rId7281" display="https://statiz.sporki.com/add/?m=draft_school02&amp;ps_school=60501" xr:uid="{053B8EC2-4B71-4E29-9061-4696704635D7}"/>
    <hyperlink ref="A2429" r:id="rId7282" display="https://statiz.sporki.com/player/?m=playerinfo&amp;p_no=2376" xr:uid="{03454442-E479-4BB5-A7D1-B6AFD58DDE7B}"/>
    <hyperlink ref="B2429" r:id="rId7283" display="https://statiz.sporki.com/add/?m=draft_school01&amp;ps_school=50112" xr:uid="{F6C1A83F-368B-4FEE-B976-87B6DD3E3847}"/>
    <hyperlink ref="C2429" r:id="rId7284" display="https://statiz.sporki.com/add/?m=draft_school02&amp;ps_school=" xr:uid="{8D10DFFE-2D5C-49FD-BF8B-2F4BD2380D7D}"/>
    <hyperlink ref="A2430" r:id="rId7285" display="https://statiz.sporki.com/player/?m=playerinfo&amp;p_no=10252" xr:uid="{71D313DF-4BF1-493F-A72A-3C24D4C52F04}"/>
    <hyperlink ref="B2430" r:id="rId7286" display="https://statiz.sporki.com/add/?m=draft_school01&amp;ps_school=50606" xr:uid="{6FA47C36-0404-4CED-B530-931EFACD8FCB}"/>
    <hyperlink ref="C2430" r:id="rId7287" display="https://statiz.sporki.com/add/?m=draft_school02&amp;ps_school=60804" xr:uid="{FAF240C3-CD19-49E1-8284-7580F9EE44B4}"/>
    <hyperlink ref="A2431" r:id="rId7288" display="https://statiz.sporki.com/player/?m=playerinfo&amp;p_no=10215" xr:uid="{B123000C-209E-4D03-9A1A-A1B52CE1A504}"/>
    <hyperlink ref="B2431" r:id="rId7289" display="https://statiz.sporki.com/add/?m=draft_school01&amp;ps_school=50606" xr:uid="{9B8B7209-2581-4657-9FB7-189A54B6902A}"/>
    <hyperlink ref="C2431" r:id="rId7290" display="https://statiz.sporki.com/add/?m=draft_school02&amp;ps_school=60501" xr:uid="{DDE34892-DFFE-48BC-BB92-D4FB991777F9}"/>
    <hyperlink ref="A2432" r:id="rId7291" display="https://statiz.sporki.com/player/?m=playerinfo&amp;p_no=2303" xr:uid="{C3059C1A-DF96-44D2-83FD-CD4DC2173468}"/>
    <hyperlink ref="B2432" r:id="rId7292" display="https://statiz.sporki.com/add/?m=draft_school01&amp;ps_school=" xr:uid="{99ADA14F-A055-4E3C-8443-9AA5D2DAAA54}"/>
    <hyperlink ref="C2432" r:id="rId7293" display="https://statiz.sporki.com/add/?m=draft_school02&amp;ps_school=60101" xr:uid="{FB3F4189-6E8C-416A-A2B6-5B22B0EA5234}"/>
    <hyperlink ref="A2433" r:id="rId7294" display="https://statiz.sporki.com/player/?m=playerinfo&amp;p_no=10605" xr:uid="{6BC6503F-08E8-46C7-98B6-80B5A278A150}"/>
    <hyperlink ref="B2433" r:id="rId7295" display="https://statiz.sporki.com/add/?m=draft_school01&amp;ps_school=50402" xr:uid="{F2A26537-453B-4228-9809-0417F38E32E5}"/>
    <hyperlink ref="C2433" r:id="rId7296" display="https://statiz.sporki.com/add/?m=draft_school02&amp;ps_school=60804" xr:uid="{41DB38BB-D8B1-49CD-A9C8-C384E53C2CAD}"/>
    <hyperlink ref="A2434" r:id="rId7297" display="https://statiz.sporki.com/player/?m=playerinfo&amp;p_no=10177" xr:uid="{A64F07B0-1D86-4EE1-AE80-1A76C4D57C33}"/>
    <hyperlink ref="B2434" r:id="rId7298" display="https://statiz.sporki.com/add/?m=draft_school01&amp;ps_school=50109" xr:uid="{4DEDAB38-437C-4159-A155-D3405915576B}"/>
    <hyperlink ref="C2434" r:id="rId7299" display="https://statiz.sporki.com/add/?m=draft_school02&amp;ps_school=60804" xr:uid="{4F1C5C10-F145-4C82-A379-C5032920E933}"/>
    <hyperlink ref="A2435" r:id="rId7300" display="https://statiz.sporki.com/player/?m=playerinfo&amp;p_no=2271" xr:uid="{7C387F5E-5F54-4523-8693-7F3EEFA2DB8E}"/>
    <hyperlink ref="B2435" r:id="rId7301" display="https://statiz.sporki.com/add/?m=draft_school01&amp;ps_school=50108" xr:uid="{43ABF988-B1F6-4338-9071-4457A6E32BE0}"/>
    <hyperlink ref="C2435" r:id="rId7302" display="https://statiz.sporki.com/add/?m=draft_school02&amp;ps_school=" xr:uid="{023B9354-5BDB-4648-9F4C-EB598D71D5FF}"/>
    <hyperlink ref="A2436" r:id="rId7303" display="https://statiz.sporki.com/player/?m=playerinfo&amp;p_no=10529" xr:uid="{6E3518CF-4928-4B50-A4B5-5908C7B6A623}"/>
    <hyperlink ref="B2436" r:id="rId7304" display="https://statiz.sporki.com/add/?m=draft_school01&amp;ps_school=50109" xr:uid="{8261C71B-2786-4EEF-BBB5-D556D1E200CD}"/>
    <hyperlink ref="C2436" r:id="rId7305" display="https://statiz.sporki.com/add/?m=draft_school02&amp;ps_school=60703" xr:uid="{480E791D-53B8-443F-9F80-C70C8B635EA1}"/>
    <hyperlink ref="A2437" r:id="rId7306" display="https://statiz.sporki.com/player/?m=playerinfo&amp;p_no=10295" xr:uid="{F2E8E8F3-8EB8-4552-8577-50606DEF7AAB}"/>
    <hyperlink ref="B2437" r:id="rId7307" display="https://statiz.sporki.com/add/?m=draft_school01&amp;ps_school=50802" xr:uid="{1AA38890-9F56-451A-A4B6-942B4C9E3CD4}"/>
    <hyperlink ref="C2437" r:id="rId7308" display="https://statiz.sporki.com/add/?m=draft_school02&amp;ps_school=60803" xr:uid="{DADBD709-D9AF-408D-8894-4353F2BE2730}"/>
    <hyperlink ref="A2438" r:id="rId7309" display="https://statiz.sporki.com/player/?m=playerinfo&amp;p_no=10599" xr:uid="{7CFD4189-1C84-422A-8F94-016C15E3601C}"/>
    <hyperlink ref="B2438" r:id="rId7310" display="https://statiz.sporki.com/add/?m=draft_school01&amp;ps_school=50303" xr:uid="{770D88C5-7805-4C65-A129-AC467E8ECFAA}"/>
    <hyperlink ref="C2438" r:id="rId7311" display="https://statiz.sporki.com/add/?m=draft_school02&amp;ps_school=" xr:uid="{8777AAD2-912C-4567-BFFD-7C4D9246C351}"/>
    <hyperlink ref="A2439" r:id="rId7312" display="https://statiz.sporki.com/player/?m=playerinfo&amp;p_no=2415" xr:uid="{8A360C84-6D6C-47EE-B436-BDECD9E3FC3F}"/>
    <hyperlink ref="B2439" r:id="rId7313" display="https://statiz.sporki.com/add/?m=draft_school01&amp;ps_school=50208" xr:uid="{B8698FC7-4741-42A6-A5C6-77208DC9152E}"/>
    <hyperlink ref="C2439" r:id="rId7314" display="https://statiz.sporki.com/add/?m=draft_school02&amp;ps_school=60113" xr:uid="{B22B0622-58BC-47BE-A372-5AF84943283E}"/>
    <hyperlink ref="A2440" r:id="rId7315" display="https://statiz.sporki.com/player/?m=playerinfo&amp;p_no=10695" xr:uid="{4A359817-38A4-4B20-8F32-919C44F519A1}"/>
    <hyperlink ref="B2440" r:id="rId7316" display="https://statiz.sporki.com/add/?m=draft_school01&amp;ps_school=50604" xr:uid="{88007D18-5B8F-41BC-BC6E-DD19B64093CC}"/>
    <hyperlink ref="C2440" r:id="rId7317" display="https://statiz.sporki.com/add/?m=draft_school02&amp;ps_school=" xr:uid="{CDB0E4CA-7F6C-4DE2-9980-69B00FC5B791}"/>
    <hyperlink ref="A2441" r:id="rId7318" display="https://statiz.sporki.com/player/?m=playerinfo&amp;p_no=10351" xr:uid="{6C7FFD75-D553-4AFC-A723-32677E730E25}"/>
    <hyperlink ref="B2441" r:id="rId7319" display="https://statiz.sporki.com/add/?m=draft_school01&amp;ps_school=50706" xr:uid="{7713F247-3F1E-48D1-A0C6-508925697CE2}"/>
    <hyperlink ref="C2441" r:id="rId7320" display="https://statiz.sporki.com/add/?m=draft_school02&amp;ps_school=" xr:uid="{1AB65AE7-692C-4F15-8E21-163BFFAB06CF}"/>
    <hyperlink ref="A2442" r:id="rId7321" display="https://statiz.sporki.com/player/?m=playerinfo&amp;p_no=10090" xr:uid="{9B661D19-3438-49A0-8699-DB36CCF13494}"/>
    <hyperlink ref="B2442" r:id="rId7322" display="https://statiz.sporki.com/add/?m=draft_school01&amp;ps_school=50115" xr:uid="{33A8275C-4535-4984-9A11-E207C709ED82}"/>
    <hyperlink ref="C2442" r:id="rId7323" display="https://statiz.sporki.com/add/?m=draft_school02&amp;ps_school=60102" xr:uid="{E3F717DE-4271-4D54-A648-2807970E5C19}"/>
    <hyperlink ref="A2443" r:id="rId7324" display="https://statiz.sporki.com/player/?m=playerinfo&amp;p_no=10157" xr:uid="{DF471A04-5F39-4E99-9785-29281EC01D6F}"/>
    <hyperlink ref="B2443" r:id="rId7325" display="https://statiz.sporki.com/add/?m=draft_school01&amp;ps_school=50601" xr:uid="{EF170C11-508F-440E-9FDE-F155F7B5C7E2}"/>
    <hyperlink ref="C2443" r:id="rId7326" display="https://statiz.sporki.com/add/?m=draft_school02&amp;ps_school=" xr:uid="{3FBEB3C1-0B75-41DE-86CA-D8ADBED1F823}"/>
    <hyperlink ref="A2444" r:id="rId7327" display="https://statiz.sporki.com/player/?m=playerinfo&amp;p_no=10055" xr:uid="{9D44BF26-E944-4D34-8E3F-C0BC1FD2C715}"/>
    <hyperlink ref="B2444" r:id="rId7328" display="https://statiz.sporki.com/add/?m=draft_school01&amp;ps_school=50502" xr:uid="{94DDEC71-1BC6-4815-B230-A15374880A9C}"/>
    <hyperlink ref="C2444" r:id="rId7329" display="https://statiz.sporki.com/add/?m=draft_school02&amp;ps_school=" xr:uid="{4CC5B981-699C-432D-9BAA-97DA24BB060F}"/>
    <hyperlink ref="A2445" r:id="rId7330" display="https://statiz.sporki.com/player/?m=playerinfo&amp;p_no=2227" xr:uid="{6A9DF278-C387-4068-85B3-E84934820A20}"/>
    <hyperlink ref="B2445" r:id="rId7331" display="https://statiz.sporki.com/add/?m=draft_school01&amp;ps_school=50209" xr:uid="{3D5DE26C-F064-44AA-B380-4D69B1B888B6}"/>
    <hyperlink ref="C2445" r:id="rId7332" display="https://statiz.sporki.com/add/?m=draft_school02&amp;ps_school=60114" xr:uid="{0860FDC6-5D71-41B8-AF0F-29812EEBCF97}"/>
    <hyperlink ref="A2446" r:id="rId7333" display="https://statiz.sporki.com/player/?m=playerinfo&amp;p_no=10142" xr:uid="{10A2025E-5EFE-4AFE-896D-24F63F153876}"/>
    <hyperlink ref="B2446" r:id="rId7334" display="https://statiz.sporki.com/add/?m=draft_school01&amp;ps_school=50703" xr:uid="{5A4477EE-63AE-402E-BA2A-B46ED334C679}"/>
    <hyperlink ref="C2446" r:id="rId7335" display="https://statiz.sporki.com/add/?m=draft_school02&amp;ps_school=" xr:uid="{0E14CA9E-6E1A-4BE2-9FCB-F0B5F9F716AE}"/>
    <hyperlink ref="A2447" r:id="rId7336" display="https://statiz.sporki.com/player/?m=playerinfo&amp;p_no=2329" xr:uid="{33F064C4-53A2-408C-B74D-5E30B20BF9DC}"/>
    <hyperlink ref="B2447" r:id="rId7337" display="https://statiz.sporki.com/add/?m=draft_school01&amp;ps_school=50101" xr:uid="{DB0626D9-5B30-4280-B5B7-F21066351C6A}"/>
    <hyperlink ref="C2447" r:id="rId7338" display="https://statiz.sporki.com/add/?m=draft_school02&amp;ps_school=" xr:uid="{A751080E-EBA0-4093-9BB9-6D4399EA019A}"/>
    <hyperlink ref="A2448" r:id="rId7339" display="https://statiz.sporki.com/player/?m=playerinfo&amp;p_no=10171" xr:uid="{E00562C6-49B2-40C9-AD14-15D653851CC4}"/>
    <hyperlink ref="B2448" r:id="rId7340" display="https://statiz.sporki.com/add/?m=draft_school01&amp;ps_school=50108" xr:uid="{72E1503D-5BD8-45FC-A728-FC9FF384389D}"/>
    <hyperlink ref="C2448" r:id="rId7341" display="https://statiz.sporki.com/add/?m=draft_school02&amp;ps_school=" xr:uid="{EDDC7DF5-05A3-4C79-BEDB-932FF97884C8}"/>
    <hyperlink ref="A2449" r:id="rId7342" display="https://statiz.sporki.com/player/?m=playerinfo&amp;p_no=10124" xr:uid="{FAF35C25-CA08-4AFF-B617-20E13605140A}"/>
    <hyperlink ref="B2449" r:id="rId7343" display="https://statiz.sporki.com/add/?m=draft_school01&amp;ps_school=50301" xr:uid="{A95B513E-B87A-4A3C-8F62-82A6D1A6A548}"/>
    <hyperlink ref="C2449" r:id="rId7344" display="https://statiz.sporki.com/add/?m=draft_school02&amp;ps_school=" xr:uid="{A5F973EB-4A5F-4658-BE50-99F6E3B378D9}"/>
    <hyperlink ref="A2450" r:id="rId7345" display="https://statiz.sporki.com/player/?m=playerinfo&amp;p_no=10329" xr:uid="{7B2D9D47-9B17-4743-8032-8E045871DD70}"/>
    <hyperlink ref="B2450" r:id="rId7346" display="https://statiz.sporki.com/add/?m=draft_school01&amp;ps_school=50401" xr:uid="{62DFF672-451C-4CDB-8C38-88A454A47BB2}"/>
    <hyperlink ref="C2450" r:id="rId7347" display="https://statiz.sporki.com/add/?m=draft_school02&amp;ps_school=" xr:uid="{16F60C5C-BD63-4155-A0F5-D0FD0374E0E6}"/>
    <hyperlink ref="A2451" r:id="rId7348" display="https://statiz.sporki.com/player/?m=playerinfo&amp;p_no=2261" xr:uid="{34DAF6EB-9460-4EF1-888E-AEAC6F64C9C7}"/>
    <hyperlink ref="B2451" r:id="rId7349" display="https://statiz.sporki.com/add/?m=draft_school01&amp;ps_school=50706" xr:uid="{A4F77B3C-1E99-4E1A-805D-C5D18222B1E5}"/>
    <hyperlink ref="C2451" r:id="rId7350" display="https://statiz.sporki.com/add/?m=draft_school02&amp;ps_school=" xr:uid="{51D763B9-DD5F-4212-879E-96E931D4C55D}"/>
    <hyperlink ref="A2452" r:id="rId7351" display="https://statiz.sporki.com/player/?m=playerinfo&amp;p_no=10440" xr:uid="{FD0EEC08-645A-45FA-A326-CEBFCF6BB703}"/>
    <hyperlink ref="B2452" r:id="rId7352" display="https://statiz.sporki.com/add/?m=draft_school01&amp;ps_school=50107" xr:uid="{36EECD4F-B15D-4095-81AF-54293B8CD8CD}"/>
    <hyperlink ref="C2452" r:id="rId7353" display="https://statiz.sporki.com/add/?m=draft_school02&amp;ps_school=" xr:uid="{91B5CBDD-F8BD-4D62-B803-5893752B0866}"/>
    <hyperlink ref="A2453" r:id="rId7354" display="https://statiz.sporki.com/player/?m=playerinfo&amp;p_no=10049" xr:uid="{19284062-4063-4BEA-A924-D1B45E22A92C}"/>
    <hyperlink ref="B2453" r:id="rId7355" display="https://statiz.sporki.com/add/?m=draft_school01&amp;ps_school=50109" xr:uid="{47F16ED2-9DA0-4334-B86C-F710BDF1EEB4}"/>
    <hyperlink ref="C2453" r:id="rId7356" display="https://statiz.sporki.com/add/?m=draft_school02&amp;ps_school=" xr:uid="{0FF46D87-7519-4CB0-BD4A-0EFBC7E087B3}"/>
    <hyperlink ref="A2454" r:id="rId7357" display="https://statiz.sporki.com/player/?m=playerinfo&amp;p_no=10388" xr:uid="{846814B3-0E16-4B2A-9526-0C9D4A35E0BC}"/>
    <hyperlink ref="B2454" r:id="rId7358" display="https://statiz.sporki.com/add/?m=draft_school01&amp;ps_school=50701" xr:uid="{4E187BC9-1A6F-464F-B09C-B3BCF5B2AECA}"/>
    <hyperlink ref="C2454" r:id="rId7359" display="https://statiz.sporki.com/add/?m=draft_school02&amp;ps_school=" xr:uid="{CB039479-B622-4AC2-9E70-4DD8F91F0F09}"/>
    <hyperlink ref="A2455" r:id="rId7360" display="https://statiz.sporki.com/player/?m=playerinfo&amp;p_no=10175" xr:uid="{615FDAA1-B391-4372-A131-F924129FF7ED}"/>
    <hyperlink ref="B2455" r:id="rId7361" display="https://statiz.sporki.com/add/?m=draft_school01&amp;ps_school=50105" xr:uid="{26FEFF29-9D14-40AE-B6F6-777D06882FFC}"/>
    <hyperlink ref="C2455" r:id="rId7362" display="https://statiz.sporki.com/add/?m=draft_school02&amp;ps_school=60113" xr:uid="{F5E0EFD7-DBCA-4D46-B9E3-36368D65BA0B}"/>
    <hyperlink ref="A2456" r:id="rId7363" display="https://statiz.sporki.com/player/?m=playerinfo&amp;p_no=10290" xr:uid="{84785C92-E127-46D8-8576-F1F7B76D50AA}"/>
    <hyperlink ref="B2456" r:id="rId7364" display="https://statiz.sporki.com/add/?m=draft_school01&amp;ps_school=50806" xr:uid="{9194EE10-D47A-44FB-80FD-C4A14944A96D}"/>
    <hyperlink ref="C2456" r:id="rId7365" display="https://statiz.sporki.com/add/?m=draft_school02&amp;ps_school=" xr:uid="{DDD13E07-3B7F-4775-BBA2-2EF505804E88}"/>
    <hyperlink ref="A2457" r:id="rId7366" display="https://statiz.sporki.com/player/?m=playerinfo&amp;p_no=10155" xr:uid="{F7DE9711-E10E-4810-80FC-7514B639D3CF}"/>
    <hyperlink ref="B2457" r:id="rId7367" display="https://statiz.sporki.com/add/?m=draft_school01&amp;ps_school=50116" xr:uid="{EBE9E6EE-ACE7-4B9B-8B96-F6F340F71363}"/>
    <hyperlink ref="C2457" r:id="rId7368" display="https://statiz.sporki.com/add/?m=draft_school02&amp;ps_school=" xr:uid="{A9F47FB4-8A25-4387-BBE7-8997D9E8BD88}"/>
    <hyperlink ref="A2458" r:id="rId7369" display="https://statiz.sporki.com/player/?m=playerinfo&amp;p_no=10084" xr:uid="{99B52621-3CC4-45D2-95E7-DA1E32A5080E}"/>
    <hyperlink ref="B2458" r:id="rId7370" display="https://statiz.sporki.com/add/?m=draft_school01&amp;ps_school=50805" xr:uid="{32C37984-42CB-4CD5-8CED-816DF7C466BE}"/>
    <hyperlink ref="C2458" r:id="rId7371" display="https://statiz.sporki.com/add/?m=draft_school02&amp;ps_school=" xr:uid="{787E954B-E9DE-4E63-AFC7-251E427581CF}"/>
    <hyperlink ref="A2459" r:id="rId7372" display="https://statiz.sporki.com/player/?m=playerinfo&amp;p_no=10462" xr:uid="{4B57E411-BA5D-4E44-A791-E39D26E12D01}"/>
    <hyperlink ref="B2459" r:id="rId7373" display="https://statiz.sporki.com/add/?m=draft_school01&amp;ps_school=50101" xr:uid="{1E028BC0-75A7-467D-AB4C-D92710ADE420}"/>
    <hyperlink ref="C2459" r:id="rId7374" display="https://statiz.sporki.com/add/?m=draft_school02&amp;ps_school=" xr:uid="{8D0ECAE0-EEE4-4E2A-813A-F384D59E17D9}"/>
    <hyperlink ref="A2460" r:id="rId7375" display="https://statiz.sporki.com/player/?m=playerinfo&amp;p_no=10086" xr:uid="{C4B331CC-6F76-4EF9-AB94-2D5A11709152}"/>
    <hyperlink ref="B2460" r:id="rId7376" display="https://statiz.sporki.com/add/?m=draft_school01&amp;ps_school=50103" xr:uid="{FDF67DBD-7340-4F3A-AA14-8C9E9E8FCD49}"/>
    <hyperlink ref="C2460" r:id="rId7377" display="https://statiz.sporki.com/add/?m=draft_school02&amp;ps_school=60203" xr:uid="{6055733A-4AB7-4232-919F-AA157AAB0391}"/>
    <hyperlink ref="A2461" r:id="rId7378" display="https://statiz.sporki.com/player/?m=playerinfo&amp;p_no=10325" xr:uid="{B8387F9B-0581-438F-A10F-96B8E6FAC911}"/>
    <hyperlink ref="B2461" r:id="rId7379" display="https://statiz.sporki.com/add/?m=draft_school01&amp;ps_school=50604" xr:uid="{F203EB6D-D48B-4F35-B939-C41A4CF29D38}"/>
    <hyperlink ref="C2461" r:id="rId7380" display="https://statiz.sporki.com/add/?m=draft_school02&amp;ps_school=" xr:uid="{4E5B5B4A-3BC1-4396-B765-AF3BB4F2AFC3}"/>
    <hyperlink ref="A2462" r:id="rId7381" display="https://statiz.sporki.com/player/?m=playerinfo&amp;p_no=10221" xr:uid="{7166B60E-E70C-487C-A81D-CD0CF42E5CCC}"/>
    <hyperlink ref="B2462" r:id="rId7382" display="https://statiz.sporki.com/add/?m=draft_school01&amp;ps_school=50202" xr:uid="{D160667B-DEEA-4F65-8E86-881AFC9FB530}"/>
    <hyperlink ref="C2462" r:id="rId7383" display="https://statiz.sporki.com/add/?m=draft_school02&amp;ps_school=60204" xr:uid="{E856A26E-7E3F-412B-8857-E2C411325DAF}"/>
    <hyperlink ref="A2463" r:id="rId7384" display="https://statiz.sporki.com/player/?m=playerinfo&amp;p_no=10460" xr:uid="{2AC76986-2B9A-420B-813F-CA151CE476CD}"/>
    <hyperlink ref="B2463" r:id="rId7385" display="https://statiz.sporki.com/add/?m=draft_school01&amp;ps_school=50602" xr:uid="{AAB64012-90C2-406B-B03B-370CAE4E5E8C}"/>
    <hyperlink ref="C2463" r:id="rId7386" display="https://statiz.sporki.com/add/?m=draft_school02&amp;ps_school=" xr:uid="{018C32BD-9917-4E5B-9CAE-6DF31A7E609C}"/>
    <hyperlink ref="A2464" r:id="rId7387" display="https://statiz.sporki.com/player/?m=playerinfo&amp;p_no=11139" xr:uid="{BB2B3AEE-6793-4770-9F7A-DC9C815C7689}"/>
    <hyperlink ref="B2464" r:id="rId7388" display="https://statiz.sporki.com/add/?m=draft_school01&amp;ps_school=50109" xr:uid="{BDF702E8-5162-4935-BD10-5142C2ECA7B8}"/>
    <hyperlink ref="C2464" r:id="rId7389" display="https://statiz.sporki.com/add/?m=draft_school02&amp;ps_school=" xr:uid="{C6A736F4-3057-40E2-BCE7-E79A65BF3301}"/>
    <hyperlink ref="A2465" r:id="rId7390" display="https://statiz.sporki.com/player/?m=playerinfo&amp;p_no=2252" xr:uid="{0EE03485-EBCD-45F8-B80A-2C82B7E5CF36}"/>
    <hyperlink ref="B2465" r:id="rId7391" display="https://statiz.sporki.com/add/?m=draft_school01&amp;ps_school=50813" xr:uid="{31A19EAA-EF7F-44F8-9233-41F4DEA5C307}"/>
    <hyperlink ref="C2465" r:id="rId7392" display="https://statiz.sporki.com/add/?m=draft_school02&amp;ps_school=60803" xr:uid="{0FB33004-41CA-46BE-890F-B8E581142687}"/>
    <hyperlink ref="A2466" r:id="rId7393" display="https://statiz.sporki.com/player/?m=playerinfo&amp;p_no=10435" xr:uid="{5FDE67C1-33E6-47E3-8E9C-ACAD97F82B5E}"/>
    <hyperlink ref="B2466" r:id="rId7394" display="https://statiz.sporki.com/add/?m=draft_school01&amp;ps_school=50303" xr:uid="{EF865B81-3749-4FCA-ABB1-6BE70013B48C}"/>
    <hyperlink ref="C2466" r:id="rId7395" display="https://statiz.sporki.com/add/?m=draft_school02&amp;ps_school=" xr:uid="{F84E0C4D-7F87-4435-B496-BD6F7F2F84A6}"/>
    <hyperlink ref="A2467" r:id="rId7396" display="https://statiz.sporki.com/player/?m=playerinfo&amp;p_no=2391" xr:uid="{125402D3-C7AF-4E08-B69C-6A5194CE7816}"/>
    <hyperlink ref="B2467" r:id="rId7397" display="https://statiz.sporki.com/add/?m=draft_school01&amp;ps_school=50802" xr:uid="{E4B37FF0-5BB8-4B49-A342-7C2036D9A090}"/>
    <hyperlink ref="C2467" r:id="rId7398" display="https://statiz.sporki.com/add/?m=draft_school02&amp;ps_school=60803" xr:uid="{52C25ABE-5718-4F5F-BCB6-D68595DCE2E7}"/>
    <hyperlink ref="A2468" r:id="rId7399" display="https://statiz.sporki.com/player/?m=playerinfo&amp;p_no=11460" xr:uid="{BA03B7E6-9937-4E5C-976D-65088053A897}"/>
    <hyperlink ref="B2468" r:id="rId7400" display="https://statiz.sporki.com/add/?m=draft_school01&amp;ps_school=50301" xr:uid="{35878567-53CD-4EB6-8761-CA4C34BC021F}"/>
    <hyperlink ref="C2468" r:id="rId7401" display="https://statiz.sporki.com/add/?m=draft_school02&amp;ps_school=" xr:uid="{E803AAB6-E232-404A-A48F-DF54ECCF3FF8}"/>
    <hyperlink ref="A2469" r:id="rId7402" display="https://statiz.sporki.com/player/?m=playerinfo&amp;p_no=2278" xr:uid="{56029042-392A-4E29-BD4E-9BD154967CB7}"/>
    <hyperlink ref="B2469" r:id="rId7403" display="https://statiz.sporki.com/add/?m=draft_school01&amp;ps_school=" xr:uid="{4DE3C4A0-EB66-49CB-AA58-905079550550}"/>
    <hyperlink ref="C2469" r:id="rId7404" display="https://statiz.sporki.com/add/?m=draft_school02&amp;ps_school=" xr:uid="{75CDA0DD-A7D3-46D1-B798-02F1BE3DFEF1}"/>
    <hyperlink ref="A2470" r:id="rId7405" display="https://statiz.sporki.com/player/?m=playerinfo&amp;p_no=2283" xr:uid="{EF636917-3581-4B34-91DD-7ED746E7C2B7}"/>
    <hyperlink ref="B2470" r:id="rId7406" display="https://statiz.sporki.com/add/?m=draft_school01&amp;ps_school=50105" xr:uid="{FBCF3C99-6837-4BED-AA1B-C5DA47D959D0}"/>
    <hyperlink ref="C2470" r:id="rId7407" display="https://statiz.sporki.com/add/?m=draft_school02&amp;ps_school=61002" xr:uid="{ADC0167B-49B0-46F3-8DB2-A2A33965153C}"/>
    <hyperlink ref="A2471" r:id="rId7408" display="https://statiz.sporki.com/player/?m=playerinfo&amp;p_no=10744" xr:uid="{D803C0D5-0CCA-4B1C-9528-4689F1FCDFEF}"/>
    <hyperlink ref="B2471" r:id="rId7409" display="https://statiz.sporki.com/add/?m=draft_school01&amp;ps_school=50803" xr:uid="{7C47C713-B57C-4537-9A4B-5D4A0E9297F3}"/>
    <hyperlink ref="C2471" r:id="rId7410" display="https://statiz.sporki.com/add/?m=draft_school02&amp;ps_school=60102" xr:uid="{604C348F-346F-482C-B8AE-1AC8AAFF7671}"/>
    <hyperlink ref="A2472" r:id="rId7411" display="https://statiz.sporki.com/player/?m=playerinfo&amp;p_no=10364" xr:uid="{0DDD2C80-1523-4D0E-B555-078AF3D17C4E}"/>
    <hyperlink ref="B2472" r:id="rId7412" display="https://statiz.sporki.com/add/?m=draft_school01&amp;ps_school=50705" xr:uid="{C607CB9A-0187-46DE-96BD-77AD66FE922C}"/>
    <hyperlink ref="C2472" r:id="rId7413" display="https://statiz.sporki.com/add/?m=draft_school02&amp;ps_school=60106" xr:uid="{8215595F-CC24-437B-842F-877A66D21B56}"/>
    <hyperlink ref="A2473" r:id="rId7414" display="https://statiz.sporki.com/player/?m=playerinfo&amp;p_no=2235" xr:uid="{15E77FA7-A1F2-435D-8092-E0BF5D3800B2}"/>
    <hyperlink ref="B2473" r:id="rId7415" display="https://statiz.sporki.com/add/?m=draft_school01&amp;ps_school=50109" xr:uid="{F5FE548A-527C-45AA-AC75-382CB2D28222}"/>
    <hyperlink ref="C2473" r:id="rId7416" display="https://statiz.sporki.com/add/?m=draft_school02&amp;ps_school=61002" xr:uid="{F0F97496-31BC-4E9D-9C02-F2DA0828E980}"/>
    <hyperlink ref="A2474" r:id="rId7417" display="https://statiz.sporki.com/player/?m=playerinfo&amp;p_no=10762" xr:uid="{E62F56FB-8945-436A-8638-828FFBC96753}"/>
    <hyperlink ref="B2474" r:id="rId7418" display="https://statiz.sporki.com/add/?m=draft_school01&amp;ps_school=50115" xr:uid="{3A6B5BD1-DA62-468A-BAF3-561921C85635}"/>
    <hyperlink ref="C2474" r:id="rId7419" display="https://statiz.sporki.com/add/?m=draft_school02&amp;ps_school=60102" xr:uid="{7E474428-1ED1-47D7-84FF-F347E2B6320F}"/>
    <hyperlink ref="A2475" r:id="rId7420" display="https://statiz.sporki.com/player/?m=playerinfo&amp;p_no=10135" xr:uid="{E07A0C0E-A024-46AB-ADA1-7164E267E4E5}"/>
    <hyperlink ref="B2475" r:id="rId7421" display="https://statiz.sporki.com/add/?m=draft_school01&amp;ps_school=50402" xr:uid="{2D80AB32-65C9-490B-A079-7B95E5E86B3D}"/>
    <hyperlink ref="C2475" r:id="rId7422" display="https://statiz.sporki.com/add/?m=draft_school02&amp;ps_school=60104" xr:uid="{7FF0AD64-46F1-4E25-9E72-376641BC0286}"/>
    <hyperlink ref="A2476" r:id="rId7423" display="https://statiz.sporki.com/player/?m=playerinfo&amp;p_no=2379" xr:uid="{8F9F7193-6047-4A93-8D76-11592BCF6129}"/>
    <hyperlink ref="B2476" r:id="rId7424" display="https://statiz.sporki.com/add/?m=draft_school01&amp;ps_school=50805" xr:uid="{3F7DFAED-D58A-4CFF-82F6-753CE67A526D}"/>
    <hyperlink ref="C2476" r:id="rId7425" display="https://statiz.sporki.com/add/?m=draft_school02&amp;ps_school=60111" xr:uid="{4CEDD0A7-8645-45B3-A9BD-9B114543796C}"/>
    <hyperlink ref="A2477" r:id="rId7426" display="https://statiz.sporki.com/player/?m=playerinfo&amp;p_no=10031" xr:uid="{704F6748-66C7-4215-A4A9-FA2147D44661}"/>
    <hyperlink ref="B2477" r:id="rId7427" display="https://statiz.sporki.com/add/?m=draft_school01&amp;ps_school=50602" xr:uid="{B19CD65A-C6C1-4384-BB4D-6FA1612C2680}"/>
    <hyperlink ref="C2477" r:id="rId7428" display="https://statiz.sporki.com/add/?m=draft_school02&amp;ps_school=60604" xr:uid="{BDB50980-6BB9-4155-8E09-C97B15E3EBEA}"/>
    <hyperlink ref="A2478" r:id="rId7429" display="https://statiz.sporki.com/player/?m=playerinfo&amp;p_no=10344" xr:uid="{89F55F5B-52F8-42ED-8B24-C295C30918E0}"/>
    <hyperlink ref="B2478" r:id="rId7430" display="https://statiz.sporki.com/add/?m=draft_school01&amp;ps_school=50502" xr:uid="{43B64E3E-9ED6-45AC-A0A4-896F9D193447}"/>
    <hyperlink ref="C2478" r:id="rId7431" display="https://statiz.sporki.com/add/?m=draft_school02&amp;ps_school=" xr:uid="{73BB5DD0-E1F7-4055-9347-068E43F4A73A}"/>
    <hyperlink ref="A2479" r:id="rId7432" display="https://statiz.sporki.com/player/?m=playerinfo&amp;p_no=10074" xr:uid="{FCB644C3-B405-4C4B-98E4-665D5F2DC5F6}"/>
    <hyperlink ref="B2479" r:id="rId7433" display="https://statiz.sporki.com/add/?m=draft_school01&amp;ps_school=50105" xr:uid="{73C185CE-117E-4B5F-B8ED-81EEA9BC511E}"/>
    <hyperlink ref="C2479" r:id="rId7434" display="https://statiz.sporki.com/add/?m=draft_school02&amp;ps_school=" xr:uid="{14D95B68-9B1F-4F0C-92B6-35CB3780E7AF}"/>
    <hyperlink ref="A2480" r:id="rId7435" display="https://statiz.sporki.com/player/?m=playerinfo&amp;p_no=11123" xr:uid="{49264BF7-ADE7-43F2-B20D-0B0FA00E86A5}"/>
    <hyperlink ref="B2480" r:id="rId7436" display="https://statiz.sporki.com/add/?m=draft_school01&amp;ps_school=50107" xr:uid="{C455EACD-8F11-46E0-8403-98151E33AC25}"/>
    <hyperlink ref="C2480" r:id="rId7437" display="https://statiz.sporki.com/add/?m=draft_school02&amp;ps_school=" xr:uid="{592DC351-6FFB-4363-BA9B-487BCD66FCC4}"/>
    <hyperlink ref="A2481" r:id="rId7438" display="https://statiz.sporki.com/player/?m=playerinfo&amp;p_no=10582" xr:uid="{19F33B01-AB38-4E10-ABAC-C25C9D4A2B7C}"/>
    <hyperlink ref="B2481" r:id="rId7439" display="https://statiz.sporki.com/add/?m=draft_school01&amp;ps_school=50604" xr:uid="{7E8ED081-FE59-45CB-BEA1-338C3C67A830}"/>
    <hyperlink ref="C2481" r:id="rId7440" display="https://statiz.sporki.com/add/?m=draft_school02&amp;ps_school=60103" xr:uid="{717BA1EA-3CF3-4D54-AE4B-266D5A15E14A}"/>
    <hyperlink ref="A2482" r:id="rId7441" display="https://statiz.sporki.com/player/?m=playerinfo&amp;p_no=2240" xr:uid="{7459FF57-946C-4448-8444-EF4306289EDF}"/>
    <hyperlink ref="B2482" r:id="rId7442" display="https://statiz.sporki.com/add/?m=draft_school01&amp;ps_school=50102" xr:uid="{A3100ED6-8F47-4E64-B3C8-842DEFFBDC32}"/>
    <hyperlink ref="C2482" r:id="rId7443" display="https://statiz.sporki.com/add/?m=draft_school02&amp;ps_school=" xr:uid="{DE9BA797-F6DE-490E-B06C-FDE24A6959BD}"/>
    <hyperlink ref="A2483" r:id="rId7444" display="https://statiz.sporki.com/player/?m=playerinfo&amp;p_no=10553" xr:uid="{73AA7F4F-8227-43CB-B192-17115A8B07B5}"/>
    <hyperlink ref="B2483" r:id="rId7445" display="https://statiz.sporki.com/add/?m=draft_school01&amp;ps_school=50112" xr:uid="{04160E33-5C61-4557-A4AB-689A45FF220A}"/>
    <hyperlink ref="C2483" r:id="rId7446" display="https://statiz.sporki.com/add/?m=draft_school02&amp;ps_school=60108" xr:uid="{F84C9DB9-BB64-4936-B794-D7B9B61A2534}"/>
    <hyperlink ref="A2484" r:id="rId7447" display="https://statiz.sporki.com/player/?m=playerinfo&amp;p_no=10255" xr:uid="{E0039083-99DB-4EF3-AEDD-B27E2ADFE6C2}"/>
    <hyperlink ref="B2484" r:id="rId7448" display="https://statiz.sporki.com/add/?m=draft_school01&amp;ps_school=50502" xr:uid="{3107C60B-611E-468F-9243-C84B7BAE316E}"/>
    <hyperlink ref="C2484" r:id="rId7449" display="https://statiz.sporki.com/add/?m=draft_school02&amp;ps_school=60108" xr:uid="{7119AB26-6740-4346-A517-2D76D2E95D58}"/>
    <hyperlink ref="A2485" r:id="rId7450" display="https://statiz.sporki.com/player/?m=playerinfo&amp;p_no=10378" xr:uid="{4593E50B-94F6-44C2-A84A-7CD549F453F9}"/>
    <hyperlink ref="B2485" r:id="rId7451" display="https://statiz.sporki.com/add/?m=draft_school01&amp;ps_school=50701" xr:uid="{CB5662C7-2AC4-4B6B-AE64-119BCCE58661}"/>
    <hyperlink ref="C2485" r:id="rId7452" display="https://statiz.sporki.com/add/?m=draft_school02&amp;ps_school=60703" xr:uid="{52D723DC-D709-4E07-89A7-72EB74BD15C5}"/>
    <hyperlink ref="A2486" r:id="rId7453" display="https://statiz.sporki.com/player/?m=playerinfo&amp;p_no=2243" xr:uid="{574BB2D3-F978-43FF-9024-080F1A8F58F9}"/>
    <hyperlink ref="B2486" r:id="rId7454" display="https://statiz.sporki.com/add/?m=draft_school01&amp;ps_school=50608" xr:uid="{EC9B9FDA-C15B-4286-B29F-0B89F3699F90}"/>
    <hyperlink ref="C2486" r:id="rId7455" display="https://statiz.sporki.com/add/?m=draft_school02&amp;ps_school=60602" xr:uid="{A45BFE84-5612-44EF-B726-EC0E2E8A8AB3}"/>
    <hyperlink ref="A2487" r:id="rId7456" display="https://statiz.sporki.com/player/?m=playerinfo&amp;p_no=10150" xr:uid="{F4D1E869-01A5-487C-97D4-F7954C5D6DCA}"/>
    <hyperlink ref="B2487" r:id="rId7457" display="https://statiz.sporki.com/add/?m=draft_school01&amp;ps_school=50209" xr:uid="{6D1C5530-3EF1-4C71-BC15-28F3057BE6F2}"/>
    <hyperlink ref="C2487" r:id="rId7458" display="https://statiz.sporki.com/add/?m=draft_school02&amp;ps_school=60101" xr:uid="{E36E0B3E-530D-48A0-955E-C67ABCF55499}"/>
    <hyperlink ref="A2488" r:id="rId7459" display="https://statiz.sporki.com/player/?m=playerinfo&amp;p_no=10240" xr:uid="{6E5E14DB-629B-4DBE-AAEF-105C6691160C}"/>
    <hyperlink ref="B2488" r:id="rId7460" display="https://statiz.sporki.com/add/?m=draft_school01&amp;ps_school=50501" xr:uid="{526DD27A-EAC5-45BE-8B08-B5925920D321}"/>
    <hyperlink ref="C2488" r:id="rId7461" display="https://statiz.sporki.com/add/?m=draft_school02&amp;ps_school=" xr:uid="{B530A75D-CF8E-4550-B01C-32C4FCAE0454}"/>
    <hyperlink ref="A2489" r:id="rId7462" display="https://statiz.sporki.com/player/?m=playerinfo&amp;p_no=10555" xr:uid="{11CB7E1D-591E-40B7-966E-B334FADF3566}"/>
    <hyperlink ref="B2489" r:id="rId7463" display="https://statiz.sporki.com/add/?m=draft_school01&amp;ps_school=50401" xr:uid="{59937A6C-0567-4BD4-934D-DE5FF629F913}"/>
    <hyperlink ref="C2489" r:id="rId7464" display="https://statiz.sporki.com/add/?m=draft_school02&amp;ps_school=60104" xr:uid="{86C899C3-AD09-4776-A0E5-55964DA1CC4D}"/>
    <hyperlink ref="A2490" r:id="rId7465" display="https://statiz.sporki.com/player/?m=playerinfo&amp;p_no=10375" xr:uid="{825471CD-4526-4A51-824F-4C1F7634F19F}"/>
    <hyperlink ref="B2490" r:id="rId7466" display="https://statiz.sporki.com/add/?m=draft_school01&amp;ps_school=50807" xr:uid="{74492BAF-5442-47BF-AD90-C26BBAF7CE4A}"/>
    <hyperlink ref="C2490" r:id="rId7467" display="https://statiz.sporki.com/add/?m=draft_school02&amp;ps_school=60802" xr:uid="{D7A8CDFE-C425-4578-A88C-4D96A5688C66}"/>
    <hyperlink ref="A2491" r:id="rId7468" display="https://statiz.sporki.com/player/?m=playerinfo&amp;p_no=10697" xr:uid="{4DCE5E6C-28AB-4126-9ECE-20294BBF925E}"/>
    <hyperlink ref="B2491" r:id="rId7469" display="https://statiz.sporki.com/add/?m=draft_school01&amp;ps_school=50403" xr:uid="{997AF93A-EE86-4501-A403-D6F82CCBCE95}"/>
    <hyperlink ref="C2491" r:id="rId7470" display="https://statiz.sporki.com/add/?m=draft_school02&amp;ps_school=60108" xr:uid="{3C9B1B80-87B1-4197-B66E-2AFD9320D8D0}"/>
    <hyperlink ref="A2492" r:id="rId7471" display="https://statiz.sporki.com/player/?m=playerinfo&amp;p_no=2259" xr:uid="{D8EDEA13-33C4-4838-880A-A6F9C318918A}"/>
    <hyperlink ref="B2492" r:id="rId7472" display="https://statiz.sporki.com/add/?m=draft_school01&amp;ps_school=50805" xr:uid="{4E1DE53E-A06F-4D62-91D8-AC2FEB69CEBD}"/>
    <hyperlink ref="C2492" r:id="rId7473" display="https://statiz.sporki.com/add/?m=draft_school02&amp;ps_school=60103" xr:uid="{BA7754D2-69DD-4F87-ABE4-7A8A2FC26809}"/>
    <hyperlink ref="A2493" r:id="rId7474" display="https://statiz.sporki.com/player/?m=playerinfo&amp;p_no=10571" xr:uid="{485298E6-847C-4D2B-9F36-E40001BC3704}"/>
    <hyperlink ref="B2493" r:id="rId7475" display="https://statiz.sporki.com/add/?m=draft_school01&amp;ps_school=50303" xr:uid="{5AC5C870-3678-4EF4-801A-C745C2518812}"/>
    <hyperlink ref="C2493" r:id="rId7476" display="https://statiz.sporki.com/add/?m=draft_school02&amp;ps_school=60204" xr:uid="{53645F04-1C1F-420C-BCC8-B04645107456}"/>
    <hyperlink ref="A2494" r:id="rId7477" display="https://statiz.sporki.com/player/?m=playerinfo&amp;p_no=2266" xr:uid="{206850DC-D5AE-4781-B750-CE51BBE6BEFC}"/>
    <hyperlink ref="B2494" r:id="rId7478" display="https://statiz.sporki.com/add/?m=draft_school01&amp;ps_school=" xr:uid="{3E1132E1-5918-4B47-BA17-DC87A1B64D85}"/>
    <hyperlink ref="C2494" r:id="rId7479" display="https://statiz.sporki.com/add/?m=draft_school02&amp;ps_school=" xr:uid="{65910D33-5A07-4024-9E79-2984175D0FD4}"/>
    <hyperlink ref="A2495" r:id="rId7480" display="https://statiz.sporki.com/player/?m=playerinfo&amp;p_no=2231" xr:uid="{AA25BD60-6BC8-4CEF-937F-F00ED3690A99}"/>
    <hyperlink ref="B2495" r:id="rId7481" display="https://statiz.sporki.com/add/?m=draft_school01&amp;ps_school=" xr:uid="{28DC2527-08C5-4041-8C66-EA30ABEF0298}"/>
    <hyperlink ref="C2495" r:id="rId7482" display="https://statiz.sporki.com/add/?m=draft_school02&amp;ps_school=" xr:uid="{A11487E5-1122-4D28-8B1C-1DA4543D8A29}"/>
    <hyperlink ref="A2496" r:id="rId7483" display="https://statiz.sporki.com/player/?m=playerinfo&amp;p_no=2254" xr:uid="{FE01991B-ABA2-4F06-B94A-01C7A050F10F}"/>
    <hyperlink ref="B2496" r:id="rId7484" display="https://statiz.sporki.com/add/?m=draft_school01&amp;ps_school=" xr:uid="{556137D1-998D-4CF8-8EDB-8D85677E1B55}"/>
    <hyperlink ref="C2496" r:id="rId7485" display="https://statiz.sporki.com/add/?m=draft_school02&amp;ps_school=" xr:uid="{78CBDD90-6F15-443F-9C38-7CE7A0135B09}"/>
    <hyperlink ref="A2497" r:id="rId7486" display="https://statiz.sporki.com/player/?m=playerinfo&amp;p_no=2247" xr:uid="{75C98E52-2EC1-4D49-B8EA-A9E7C98EA167}"/>
    <hyperlink ref="B2497" r:id="rId7487" display="https://statiz.sporki.com/add/?m=draft_school01&amp;ps_school=" xr:uid="{AB1445D2-4B30-4744-918E-2095F41EBEE1}"/>
    <hyperlink ref="C2497" r:id="rId7488" display="https://statiz.sporki.com/add/?m=draft_school02&amp;ps_school=" xr:uid="{A89464F8-E781-4698-87CB-0D1EF937A8E1}"/>
    <hyperlink ref="A2498" r:id="rId7489" display="https://statiz.sporki.com/player/?m=playerinfo&amp;p_no=2255" xr:uid="{AE880B4D-7974-4CFC-A709-72D613AD8E84}"/>
    <hyperlink ref="B2498" r:id="rId7490" display="https://statiz.sporki.com/add/?m=draft_school01&amp;ps_school=" xr:uid="{2A4F7D73-DB56-4F5A-BC2F-D2BADD310807}"/>
    <hyperlink ref="C2498" r:id="rId7491" display="https://statiz.sporki.com/add/?m=draft_school02&amp;ps_school=" xr:uid="{8D6D76A0-9E3C-408D-9EC3-7CAD322AA2DD}"/>
    <hyperlink ref="A2499" r:id="rId7492" display="https://statiz.sporki.com/player/?m=playerinfo&amp;p_no=2265" xr:uid="{373C0160-B5C2-49FC-8DEC-C3549D305FDD}"/>
    <hyperlink ref="B2499" r:id="rId7493" display="https://statiz.sporki.com/add/?m=draft_school01&amp;ps_school=" xr:uid="{D2801270-BED6-4C07-8EB1-1AEEA82F4023}"/>
    <hyperlink ref="C2499" r:id="rId7494" display="https://statiz.sporki.com/add/?m=draft_school02&amp;ps_school=" xr:uid="{E5C1BF14-C2D7-41FE-AECE-4F14FB1AABC3}"/>
    <hyperlink ref="A2500" r:id="rId7495" display="https://statiz.sporki.com/player/?m=playerinfo&amp;p_no=2253" xr:uid="{C77809E2-8D43-4655-9052-E3B299640918}"/>
    <hyperlink ref="B2500" r:id="rId7496" display="https://statiz.sporki.com/add/?m=draft_school01&amp;ps_school=" xr:uid="{0D59FEC0-971D-490E-8101-16F13C000B47}"/>
    <hyperlink ref="C2500" r:id="rId7497" display="https://statiz.sporki.com/add/?m=draft_school02&amp;ps_school=" xr:uid="{52F695E0-835C-4533-A40B-8F9AD39FACB8}"/>
    <hyperlink ref="A2501" r:id="rId7498" display="https://statiz.sporki.com/player/?m=playerinfo&amp;p_no=2246" xr:uid="{465A7547-2343-4112-9C9A-4C300C0C5FDD}"/>
    <hyperlink ref="B2501" r:id="rId7499" display="https://statiz.sporki.com/add/?m=draft_school01&amp;ps_school=" xr:uid="{E793FAF2-3773-431B-93D7-A448B0F33229}"/>
    <hyperlink ref="C2501" r:id="rId7500" display="https://statiz.sporki.com/add/?m=draft_school02&amp;ps_school=" xr:uid="{6B0CBBB3-8CA2-4256-ABC1-6CDBA3A1F447}"/>
    <hyperlink ref="A2502" r:id="rId7501" display="https://statiz.sporki.com/player/?m=playerinfo&amp;p_no=2241" xr:uid="{37CC6D57-A0EB-4A49-AE30-A165124D25B9}"/>
    <hyperlink ref="B2502" r:id="rId7502" display="https://statiz.sporki.com/add/?m=draft_school01&amp;ps_school=" xr:uid="{C8234BA3-1A31-451B-B441-E7E68270D106}"/>
    <hyperlink ref="C2502" r:id="rId7503" display="https://statiz.sporki.com/add/?m=draft_school02&amp;ps_school=" xr:uid="{DB7E1C87-21EB-4069-AA51-8917C8833FA2}"/>
    <hyperlink ref="A2503" r:id="rId7504" display="https://statiz.sporki.com/player/?m=playerinfo&amp;p_no=2256" xr:uid="{4FFFBC1E-B04B-4357-A952-BEA38A1F8017}"/>
    <hyperlink ref="B2503" r:id="rId7505" display="https://statiz.sporki.com/add/?m=draft_school01&amp;ps_school=" xr:uid="{DC10B006-DD2D-4A76-8399-17239A6D84C8}"/>
    <hyperlink ref="C2503" r:id="rId7506" display="https://statiz.sporki.com/add/?m=draft_school02&amp;ps_school=" xr:uid="{AC2350F8-8A4A-467C-A472-52A6BAAABD0F}"/>
    <hyperlink ref="A2504" r:id="rId7507" display="https://statiz.sporki.com/player/?m=playerinfo&amp;p_no=2250" xr:uid="{1AF99B6E-DD49-4217-9353-7F9432021375}"/>
    <hyperlink ref="B2504" r:id="rId7508" display="https://statiz.sporki.com/add/?m=draft_school01&amp;ps_school=" xr:uid="{7104C1E6-A114-4E84-B1E3-CD366BF9942C}"/>
    <hyperlink ref="C2504" r:id="rId7509" display="https://statiz.sporki.com/add/?m=draft_school02&amp;ps_school=" xr:uid="{09ACCB9C-744C-4839-9E66-7063CCF074A9}"/>
    <hyperlink ref="A2505" r:id="rId7510" display="https://statiz.sporki.com/player/?m=playerinfo&amp;p_no=2234" xr:uid="{708459F3-8726-46B6-95B7-8FEACC620372}"/>
    <hyperlink ref="B2505" r:id="rId7511" display="https://statiz.sporki.com/add/?m=draft_school01&amp;ps_school=" xr:uid="{75599EC1-57FF-468C-976A-57491B00BAEA}"/>
    <hyperlink ref="C2505" r:id="rId7512" display="https://statiz.sporki.com/add/?m=draft_school02&amp;ps_school=" xr:uid="{543A87B1-DD45-48BB-B0E7-B7E0FC1B9152}"/>
    <hyperlink ref="A2506" r:id="rId7513" display="https://statiz.sporki.com/player/?m=playerinfo&amp;p_no=2268" xr:uid="{3F8FEC6E-3F2B-44B1-8D37-E8C4827EAC20}"/>
    <hyperlink ref="B2506" r:id="rId7514" display="https://statiz.sporki.com/add/?m=draft_school01&amp;ps_school=" xr:uid="{228EEC10-5E9A-4E81-850C-16E8AEB6EBD6}"/>
    <hyperlink ref="C2506" r:id="rId7515" display="https://statiz.sporki.com/add/?m=draft_school02&amp;ps_school=" xr:uid="{38E50C43-A739-4334-8DF1-BB261F8CA631}"/>
    <hyperlink ref="A2507" r:id="rId7516" display="https://statiz.sporki.com/player/?m=playerinfo&amp;p_no=2260" xr:uid="{A36E97D5-188E-4269-8C81-46140B8BF984}"/>
    <hyperlink ref="B2507" r:id="rId7517" display="https://statiz.sporki.com/add/?m=draft_school01&amp;ps_school=" xr:uid="{17AF536A-1B44-4F31-A23E-25DDD3EDA859}"/>
    <hyperlink ref="C2507" r:id="rId7518" display="https://statiz.sporki.com/add/?m=draft_school02&amp;ps_school=" xr:uid="{4E4889B7-135C-40B9-8D45-9F54D0D0F8C1}"/>
    <hyperlink ref="A2508" r:id="rId7519" display="https://statiz.sporki.com/player/?m=playerinfo&amp;p_no=2225" xr:uid="{883D377F-6C9F-4B6F-8134-D47BFCAFEE05}"/>
    <hyperlink ref="B2508" r:id="rId7520" display="https://statiz.sporki.com/add/?m=draft_school01&amp;ps_school=" xr:uid="{1E177759-05D9-414A-B489-1E08D88EA3EA}"/>
    <hyperlink ref="C2508" r:id="rId7521" display="https://statiz.sporki.com/add/?m=draft_school02&amp;ps_school=" xr:uid="{E5C17ECD-221C-4112-8413-5EF224933075}"/>
    <hyperlink ref="A2509" r:id="rId7522" display="https://statiz.sporki.com/player/?m=playerinfo&amp;p_no=2269" xr:uid="{97A19722-53B5-49B4-A723-3B0EC55E1C38}"/>
    <hyperlink ref="B2509" r:id="rId7523" display="https://statiz.sporki.com/add/?m=draft_school01&amp;ps_school=" xr:uid="{131474E7-2F42-4F44-AC4F-27BD81007FA4}"/>
    <hyperlink ref="C2509" r:id="rId7524" display="https://statiz.sporki.com/add/?m=draft_school02&amp;ps_school=" xr:uid="{ED628924-519B-4F7F-BEEB-94EBF8CE2C79}"/>
    <hyperlink ref="A2510" r:id="rId7525" display="https://statiz.sporki.com/player/?m=playerinfo&amp;p_no=2248" xr:uid="{15FD1757-534D-43C8-A673-1240690413D9}"/>
    <hyperlink ref="B2510" r:id="rId7526" display="https://statiz.sporki.com/add/?m=draft_school01&amp;ps_school=" xr:uid="{B8CDFB7A-B37D-40F0-983D-9FD25B62C564}"/>
    <hyperlink ref="C2510" r:id="rId7527" display="https://statiz.sporki.com/add/?m=draft_school02&amp;ps_school=" xr:uid="{BC51C808-9A09-44E3-95C0-57E644854880}"/>
    <hyperlink ref="A2511" r:id="rId7528" display="https://statiz.sporki.com/player/?m=playerinfo&amp;p_no=2249" xr:uid="{B5615367-0BC2-4C41-A899-568F91CA0B4C}"/>
    <hyperlink ref="B2511" r:id="rId7529" display="https://statiz.sporki.com/add/?m=draft_school01&amp;ps_school=" xr:uid="{B4CF202A-8924-4B67-8D22-53DA869CEC50}"/>
    <hyperlink ref="C2511" r:id="rId7530" display="https://statiz.sporki.com/add/?m=draft_school02&amp;ps_school=" xr:uid="{E2884391-B62C-49FD-B606-18DAA8185798}"/>
    <hyperlink ref="A2512" r:id="rId7531" display="https://statiz.sporki.com/player/?m=playerinfo&amp;p_no=2257" xr:uid="{7E81E275-3E6D-4B08-BF88-F6B7BCADC1F5}"/>
    <hyperlink ref="B2512" r:id="rId7532" display="https://statiz.sporki.com/add/?m=draft_school01&amp;ps_school=" xr:uid="{DB15C760-8837-4A01-B47E-A71D0E7F740E}"/>
    <hyperlink ref="C2512" r:id="rId7533" display="https://statiz.sporki.com/add/?m=draft_school02&amp;ps_school=" xr:uid="{EC75701F-3A50-40F4-9DA8-230D6981BBC1}"/>
    <hyperlink ref="A2513" r:id="rId7534" display="https://statiz.sporki.com/player/?m=playerinfo&amp;p_no=2267" xr:uid="{3CBA3827-DF96-4B6E-BE64-4313A98E12A1}"/>
    <hyperlink ref="B2513" r:id="rId7535" display="https://statiz.sporki.com/add/?m=draft_school01&amp;ps_school=" xr:uid="{5DA64455-436C-4718-8C24-F5E4A6F6E5F1}"/>
    <hyperlink ref="C2513" r:id="rId7536" display="https://statiz.sporki.com/add/?m=draft_school02&amp;ps_school=" xr:uid="{63CB1228-8FD7-4405-9422-7B16757BDC13}"/>
    <hyperlink ref="A2514" r:id="rId7537" display="https://statiz.sporki.com/player/?m=playerinfo&amp;p_no=2238" xr:uid="{437253B4-D0B0-4BCA-AB47-2161572D5DB1}"/>
    <hyperlink ref="B2514" r:id="rId7538" display="https://statiz.sporki.com/add/?m=draft_school01&amp;ps_school=" xr:uid="{447508F0-4EB6-4B4A-9068-40B1C70A66B4}"/>
    <hyperlink ref="C2514" r:id="rId7539" display="https://statiz.sporki.com/add/?m=draft_school02&amp;ps_school=" xr:uid="{87E3536B-5D00-4915-AE76-4A9D72F33050}"/>
    <hyperlink ref="A2515" r:id="rId7540" display="https://statiz.sporki.com/player/?m=playerinfo&amp;p_no=10489" xr:uid="{78EC10E6-B343-435B-86A1-B71444EA2B26}"/>
    <hyperlink ref="B2515" r:id="rId7541" display="https://statiz.sporki.com/add/?m=draft_school01&amp;ps_school=50116" xr:uid="{1419864D-3FD7-4BD3-BDC7-0685038AB0BC}"/>
    <hyperlink ref="C2515" r:id="rId7542" display="https://statiz.sporki.com/add/?m=draft_school02&amp;ps_school=60101" xr:uid="{9CF95C0E-635A-41BA-9C3F-586D5A955C83}"/>
    <hyperlink ref="A2516" r:id="rId7543" display="https://statiz.sporki.com/player/?m=playerinfo&amp;p_no=2258" xr:uid="{9F6FEE27-4221-4C24-BD6D-400B57B8B2E7}"/>
    <hyperlink ref="B2516" r:id="rId7544" display="https://statiz.sporki.com/add/?m=draft_school01&amp;ps_school=50106" xr:uid="{A20CD5B4-E2F8-4167-A7CE-D83957CD953E}"/>
    <hyperlink ref="C2516" r:id="rId7545" display="https://statiz.sporki.com/add/?m=draft_school02&amp;ps_school=60111" xr:uid="{986D7C76-8CFD-45DD-B30C-70907CCE074E}"/>
    <hyperlink ref="A2517" r:id="rId7546" display="https://statiz.sporki.com/player/?m=playerinfo&amp;p_no=2232" xr:uid="{60228FCD-80B5-4092-963C-304F8A09B6A8}"/>
    <hyperlink ref="B2517" r:id="rId7547" display="https://statiz.sporki.com/add/?m=draft_school01&amp;ps_school=50116" xr:uid="{68EE9C8F-7F23-4677-8B7A-65C51BC4A3D7}"/>
    <hyperlink ref="C2517" r:id="rId7548" display="https://statiz.sporki.com/add/?m=draft_school02&amp;ps_school=60103" xr:uid="{96866997-E8FD-4BF8-80D2-4F4D2DFE8405}"/>
    <hyperlink ref="A2518" r:id="rId7549" display="https://statiz.sporki.com/player/?m=playerinfo&amp;p_no=2264" xr:uid="{7AE2D481-9F46-46BB-BB26-D78793E1212D}"/>
    <hyperlink ref="B2518" r:id="rId7550" display="https://statiz.sporki.com/add/?m=draft_school01&amp;ps_school=50202" xr:uid="{4021BD4D-308B-4515-981F-91A0FFA34692}"/>
    <hyperlink ref="C2518" r:id="rId7551" display="https://statiz.sporki.com/add/?m=draft_school02&amp;ps_school=" xr:uid="{84BED825-F1A0-46BD-8060-B12D300F61A7}"/>
    <hyperlink ref="A2519" r:id="rId7552" display="https://statiz.sporki.com/player/?m=playerinfo&amp;p_no=2228" xr:uid="{3025DBD2-E027-4787-B6BA-E4669311E9DD}"/>
    <hyperlink ref="B2519" r:id="rId7553" display="https://statiz.sporki.com/add/?m=draft_school01&amp;ps_school=50116" xr:uid="{40E2F4E9-FD24-41A5-8B18-76C1F360230C}"/>
    <hyperlink ref="C2519" r:id="rId7554" display="https://statiz.sporki.com/add/?m=draft_school02&amp;ps_school=60203" xr:uid="{C34DDEBD-1172-4C1E-B358-2BAEFB4DB06A}"/>
    <hyperlink ref="A2520" r:id="rId7555" display="https://statiz.sporki.com/player/?m=playerinfo&amp;p_no=2219" xr:uid="{FC20F664-F23D-4810-B985-F423586531FF}"/>
    <hyperlink ref="B2520" r:id="rId7556" display="https://statiz.sporki.com/add/?m=draft_school01&amp;ps_school=50602" xr:uid="{EFF34DDE-C5F5-4054-A703-9CAC0B8C9D16}"/>
    <hyperlink ref="C2520" r:id="rId7557" display="https://statiz.sporki.com/add/?m=draft_school02&amp;ps_school=" xr:uid="{E7FFFCCF-DB36-4F69-A993-626CBEC8C6DD}"/>
    <hyperlink ref="A2521" r:id="rId7558" display="https://statiz.sporki.com/player/?m=playerinfo&amp;p_no=10450" xr:uid="{527789A6-A8D7-4053-B780-764C2234BA2E}"/>
    <hyperlink ref="B2521" r:id="rId7559" display="https://statiz.sporki.com/add/?m=draft_school01&amp;ps_school=50711" xr:uid="{FC8FF952-60D2-40D0-8D1A-9D440D37DB3D}"/>
    <hyperlink ref="C2521" r:id="rId7560" display="https://statiz.sporki.com/add/?m=draft_school02&amp;ps_school=" xr:uid="{50464012-F1D2-467E-94D2-B8A8D0BC2B83}"/>
    <hyperlink ref="A2522" r:id="rId7561" display="https://statiz.sporki.com/player/?m=playerinfo&amp;p_no=10524" xr:uid="{770C2CC2-429B-4C52-8C01-36DCB3D82671}"/>
    <hyperlink ref="B2522" r:id="rId7562" display="https://statiz.sporki.com/add/?m=draft_school01&amp;ps_school=50101" xr:uid="{2C96F223-3705-49FA-9066-6B478ABE720F}"/>
    <hyperlink ref="C2522" r:id="rId7563" display="https://statiz.sporki.com/add/?m=draft_school02&amp;ps_school=" xr:uid="{A5D5F1C0-B96C-4BCA-A988-C1533783A47E}"/>
    <hyperlink ref="A2523" r:id="rId7564" display="https://statiz.sporki.com/player/?m=playerinfo&amp;p_no=10083" xr:uid="{E71759F5-6BBA-4807-8FDE-36443D3D036C}"/>
    <hyperlink ref="B2523" r:id="rId7565" display="https://statiz.sporki.com/add/?m=draft_school01&amp;ps_school=50202" xr:uid="{DBAEDD60-EFE8-403D-82BD-A02F9C81BC72}"/>
    <hyperlink ref="C2523" r:id="rId7566" display="https://statiz.sporki.com/add/?m=draft_school02&amp;ps_school=" xr:uid="{97BDE648-D8CC-4F03-9FA0-A4BA4C6D5FB6}"/>
    <hyperlink ref="A2524" r:id="rId7567" display="https://statiz.sporki.com/player/?m=playerinfo&amp;p_no=10552" xr:uid="{6CC3A8F7-8802-43F9-9390-B61E5CB4B106}"/>
    <hyperlink ref="B2524" r:id="rId7568" display="https://statiz.sporki.com/add/?m=draft_school01&amp;ps_school=50403" xr:uid="{45DF5420-9B41-4F37-A343-AAEA11413230}"/>
    <hyperlink ref="C2524" r:id="rId7569" display="https://statiz.sporki.com/add/?m=draft_school02&amp;ps_school=60401" xr:uid="{C82801F7-F7B3-49D5-A3C5-D56A7E906AF3}"/>
    <hyperlink ref="A2525" r:id="rId7570" display="https://statiz.sporki.com/player/?m=playerinfo&amp;p_no=10198" xr:uid="{967A27DC-0BB7-40C2-AECC-24C8A5E58C1C}"/>
    <hyperlink ref="B2525" r:id="rId7571" display="https://statiz.sporki.com/add/?m=draft_school01&amp;ps_school=50203" xr:uid="{35C7229B-EFD4-4595-A7BF-C71F6043FD8E}"/>
    <hyperlink ref="C2525" r:id="rId7572" display="https://statiz.sporki.com/add/?m=draft_school02&amp;ps_school=60901" xr:uid="{63704B0D-281F-4350-8E86-EA08FCEA8586}"/>
    <hyperlink ref="A2526" r:id="rId7573" display="https://statiz.sporki.com/player/?m=playerinfo&amp;p_no=10183" xr:uid="{46F35DEB-33A1-4301-857C-A0B88CD90E1E}"/>
    <hyperlink ref="B2526" r:id="rId7574" display="https://statiz.sporki.com/add/?m=draft_school01&amp;ps_school=50706" xr:uid="{FEC83ED0-4287-41BF-97D0-FA7114DCFDB5}"/>
    <hyperlink ref="C2526" r:id="rId7575" display="https://statiz.sporki.com/add/?m=draft_school02&amp;ps_school=60704" xr:uid="{02D158E3-0520-4F81-A4E0-159299B3E70C}"/>
    <hyperlink ref="A2527" r:id="rId7576" display="https://statiz.sporki.com/player/?m=playerinfo&amp;p_no=2193" xr:uid="{AA38545D-0D1B-4ADA-9EFF-925DEC8B9132}"/>
    <hyperlink ref="B2527" r:id="rId7577" display="https://statiz.sporki.com/add/?m=draft_school01&amp;ps_school=50108" xr:uid="{184210D3-AD87-4578-A832-16FDACEC040E}"/>
    <hyperlink ref="C2527" r:id="rId7578" display="https://statiz.sporki.com/add/?m=draft_school02&amp;ps_school=" xr:uid="{3B4B07B8-62AA-4601-948A-0067A7F26017}"/>
    <hyperlink ref="A2528" r:id="rId7579" display="https://statiz.sporki.com/player/?m=playerinfo&amp;p_no=2203" xr:uid="{49634A25-FF94-46FF-9132-7F1D9386A49A}"/>
    <hyperlink ref="B2528" r:id="rId7580" display="https://statiz.sporki.com/add/?m=draft_school01&amp;ps_school=50110" xr:uid="{26A2F7F9-4E57-4EFA-8609-B4441004C1F9}"/>
    <hyperlink ref="C2528" r:id="rId7581" display="https://statiz.sporki.com/add/?m=draft_school02&amp;ps_school=" xr:uid="{CE517C4D-84EB-421E-9D11-AF1C2CBE8465}"/>
    <hyperlink ref="A2529" r:id="rId7582" display="https://statiz.sporki.com/player/?m=playerinfo&amp;p_no=10045" xr:uid="{FC3B111B-F785-4E60-8FAA-C62AB9FAB9EA}"/>
    <hyperlink ref="B2529" r:id="rId7583" display="https://statiz.sporki.com/add/?m=draft_school01&amp;ps_school=50706" xr:uid="{2E098E0F-2D22-4CCE-B55E-674A93C7AFE5}"/>
    <hyperlink ref="C2529" r:id="rId7584" display="https://statiz.sporki.com/add/?m=draft_school02&amp;ps_school=" xr:uid="{7515A5FD-7C99-4EB8-9BDA-AB905A512F34}"/>
    <hyperlink ref="A2530" r:id="rId7585" display="https://statiz.sporki.com/player/?m=playerinfo&amp;p_no=2263" xr:uid="{64DFAABD-DEAB-45E1-9CBB-AE9F6297B7AA}"/>
    <hyperlink ref="B2530" r:id="rId7586" display="https://statiz.sporki.com/add/?m=draft_school01&amp;ps_school=" xr:uid="{CEC905BD-82C3-4982-B6F3-84E5C0F13EA8}"/>
    <hyperlink ref="C2530" r:id="rId7587" display="https://statiz.sporki.com/add/?m=draft_school02&amp;ps_school=" xr:uid="{E058F124-B699-47A4-A002-AF4544E22763}"/>
    <hyperlink ref="A2531" r:id="rId7588" display="https://statiz.sporki.com/player/?m=playerinfo&amp;p_no=10088" xr:uid="{2B4DB80B-30FF-49FC-B832-5F613220291B}"/>
    <hyperlink ref="B2531" r:id="rId7589" display="https://statiz.sporki.com/add/?m=draft_school01&amp;ps_school=50904" xr:uid="{EAEDBA78-2636-46BE-B28C-7516DE8E7E56}"/>
    <hyperlink ref="C2531" r:id="rId7590" display="https://statiz.sporki.com/add/?m=draft_school02&amp;ps_school=" xr:uid="{018687D7-A274-448C-ACBB-31DA242EDE54}"/>
    <hyperlink ref="A2532" r:id="rId7591" display="https://statiz.sporki.com/player/?m=playerinfo&amp;p_no=10251" xr:uid="{A6CB9DB8-B7A9-4506-B114-498A8BB2CBF5}"/>
    <hyperlink ref="B2532" r:id="rId7592" display="https://statiz.sporki.com/add/?m=draft_school01&amp;ps_school=50802" xr:uid="{54021053-6F5F-4AF6-81F0-7707718DBE66}"/>
    <hyperlink ref="C2532" r:id="rId7593" display="https://statiz.sporki.com/add/?m=draft_school02&amp;ps_school=" xr:uid="{138B11C3-4283-43D9-95C3-C06F0446D905}"/>
    <hyperlink ref="A2533" r:id="rId7594" display="https://statiz.sporki.com/player/?m=playerinfo&amp;p_no=2192" xr:uid="{07A10188-74EF-449C-81D0-34B68694107D}"/>
    <hyperlink ref="B2533" r:id="rId7595" display="https://statiz.sporki.com/add/?m=draft_school01&amp;ps_school=50804" xr:uid="{C83DFE6E-2337-4914-AA39-32DF8E4CA114}"/>
    <hyperlink ref="C2533" r:id="rId7596" display="https://statiz.sporki.com/add/?m=draft_school02&amp;ps_school=" xr:uid="{92B21417-F819-4E2F-8CE0-F0C092E7E490}"/>
    <hyperlink ref="A2534" r:id="rId7597" display="https://statiz.sporki.com/player/?m=playerinfo&amp;p_no=10584" xr:uid="{4F501A24-55F8-492B-BBC8-139B888E5885}"/>
    <hyperlink ref="B2534" r:id="rId7598" display="https://statiz.sporki.com/add/?m=draft_school01&amp;ps_school=50805" xr:uid="{BBC6599C-6850-43C8-B194-474B9F52C290}"/>
    <hyperlink ref="C2534" r:id="rId7599" display="https://statiz.sporki.com/add/?m=draft_school02&amp;ps_school=" xr:uid="{53A6E45E-E997-49A4-88F8-C1B3EC6959D9}"/>
    <hyperlink ref="A2535" r:id="rId7600" display="https://statiz.sporki.com/player/?m=playerinfo&amp;p_no=10416" xr:uid="{F562ACE4-ADE2-4D43-94BB-C55A1E5E2EA3}"/>
    <hyperlink ref="B2535" r:id="rId7601" display="https://statiz.sporki.com/add/?m=draft_school01&amp;ps_school=50802" xr:uid="{2A13FB20-00D9-49DA-B21A-E1441D99BAC4}"/>
    <hyperlink ref="C2535" r:id="rId7602" display="https://statiz.sporki.com/add/?m=draft_school02&amp;ps_school=" xr:uid="{F9069E6F-B074-4161-B599-6F7011B5B47D}"/>
    <hyperlink ref="A2536" r:id="rId7603" display="https://statiz.sporki.com/player/?m=playerinfo&amp;p_no=2389" xr:uid="{BC161D88-2834-4B09-8234-9922DAF5E963}"/>
    <hyperlink ref="B2536" r:id="rId7604" display="https://statiz.sporki.com/add/?m=draft_school01&amp;ps_school=50115" xr:uid="{7134DF84-50C7-4CCF-B37D-CB2A45E4F8F6}"/>
    <hyperlink ref="C2536" r:id="rId7605" display="https://statiz.sporki.com/add/?m=draft_school02&amp;ps_school=" xr:uid="{E7E29394-6C3B-406E-B7AC-1728B221C579}"/>
    <hyperlink ref="A2537" r:id="rId7606" display="https://statiz.sporki.com/player/?m=playerinfo&amp;p_no=10108" xr:uid="{95ABE1B1-3CCA-4D58-A4BD-2DC2175EF4C7}"/>
    <hyperlink ref="B2537" r:id="rId7607" display="https://statiz.sporki.com/add/?m=draft_school01&amp;ps_school=50701" xr:uid="{FAAFF8E7-E3B6-44BC-9E5C-911CB0A254A6}"/>
    <hyperlink ref="C2537" r:id="rId7608" display="https://statiz.sporki.com/add/?m=draft_school02&amp;ps_school=" xr:uid="{3814C240-10A4-4E4B-8449-C0A407E12041}"/>
    <hyperlink ref="A2538" r:id="rId7609" display="https://statiz.sporki.com/player/?m=playerinfo&amp;p_no=2194" xr:uid="{24B9C67D-A914-47BC-9B84-42A1BBC2EF52}"/>
    <hyperlink ref="B2538" r:id="rId7610" display="https://statiz.sporki.com/add/?m=draft_school01&amp;ps_school=50803" xr:uid="{591140DE-A363-496E-AD48-25C090A92F17}"/>
    <hyperlink ref="C2538" r:id="rId7611" display="https://statiz.sporki.com/add/?m=draft_school02&amp;ps_school=" xr:uid="{9F01C1F2-6C36-4EC8-AC0D-EEE5E3F33CD4}"/>
    <hyperlink ref="A2539" r:id="rId7612" display="https://statiz.sporki.com/player/?m=playerinfo&amp;p_no=11398" xr:uid="{05ECC7E0-4C1B-480B-B4BF-07A8270B3125}"/>
    <hyperlink ref="B2539" r:id="rId7613" display="https://statiz.sporki.com/add/?m=draft_school01&amp;ps_school=50801" xr:uid="{E1F9C2B4-133E-41CC-938A-AA4AA7D012F5}"/>
    <hyperlink ref="C2539" r:id="rId7614" display="https://statiz.sporki.com/add/?m=draft_school02&amp;ps_school=" xr:uid="{765AAEE9-19D1-40AB-92A4-0EC5578E2CA2}"/>
    <hyperlink ref="A2540" r:id="rId7615" display="https://statiz.sporki.com/player/?m=playerinfo&amp;p_no=10330" xr:uid="{A53B883E-4BC9-427A-A189-909F92445EAB}"/>
    <hyperlink ref="B2540" r:id="rId7616" display="https://statiz.sporki.com/add/?m=draft_school01&amp;ps_school=50902" xr:uid="{41FF6768-FAB3-4934-B209-42CF4E5DF0B1}"/>
    <hyperlink ref="C2540" r:id="rId7617" display="https://statiz.sporki.com/add/?m=draft_school02&amp;ps_school=60101" xr:uid="{9D795725-D315-43AA-BB41-A89772930374}"/>
    <hyperlink ref="A2541" r:id="rId7618" display="https://statiz.sporki.com/player/?m=playerinfo&amp;p_no=10028" xr:uid="{47FD39C3-CF68-4800-A616-3945155DBDFE}"/>
    <hyperlink ref="B2541" r:id="rId7619" display="https://statiz.sporki.com/add/?m=draft_school01&amp;ps_school=50804" xr:uid="{2F026F0E-6D28-4189-B177-BC670D4B16C4}"/>
    <hyperlink ref="C2541" r:id="rId7620" display="https://statiz.sporki.com/add/?m=draft_school02&amp;ps_school=" xr:uid="{6A261236-33D8-4F38-9B28-A1CBE5423029}"/>
    <hyperlink ref="A2542" r:id="rId7621" display="https://statiz.sporki.com/player/?m=playerinfo&amp;p_no=2331" xr:uid="{6AB16E38-C977-4D0E-94E5-C645E4EB9743}"/>
    <hyperlink ref="B2542" r:id="rId7622" display="https://statiz.sporki.com/add/?m=draft_school01&amp;ps_school=50602" xr:uid="{B40F4FF7-A2CF-4224-A696-196B1D697E3F}"/>
    <hyperlink ref="C2542" r:id="rId7623" display="https://statiz.sporki.com/add/?m=draft_school02&amp;ps_school=" xr:uid="{993AB9BB-AEA1-4DC2-8260-C306B0D168F6}"/>
    <hyperlink ref="A2543" r:id="rId7624" display="https://statiz.sporki.com/player/?m=playerinfo&amp;p_no=10242" xr:uid="{BE1EAB02-8683-4163-A768-EC2956DCBB33}"/>
    <hyperlink ref="B2543" r:id="rId7625" display="https://statiz.sporki.com/add/?m=draft_school01&amp;ps_school=50601" xr:uid="{8A2DE2F0-3011-40D1-B436-E423F6297287}"/>
    <hyperlink ref="C2543" r:id="rId7626" display="https://statiz.sporki.com/add/?m=draft_school02&amp;ps_school=60602" xr:uid="{5204EE07-51A1-466B-A48E-A2858218CDA8}"/>
    <hyperlink ref="A2544" r:id="rId7627" display="https://statiz.sporki.com/player/?m=playerinfo&amp;p_no=2175" xr:uid="{CBB0C73A-22DF-4AF1-9278-61FEB913CAD2}"/>
    <hyperlink ref="B2544" r:id="rId7628" display="https://statiz.sporki.com/add/?m=draft_school01&amp;ps_school=50805" xr:uid="{D5E67A17-2455-4EAB-932B-64CECA0374F8}"/>
    <hyperlink ref="C2544" r:id="rId7629" display="https://statiz.sporki.com/add/?m=draft_school02&amp;ps_school=60103" xr:uid="{9E9FA13A-3A0A-4A2F-A4FD-A3EA5AA9758E}"/>
    <hyperlink ref="A2545" r:id="rId7630" display="https://statiz.sporki.com/player/?m=playerinfo&amp;p_no=2177" xr:uid="{6D2134FE-43A0-4BE6-B73F-B63C9889BE45}"/>
    <hyperlink ref="B2545" r:id="rId7631" display="https://statiz.sporki.com/add/?m=draft_school01&amp;ps_school=50805" xr:uid="{D3A90397-ED7E-46CF-BA0A-06E076DF8094}"/>
    <hyperlink ref="C2545" r:id="rId7632" display="https://statiz.sporki.com/add/?m=draft_school02&amp;ps_school=60803" xr:uid="{E2B05F51-DC72-485D-A754-53365E04EEB6}"/>
    <hyperlink ref="A2546" r:id="rId7633" display="https://statiz.sporki.com/player/?m=playerinfo&amp;p_no=10442" xr:uid="{279AA5E7-CB04-46E4-92E5-C4E9692A14BD}"/>
    <hyperlink ref="B2546" r:id="rId7634" display="https://statiz.sporki.com/add/?m=draft_school01&amp;ps_school=50703" xr:uid="{19591CD7-5005-4785-8749-FAC902C2AF8A}"/>
    <hyperlink ref="C2546" r:id="rId7635" display="https://statiz.sporki.com/add/?m=draft_school02&amp;ps_school=60703" xr:uid="{1B0EA681-7A57-4073-A809-3D126B6F560B}"/>
    <hyperlink ref="A2547" r:id="rId7636" display="https://statiz.sporki.com/player/?m=playerinfo&amp;p_no=2262" xr:uid="{414769F0-BC90-4F97-AF22-9FD222E86206}"/>
    <hyperlink ref="B2547" r:id="rId7637" display="https://statiz.sporki.com/add/?m=draft_school01&amp;ps_school=" xr:uid="{BC035D0F-29FC-44AC-86E2-E1A20A5D370E}"/>
    <hyperlink ref="C2547" r:id="rId7638" display="https://statiz.sporki.com/add/?m=draft_school02&amp;ps_school=" xr:uid="{3532A942-A4D4-4378-B210-075CFBD56EA9}"/>
    <hyperlink ref="A2548" r:id="rId7639" display="https://statiz.sporki.com/player/?m=playerinfo&amp;p_no=2182" xr:uid="{2DB7CF53-274B-4DD1-9D14-8FCACB99870C}"/>
    <hyperlink ref="B2548" r:id="rId7640" display="https://statiz.sporki.com/add/?m=draft_school01&amp;ps_school=50113" xr:uid="{731E084A-A573-474B-9114-043723DD2FD8}"/>
    <hyperlink ref="C2548" r:id="rId7641" display="https://statiz.sporki.com/add/?m=draft_school02&amp;ps_school=" xr:uid="{6F32381B-87A4-46FA-B4EC-E648F5BF0029}"/>
    <hyperlink ref="A2549" r:id="rId7642" display="https://statiz.sporki.com/player/?m=playerinfo&amp;p_no=10243" xr:uid="{68875E75-A048-426F-BC94-8FB290DDB441}"/>
    <hyperlink ref="B2549" r:id="rId7643" display="https://statiz.sporki.com/add/?m=draft_school01&amp;ps_school=50706" xr:uid="{BCB138C1-5EC8-4F56-AC59-4E62DB9A817A}"/>
    <hyperlink ref="C2549" r:id="rId7644" display="https://statiz.sporki.com/add/?m=draft_school02&amp;ps_school=" xr:uid="{5F3B2DC2-7CAB-4CDD-AFCC-10198DDE6AB7}"/>
    <hyperlink ref="A2550" r:id="rId7645" display="https://statiz.sporki.com/player/?m=playerinfo&amp;p_no=10438" xr:uid="{A161A23E-3999-4235-B189-53DF668BDA4C}"/>
    <hyperlink ref="B2550" r:id="rId7646" display="https://statiz.sporki.com/add/?m=draft_school01&amp;ps_school=50901" xr:uid="{CA80362F-8974-49E5-BFA5-418DBC9A4FA3}"/>
    <hyperlink ref="C2550" r:id="rId7647" display="https://statiz.sporki.com/add/?m=draft_school02&amp;ps_school=60113" xr:uid="{38FA7BBD-AEAA-4485-8D1E-832C44139FB5}"/>
    <hyperlink ref="A2551" r:id="rId7648" display="https://statiz.sporki.com/player/?m=playerinfo&amp;p_no=2205" xr:uid="{B9933D92-E35E-4000-997E-B59AA2325374}"/>
    <hyperlink ref="B2551" r:id="rId7649" display="https://statiz.sporki.com/add/?m=draft_school01&amp;ps_school=50701" xr:uid="{BA4E1ED9-A2EF-418B-84FA-432D15304531}"/>
    <hyperlink ref="C2551" r:id="rId7650" display="https://statiz.sporki.com/add/?m=draft_school02&amp;ps_school=" xr:uid="{241A7430-DEB2-49F9-8427-BCBAB6A06534}"/>
    <hyperlink ref="A2552" r:id="rId7651" display="https://statiz.sporki.com/player/?m=playerinfo&amp;p_no=2251" xr:uid="{5A2FE009-9B9A-443C-B4DD-CCCF91D7214B}"/>
    <hyperlink ref="B2552" r:id="rId7652" display="https://statiz.sporki.com/add/?m=draft_school01&amp;ps_school=50112" xr:uid="{99F9C86C-727E-45F5-8D52-2223E6ECEF5D}"/>
    <hyperlink ref="C2552" r:id="rId7653" display="https://statiz.sporki.com/add/?m=draft_school02&amp;ps_school=" xr:uid="{0143B6DA-3101-4ADF-B3A0-0481BE0F2FE3}"/>
    <hyperlink ref="A2553" r:id="rId7654" display="https://statiz.sporki.com/player/?m=playerinfo&amp;p_no=10664" xr:uid="{7A5F5B5D-EEA3-4591-AA25-4F180EDA158C}"/>
    <hyperlink ref="B2553" r:id="rId7655" display="https://statiz.sporki.com/add/?m=draft_school01&amp;ps_school=50804" xr:uid="{8219FF5C-FEF1-42E3-8E79-CE45D4B33457}"/>
    <hyperlink ref="C2553" r:id="rId7656" display="https://statiz.sporki.com/add/?m=draft_school02&amp;ps_school=60802" xr:uid="{DE0E80F2-51B5-46DD-B132-64E4A57E3ED7}"/>
    <hyperlink ref="A2554" r:id="rId7657" display="https://statiz.sporki.com/player/?m=playerinfo&amp;p_no=10796" xr:uid="{76510B67-D8CA-4211-ACC5-78527DCDF526}"/>
    <hyperlink ref="B2554" r:id="rId7658" display="https://statiz.sporki.com/add/?m=draft_school01&amp;ps_school=50804" xr:uid="{59ACFD67-903E-4377-9CB3-420E49414017}"/>
    <hyperlink ref="C2554" r:id="rId7659" display="https://statiz.sporki.com/add/?m=draft_school02&amp;ps_school=60203" xr:uid="{93BFE7D1-9111-4778-BBAC-B0626B06F2EC}"/>
    <hyperlink ref="A2555" r:id="rId7660" display="https://statiz.sporki.com/player/?m=playerinfo&amp;p_no=10161" xr:uid="{BC083C4E-07EA-493C-BADB-BA7A2CB72FB0}"/>
    <hyperlink ref="B2555" r:id="rId7661" display="https://statiz.sporki.com/add/?m=draft_school01&amp;ps_school=50110" xr:uid="{7A517C21-9329-4AF4-B227-D5F63C00BF1D}"/>
    <hyperlink ref="C2555" r:id="rId7662" display="https://statiz.sporki.com/add/?m=draft_school02&amp;ps_school=" xr:uid="{0391A3B3-5E79-4AD4-9C27-30652EC02032}"/>
    <hyperlink ref="A2556" r:id="rId7663" display="https://statiz.sporki.com/player/?m=playerinfo&amp;p_no=10406" xr:uid="{835E8A89-FD84-451D-9274-95A77E135278}"/>
    <hyperlink ref="B2556" r:id="rId7664" display="https://statiz.sporki.com/add/?m=draft_school01&amp;ps_school=50202" xr:uid="{AD20F885-5B3B-4EFD-943A-78E8AF41DD88}"/>
    <hyperlink ref="C2556" r:id="rId7665" display="https://statiz.sporki.com/add/?m=draft_school02&amp;ps_school=" xr:uid="{3A0D412D-AE82-4515-ACF5-F39617D5424B}"/>
    <hyperlink ref="A2557" r:id="rId7666" display="https://statiz.sporki.com/player/?m=playerinfo&amp;p_no=10389" xr:uid="{EF8BE6E9-B19A-4435-A300-70A7FC04E15E}"/>
    <hyperlink ref="B2557" r:id="rId7667" display="https://statiz.sporki.com/add/?m=draft_school01&amp;ps_school=50902" xr:uid="{5DBFF4FB-01C7-42D7-8788-AA209C55DC35}"/>
    <hyperlink ref="C2557" r:id="rId7668" display="https://statiz.sporki.com/add/?m=draft_school02&amp;ps_school=60204" xr:uid="{E0F3D276-448C-4CE4-9439-BD9D6AC5DBBB}"/>
    <hyperlink ref="A2558" r:id="rId7669" display="https://statiz.sporki.com/player/?m=playerinfo&amp;p_no=10393" xr:uid="{C9342076-7603-4B5A-99D2-59E1E9EFAF6D}"/>
    <hyperlink ref="B2558" r:id="rId7670" display="https://statiz.sporki.com/add/?m=draft_school01&amp;ps_school=50104" xr:uid="{56F8122E-5311-4A4D-AB7E-B6BA4AA97AEA}"/>
    <hyperlink ref="C2558" r:id="rId7671" display="https://statiz.sporki.com/add/?m=draft_school02&amp;ps_school=60109" xr:uid="{F7946870-9431-40AC-802A-7A5FEEDE0600}"/>
    <hyperlink ref="A2559" r:id="rId7672" display="https://statiz.sporki.com/player/?m=playerinfo&amp;p_no=2212" xr:uid="{88250A72-8556-416C-8E39-E414D7A0307E}"/>
    <hyperlink ref="B2559" r:id="rId7673" display="https://statiz.sporki.com/add/?m=draft_school01&amp;ps_school=50110" xr:uid="{05022AB5-1621-46A0-A682-5227E3063EB3}"/>
    <hyperlink ref="C2559" r:id="rId7674" display="https://statiz.sporki.com/add/?m=draft_school02&amp;ps_school=" xr:uid="{EB00F5EB-DB42-461B-8B1C-57340A8500DC}"/>
    <hyperlink ref="A2560" r:id="rId7675" display="https://statiz.sporki.com/player/?m=playerinfo&amp;p_no=10006" xr:uid="{491561E9-8D6E-4F86-9CF9-84DA9F558CF2}"/>
    <hyperlink ref="B2560" r:id="rId7676" display="https://statiz.sporki.com/add/?m=draft_school01&amp;ps_school=50602" xr:uid="{C46DF89A-9A9C-442A-944C-FD44BF1592FE}"/>
    <hyperlink ref="C2560" r:id="rId7677" display="https://statiz.sporki.com/add/?m=draft_school02&amp;ps_school=" xr:uid="{1F6C6CFF-D716-4C4F-894B-7C11E0E3E46A}"/>
    <hyperlink ref="A2561" r:id="rId7678" display="https://statiz.sporki.com/player/?m=playerinfo&amp;p_no=10006" xr:uid="{628B955F-97FA-4151-94E9-6C417C67CEDC}"/>
    <hyperlink ref="B2561" r:id="rId7679" display="https://statiz.sporki.com/add/?m=draft_school01&amp;ps_school=50602" xr:uid="{3A1AD567-BD8C-4D38-9429-7759430D6AE4}"/>
    <hyperlink ref="C2561" r:id="rId7680" display="https://statiz.sporki.com/add/?m=draft_school02&amp;ps_school=" xr:uid="{53CDCD06-CE2B-4CB5-9EB6-A02E61A7047B}"/>
    <hyperlink ref="A2562" r:id="rId7681" display="https://statiz.sporki.com/player/?m=playerinfo&amp;p_no=2292" xr:uid="{1BB9E919-0E79-4EFB-A9C9-00659A1123D5}"/>
    <hyperlink ref="B2562" r:id="rId7682" display="https://statiz.sporki.com/add/?m=draft_school01&amp;ps_school=50107" xr:uid="{5F751CC2-03B0-450F-AA03-FC1E294F7C90}"/>
    <hyperlink ref="C2562" r:id="rId7683" display="https://statiz.sporki.com/add/?m=draft_school02&amp;ps_school=" xr:uid="{D58E948F-C79C-4B48-B463-D7911703D9BA}"/>
    <hyperlink ref="A2563" r:id="rId7684" display="https://statiz.sporki.com/player/?m=playerinfo&amp;p_no=2347" xr:uid="{4896CAD9-A351-4648-8DE2-F974ECB9C212}"/>
    <hyperlink ref="B2563" r:id="rId7685" display="https://statiz.sporki.com/add/?m=draft_school01&amp;ps_school=50807" xr:uid="{E14B4423-1114-4731-89BD-CF4394ECF7FC}"/>
    <hyperlink ref="C2563" r:id="rId7686" display="https://statiz.sporki.com/add/?m=draft_school02&amp;ps_school=60802" xr:uid="{22525809-8482-4A99-BF8D-637D0F9D7849}"/>
    <hyperlink ref="A2564" r:id="rId7687" display="https://statiz.sporki.com/player/?m=playerinfo&amp;p_no=10112" xr:uid="{5F411C4A-927A-4EA2-AE2D-1818BDD76E7D}"/>
    <hyperlink ref="B2564" r:id="rId7688" display="https://statiz.sporki.com/add/?m=draft_school01&amp;ps_school=50107" xr:uid="{09886870-6C43-4B1A-A5E9-73C3858376D4}"/>
    <hyperlink ref="C2564" r:id="rId7689" display="https://statiz.sporki.com/add/?m=draft_school02&amp;ps_school=" xr:uid="{1DD6D165-72CE-4192-B5CE-6F02674A342E}"/>
    <hyperlink ref="A2565" r:id="rId7690" display="https://statiz.sporki.com/player/?m=playerinfo&amp;p_no=2352" xr:uid="{E5587C91-9485-4C74-B4B7-D10D5CB0A4FB}"/>
    <hyperlink ref="B2565" r:id="rId7691" display="https://statiz.sporki.com/add/?m=draft_school01&amp;ps_school=50802" xr:uid="{2AD91C64-86BC-4624-9843-5C8571736BEB}"/>
    <hyperlink ref="C2565" r:id="rId7692" display="https://statiz.sporki.com/add/?m=draft_school02&amp;ps_school=60802" xr:uid="{73B4ADE5-D0B9-476A-9148-86B61B792846}"/>
    <hyperlink ref="A2566" r:id="rId7693" display="https://statiz.sporki.com/player/?m=playerinfo&amp;p_no=10076" xr:uid="{F4DCBDE2-4AD1-49C3-A18A-F6BD4D14B09A}"/>
    <hyperlink ref="B2566" r:id="rId7694" display="https://statiz.sporki.com/add/?m=draft_school01&amp;ps_school=50812" xr:uid="{2C4FB29A-5A8F-40BF-A006-842331016F3D}"/>
    <hyperlink ref="C2566" r:id="rId7695" display="https://statiz.sporki.com/add/?m=draft_school02&amp;ps_school=60803" xr:uid="{93D82A92-5631-4FC8-B2E1-0F6C91396B96}"/>
    <hyperlink ref="A2567" r:id="rId7696" display="https://statiz.sporki.com/player/?m=playerinfo&amp;p_no=2382" xr:uid="{5C8CFE8E-465C-484C-BABD-7E50222FA92E}"/>
    <hyperlink ref="B2567" r:id="rId7697" display="https://statiz.sporki.com/add/?m=draft_school01&amp;ps_school=50301" xr:uid="{79E01D7D-2D2C-45AD-BA02-0DD65FC4AF70}"/>
    <hyperlink ref="C2567" r:id="rId7698" display="https://statiz.sporki.com/add/?m=draft_school02&amp;ps_school=60102" xr:uid="{D2606948-8F6F-47B3-9E05-328138FE6BE0}"/>
    <hyperlink ref="A2568" r:id="rId7699" display="https://statiz.sporki.com/player/?m=playerinfo&amp;p_no=10665" xr:uid="{6A9127AD-A423-4105-BBC4-38B00938D9BE}"/>
    <hyperlink ref="B2568" r:id="rId7700" display="https://statiz.sporki.com/add/?m=draft_school01&amp;ps_school=50401" xr:uid="{ADB28FBA-9AAC-4656-9E95-853A3F58F4CC}"/>
    <hyperlink ref="C2568" r:id="rId7701" display="https://statiz.sporki.com/add/?m=draft_school02&amp;ps_school=60113" xr:uid="{E076FE7E-8B78-4ADE-B156-DC14411C5111}"/>
    <hyperlink ref="A2569" r:id="rId7702" display="https://statiz.sporki.com/player/?m=playerinfo&amp;p_no=2196" xr:uid="{38EE0994-E942-435B-9E46-B48520866FF9}"/>
    <hyperlink ref="B2569" r:id="rId7703" display="https://statiz.sporki.com/add/?m=draft_school01&amp;ps_school=" xr:uid="{48532E2C-A556-4778-A144-6A6D24A8416A}"/>
    <hyperlink ref="C2569" r:id="rId7704" display="https://statiz.sporki.com/add/?m=draft_school02&amp;ps_school=" xr:uid="{C90DB543-AD8F-471F-8D6F-3BB786B00BE3}"/>
    <hyperlink ref="A2570" r:id="rId7705" display="https://statiz.sporki.com/player/?m=playerinfo&amp;p_no=2174" xr:uid="{9CBC1062-9613-433F-84D7-A79E6EC439B6}"/>
    <hyperlink ref="B2570" r:id="rId7706" display="https://statiz.sporki.com/add/?m=draft_school01&amp;ps_school=" xr:uid="{95CA9A33-6910-4B6F-9164-26F849D5D4D7}"/>
    <hyperlink ref="C2570" r:id="rId7707" display="https://statiz.sporki.com/add/?m=draft_school02&amp;ps_school=" xr:uid="{27E9F013-09BA-409A-A9DB-F8BEE687ECA0}"/>
    <hyperlink ref="A2571" r:id="rId7708" display="https://statiz.sporki.com/player/?m=playerinfo&amp;p_no=2198" xr:uid="{27AC60E1-A318-4D0B-A318-25C7A505A0E9}"/>
    <hyperlink ref="B2571" r:id="rId7709" display="https://statiz.sporki.com/add/?m=draft_school01&amp;ps_school=" xr:uid="{86ADFEB6-12D2-4C1F-BD1D-B3A1B7F442E5}"/>
    <hyperlink ref="C2571" r:id="rId7710" display="https://statiz.sporki.com/add/?m=draft_school02&amp;ps_school=" xr:uid="{CD708282-E10E-4813-B6E8-9D2652964FAE}"/>
    <hyperlink ref="A2572" r:id="rId7711" display="https://statiz.sporki.com/player/?m=playerinfo&amp;p_no=2198" xr:uid="{4054B83B-6D01-450B-B623-BCCEA1B8E44B}"/>
    <hyperlink ref="B2572" r:id="rId7712" display="https://statiz.sporki.com/add/?m=draft_school01&amp;ps_school=" xr:uid="{CE73113C-B4C9-4744-8724-5FA6D72AFE8C}"/>
    <hyperlink ref="C2572" r:id="rId7713" display="https://statiz.sporki.com/add/?m=draft_school02&amp;ps_school=" xr:uid="{ADD425C8-3DC0-4D76-8FE2-75AE37B4F780}"/>
    <hyperlink ref="A2573" r:id="rId7714" display="https://statiz.sporki.com/player/?m=playerinfo&amp;p_no=2201" xr:uid="{B76D07F2-A815-40ED-B66D-3837E1919418}"/>
    <hyperlink ref="B2573" r:id="rId7715" display="https://statiz.sporki.com/add/?m=draft_school01&amp;ps_school=" xr:uid="{09DFA2E1-C852-4143-9A50-B43325F36D17}"/>
    <hyperlink ref="C2573" r:id="rId7716" display="https://statiz.sporki.com/add/?m=draft_school02&amp;ps_school=" xr:uid="{1DA52E96-81A7-4512-A481-135310C5382B}"/>
    <hyperlink ref="A2574" r:id="rId7717" display="https://statiz.sporki.com/player/?m=playerinfo&amp;p_no=2220" xr:uid="{54111F2B-5F43-4C6B-97F0-41311876C768}"/>
    <hyperlink ref="B2574" r:id="rId7718" display="https://statiz.sporki.com/add/?m=draft_school01&amp;ps_school=" xr:uid="{3A17161C-E568-4E45-98DC-4885E9867C35}"/>
    <hyperlink ref="C2574" r:id="rId7719" display="https://statiz.sporki.com/add/?m=draft_school02&amp;ps_school=" xr:uid="{98747278-7948-4F7B-ADB6-4B6B03B267BA}"/>
    <hyperlink ref="A2575" r:id="rId7720" display="https://statiz.sporki.com/player/?m=playerinfo&amp;p_no=2202" xr:uid="{4D2A76CD-B896-4B6C-9A42-EA4E070C1B6C}"/>
    <hyperlink ref="B2575" r:id="rId7721" display="https://statiz.sporki.com/add/?m=draft_school01&amp;ps_school=" xr:uid="{49B5D523-439B-4C4F-94EB-10C4AFEFE781}"/>
    <hyperlink ref="C2575" r:id="rId7722" display="https://statiz.sporki.com/add/?m=draft_school02&amp;ps_school=" xr:uid="{F7BCF7B0-2630-44B4-AF32-0EA58B41A4AD}"/>
    <hyperlink ref="A2576" r:id="rId7723" display="https://statiz.sporki.com/player/?m=playerinfo&amp;p_no=2207" xr:uid="{6B495577-5782-4043-AD8D-D648BAFFF48A}"/>
    <hyperlink ref="B2576" r:id="rId7724" display="https://statiz.sporki.com/add/?m=draft_school01&amp;ps_school=" xr:uid="{DDF9B2AF-7E45-48C5-A605-D8A033ACD407}"/>
    <hyperlink ref="C2576" r:id="rId7725" display="https://statiz.sporki.com/add/?m=draft_school02&amp;ps_school=" xr:uid="{55307CC6-025A-4F00-89C2-AC4C0F452EFD}"/>
    <hyperlink ref="A2577" r:id="rId7726" display="https://statiz.sporki.com/player/?m=playerinfo&amp;p_no=2209" xr:uid="{9FAA73E5-36F4-4D94-83FF-85DA79951141}"/>
    <hyperlink ref="B2577" r:id="rId7727" display="https://statiz.sporki.com/add/?m=draft_school01&amp;ps_school=" xr:uid="{35388D0F-5B02-4F0C-A125-2D11B1E34D60}"/>
    <hyperlink ref="C2577" r:id="rId7728" display="https://statiz.sporki.com/add/?m=draft_school02&amp;ps_school=" xr:uid="{DA043040-5718-4A7C-8DC5-38B95575BB53}"/>
    <hyperlink ref="A2578" r:id="rId7729" display="https://statiz.sporki.com/player/?m=playerinfo&amp;p_no=2179" xr:uid="{44DBE7FC-08E7-4AED-97AA-654B1E1635F2}"/>
    <hyperlink ref="B2578" r:id="rId7730" display="https://statiz.sporki.com/add/?m=draft_school01&amp;ps_school=" xr:uid="{70D20D18-7DDA-4F41-9B73-4982D12D4E63}"/>
    <hyperlink ref="C2578" r:id="rId7731" display="https://statiz.sporki.com/add/?m=draft_school02&amp;ps_school=" xr:uid="{A5EE78CB-927E-4FCD-B65A-0865D7B5FE5A}"/>
    <hyperlink ref="A2579" r:id="rId7732" display="https://statiz.sporki.com/player/?m=playerinfo&amp;p_no=2169" xr:uid="{1FF8B3CB-808C-4058-8987-EB2A04638CE8}"/>
    <hyperlink ref="B2579" r:id="rId7733" display="https://statiz.sporki.com/add/?m=draft_school01&amp;ps_school=" xr:uid="{377B9477-333B-4719-9514-DFD0BC05D71E}"/>
    <hyperlink ref="C2579" r:id="rId7734" display="https://statiz.sporki.com/add/?m=draft_school02&amp;ps_school=" xr:uid="{995B95DB-E92E-4329-A962-19E97D0CD9F6}"/>
    <hyperlink ref="A2580" r:id="rId7735" display="https://statiz.sporki.com/player/?m=playerinfo&amp;p_no=2208" xr:uid="{6E10F3BA-058F-4980-9F28-6AD5BDCCD257}"/>
    <hyperlink ref="B2580" r:id="rId7736" display="https://statiz.sporki.com/add/?m=draft_school01&amp;ps_school=" xr:uid="{99B838A3-7485-4510-8235-61B5A24275AB}"/>
    <hyperlink ref="C2580" r:id="rId7737" display="https://statiz.sporki.com/add/?m=draft_school02&amp;ps_school=" xr:uid="{705A4D4C-B08E-43A6-922C-0E93C8F1940C}"/>
    <hyperlink ref="A2581" r:id="rId7738" display="https://statiz.sporki.com/player/?m=playerinfo&amp;p_no=2178" xr:uid="{962C618E-6D2B-47C4-B4C1-48A56D5EE2DF}"/>
    <hyperlink ref="B2581" r:id="rId7739" display="https://statiz.sporki.com/add/?m=draft_school01&amp;ps_school=" xr:uid="{74FF2888-8397-4ACD-A70C-7BA202661D6D}"/>
    <hyperlink ref="C2581" r:id="rId7740" display="https://statiz.sporki.com/add/?m=draft_school02&amp;ps_school=" xr:uid="{5F45C386-59BC-45F4-BBDA-C73424659CAA}"/>
    <hyperlink ref="A2582" r:id="rId7741" display="https://statiz.sporki.com/player/?m=playerinfo&amp;p_no=2197" xr:uid="{8FBA492B-E89C-44B3-8120-0A7CA9DC4FBC}"/>
    <hyperlink ref="B2582" r:id="rId7742" display="https://statiz.sporki.com/add/?m=draft_school01&amp;ps_school=" xr:uid="{60772D1D-C8F7-43E0-860B-2CB2A711DCF2}"/>
    <hyperlink ref="C2582" r:id="rId7743" display="https://statiz.sporki.com/add/?m=draft_school02&amp;ps_school=" xr:uid="{48A7FDE0-1A45-4D55-8658-DC50A10AEF6B}"/>
    <hyperlink ref="A2583" r:id="rId7744" display="https://statiz.sporki.com/player/?m=playerinfo&amp;p_no=2199" xr:uid="{54B2E771-C9DE-4C8C-9AA1-8BF54183607C}"/>
    <hyperlink ref="B2583" r:id="rId7745" display="https://statiz.sporki.com/add/?m=draft_school01&amp;ps_school=" xr:uid="{10230FDE-9E23-415D-8B86-C9A5A3EE4A6D}"/>
    <hyperlink ref="C2583" r:id="rId7746" display="https://statiz.sporki.com/add/?m=draft_school02&amp;ps_school=" xr:uid="{EB1639AF-4FF2-4025-B181-75B513DFECEF}"/>
    <hyperlink ref="A2584" r:id="rId7747" display="https://statiz.sporki.com/player/?m=playerinfo&amp;p_no=2224" xr:uid="{0E7D2244-D800-478C-9170-5423B8A67B8F}"/>
    <hyperlink ref="B2584" r:id="rId7748" display="https://statiz.sporki.com/add/?m=draft_school01&amp;ps_school=" xr:uid="{4D41E5C6-F223-4CAA-96C7-EA82EDF90915}"/>
    <hyperlink ref="C2584" r:id="rId7749" display="https://statiz.sporki.com/add/?m=draft_school02&amp;ps_school=" xr:uid="{1663BDE6-3B0C-4CDE-8199-E0E22A59874C}"/>
    <hyperlink ref="A2585" r:id="rId7750" display="https://statiz.sporki.com/player/?m=playerinfo&amp;p_no=2189" xr:uid="{F7BC29EB-FB72-4483-800F-716E249DB513}"/>
    <hyperlink ref="B2585" r:id="rId7751" display="https://statiz.sporki.com/add/?m=draft_school01&amp;ps_school=" xr:uid="{9F835EE1-306F-4D3D-91D0-70EDFCC13075}"/>
    <hyperlink ref="C2585" r:id="rId7752" display="https://statiz.sporki.com/add/?m=draft_school02&amp;ps_school=" xr:uid="{F244823A-5341-46B4-8973-E22D09B021FE}"/>
    <hyperlink ref="A2586" r:id="rId7753" display="https://statiz.sporki.com/player/?m=playerinfo&amp;p_no=2171" xr:uid="{FC287650-EEA5-43F5-AB1D-D34BC1B86513}"/>
    <hyperlink ref="B2586" r:id="rId7754" display="https://statiz.sporki.com/add/?m=draft_school01&amp;ps_school=" xr:uid="{9C0FD1BD-CF7C-4877-8A93-CF80DB52B33F}"/>
    <hyperlink ref="C2586" r:id="rId7755" display="https://statiz.sporki.com/add/?m=draft_school02&amp;ps_school=" xr:uid="{541CC43C-F1F1-43F1-9D2D-13BC509033E2}"/>
    <hyperlink ref="A2587" r:id="rId7756" display="https://statiz.sporki.com/player/?m=playerinfo&amp;p_no=2221" xr:uid="{133A4F8E-20C1-4DE6-BA19-8A1DBB1E8D5E}"/>
    <hyperlink ref="B2587" r:id="rId7757" display="https://statiz.sporki.com/add/?m=draft_school01&amp;ps_school=" xr:uid="{81E57D6F-C38C-4573-B122-6AB0FC3AF570}"/>
    <hyperlink ref="C2587" r:id="rId7758" display="https://statiz.sporki.com/add/?m=draft_school02&amp;ps_school=" xr:uid="{4E4F44AE-3A93-4E1A-B87C-35E130692D2A}"/>
    <hyperlink ref="A2588" r:id="rId7759" display="https://statiz.sporki.com/player/?m=playerinfo&amp;p_no=2214" xr:uid="{04BDEA93-ECC4-4DCB-BC30-34960864734F}"/>
    <hyperlink ref="B2588" r:id="rId7760" display="https://statiz.sporki.com/add/?m=draft_school01&amp;ps_school=" xr:uid="{917ECF14-080D-4991-A2AA-C4A47A209C30}"/>
    <hyperlink ref="C2588" r:id="rId7761" display="https://statiz.sporki.com/add/?m=draft_school02&amp;ps_school=" xr:uid="{9F2874F7-84DE-4EF4-AE55-77054339296D}"/>
    <hyperlink ref="A2589" r:id="rId7762" display="https://statiz.sporki.com/player/?m=playerinfo&amp;p_no=2213" xr:uid="{072E89CB-3C03-48C4-A460-1CE262270F6D}"/>
    <hyperlink ref="B2589" r:id="rId7763" display="https://statiz.sporki.com/add/?m=draft_school01&amp;ps_school=" xr:uid="{F788D757-3336-4FBF-94C1-11CB940E35FD}"/>
    <hyperlink ref="C2589" r:id="rId7764" display="https://statiz.sporki.com/add/?m=draft_school02&amp;ps_school=" xr:uid="{32BBB2A1-401A-42B3-994A-359925AF8DBA}"/>
    <hyperlink ref="A2590" r:id="rId7765" display="https://statiz.sporki.com/player/?m=playerinfo&amp;p_no=2200" xr:uid="{F816A0BE-5CD2-42F9-8A85-7A1DA9EAD0DE}"/>
    <hyperlink ref="B2590" r:id="rId7766" display="https://statiz.sporki.com/add/?m=draft_school01&amp;ps_school=" xr:uid="{EF72BC00-BD43-469C-80E7-09ED81909873}"/>
    <hyperlink ref="C2590" r:id="rId7767" display="https://statiz.sporki.com/add/?m=draft_school02&amp;ps_school=" xr:uid="{445176F5-9E85-4E5D-BB06-A74FBAA9CD73}"/>
    <hyperlink ref="A2591" r:id="rId7768" display="https://statiz.sporki.com/player/?m=playerinfo&amp;p_no=2195" xr:uid="{62B9C3D1-EB5A-4784-8FE8-185B9E9D9CAB}"/>
    <hyperlink ref="B2591" r:id="rId7769" display="https://statiz.sporki.com/add/?m=draft_school01&amp;ps_school=" xr:uid="{D5232257-FFB7-42F5-B463-99B501C08AB7}"/>
    <hyperlink ref="C2591" r:id="rId7770" display="https://statiz.sporki.com/add/?m=draft_school02&amp;ps_school=" xr:uid="{8D4DA645-025E-41B5-A502-82789A0FD5D6}"/>
    <hyperlink ref="A2592" r:id="rId7771" display="https://statiz.sporki.com/player/?m=playerinfo&amp;p_no=2210" xr:uid="{64434EA5-76D3-4567-8EDA-17072D93253B}"/>
    <hyperlink ref="B2592" r:id="rId7772" display="https://statiz.sporki.com/add/?m=draft_school01&amp;ps_school=" xr:uid="{8C02ED26-0BEA-477A-BEA8-FF0B312A315B}"/>
    <hyperlink ref="C2592" r:id="rId7773" display="https://statiz.sporki.com/add/?m=draft_school02&amp;ps_school=" xr:uid="{8261913D-437A-4237-9209-8CCBD7BEE94E}"/>
    <hyperlink ref="A2593" r:id="rId7774" display="https://statiz.sporki.com/player/?m=playerinfo&amp;p_no=2211" xr:uid="{F037BB21-132D-41FE-A696-9C9550390FCA}"/>
    <hyperlink ref="B2593" r:id="rId7775" display="https://statiz.sporki.com/add/?m=draft_school01&amp;ps_school=" xr:uid="{87474D50-8DC9-4CAC-BCAC-5EE988D1C933}"/>
    <hyperlink ref="C2593" r:id="rId7776" display="https://statiz.sporki.com/add/?m=draft_school02&amp;ps_school=" xr:uid="{9994541D-59EE-4897-8EE1-34732469B922}"/>
    <hyperlink ref="A2594" r:id="rId7777" display="https://statiz.sporki.com/player/?m=playerinfo&amp;p_no=2223" xr:uid="{22D090AF-FE1C-431F-95F0-96AC31E834A8}"/>
    <hyperlink ref="B2594" r:id="rId7778" display="https://statiz.sporki.com/add/?m=draft_school01&amp;ps_school=" xr:uid="{BAFDCF94-40DE-4831-8DF7-BD5E56B7DD17}"/>
    <hyperlink ref="C2594" r:id="rId7779" display="https://statiz.sporki.com/add/?m=draft_school02&amp;ps_school=" xr:uid="{280C2C60-224F-4E18-97D5-F68900BFBAB4}"/>
    <hyperlink ref="A2595" r:id="rId7780" display="https://statiz.sporki.com/player/?m=playerinfo&amp;p_no=2188" xr:uid="{7C7D531B-FEBF-4BA3-B193-88CB9E1C4124}"/>
    <hyperlink ref="B2595" r:id="rId7781" display="https://statiz.sporki.com/add/?m=draft_school01&amp;ps_school=" xr:uid="{406A5C85-C2B3-42B4-8D79-4563F8A67A30}"/>
    <hyperlink ref="C2595" r:id="rId7782" display="https://statiz.sporki.com/add/?m=draft_school02&amp;ps_school=" xr:uid="{6F2F92E5-CB9A-4D98-B3A0-5B846DD6DA95}"/>
    <hyperlink ref="A2596" r:id="rId7783" display="https://statiz.sporki.com/player/?m=playerinfo&amp;p_no=2407" xr:uid="{305D5018-FF72-413F-A43F-E9B5A9943021}"/>
    <hyperlink ref="B2596" r:id="rId7784" display="https://statiz.sporki.com/add/?m=draft_school01&amp;ps_school=" xr:uid="{CE78B8E7-A183-44C3-AD01-2AB8DD226F41}"/>
    <hyperlink ref="C2596" r:id="rId7785" display="https://statiz.sporki.com/add/?m=draft_school02&amp;ps_school=" xr:uid="{9E943BCC-AC90-4529-A260-E4073F9F4B8D}"/>
    <hyperlink ref="A2597" r:id="rId7786" display="https://statiz.sporki.com/player/?m=playerinfo&amp;p_no=2170" xr:uid="{EDF8DC36-5151-4085-BB30-780716DD0E40}"/>
    <hyperlink ref="B2597" r:id="rId7787" display="https://statiz.sporki.com/add/?m=draft_school01&amp;ps_school=" xr:uid="{88438970-DDF2-4CCF-9D34-3751B34F8C57}"/>
    <hyperlink ref="C2597" r:id="rId7788" display="https://statiz.sporki.com/add/?m=draft_school02&amp;ps_school=" xr:uid="{B725EFA4-C342-444C-BF0A-7F1F8EF3BC88}"/>
    <hyperlink ref="A2598" r:id="rId7789" display="https://statiz.sporki.com/player/?m=playerinfo&amp;p_no=2183" xr:uid="{D1EAEDD4-1DDF-4240-BAC0-12769B32FC9E}"/>
    <hyperlink ref="B2598" r:id="rId7790" display="https://statiz.sporki.com/add/?m=draft_school01&amp;ps_school=50102" xr:uid="{29CE959F-C790-4AA7-874F-8E18CE9CC845}"/>
    <hyperlink ref="C2598" r:id="rId7791" display="https://statiz.sporki.com/add/?m=draft_school02&amp;ps_school=60703" xr:uid="{C32767CC-6D57-4ABC-BF75-4EB00FA45F6A}"/>
    <hyperlink ref="A2599" r:id="rId7792" display="https://statiz.sporki.com/player/?m=playerinfo&amp;p_no=2166" xr:uid="{1EDB9E03-4999-4644-8D28-8E5B9850333B}"/>
    <hyperlink ref="B2599" r:id="rId7793" display="https://statiz.sporki.com/add/?m=draft_school01&amp;ps_school=50701" xr:uid="{C3F66243-B319-4CFE-97FD-C3921EC7E1A9}"/>
    <hyperlink ref="C2599" r:id="rId7794" display="https://statiz.sporki.com/add/?m=draft_school02&amp;ps_school=60705" xr:uid="{B810F7D3-8B6C-414E-9775-236ACF64000B}"/>
    <hyperlink ref="A2600" r:id="rId7795" display="https://statiz.sporki.com/player/?m=playerinfo&amp;p_no=10558" xr:uid="{7A898091-8422-402A-9A68-9517EDD1C7B3}"/>
    <hyperlink ref="B2600" r:id="rId7796" display="https://statiz.sporki.com/add/?m=draft_school01&amp;ps_school=50501" xr:uid="{7C411344-0DD6-4AA4-880E-FE6B93C14500}"/>
    <hyperlink ref="C2600" r:id="rId7797" display="https://statiz.sporki.com/add/?m=draft_school02&amp;ps_school=" xr:uid="{FE7F95BA-480A-40A1-8B61-AC3F5FBE7D25}"/>
    <hyperlink ref="A2601" r:id="rId7798" display="https://statiz.sporki.com/player/?m=playerinfo&amp;p_no=10041" xr:uid="{F89E2F65-8CC4-4133-8148-4C2A53E3A000}"/>
    <hyperlink ref="B2601" r:id="rId7799" display="https://statiz.sporki.com/add/?m=draft_school01&amp;ps_school=50108" xr:uid="{F3C6D95A-79DB-41DE-BD4A-B0874AB0FDD8}"/>
    <hyperlink ref="C2601" r:id="rId7800" display="https://statiz.sporki.com/add/?m=draft_school02&amp;ps_school=60102" xr:uid="{58FFA284-A953-4455-82DF-4D7EADA9C0D0}"/>
    <hyperlink ref="A2602" r:id="rId7801" display="https://statiz.sporki.com/player/?m=playerinfo&amp;p_no=2146" xr:uid="{BA6AA7D3-DB15-4D85-8B24-105FBC284637}"/>
    <hyperlink ref="B2602" r:id="rId7802" display="https://statiz.sporki.com/add/?m=draft_school01&amp;ps_school=50802" xr:uid="{2A82BEA1-06C9-4A12-A05B-C4E834D44AC1}"/>
    <hyperlink ref="C2602" r:id="rId7803" display="https://statiz.sporki.com/add/?m=draft_school02&amp;ps_school=" xr:uid="{2260584C-D156-42E3-8610-39768C6D2852}"/>
    <hyperlink ref="A2603" r:id="rId7804" display="https://statiz.sporki.com/player/?m=playerinfo&amp;p_no=10147" xr:uid="{3E3AEC7A-1298-41B3-ACD7-237D8153E265}"/>
    <hyperlink ref="B2603" r:id="rId7805" display="https://statiz.sporki.com/add/?m=draft_school01&amp;ps_school=50501" xr:uid="{8BC1E527-2E77-45E4-9DF1-311A02B01EA9}"/>
    <hyperlink ref="C2603" r:id="rId7806" display="https://statiz.sporki.com/add/?m=draft_school02&amp;ps_school=" xr:uid="{57D278E3-81BA-482A-A1A4-C2BCA9B9776A}"/>
    <hyperlink ref="A2604" r:id="rId7807" display="https://statiz.sporki.com/player/?m=playerinfo&amp;p_no=10226" xr:uid="{9411C3FC-B69F-4466-B088-F0CD6979C089}"/>
    <hyperlink ref="B2604" r:id="rId7808" display="https://statiz.sporki.com/add/?m=draft_school01&amp;ps_school=50403" xr:uid="{C48C61E7-A121-4D52-8748-9B9322061A0B}"/>
    <hyperlink ref="C2604" r:id="rId7809" display="https://statiz.sporki.com/add/?m=draft_school02&amp;ps_school=" xr:uid="{238C7186-94A2-4640-9F66-71D14E228424}"/>
    <hyperlink ref="A2605" r:id="rId7810" display="https://statiz.sporki.com/player/?m=playerinfo&amp;p_no=2340" xr:uid="{61544C33-F118-42C7-8AFA-31353BB5F28F}"/>
    <hyperlink ref="B2605" r:id="rId7811" display="https://statiz.sporki.com/add/?m=draft_school01&amp;ps_school=50608" xr:uid="{4F1F4B76-54A7-45F1-AEB3-19ECCB2FE402}"/>
    <hyperlink ref="C2605" r:id="rId7812" display="https://statiz.sporki.com/add/?m=draft_school02&amp;ps_school=60101" xr:uid="{430F43E4-AC89-4014-936C-BEE5FAE5663E}"/>
    <hyperlink ref="A2606" r:id="rId7813" display="https://statiz.sporki.com/player/?m=playerinfo&amp;p_no=2346" xr:uid="{72A8D952-19AF-4C1F-97BF-BEA4D5DF05E9}"/>
    <hyperlink ref="B2606" r:id="rId7814" display="https://statiz.sporki.com/add/?m=draft_school01&amp;ps_school=50904" xr:uid="{E1BC78CE-4856-4344-8FE8-206974480F6A}"/>
    <hyperlink ref="C2606" r:id="rId7815" display="https://statiz.sporki.com/add/?m=draft_school02&amp;ps_school=" xr:uid="{BB1C0C4D-AAFB-414D-9D6F-007D1B70DE40}"/>
    <hyperlink ref="A2607" r:id="rId7816" display="https://statiz.sporki.com/player/?m=playerinfo&amp;p_no=10362" xr:uid="{3636662F-382B-40FB-ACC2-CD9C09E659E4}"/>
    <hyperlink ref="B2607" r:id="rId7817" display="https://statiz.sporki.com/add/?m=draft_school01&amp;ps_school=50701" xr:uid="{84D10EFC-3F5F-47DD-9BEE-4CDAE46BB049}"/>
    <hyperlink ref="C2607" r:id="rId7818" display="https://statiz.sporki.com/add/?m=draft_school02&amp;ps_school=" xr:uid="{834524EE-B978-4F1D-849C-F1643DA203E8}"/>
    <hyperlink ref="A2608" r:id="rId7819" display="https://statiz.sporki.com/player/?m=playerinfo&amp;p_no=2155" xr:uid="{F106A55E-2DE9-4F71-AB0E-A524A86DFBCA}"/>
    <hyperlink ref="B2608" r:id="rId7820" display="https://statiz.sporki.com/add/?m=draft_school01&amp;ps_school=50711" xr:uid="{88A119B4-E1F3-4047-9DEF-E4D01CBB0ED8}"/>
    <hyperlink ref="C2608" r:id="rId7821" display="https://statiz.sporki.com/add/?m=draft_school02&amp;ps_school=" xr:uid="{3D0D075D-C02A-403A-94DF-158F308ABF03}"/>
    <hyperlink ref="A2609" r:id="rId7822" display="https://statiz.sporki.com/player/?m=playerinfo&amp;p_no=10239" xr:uid="{DCC0E502-F27B-4A0F-B0D7-E1C4C4260894}"/>
    <hyperlink ref="B2609" r:id="rId7823" display="https://statiz.sporki.com/add/?m=draft_school01&amp;ps_school=50114" xr:uid="{AB5C8560-621C-45EA-99D5-B98ED8EC6B7A}"/>
    <hyperlink ref="C2609" r:id="rId7824" display="https://statiz.sporki.com/add/?m=draft_school02&amp;ps_school=" xr:uid="{1E3CFC8B-46B7-4011-A292-196A0244CDEE}"/>
    <hyperlink ref="A2610" r:id="rId7825" display="https://statiz.sporki.com/player/?m=playerinfo&amp;p_no=10592" xr:uid="{8E42219E-AD31-4473-904B-8AEC46D65A5F}"/>
    <hyperlink ref="B2610" r:id="rId7826" display="https://statiz.sporki.com/add/?m=draft_school01&amp;ps_school=50402" xr:uid="{C6668164-B0D5-42D6-829A-9D8A05DCC24B}"/>
    <hyperlink ref="C2610" r:id="rId7827" display="https://statiz.sporki.com/add/?m=draft_school02&amp;ps_school=60201" xr:uid="{A3BF9CDD-1835-4941-A4FB-25BF1CA1454B}"/>
    <hyperlink ref="A2611" r:id="rId7828" display="https://statiz.sporki.com/player/?m=playerinfo&amp;p_no=10559" xr:uid="{A244C253-428E-4744-83BF-90ACAC606AE6}"/>
    <hyperlink ref="B2611" r:id="rId7829" display="https://statiz.sporki.com/add/?m=draft_school01&amp;ps_school=50703" xr:uid="{2576F418-53F7-4D5D-8CE0-76018AB1B674}"/>
    <hyperlink ref="C2611" r:id="rId7830" display="https://statiz.sporki.com/add/?m=draft_school02&amp;ps_school=" xr:uid="{988C758D-C2D1-451A-B308-0FAE4D2FB939}"/>
    <hyperlink ref="A2612" r:id="rId7831" display="https://statiz.sporki.com/player/?m=playerinfo&amp;p_no=10447" xr:uid="{F76E3903-9150-49FB-BBCE-69E917295371}"/>
    <hyperlink ref="B2612" r:id="rId7832" display="https://statiz.sporki.com/add/?m=draft_school01&amp;ps_school=50803" xr:uid="{03947314-CC16-44E2-B8F6-62377936BD6F}"/>
    <hyperlink ref="C2612" r:id="rId7833" display="https://statiz.sporki.com/add/?m=draft_school02&amp;ps_school=" xr:uid="{20FDF4DD-6EDE-48EE-9CD6-EC1E975BC7B7}"/>
    <hyperlink ref="A2613" r:id="rId7834" display="https://statiz.sporki.com/player/?m=playerinfo&amp;p_no=10502" xr:uid="{45C2A416-92DE-4C99-AE13-F29F47D3D196}"/>
    <hyperlink ref="B2613" r:id="rId7835" display="https://statiz.sporki.com/add/?m=draft_school01&amp;ps_school=50209" xr:uid="{9CAF2FCE-77C4-4F52-9298-29D78155DAD9}"/>
    <hyperlink ref="C2613" r:id="rId7836" display="https://statiz.sporki.com/add/?m=draft_school02&amp;ps_school=" xr:uid="{69F6EF57-BE07-473B-81C0-AFD8D90794EE}"/>
    <hyperlink ref="A2614" r:id="rId7837" display="https://statiz.sporki.com/player/?m=playerinfo&amp;p_no=2312" xr:uid="{F5EC79D4-9B95-45B1-B49F-E8049F88D252}"/>
    <hyperlink ref="B2614" r:id="rId7838" display="https://statiz.sporki.com/add/?m=draft_school01&amp;ps_school=50114" xr:uid="{B9A2B64A-1233-4AEE-9CFB-8F57B52FDE25}"/>
    <hyperlink ref="C2614" r:id="rId7839" display="https://statiz.sporki.com/add/?m=draft_school02&amp;ps_school=60104" xr:uid="{23B34792-B510-479D-A489-282E8B547260}"/>
    <hyperlink ref="A2615" r:id="rId7840" display="https://statiz.sporki.com/player/?m=playerinfo&amp;p_no=10241" xr:uid="{45C99D59-8108-41BC-AC01-5BD11D86BBF9}"/>
    <hyperlink ref="B2615" r:id="rId7841" display="https://statiz.sporki.com/add/?m=draft_school01&amp;ps_school=50705" xr:uid="{A5FC28E7-56E1-495E-BB3D-190DFBCB98A2}"/>
    <hyperlink ref="C2615" r:id="rId7842" display="https://statiz.sporki.com/add/?m=draft_school02&amp;ps_school=" xr:uid="{F2CA3791-741D-4FEF-9851-EFD4B9EA4BCA}"/>
    <hyperlink ref="A2616" r:id="rId7843" display="https://statiz.sporki.com/player/?m=playerinfo&amp;p_no=2237" xr:uid="{3DD734CA-8E49-467B-B483-6B66F0D0C81E}"/>
    <hyperlink ref="B2616" r:id="rId7844" display="https://statiz.sporki.com/add/?m=draft_school01&amp;ps_school=50105" xr:uid="{1D042C2E-1CFC-4C0B-9636-8256DE13DBBB}"/>
    <hyperlink ref="C2616" r:id="rId7845" display="https://statiz.sporki.com/add/?m=draft_school02&amp;ps_school=" xr:uid="{21E50564-C93E-497A-A572-868842E387A2}"/>
    <hyperlink ref="A2617" r:id="rId7846" display="https://statiz.sporki.com/player/?m=playerinfo&amp;p_no=10139" xr:uid="{AC097C95-B0D6-44A0-A700-5C7482DE3FCF}"/>
    <hyperlink ref="B2617" r:id="rId7847" display="https://statiz.sporki.com/add/?m=draft_school01&amp;ps_school=50112" xr:uid="{5EE2462F-206F-4BB8-8732-2B5535313C0F}"/>
    <hyperlink ref="C2617" r:id="rId7848" display="https://statiz.sporki.com/add/?m=draft_school02&amp;ps_school=" xr:uid="{9EB254D4-448B-4EE2-86F6-1A25CE9CA9E2}"/>
    <hyperlink ref="A2618" r:id="rId7849" display="https://statiz.sporki.com/player/?m=playerinfo&amp;p_no=10269" xr:uid="{0D72A86D-9BC8-4CEA-8395-FA1D3B222C76}"/>
    <hyperlink ref="B2618" r:id="rId7850" display="https://statiz.sporki.com/add/?m=draft_school01&amp;ps_school=50705" xr:uid="{682819F4-2B56-4711-97DC-891AE41ECE72}"/>
    <hyperlink ref="C2618" r:id="rId7851" display="https://statiz.sporki.com/add/?m=draft_school02&amp;ps_school=" xr:uid="{1B222866-296D-414D-82CB-D0BB90274C2C}"/>
    <hyperlink ref="A2619" r:id="rId7852" display="https://statiz.sporki.com/player/?m=playerinfo&amp;p_no=10413" xr:uid="{C7F5F322-F5DB-4BEE-AF69-D6579B86B482}"/>
    <hyperlink ref="B2619" r:id="rId7853" display="https://statiz.sporki.com/add/?m=draft_school01&amp;ps_school=50403" xr:uid="{EFBBBCDE-E853-4CB8-8845-A312E2C9B920}"/>
    <hyperlink ref="C2619" r:id="rId7854" display="https://statiz.sporki.com/add/?m=draft_school02&amp;ps_school=" xr:uid="{9841AB7A-D59A-4A1A-BB94-C3B795DBC2BD}"/>
    <hyperlink ref="A2620" r:id="rId7855" display="https://statiz.sporki.com/player/?m=playerinfo&amp;p_no=10467" xr:uid="{A523F220-AB8B-449F-8290-7AC45508C41B}"/>
    <hyperlink ref="B2620" r:id="rId7856" display="https://statiz.sporki.com/add/?m=draft_school01&amp;ps_school=50802" xr:uid="{F8A167F7-0F4D-4351-8582-1ADDAB069A0D}"/>
    <hyperlink ref="C2620" r:id="rId7857" display="https://statiz.sporki.com/add/?m=draft_school02&amp;ps_school=60111" xr:uid="{89BE4B80-C1A5-4614-90BA-313D0B241569}"/>
    <hyperlink ref="A2621" r:id="rId7858" display="https://statiz.sporki.com/player/?m=playerinfo&amp;p_no=10260" xr:uid="{13335D37-5315-491D-AA20-7B026B6A01B9}"/>
    <hyperlink ref="B2621" r:id="rId7859" display="https://statiz.sporki.com/add/?m=draft_school01&amp;ps_school=50802" xr:uid="{B93E79BC-0C28-4F93-AC1B-5EB7A34A6718}"/>
    <hyperlink ref="C2621" r:id="rId7860" display="https://statiz.sporki.com/add/?m=draft_school02&amp;ps_school=60113" xr:uid="{E1C5E1FE-01C3-49FE-B798-A96290731EA3}"/>
    <hyperlink ref="A2622" r:id="rId7861" display="https://statiz.sporki.com/player/?m=playerinfo&amp;p_no=2152" xr:uid="{07272710-24A1-4A6F-AC39-F84B734B35BE}"/>
    <hyperlink ref="B2622" r:id="rId7862" display="https://statiz.sporki.com/add/?m=draft_school01&amp;ps_school=50804" xr:uid="{E0E6B7F1-0559-43B3-9E7A-EE4D18467E3B}"/>
    <hyperlink ref="C2622" r:id="rId7863" display="https://statiz.sporki.com/add/?m=draft_school02&amp;ps_school=" xr:uid="{E0767D5C-C8C0-4617-AAFE-DE64BE919A64}"/>
    <hyperlink ref="A2623" r:id="rId7864" display="https://statiz.sporki.com/player/?m=playerinfo&amp;p_no=2304" xr:uid="{502A7E55-5BF3-436C-96DA-329663466A26}"/>
    <hyperlink ref="B2623" r:id="rId7865" display="https://statiz.sporki.com/add/?m=draft_school01&amp;ps_school=50103" xr:uid="{085ED63C-0A6D-469D-BDB2-2CA1FA345047}"/>
    <hyperlink ref="C2623" r:id="rId7866" display="https://statiz.sporki.com/add/?m=draft_school02&amp;ps_school=60101" xr:uid="{36E0C047-52FB-4F64-83E3-E1D1E71CB863}"/>
    <hyperlink ref="A2624" r:id="rId7867" display="https://statiz.sporki.com/player/?m=playerinfo&amp;p_no=10627" xr:uid="{DAA0833F-5D97-4E25-BAEA-1AEE392448A3}"/>
    <hyperlink ref="B2624" r:id="rId7868" display="https://statiz.sporki.com/add/?m=draft_school01&amp;ps_school=50208" xr:uid="{B6F225C7-8F0A-4BEB-B4BF-2762D4A7AA1A}"/>
    <hyperlink ref="C2624" r:id="rId7869" display="https://statiz.sporki.com/add/?m=draft_school02&amp;ps_school=60104" xr:uid="{13428FB9-796B-45CB-91BE-052AA827CEA8}"/>
    <hyperlink ref="A2625" r:id="rId7870" display="https://statiz.sporki.com/player/?m=playerinfo&amp;p_no=2322" xr:uid="{47D5AEAD-54C3-4843-975E-837118841575}"/>
    <hyperlink ref="B2625" r:id="rId7871" display="https://statiz.sporki.com/add/?m=draft_school01&amp;ps_school=50904" xr:uid="{6ABDCB30-2482-4BC7-AEA0-A307D766B02C}"/>
    <hyperlink ref="C2625" r:id="rId7872" display="https://statiz.sporki.com/add/?m=draft_school02&amp;ps_school=60109" xr:uid="{2EAF4863-B934-49F1-B4E3-F04B4A35895B}"/>
    <hyperlink ref="A2626" r:id="rId7873" display="https://statiz.sporki.com/player/?m=playerinfo&amp;p_no=10666" xr:uid="{82F79536-88F8-493A-B5A5-EAF1B83F1BCF}"/>
    <hyperlink ref="B2626" r:id="rId7874" display="https://statiz.sporki.com/add/?m=draft_school01&amp;ps_school=50402" xr:uid="{A27EAE9D-686A-4843-A203-A3C81228DB0B}"/>
    <hyperlink ref="C2626" r:id="rId7875" display="https://statiz.sporki.com/add/?m=draft_school02&amp;ps_school=60108" xr:uid="{6D3412BB-84C6-4D02-BC3A-60B797FFFC69}"/>
    <hyperlink ref="A2627" r:id="rId7876" display="https://statiz.sporki.com/player/?m=playerinfo&amp;p_no=10017" xr:uid="{9F5F36A6-D64B-4838-99A1-EC7FBDDAD389}"/>
    <hyperlink ref="B2627" r:id="rId7877" display="https://statiz.sporki.com/add/?m=draft_school01&amp;ps_school=50711" xr:uid="{94A89BC0-3E7F-4C74-A204-166846575D11}"/>
    <hyperlink ref="C2627" r:id="rId7878" display="https://statiz.sporki.com/add/?m=draft_school02&amp;ps_school=60113" xr:uid="{37D91414-0C61-4086-A0A7-01DFF030FB9E}"/>
    <hyperlink ref="A2628" r:id="rId7879" display="https://statiz.sporki.com/player/?m=playerinfo&amp;p_no=10517" xr:uid="{3EC59ABE-44C6-4F89-A4F1-46D3194D069A}"/>
    <hyperlink ref="B2628" r:id="rId7880" display="https://statiz.sporki.com/add/?m=draft_school01&amp;ps_school=50209" xr:uid="{2594BED5-44DC-4BF9-904D-85C63BE27960}"/>
    <hyperlink ref="C2628" r:id="rId7881" display="https://statiz.sporki.com/add/?m=draft_school02&amp;ps_school=60101" xr:uid="{2C978133-8D14-4499-A980-AFA6346E34B8}"/>
    <hyperlink ref="A2629" r:id="rId7882" display="https://statiz.sporki.com/player/?m=playerinfo&amp;p_no=2392" xr:uid="{ED1C9389-1411-4D22-8E5F-46B5515449F5}"/>
    <hyperlink ref="B2629" r:id="rId7883" display="https://statiz.sporki.com/add/?m=draft_school01&amp;ps_school=50105" xr:uid="{E35D4265-707C-4F56-97E7-A72639957C68}"/>
    <hyperlink ref="C2629" r:id="rId7884" display="https://statiz.sporki.com/add/?m=draft_school02&amp;ps_school=60203" xr:uid="{7F2F49F1-3031-4AAE-BC8F-A4929ABBA3D9}"/>
    <hyperlink ref="A2630" r:id="rId7885" display="https://statiz.sporki.com/player/?m=playerinfo&amp;p_no=10245" xr:uid="{8D35BC0F-0893-463F-8082-5C4FADC351C1}"/>
    <hyperlink ref="B2630" r:id="rId7886" display="https://statiz.sporki.com/add/?m=draft_school01&amp;ps_school=50802" xr:uid="{E1733830-A17C-4409-9606-E91BAE2582E5}"/>
    <hyperlink ref="C2630" r:id="rId7887" display="https://statiz.sporki.com/add/?m=draft_school02&amp;ps_school=60803" xr:uid="{CB3AEA34-FAB3-44C3-8F94-33C3B6638648}"/>
    <hyperlink ref="A2631" r:id="rId7888" display="https://statiz.sporki.com/player/?m=playerinfo&amp;p_no=2317" xr:uid="{CEE9EFAA-79AA-4A2A-BE6E-C91D3C807B38}"/>
    <hyperlink ref="B2631" r:id="rId7889" display="https://statiz.sporki.com/add/?m=draft_school01&amp;ps_school=50112" xr:uid="{AA1190AE-1F4D-4B56-9E5D-B4F7E72E8CCB}"/>
    <hyperlink ref="C2631" r:id="rId7890" display="https://statiz.sporki.com/add/?m=draft_school02&amp;ps_school=60103" xr:uid="{E88C66D7-780F-4449-B6B0-6F3BB0A1F968}"/>
    <hyperlink ref="A2632" r:id="rId7891" display="https://statiz.sporki.com/player/?m=playerinfo&amp;p_no=10011" xr:uid="{BE56672A-529A-4894-A7EE-01236632C2E8}"/>
    <hyperlink ref="B2632" r:id="rId7892" display="https://statiz.sporki.com/add/?m=draft_school01&amp;ps_school=50106" xr:uid="{F5F7840B-F49B-4589-B58C-EDDE38310370}"/>
    <hyperlink ref="C2632" r:id="rId7893" display="https://statiz.sporki.com/add/?m=draft_school02&amp;ps_school=60203" xr:uid="{4175CAC9-61AF-47DE-9CA0-6A4FDAB941DC}"/>
    <hyperlink ref="A2633" r:id="rId7894" display="https://statiz.sporki.com/player/?m=playerinfo&amp;p_no=2321" xr:uid="{C562C951-F443-4697-A87A-D407CCF11F41}"/>
    <hyperlink ref="B2633" r:id="rId7895" display="https://statiz.sporki.com/add/?m=draft_school01&amp;ps_school=50112" xr:uid="{9BFE113F-A10B-4887-81AF-C789D8B84D15}"/>
    <hyperlink ref="C2633" r:id="rId7896" display="https://statiz.sporki.com/add/?m=draft_school02&amp;ps_school=60103" xr:uid="{1698515E-86EF-4822-889C-DE51A2930E92}"/>
    <hyperlink ref="A2634" r:id="rId7897" display="https://statiz.sporki.com/player/?m=playerinfo&amp;p_no=10675" xr:uid="{42157B05-1892-465B-BCED-B2E1A381EC3A}"/>
    <hyperlink ref="B2634" r:id="rId7898" display="https://statiz.sporki.com/add/?m=draft_school01&amp;ps_school=50602" xr:uid="{EF7AB8B6-DB9B-4878-8FFF-146F2FB35CFF}"/>
    <hyperlink ref="C2634" r:id="rId7899" display="https://statiz.sporki.com/add/?m=draft_school02&amp;ps_school=60109" xr:uid="{7E9A4F81-E3BC-4ED0-B408-7406CAAE78AF}"/>
    <hyperlink ref="A2635" r:id="rId7900" display="https://statiz.sporki.com/player/?m=playerinfo&amp;p_no=10007" xr:uid="{2485008F-F9D5-4811-AC76-1E5687242735}"/>
    <hyperlink ref="B2635" r:id="rId7901" display="https://statiz.sporki.com/add/?m=draft_school01&amp;ps_school=50501" xr:uid="{C191F879-2C7F-4553-95D1-F48BC15D08F2}"/>
    <hyperlink ref="C2635" r:id="rId7902" display="https://statiz.sporki.com/add/?m=draft_school02&amp;ps_school=60602" xr:uid="{6320F322-E4BE-414E-A857-06A12E2F5AC8}"/>
    <hyperlink ref="A2636" r:id="rId7903" display="https://statiz.sporki.com/player/?m=playerinfo&amp;p_no=10428" xr:uid="{808C10D6-B597-4FCA-90BE-DDA9BD3A6C60}"/>
    <hyperlink ref="B2636" r:id="rId7904" display="https://statiz.sporki.com/add/?m=draft_school01&amp;ps_school=50111" xr:uid="{2E9DE551-97A8-4926-94BC-9049CF6B0285}"/>
    <hyperlink ref="C2636" r:id="rId7905" display="https://statiz.sporki.com/add/?m=draft_school02&amp;ps_school=" xr:uid="{A38E2526-E9C1-42FF-9EA9-5BA2C8110FBE}"/>
    <hyperlink ref="A2637" r:id="rId7906" display="https://statiz.sporki.com/player/?m=playerinfo&amp;p_no=15792" xr:uid="{1B641B74-1892-49AE-965F-4C5FE915C21E}"/>
    <hyperlink ref="B2637" r:id="rId7907" display="https://statiz.sporki.com/add/?m=draft_school01&amp;ps_school=50805" xr:uid="{9B059C51-A018-4A94-98A4-77A3540F8ECF}"/>
    <hyperlink ref="C2637" r:id="rId7908" display="https://statiz.sporki.com/add/?m=draft_school02&amp;ps_school=60804" xr:uid="{BFDC4B87-C13C-4369-9F85-50D12AE123C3}"/>
    <hyperlink ref="A2638" r:id="rId7909" display="https://statiz.sporki.com/player/?m=playerinfo&amp;p_no=10509" xr:uid="{444DE6AA-7A2B-401A-95EE-345041725FA7}"/>
    <hyperlink ref="B2638" r:id="rId7910" display="https://statiz.sporki.com/add/?m=draft_school01&amp;ps_school=50114" xr:uid="{6803DB36-5D7D-40C5-AD1B-B90997C98C5E}"/>
    <hyperlink ref="C2638" r:id="rId7911" display="https://statiz.sporki.com/add/?m=draft_school02&amp;ps_school=60802" xr:uid="{3E75DCDF-1A00-4715-A632-F4431B6292D8}"/>
    <hyperlink ref="A2639" r:id="rId7912" display="https://statiz.sporki.com/player/?m=playerinfo&amp;p_no=2158" xr:uid="{39793CB5-CD3E-4FBB-ADB6-59FD0CBB1317}"/>
    <hyperlink ref="B2639" r:id="rId7913" display="https://statiz.sporki.com/add/?m=draft_school01&amp;ps_school=50115" xr:uid="{107DBF24-1B3C-41CF-873D-BA18CDD2C169}"/>
    <hyperlink ref="C2639" r:id="rId7914" display="https://statiz.sporki.com/add/?m=draft_school02&amp;ps_school=60114" xr:uid="{3EC0A512-F412-41AC-9902-8B715AC7BBD1}"/>
    <hyperlink ref="A2640" r:id="rId7915" display="https://statiz.sporki.com/player/?m=playerinfo&amp;p_no=2353" xr:uid="{D94F76BE-74B6-4C56-88FB-B169335FDB83}"/>
    <hyperlink ref="B2640" r:id="rId7916" display="https://statiz.sporki.com/add/?m=draft_school01&amp;ps_school=50401" xr:uid="{C261A5E0-79B3-4133-8A2F-BB3F798E98DF}"/>
    <hyperlink ref="C2640" r:id="rId7917" display="https://statiz.sporki.com/add/?m=draft_school02&amp;ps_school=60108" xr:uid="{8830A780-8B51-431E-824B-223326C509DA}"/>
    <hyperlink ref="A2641" r:id="rId7918" display="https://statiz.sporki.com/player/?m=playerinfo&amp;p_no=2162" xr:uid="{18E98B6A-65B4-4BCA-9572-AF5EA28F928D}"/>
    <hyperlink ref="B2641" r:id="rId7919" display="https://statiz.sporki.com/add/?m=draft_school01&amp;ps_school=50104" xr:uid="{B2CC0A3C-B85C-4ABC-88E2-F1395B5BF78C}"/>
    <hyperlink ref="C2641" r:id="rId7920" display="https://statiz.sporki.com/add/?m=draft_school02&amp;ps_school=" xr:uid="{5106ED35-0CFB-4CE6-8FB5-288B20A4184D}"/>
    <hyperlink ref="A2642" r:id="rId7921" display="https://statiz.sporki.com/player/?m=playerinfo&amp;p_no=2320" xr:uid="{1E2E11CB-5F07-4C49-8120-1D7D0C0ECF81}"/>
    <hyperlink ref="B2642" r:id="rId7922" display="https://statiz.sporki.com/add/?m=draft_school01&amp;ps_school=50104" xr:uid="{8F83D544-E957-4907-8CD1-314D3ECAD67A}"/>
    <hyperlink ref="C2642" r:id="rId7923" display="https://statiz.sporki.com/add/?m=draft_school02&amp;ps_school=60102" xr:uid="{9092EA05-BE5C-4459-ACD0-68FE65E7ED92}"/>
    <hyperlink ref="A2643" r:id="rId7924" display="https://statiz.sporki.com/player/?m=playerinfo&amp;p_no=10096" xr:uid="{3ECBB0D3-0471-40AA-BADE-4EE3CFC32380}"/>
    <hyperlink ref="B2643" r:id="rId7925" display="https://statiz.sporki.com/add/?m=draft_school01&amp;ps_school=50502" xr:uid="{864B68FE-C415-4BC6-845D-B5972C63317A}"/>
    <hyperlink ref="C2643" r:id="rId7926" display="https://statiz.sporki.com/add/?m=draft_school02&amp;ps_school=60104" xr:uid="{9E396B3F-CCE1-465C-92F0-88CDA564C80C}"/>
    <hyperlink ref="A2644" r:id="rId7927" display="https://statiz.sporki.com/player/?m=playerinfo&amp;p_no=2316" xr:uid="{702049F0-8D6F-487B-AE98-BF277571BBD1}"/>
    <hyperlink ref="B2644" r:id="rId7928" display="https://statiz.sporki.com/add/?m=draft_school01&amp;ps_school=50403" xr:uid="{AB3A0DEC-E98F-41E7-86AB-2706716A4B79}"/>
    <hyperlink ref="C2644" r:id="rId7929" display="https://statiz.sporki.com/add/?m=draft_school02&amp;ps_school=60109" xr:uid="{987ED004-AA89-463D-9BE6-1758585ADCB3}"/>
    <hyperlink ref="A2645" r:id="rId7930" display="https://statiz.sporki.com/player/?m=playerinfo&amp;p_no=2360" xr:uid="{B23DC292-F486-4B4C-8D28-377268854C31}"/>
    <hyperlink ref="B2645" r:id="rId7931" display="https://statiz.sporki.com/add/?m=draft_school01&amp;ps_school=50702" xr:uid="{4BA4092E-55D1-44B3-9DFD-D72B06E97A26}"/>
    <hyperlink ref="C2645" r:id="rId7932" display="https://statiz.sporki.com/add/?m=draft_school02&amp;ps_school=60101" xr:uid="{109F3949-B843-4555-8B3F-7209D752BEB4}"/>
    <hyperlink ref="A2646" r:id="rId7933" display="https://statiz.sporki.com/player/?m=playerinfo&amp;p_no=2156" xr:uid="{096F80A0-642B-4636-8D1C-FAD72F09D583}"/>
    <hyperlink ref="B2646" r:id="rId7934" display="https://statiz.sporki.com/add/?m=draft_school01&amp;ps_school=50807" xr:uid="{BBE316F6-4982-4701-89DE-B4D90561D750}"/>
    <hyperlink ref="C2646" r:id="rId7935" display="https://statiz.sporki.com/add/?m=draft_school02&amp;ps_school=60803" xr:uid="{F6446D25-4492-4360-A1C7-54EA4CA9769B}"/>
    <hyperlink ref="A2647" r:id="rId7936" display="https://statiz.sporki.com/player/?m=playerinfo&amp;p_no=2173" xr:uid="{F87F64F1-B075-4B40-B331-05B3506AE4B7}"/>
    <hyperlink ref="B2647" r:id="rId7937" display="https://statiz.sporki.com/add/?m=draft_school01&amp;ps_school=50202" xr:uid="{3DEE1FD6-B1C6-49B3-B49B-298BA55417F7}"/>
    <hyperlink ref="C2647" r:id="rId7938" display="https://statiz.sporki.com/add/?m=draft_school02&amp;ps_school=60801" xr:uid="{AFB5537D-8744-4171-B044-E9617D97DC1A}"/>
    <hyperlink ref="A2648" r:id="rId7939" display="https://statiz.sporki.com/player/?m=playerinfo&amp;p_no=2348" xr:uid="{93172F60-F514-44E4-A2DA-742E15B54257}"/>
    <hyperlink ref="B2648" r:id="rId7940" display="https://statiz.sporki.com/add/?m=draft_school01&amp;ps_school=50601" xr:uid="{1EDFB77B-F780-4242-BF69-1DD2561DD5A3}"/>
    <hyperlink ref="C2648" r:id="rId7941" display="https://statiz.sporki.com/add/?m=draft_school02&amp;ps_school=60501" xr:uid="{C035CE01-49EB-4B89-B0D0-0CDAFEC28869}"/>
    <hyperlink ref="A2649" r:id="rId7942" display="https://statiz.sporki.com/player/?m=playerinfo&amp;p_no=10444" xr:uid="{D02BB665-4256-462D-B08E-9884FBA1FB3E}"/>
    <hyperlink ref="B2649" r:id="rId7943" display="https://statiz.sporki.com/add/?m=draft_school01&amp;ps_school=50102" xr:uid="{4062583D-7859-4D47-99E9-1F121456F419}"/>
    <hyperlink ref="C2649" r:id="rId7944" display="https://statiz.sporki.com/add/?m=draft_school02&amp;ps_school=" xr:uid="{546F25CB-4DAB-424D-950F-1409CC7D8C04}"/>
    <hyperlink ref="A2650" r:id="rId7945" display="https://statiz.sporki.com/player/?m=playerinfo&amp;p_no=10518" xr:uid="{A9DC4669-6AEA-4481-8051-54083A1564B7}"/>
    <hyperlink ref="B2650" r:id="rId7946" display="https://statiz.sporki.com/add/?m=draft_school01&amp;ps_school=50105" xr:uid="{1743499D-7367-4E15-B271-FB76F23C8D8E}"/>
    <hyperlink ref="C2650" r:id="rId7947" display="https://statiz.sporki.com/add/?m=draft_school02&amp;ps_school=60113" xr:uid="{8D397BDB-7529-4D2A-92B3-02F7B797FFBD}"/>
    <hyperlink ref="A2651" r:id="rId7948" display="https://statiz.sporki.com/player/?m=playerinfo&amp;p_no=10138" xr:uid="{CF215612-43CD-4306-86EA-795947DD240D}"/>
    <hyperlink ref="B2651" r:id="rId7949" display="https://statiz.sporki.com/add/?m=draft_school01&amp;ps_school=50502" xr:uid="{5CBA1A97-DD6A-4714-9CD1-EE53967C2173}"/>
    <hyperlink ref="C2651" r:id="rId7950" display="https://statiz.sporki.com/add/?m=draft_school02&amp;ps_school=60605" xr:uid="{AFED6C90-C5C2-47C4-A859-8C1D85236A4C}"/>
    <hyperlink ref="A2652" r:id="rId7951" display="https://statiz.sporki.com/player/?m=playerinfo&amp;p_no=2244" xr:uid="{B6CCE691-3F64-405D-8B24-CDE172C290CE}"/>
    <hyperlink ref="B2652" r:id="rId7952" display="https://statiz.sporki.com/add/?m=draft_school01&amp;ps_school=50602" xr:uid="{2B6C54D2-8974-40A8-80FF-85AB9B873B0C}"/>
    <hyperlink ref="C2652" r:id="rId7953" display="https://statiz.sporki.com/add/?m=draft_school02&amp;ps_school=60104" xr:uid="{DA462B71-9E87-44FB-A261-FDAF9713DCDF}"/>
    <hyperlink ref="A2653" r:id="rId7954" display="https://statiz.sporki.com/player/?m=playerinfo&amp;p_no=2127" xr:uid="{98E7BA9E-B485-407D-B5AD-33B3B0833F3F}"/>
    <hyperlink ref="B2653" r:id="rId7955" display="https://statiz.sporki.com/add/?m=draft_school01&amp;ps_school=50116" xr:uid="{7C4DA54B-CBEE-4D6D-96E9-700C4C9CE90F}"/>
    <hyperlink ref="C2653" r:id="rId7956" display="https://statiz.sporki.com/add/?m=draft_school02&amp;ps_school=60111" xr:uid="{85BEAFC1-EE79-4877-BB75-EBC7438AB379}"/>
    <hyperlink ref="A2654" r:id="rId7957" display="https://statiz.sporki.com/player/?m=playerinfo&amp;p_no=2161" xr:uid="{614186F2-5BA1-423A-9439-DD389A06C3AD}"/>
    <hyperlink ref="B2654" r:id="rId7958" display="https://statiz.sporki.com/add/?m=draft_school01&amp;ps_school=" xr:uid="{5B003AC6-3AE2-4E29-A67D-DDDDF09AE1F3}"/>
    <hyperlink ref="C2654" r:id="rId7959" display="https://statiz.sporki.com/add/?m=draft_school02&amp;ps_school=" xr:uid="{A16F0BEC-EEE3-424E-83B7-1465F9E5F33A}"/>
    <hyperlink ref="A2655" r:id="rId7960" display="https://statiz.sporki.com/player/?m=playerinfo&amp;p_no=2115" xr:uid="{D866463B-8815-4FBE-8484-545A80FFC3B7}"/>
    <hyperlink ref="B2655" r:id="rId7961" display="https://statiz.sporki.com/add/?m=draft_school01&amp;ps_school=" xr:uid="{2D8DABBD-D88A-44A7-B547-488A516958B1}"/>
    <hyperlink ref="C2655" r:id="rId7962" display="https://statiz.sporki.com/add/?m=draft_school02&amp;ps_school=" xr:uid="{34C30A11-0616-4AA7-AA6A-634DDD76EAE5}"/>
    <hyperlink ref="A2656" r:id="rId7963" display="https://statiz.sporki.com/player/?m=playerinfo&amp;p_no=2120" xr:uid="{4D73C0FB-1F4F-4BD7-9DB2-876D68672CEC}"/>
    <hyperlink ref="B2656" r:id="rId7964" display="https://statiz.sporki.com/add/?m=draft_school01&amp;ps_school=" xr:uid="{ED5C6EE1-9115-44B2-BF66-5128BB9307E4}"/>
    <hyperlink ref="C2656" r:id="rId7965" display="https://statiz.sporki.com/add/?m=draft_school02&amp;ps_school=" xr:uid="{6A6E9189-3E3D-4777-864D-6ED38182541C}"/>
    <hyperlink ref="A2657" r:id="rId7966" display="https://statiz.sporki.com/player/?m=playerinfo&amp;p_no=2143" xr:uid="{2D291BB7-9C44-42FD-83EF-DDFD418A56C0}"/>
    <hyperlink ref="B2657" r:id="rId7967" display="https://statiz.sporki.com/add/?m=draft_school01&amp;ps_school=" xr:uid="{82432FD2-04DC-4784-83BD-8AA0DE4D00CA}"/>
    <hyperlink ref="C2657" r:id="rId7968" display="https://statiz.sporki.com/add/?m=draft_school02&amp;ps_school=" xr:uid="{B789FB7C-C7E1-4274-852D-62FB6F02672A}"/>
    <hyperlink ref="A2658" r:id="rId7969" display="https://statiz.sporki.com/player/?m=playerinfo&amp;p_no=2141" xr:uid="{6A3E5F25-5DD6-425F-B41D-F29D04D6B7B3}"/>
    <hyperlink ref="B2658" r:id="rId7970" display="https://statiz.sporki.com/add/?m=draft_school01&amp;ps_school=" xr:uid="{80399D02-0AA3-4EA2-8272-BD38B2868462}"/>
    <hyperlink ref="C2658" r:id="rId7971" display="https://statiz.sporki.com/add/?m=draft_school02&amp;ps_school=" xr:uid="{413B8B68-1485-40DD-A29D-607BDF5AF628}"/>
    <hyperlink ref="A2659" r:id="rId7972" display="https://statiz.sporki.com/player/?m=playerinfo&amp;p_no=2135" xr:uid="{7F76B11C-65B3-4E23-A46F-B690FCAED81F}"/>
    <hyperlink ref="B2659" r:id="rId7973" display="https://statiz.sporki.com/add/?m=draft_school01&amp;ps_school=" xr:uid="{D483D247-6E0F-4136-A070-7F392AE14298}"/>
    <hyperlink ref="C2659" r:id="rId7974" display="https://statiz.sporki.com/add/?m=draft_school02&amp;ps_school=" xr:uid="{BC2D866D-6FD9-45C3-87A3-E11723D24FC4}"/>
    <hyperlink ref="A2660" r:id="rId7975" display="https://statiz.sporki.com/player/?m=playerinfo&amp;p_no=2160" xr:uid="{3200EC99-A486-4562-A298-446BD2F4BA24}"/>
    <hyperlink ref="B2660" r:id="rId7976" display="https://statiz.sporki.com/add/?m=draft_school01&amp;ps_school=" xr:uid="{4EAF3132-BFF1-4230-AF6E-40421BC84357}"/>
    <hyperlink ref="C2660" r:id="rId7977" display="https://statiz.sporki.com/add/?m=draft_school02&amp;ps_school=" xr:uid="{CFC8972A-B1BB-413F-8AF8-9B3FFD33D06B}"/>
    <hyperlink ref="A2661" r:id="rId7978" display="https://statiz.sporki.com/player/?m=playerinfo&amp;p_no=2124" xr:uid="{8934FF5A-FB10-4848-B182-468D0BAEA67B}"/>
    <hyperlink ref="B2661" r:id="rId7979" display="https://statiz.sporki.com/add/?m=draft_school01&amp;ps_school=" xr:uid="{639DC65B-7D85-428F-A6D3-039F7793BD9D}"/>
    <hyperlink ref="C2661" r:id="rId7980" display="https://statiz.sporki.com/add/?m=draft_school02&amp;ps_school=61100" xr:uid="{8C73A2C3-89B4-4685-9725-755425D9461A}"/>
    <hyperlink ref="A2662" r:id="rId7981" display="https://statiz.sporki.com/player/?m=playerinfo&amp;p_no=2144" xr:uid="{028E7F62-2F22-4AF0-BF95-4F69F561F292}"/>
    <hyperlink ref="B2662" r:id="rId7982" display="https://statiz.sporki.com/add/?m=draft_school01&amp;ps_school=" xr:uid="{99730557-589B-4904-A590-B7ACFF9192D8}"/>
    <hyperlink ref="C2662" r:id="rId7983" display="https://statiz.sporki.com/add/?m=draft_school02&amp;ps_school=61100" xr:uid="{BE1CDFA7-A4EC-4995-8B7A-E9EEDD849E88}"/>
    <hyperlink ref="A2663" r:id="rId7984" display="https://statiz.sporki.com/player/?m=playerinfo&amp;p_no=2145" xr:uid="{02C394E1-93EE-4ECC-8ECC-ADC22D9B468F}"/>
    <hyperlink ref="B2663" r:id="rId7985" display="https://statiz.sporki.com/add/?m=draft_school01&amp;ps_school=" xr:uid="{EDE4E4A3-CC31-42A4-B758-36D368155DD8}"/>
    <hyperlink ref="C2663" r:id="rId7986" display="https://statiz.sporki.com/add/?m=draft_school02&amp;ps_school=" xr:uid="{769CEC8F-1A6E-43EA-BC28-540B89243B49}"/>
    <hyperlink ref="A2664" r:id="rId7987" display="https://statiz.sporki.com/player/?m=playerinfo&amp;p_no=2142" xr:uid="{469D1ACD-40F4-4227-86E6-BC8DF1489933}"/>
    <hyperlink ref="B2664" r:id="rId7988" display="https://statiz.sporki.com/add/?m=draft_school01&amp;ps_school=" xr:uid="{BC9CC7EB-FBF6-48FC-8BB6-F5820B98F59B}"/>
    <hyperlink ref="C2664" r:id="rId7989" display="https://statiz.sporki.com/add/?m=draft_school02&amp;ps_school=" xr:uid="{7872D12F-930C-4C7C-831A-650B43424617}"/>
    <hyperlink ref="A2665" r:id="rId7990" display="https://statiz.sporki.com/player/?m=playerinfo&amp;p_no=2136" xr:uid="{D3701DBC-53DF-4D7C-804C-049657BE052F}"/>
    <hyperlink ref="B2665" r:id="rId7991" display="https://statiz.sporki.com/add/?m=draft_school01&amp;ps_school=" xr:uid="{2481AA7F-84CF-4876-96E7-FE8646CE7F07}"/>
    <hyperlink ref="C2665" r:id="rId7992" display="https://statiz.sporki.com/add/?m=draft_school02&amp;ps_school=" xr:uid="{73B42157-DE34-442A-8674-0AFAC0CAF911}"/>
    <hyperlink ref="A2666" r:id="rId7993" display="https://statiz.sporki.com/player/?m=playerinfo&amp;p_no=2138" xr:uid="{8F1D1892-EC5F-4D8B-A896-8C19AD17BF70}"/>
    <hyperlink ref="B2666" r:id="rId7994" display="https://statiz.sporki.com/add/?m=draft_school01&amp;ps_school=" xr:uid="{CC89AC14-203B-429F-A40A-C480084C4701}"/>
    <hyperlink ref="C2666" r:id="rId7995" display="https://statiz.sporki.com/add/?m=draft_school02&amp;ps_school=" xr:uid="{9BDB235A-7146-43A3-BF34-28ABB2D1C140}"/>
    <hyperlink ref="A2667" r:id="rId7996" display="https://statiz.sporki.com/player/?m=playerinfo&amp;p_no=2116" xr:uid="{D9129A2C-0EB9-436D-9782-BF8918294687}"/>
    <hyperlink ref="B2667" r:id="rId7997" display="https://statiz.sporki.com/add/?m=draft_school01&amp;ps_school=" xr:uid="{74AF07BC-D503-4F78-8D7D-6379931A01CC}"/>
    <hyperlink ref="C2667" r:id="rId7998" display="https://statiz.sporki.com/add/?m=draft_school02&amp;ps_school=" xr:uid="{70FE6945-9310-4EC6-989F-29CFF9AB7DB1}"/>
    <hyperlink ref="A2668" r:id="rId7999" display="https://statiz.sporki.com/player/?m=playerinfo&amp;p_no=2119" xr:uid="{46E13486-4203-42DA-BBB3-6C5AF47AA0DB}"/>
    <hyperlink ref="B2668" r:id="rId8000" display="https://statiz.sporki.com/add/?m=draft_school01&amp;ps_school=" xr:uid="{A772E4F8-5135-4463-9BE5-2327363858F8}"/>
    <hyperlink ref="C2668" r:id="rId8001" display="https://statiz.sporki.com/add/?m=draft_school02&amp;ps_school=" xr:uid="{EC67C0DF-0909-4C8D-A8F0-371AEE24E249}"/>
    <hyperlink ref="A2669" r:id="rId8002" display="https://statiz.sporki.com/player/?m=playerinfo&amp;p_no=2140" xr:uid="{55758236-C868-4D50-87E5-B43B8ECF41E7}"/>
    <hyperlink ref="B2669" r:id="rId8003" display="https://statiz.sporki.com/add/?m=draft_school01&amp;ps_school=" xr:uid="{2CDB15B9-AAA8-4170-A832-6530D77FD8DD}"/>
    <hyperlink ref="C2669" r:id="rId8004" display="https://statiz.sporki.com/add/?m=draft_school02&amp;ps_school=" xr:uid="{A67D5618-A1CB-4CFD-B7B6-326C1C3F80E6}"/>
    <hyperlink ref="A2670" r:id="rId8005" display="https://statiz.sporki.com/player/?m=playerinfo&amp;p_no=2137" xr:uid="{1A98303B-B0EB-4A91-ABAA-31A6C40B2242}"/>
    <hyperlink ref="B2670" r:id="rId8006" display="https://statiz.sporki.com/add/?m=draft_school01&amp;ps_school=" xr:uid="{AEEFC902-A2A4-4455-80E9-EE2BF863C370}"/>
    <hyperlink ref="C2670" r:id="rId8007" display="https://statiz.sporki.com/add/?m=draft_school02&amp;ps_school=" xr:uid="{D389ED8F-9A24-4988-A394-61C36AE3518A}"/>
    <hyperlink ref="A2671" r:id="rId8008" display="https://statiz.sporki.com/player/?m=playerinfo&amp;p_no=2134" xr:uid="{907D4F2E-FBF6-40D6-B00E-34AB774A449E}"/>
    <hyperlink ref="B2671" r:id="rId8009" display="https://statiz.sporki.com/add/?m=draft_school01&amp;ps_school=" xr:uid="{EFD1AF0F-BAB0-4707-8009-0076DF69734A}"/>
    <hyperlink ref="C2671" r:id="rId8010" display="https://statiz.sporki.com/add/?m=draft_school02&amp;ps_school=" xr:uid="{F662F4C4-BAD1-4697-BFD8-2E148A450AF9}"/>
    <hyperlink ref="A2672" r:id="rId8011" display="https://statiz.sporki.com/player/?m=playerinfo&amp;p_no=2121" xr:uid="{11DF1797-0D57-4063-BC54-382C89725CBA}"/>
    <hyperlink ref="B2672" r:id="rId8012" display="https://statiz.sporki.com/add/?m=draft_school01&amp;ps_school=" xr:uid="{6E290D27-661B-4A04-8516-90AAC8339490}"/>
    <hyperlink ref="C2672" r:id="rId8013" display="https://statiz.sporki.com/add/?m=draft_school02&amp;ps_school=" xr:uid="{21085382-D042-46E5-8E86-912450D0E680}"/>
    <hyperlink ref="A2673" r:id="rId8014" display="https://statiz.sporki.com/player/?m=playerinfo&amp;p_no=2125" xr:uid="{0A77367B-DE94-4BE1-BC57-F18E38D00542}"/>
    <hyperlink ref="B2673" r:id="rId8015" display="https://statiz.sporki.com/add/?m=draft_school01&amp;ps_school=" xr:uid="{3E259035-927C-442E-8B5E-E5E23C937191}"/>
    <hyperlink ref="C2673" r:id="rId8016" display="https://statiz.sporki.com/add/?m=draft_school02&amp;ps_school=" xr:uid="{51D30EC8-F57B-4684-AAAF-E24DEDE99EFF}"/>
    <hyperlink ref="A2674" r:id="rId8017" display="https://statiz.sporki.com/player/?m=playerinfo&amp;p_no=2139" xr:uid="{A1BF993E-AC7F-4DA6-B177-CFEA633B8400}"/>
    <hyperlink ref="B2674" r:id="rId8018" display="https://statiz.sporki.com/add/?m=draft_school01&amp;ps_school=" xr:uid="{4EB46854-C1BD-44C2-AF96-2D6929371DD9}"/>
    <hyperlink ref="C2674" r:id="rId8019" display="https://statiz.sporki.com/add/?m=draft_school02&amp;ps_school=" xr:uid="{FE499D11-ABD4-4B3F-BCB6-D145DAB2186E}"/>
    <hyperlink ref="A2675" r:id="rId8020" display="https://statiz.sporki.com/player/?m=playerinfo&amp;p_no=2184" xr:uid="{2457AB6E-4D63-470A-82B6-88CAD0E97FD9}"/>
    <hyperlink ref="B2675" r:id="rId8021" display="https://statiz.sporki.com/add/?m=draft_school01&amp;ps_school=50602" xr:uid="{AD1C5BD8-B27F-4489-89A0-22FD7FBFECE2}"/>
    <hyperlink ref="C2675" r:id="rId8022" display="https://statiz.sporki.com/add/?m=draft_school02&amp;ps_school=" xr:uid="{84AC56AE-E8DB-4E77-822F-F89F5689ACB3}"/>
    <hyperlink ref="A2676" r:id="rId8023" display="https://statiz.sporki.com/player/?m=playerinfo&amp;p_no=2186" xr:uid="{B0EBEA18-51A6-44D5-963D-F87F13C98F71}"/>
    <hyperlink ref="B2676" r:id="rId8024" display="https://statiz.sporki.com/add/?m=draft_school01&amp;ps_school=50102" xr:uid="{F9DFDF7B-5ED8-46C5-9A97-92E68549AC09}"/>
    <hyperlink ref="C2676" r:id="rId8025" display="https://statiz.sporki.com/add/?m=draft_school02&amp;ps_school=60114" xr:uid="{E3E7E719-F954-4D7D-B14B-AF036D76943A}"/>
    <hyperlink ref="A2677" r:id="rId8026" display="https://statiz.sporki.com/player/?m=playerinfo&amp;p_no=10121" xr:uid="{7E2B223B-F108-4F9B-8775-28F08C768AC4}"/>
    <hyperlink ref="B2677" r:id="rId8027" display="https://statiz.sporki.com/add/?m=draft_school01&amp;ps_school=50401" xr:uid="{01287CB9-9226-453B-9645-56A67677A5B6}"/>
    <hyperlink ref="C2677" r:id="rId8028" display="https://statiz.sporki.com/add/?m=draft_school02&amp;ps_school=" xr:uid="{B121BE41-5BC7-4F78-B58B-71A4F1C0982F}"/>
    <hyperlink ref="A2678" r:id="rId8029" display="https://statiz.sporki.com/player/?m=playerinfo&amp;p_no=2095" xr:uid="{A11A3D16-7231-47E7-90FB-2C5B7C7AF352}"/>
    <hyperlink ref="B2678" r:id="rId8030" display="https://statiz.sporki.com/add/?m=draft_school01&amp;ps_school=50103" xr:uid="{AA45FC14-C714-4D62-A525-4C197407C892}"/>
    <hyperlink ref="C2678" r:id="rId8031" display="https://statiz.sporki.com/add/?m=draft_school02&amp;ps_school=60111" xr:uid="{16A2602A-914C-49A0-959D-981D7DFC409F}"/>
    <hyperlink ref="A2679" r:id="rId8032" display="https://statiz.sporki.com/player/?m=playerinfo&amp;p_no=2111" xr:uid="{57C60D6B-457A-45DC-8C1D-6034814841F6}"/>
    <hyperlink ref="B2679" r:id="rId8033" display="https://statiz.sporki.com/add/?m=draft_school01&amp;ps_school=50812" xr:uid="{343D5421-E815-44F3-B15C-97F9F3BA4D9D}"/>
    <hyperlink ref="C2679" r:id="rId8034" display="https://statiz.sporki.com/add/?m=draft_school02&amp;ps_school=60802" xr:uid="{4B867B5C-9543-428D-8CAC-544248D10F12}"/>
    <hyperlink ref="A2680" r:id="rId8035" display="https://statiz.sporki.com/player/?m=playerinfo&amp;p_no=2242" xr:uid="{60E037F0-D982-4361-BCDD-D77B62BF30BB}"/>
    <hyperlink ref="B2680" r:id="rId8036" display="https://statiz.sporki.com/add/?m=draft_school01&amp;ps_school=50701" xr:uid="{26417323-6E11-415B-BF47-9038BBA5A66E}"/>
    <hyperlink ref="C2680" r:id="rId8037" display="https://statiz.sporki.com/add/?m=draft_school02&amp;ps_school=60113" xr:uid="{3814D9E7-FF7A-4A4A-9230-6DA91EAE947B}"/>
    <hyperlink ref="A2681" r:id="rId8038" display="https://statiz.sporki.com/player/?m=playerinfo&amp;p_no=2100" xr:uid="{41AF8439-D414-443D-9FF5-C5E63F06CB5E}"/>
    <hyperlink ref="B2681" r:id="rId8039" display="https://statiz.sporki.com/add/?m=draft_school01&amp;ps_school=50203" xr:uid="{BA6058C2-7C0B-4AC1-ACE8-297F54004F76}"/>
    <hyperlink ref="C2681" r:id="rId8040" display="https://statiz.sporki.com/add/?m=draft_school02&amp;ps_school=60703" xr:uid="{6C60FBDC-9801-4710-B2E5-401749CD829F}"/>
    <hyperlink ref="A2682" r:id="rId8041" display="https://statiz.sporki.com/player/?m=playerinfo&amp;p_no=10256" xr:uid="{4C8EE34C-DE66-452E-B5B3-C429FDB34932}"/>
    <hyperlink ref="B2682" r:id="rId8042" display="https://statiz.sporki.com/add/?m=draft_school01&amp;ps_school=50112" xr:uid="{5BCEDB04-EBB0-4C26-A7C5-788E92380EC2}"/>
    <hyperlink ref="C2682" r:id="rId8043" display="https://statiz.sporki.com/add/?m=draft_school02&amp;ps_school=60102" xr:uid="{BD3E87FD-593E-4CE9-A6EF-20D32F7D621C}"/>
    <hyperlink ref="A2683" r:id="rId8044" display="https://statiz.sporki.com/player/?m=playerinfo&amp;p_no=10492" xr:uid="{21401109-10D1-4B56-8D51-B3643447F51F}"/>
    <hyperlink ref="B2683" r:id="rId8045" display="https://statiz.sporki.com/add/?m=draft_school01&amp;ps_school=50501" xr:uid="{C755776B-8555-421B-AD7A-CD43958E07EB}"/>
    <hyperlink ref="C2683" r:id="rId8046" display="https://statiz.sporki.com/add/?m=draft_school02&amp;ps_school=" xr:uid="{0EDB0EC8-0839-4558-A32E-C82913CC1B14}"/>
    <hyperlink ref="A2684" r:id="rId8047" display="https://statiz.sporki.com/player/?m=playerinfo&amp;p_no=10596" xr:uid="{DA9047F1-DE0C-45DC-A536-1F47D0C229E7}"/>
    <hyperlink ref="B2684" r:id="rId8048" display="https://statiz.sporki.com/add/?m=draft_school01&amp;ps_school=50301" xr:uid="{D3C33CE9-82B5-4AB1-A293-052063A5262D}"/>
    <hyperlink ref="C2684" r:id="rId8049" display="https://statiz.sporki.com/add/?m=draft_school02&amp;ps_school=60109" xr:uid="{DC5161CB-EF64-44E5-90E3-735DDDE34804}"/>
    <hyperlink ref="A2685" r:id="rId8050" display="https://statiz.sporki.com/player/?m=playerinfo&amp;p_no=10479" xr:uid="{D9C24ACF-58FE-4D73-B6F6-B9B834A3DA8C}"/>
    <hyperlink ref="B2685" r:id="rId8051" display="https://statiz.sporki.com/add/?m=draft_school01&amp;ps_school=50602" xr:uid="{CB77A18E-F65C-4BA7-B4C1-0331C517F788}"/>
    <hyperlink ref="C2685" r:id="rId8052" display="https://statiz.sporki.com/add/?m=draft_school02&amp;ps_school=" xr:uid="{1377A6D7-539F-4D3A-9F66-36B66C74D231}"/>
    <hyperlink ref="A2686" r:id="rId8053" display="https://statiz.sporki.com/player/?m=playerinfo&amp;p_no=2089" xr:uid="{A8FA6FA4-EE97-4795-B77D-671F4365A53E}"/>
    <hyperlink ref="B2686" r:id="rId8054" display="https://statiz.sporki.com/add/?m=draft_school01&amp;ps_school=50103" xr:uid="{8E5FBB88-F310-40E5-82D2-0909F631BC1A}"/>
    <hyperlink ref="C2686" r:id="rId8055" display="https://statiz.sporki.com/add/?m=draft_school02&amp;ps_school=60111" xr:uid="{1AB06935-3581-4125-AFA1-FA437FC12CA1}"/>
    <hyperlink ref="A2687" r:id="rId8056" display="https://statiz.sporki.com/player/?m=playerinfo&amp;p_no=10148" xr:uid="{A8040ADA-C329-4B68-BE23-87D66AB5DB5E}"/>
    <hyperlink ref="B2687" r:id="rId8057" display="https://statiz.sporki.com/add/?m=draft_school01&amp;ps_school=50109" xr:uid="{88B2FB3C-0EB3-4496-81AF-369770098D71}"/>
    <hyperlink ref="C2687" r:id="rId8058" display="https://statiz.sporki.com/add/?m=draft_school02&amp;ps_school=60203" xr:uid="{3AD33358-B967-459B-8A4C-61136EE30955}"/>
    <hyperlink ref="A2688" r:id="rId8059" display="https://statiz.sporki.com/player/?m=playerinfo&amp;p_no=2287" xr:uid="{4F08E165-0383-4D1C-B20D-0DCB8F2AD5BD}"/>
    <hyperlink ref="B2688" r:id="rId8060" display="https://statiz.sporki.com/add/?m=draft_school01&amp;ps_school=50109" xr:uid="{27F9BC67-51BE-4E0D-B163-64DA051625E8}"/>
    <hyperlink ref="C2688" r:id="rId8061" display="https://statiz.sporki.com/add/?m=draft_school02&amp;ps_school=60113" xr:uid="{C9545873-E369-4D36-A638-97FA8A261CA2}"/>
    <hyperlink ref="A2689" r:id="rId8062" display="https://statiz.sporki.com/player/?m=playerinfo&amp;p_no=2109" xr:uid="{99B24E5B-42F2-4837-B4E2-6C8EECA4F702}"/>
    <hyperlink ref="B2689" r:id="rId8063" display="https://statiz.sporki.com/add/?m=draft_school01&amp;ps_school=50501" xr:uid="{00DDA356-7405-4CA0-8AB4-AB99D5BBE06A}"/>
    <hyperlink ref="C2689" r:id="rId8064" display="https://statiz.sporki.com/add/?m=draft_school02&amp;ps_school=60101" xr:uid="{EB3C5658-888F-4C36-A71D-140F177A2130}"/>
    <hyperlink ref="A2690" r:id="rId8065" display="https://statiz.sporki.com/player/?m=playerinfo&amp;p_no=10272" xr:uid="{CE12B301-8401-436D-A29A-C4B66631F2F3}"/>
    <hyperlink ref="B2690" r:id="rId8066" display="https://statiz.sporki.com/add/?m=draft_school01&amp;ps_school=50804" xr:uid="{00A273E4-CACC-4310-B255-C194BC888213}"/>
    <hyperlink ref="C2690" r:id="rId8067" display="https://statiz.sporki.com/add/?m=draft_school02&amp;ps_school=" xr:uid="{758A22B1-CC90-48A4-B839-2E8DC21997FB}"/>
    <hyperlink ref="A2691" r:id="rId8068" display="https://statiz.sporki.com/player/?m=playerinfo&amp;p_no=10350" xr:uid="{D010A169-9992-496E-BE4A-3C0D31C61C0A}"/>
    <hyperlink ref="B2691" r:id="rId8069" display="https://statiz.sporki.com/add/?m=draft_school01&amp;ps_school=50109" xr:uid="{191096F1-6129-45DB-91B5-694C75581C23}"/>
    <hyperlink ref="C2691" r:id="rId8070" display="https://statiz.sporki.com/add/?m=draft_school02&amp;ps_school=" xr:uid="{432E3C51-D202-4A29-8789-387C8A6F0810}"/>
    <hyperlink ref="A2692" r:id="rId8071" display="https://statiz.sporki.com/player/?m=playerinfo&amp;p_no=2097" xr:uid="{7584A4A0-8B4E-45A2-A5DB-31C5A7D54F60}"/>
    <hyperlink ref="B2692" r:id="rId8072" display="https://statiz.sporki.com/add/?m=draft_school01&amp;ps_school=50102" xr:uid="{13F796F0-5BDF-413B-8C0D-AC5A1B232DFF}"/>
    <hyperlink ref="C2692" r:id="rId8073" display="https://statiz.sporki.com/add/?m=draft_school02&amp;ps_school=60113" xr:uid="{E88B51C1-CC13-4DB2-BE42-4D75BC72769D}"/>
    <hyperlink ref="A2693" r:id="rId8074" display="https://statiz.sporki.com/player/?m=playerinfo&amp;p_no=2092" xr:uid="{BB26518B-431E-41EB-9042-665900FDEC4A}"/>
    <hyperlink ref="B2693" r:id="rId8075" display="https://statiz.sporki.com/add/?m=draft_school01&amp;ps_school=50202" xr:uid="{AA505658-BA0C-465C-AF91-42045DDE64A3}"/>
    <hyperlink ref="C2693" r:id="rId8076" display="https://statiz.sporki.com/add/?m=draft_school02&amp;ps_school=60204" xr:uid="{EF011939-F910-4184-B440-94C8EA5466CD}"/>
    <hyperlink ref="A2694" r:id="rId8077" display="https://statiz.sporki.com/player/?m=playerinfo&amp;p_no=10060" xr:uid="{3E5DEBD1-A823-4C5D-A9E2-5ABC692B3BB8}"/>
    <hyperlink ref="B2694" r:id="rId8078" display="https://statiz.sporki.com/add/?m=draft_school01&amp;ps_school=50111" xr:uid="{8F0D742C-B81A-4CCA-B6A4-97CCD70FE23D}"/>
    <hyperlink ref="C2694" r:id="rId8079" display="https://statiz.sporki.com/add/?m=draft_school02&amp;ps_school=60108" xr:uid="{2084CE8D-6683-4B93-8F10-9B3FE0B521D7}"/>
    <hyperlink ref="A2695" r:id="rId8080" display="https://statiz.sporki.com/player/?m=playerinfo&amp;p_no=2084" xr:uid="{729E6F20-1C24-4B33-90B2-740126972A49}"/>
    <hyperlink ref="B2695" r:id="rId8081" display="https://statiz.sporki.com/add/?m=draft_school01&amp;ps_school=50110" xr:uid="{09AF2C47-C28C-403B-B6D8-A99E3D0AECE4}"/>
    <hyperlink ref="C2695" r:id="rId8082" display="https://statiz.sporki.com/add/?m=draft_school02&amp;ps_school=" xr:uid="{D474EFE8-E534-4DFA-9351-E99AB56E73E0}"/>
    <hyperlink ref="A2696" r:id="rId8083" display="https://statiz.sporki.com/player/?m=playerinfo&amp;p_no=2106" xr:uid="{DD094820-52DA-4165-8FD7-98A1DB501D0A}"/>
    <hyperlink ref="B2696" r:id="rId8084" display="https://statiz.sporki.com/add/?m=draft_school01&amp;ps_school=" xr:uid="{12B8C070-55A1-4F5F-B6DA-34A7F417986A}"/>
    <hyperlink ref="C2696" r:id="rId8085" display="https://statiz.sporki.com/add/?m=draft_school02&amp;ps_school=60101" xr:uid="{6F4F6869-2A17-478E-AA67-773562517FB3}"/>
    <hyperlink ref="A2697" r:id="rId8086" display="https://statiz.sporki.com/player/?m=playerinfo&amp;p_no=2104" xr:uid="{10917493-258F-4F6B-B7B5-DD76A049F65C}"/>
    <hyperlink ref="B2697" r:id="rId8087" display="https://statiz.sporki.com/add/?m=draft_school01&amp;ps_school=50105" xr:uid="{AF96525A-1F77-4237-AA5E-EA6AA6B78A05}"/>
    <hyperlink ref="C2697" r:id="rId8088" display="https://statiz.sporki.com/add/?m=draft_school02&amp;ps_school=60104" xr:uid="{3BD9E7CC-9FAA-4284-AC28-F35F3FE85622}"/>
    <hyperlink ref="A2698" r:id="rId8089" display="https://statiz.sporki.com/player/?m=playerinfo&amp;p_no=2081" xr:uid="{2FBD8FD5-43F0-4B93-95B5-9D3154B642E2}"/>
    <hyperlink ref="B2698" r:id="rId8090" display="https://statiz.sporki.com/add/?m=draft_school01&amp;ps_school=50113" xr:uid="{3DF69772-A987-47BC-8A47-D551F82D36B7}"/>
    <hyperlink ref="C2698" r:id="rId8091" display="https://statiz.sporki.com/add/?m=draft_school02&amp;ps_school=60111" xr:uid="{082732D7-ECBF-4B68-B91E-131657A443F0}"/>
    <hyperlink ref="A2699" r:id="rId8092" display="https://statiz.sporki.com/player/?m=playerinfo&amp;p_no=10192" xr:uid="{ECE12D1C-BAC8-41F2-99ED-8175381D4928}"/>
    <hyperlink ref="B2699" r:id="rId8093" display="https://statiz.sporki.com/add/?m=draft_school01&amp;ps_school=50109" xr:uid="{207EC4EF-AD70-470A-8072-573D615DEDAF}"/>
    <hyperlink ref="C2699" r:id="rId8094" display="https://statiz.sporki.com/add/?m=draft_school02&amp;ps_school=60703" xr:uid="{4C173F33-A9DD-4564-9AAC-9118B5B6E4AB}"/>
    <hyperlink ref="A2700" r:id="rId8095" display="https://statiz.sporki.com/player/?m=playerinfo&amp;p_no=2284" xr:uid="{9A384CB4-D307-4F1A-AA95-E30792B58ADA}"/>
    <hyperlink ref="B2700" r:id="rId8096" display="https://statiz.sporki.com/add/?m=draft_school01&amp;ps_school=50113" xr:uid="{D75A06C5-15D4-4886-AB90-A484B4E0124E}"/>
    <hyperlink ref="C2700" r:id="rId8097" display="https://statiz.sporki.com/add/?m=draft_school02&amp;ps_school=60111" xr:uid="{7CAB9785-A450-4F72-AC9F-704A2711C674}"/>
    <hyperlink ref="A2701" r:id="rId8098" display="https://statiz.sporki.com/player/?m=playerinfo&amp;p_no=10193" xr:uid="{CD8DD46A-FE71-4860-A537-02FE2FD9058F}"/>
    <hyperlink ref="B2701" r:id="rId8099" display="https://statiz.sporki.com/add/?m=draft_school01&amp;ps_school=50403" xr:uid="{3A9A4CEE-80BE-4462-ADA1-12E64013F483}"/>
    <hyperlink ref="C2701" r:id="rId8100" display="https://statiz.sporki.com/add/?m=draft_school02&amp;ps_school=60802" xr:uid="{94F5267B-C588-44DC-B9DB-0296A0195FC4}"/>
    <hyperlink ref="A2702" r:id="rId8101" display="https://statiz.sporki.com/player/?m=playerinfo&amp;p_no=2080" xr:uid="{9B4A4E4B-4E8A-4FB7-B3D3-75DFE44F97EA}"/>
    <hyperlink ref="B2702" r:id="rId8102" display="https://statiz.sporki.com/add/?m=draft_school01&amp;ps_school=50121" xr:uid="{58EE0677-BE22-45BF-B742-9B67AA1B9517}"/>
    <hyperlink ref="C2702" r:id="rId8103" display="https://statiz.sporki.com/add/?m=draft_school02&amp;ps_school=60204" xr:uid="{F56528FA-2433-4AF1-82CC-3B246D60C4FB}"/>
    <hyperlink ref="A2703" r:id="rId8104" display="https://statiz.sporki.com/player/?m=playerinfo&amp;p_no=10346" xr:uid="{22E3BF03-85D2-4CE1-BE26-99FB8D56494F}"/>
    <hyperlink ref="B2703" r:id="rId8105" display="https://statiz.sporki.com/add/?m=draft_school01&amp;ps_school=50101" xr:uid="{0E07C6BB-C218-47FE-8C6C-1881E204A78B}"/>
    <hyperlink ref="C2703" r:id="rId8106" display="https://statiz.sporki.com/add/?m=draft_school02&amp;ps_school=60114" xr:uid="{11CF7E98-2B7C-4233-8449-1640D15F9DDA}"/>
    <hyperlink ref="A2704" r:id="rId8107" display="https://statiz.sporki.com/player/?m=playerinfo&amp;p_no=10556" xr:uid="{BADB78E4-F3CE-434A-8E04-14815548CCC3}"/>
    <hyperlink ref="B2704" r:id="rId8108" display="https://statiz.sporki.com/add/?m=draft_school01&amp;ps_school=50802" xr:uid="{94061379-56CA-464D-8FF2-D92822ECA4AA}"/>
    <hyperlink ref="C2704" r:id="rId8109" display="https://statiz.sporki.com/add/?m=draft_school02&amp;ps_school=60113" xr:uid="{F2DB9DAD-5F93-41F2-B426-E472EA549E5B}"/>
    <hyperlink ref="A2705" r:id="rId8110" display="https://statiz.sporki.com/player/?m=playerinfo&amp;p_no=2159" xr:uid="{B01E4441-4B06-4258-8DA9-065763F6ED44}"/>
    <hyperlink ref="B2705" r:id="rId8111" display="https://statiz.sporki.com/add/?m=draft_school01&amp;ps_school=50208" xr:uid="{1692DAF1-9884-457D-9B0A-3A67A587BAF2}"/>
    <hyperlink ref="C2705" r:id="rId8112" display="https://statiz.sporki.com/add/?m=draft_school02&amp;ps_school=60102" xr:uid="{DCD878D6-6E2E-49F3-AF64-BFD4B75D9DDD}"/>
    <hyperlink ref="A2706" r:id="rId8113" display="https://statiz.sporki.com/player/?m=playerinfo&amp;p_no=10493" xr:uid="{66FB7EAD-E4C9-40E1-A4FD-9842BA251C09}"/>
    <hyperlink ref="B2706" r:id="rId8114" display="https://statiz.sporki.com/add/?m=draft_school01&amp;ps_school=50804" xr:uid="{454A9D89-245A-4541-93EB-C24714F7F502}"/>
    <hyperlink ref="C2706" r:id="rId8115" display="https://statiz.sporki.com/add/?m=draft_school02&amp;ps_school=60103" xr:uid="{F49077FB-BAB5-444D-9984-BF6E6A2F479D}"/>
    <hyperlink ref="A2707" r:id="rId8116" display="https://statiz.sporki.com/player/?m=playerinfo&amp;p_no=2117" xr:uid="{427F60FE-831A-4568-910F-4756B099DB78}"/>
    <hyperlink ref="B2707" r:id="rId8117" display="https://statiz.sporki.com/add/?m=draft_school01&amp;ps_school=50805" xr:uid="{64EB18FB-BBD6-47F6-8EA5-3D528760CC05}"/>
    <hyperlink ref="C2707" r:id="rId8118" display="https://statiz.sporki.com/add/?m=draft_school02&amp;ps_school=60802" xr:uid="{3E7FC4F1-D843-44D9-9658-9D2A4CD2B4C5}"/>
    <hyperlink ref="A2708" r:id="rId8119" display="https://statiz.sporki.com/player/?m=playerinfo&amp;p_no=10010" xr:uid="{3DE28F95-748C-4A05-9F30-9DDCEAA77FCF}"/>
    <hyperlink ref="B2708" r:id="rId8120" display="https://statiz.sporki.com/add/?m=draft_school01&amp;ps_school=50104" xr:uid="{C1BA8744-173D-4C36-B865-5236F200C71D}"/>
    <hyperlink ref="C2708" r:id="rId8121" display="https://statiz.sporki.com/add/?m=draft_school02&amp;ps_school=60108" xr:uid="{3D5F9EEC-5D2F-4084-971E-07F96193E70E}"/>
    <hyperlink ref="A2709" r:id="rId8122" display="https://statiz.sporki.com/player/?m=playerinfo&amp;p_no=2102" xr:uid="{70EA0E6D-A6C9-41C7-93EC-133681356E56}"/>
    <hyperlink ref="B2709" r:id="rId8123" display="https://statiz.sporki.com/add/?m=draft_school01&amp;ps_school=50812" xr:uid="{73E96A96-88AB-49E2-A355-BC0A9CAE772D}"/>
    <hyperlink ref="C2709" r:id="rId8124" display="https://statiz.sporki.com/add/?m=draft_school02&amp;ps_school=60109" xr:uid="{DCF48BFD-0D92-4840-A683-ABAE103E3764}"/>
    <hyperlink ref="A2710" r:id="rId8125" display="https://statiz.sporki.com/player/?m=playerinfo&amp;p_no=10225" xr:uid="{B3BB8487-FA19-4475-931D-99139B1D9A50}"/>
    <hyperlink ref="B2710" r:id="rId8126" display="https://statiz.sporki.com/add/?m=draft_school01&amp;ps_school=50116" xr:uid="{86678EF5-6253-4186-A12A-4ACA65AA6CB1}"/>
    <hyperlink ref="C2710" r:id="rId8127" display="https://statiz.sporki.com/add/?m=draft_school02&amp;ps_school=60108" xr:uid="{6A07B8BB-4BE4-4B53-8044-C9950A140705}"/>
    <hyperlink ref="A2711" r:id="rId8128" display="https://statiz.sporki.com/player/?m=playerinfo&amp;p_no=10372" xr:uid="{33008F96-4FBC-4BD1-8684-F89CB1EF2BEF}"/>
    <hyperlink ref="B2711" r:id="rId8129" display="https://statiz.sporki.com/add/?m=draft_school01&amp;ps_school=50608" xr:uid="{87B7CAA2-A3DB-4B48-A572-302271FA0D45}"/>
    <hyperlink ref="C2711" r:id="rId8130" display="https://statiz.sporki.com/add/?m=draft_school02&amp;ps_school=60104" xr:uid="{83897DFA-1E38-463C-AE3C-2396CF826D84}"/>
    <hyperlink ref="A2712" r:id="rId8131" display="https://statiz.sporki.com/player/?m=playerinfo&amp;p_no=10005" xr:uid="{E4C9C8F9-C03D-4D15-83E1-C9B6FA0134F5}"/>
    <hyperlink ref="B2712" r:id="rId8132" display="https://statiz.sporki.com/add/?m=draft_school01&amp;ps_school=50705" xr:uid="{34FC2B85-1C7B-4E68-AE09-F4B93D860C4C}"/>
    <hyperlink ref="C2712" r:id="rId8133" display="https://statiz.sporki.com/add/?m=draft_school02&amp;ps_school=60114" xr:uid="{AC2AB4FD-D203-467D-A732-3E417622C438}"/>
    <hyperlink ref="A2713" r:id="rId8134" display="https://statiz.sporki.com/player/?m=playerinfo&amp;p_no=2299" xr:uid="{0B202091-D971-4300-993C-91579CA02DF2}"/>
    <hyperlink ref="B2713" r:id="rId8135" display="https://statiz.sporki.com/add/?m=draft_school01&amp;ps_school=50108" xr:uid="{9BFA536A-D00E-40AA-BD4E-A1B599F8885D}"/>
    <hyperlink ref="C2713" r:id="rId8136" display="https://statiz.sporki.com/add/?m=draft_school02&amp;ps_school=60801" xr:uid="{4674AECB-5062-4D15-BF9C-E5F5C34928CD}"/>
    <hyperlink ref="A2714" r:id="rId8137" display="https://statiz.sporki.com/player/?m=playerinfo&amp;p_no=10532" xr:uid="{EA008230-1340-4BE7-845C-069D501EA49C}"/>
    <hyperlink ref="B2714" r:id="rId8138" display="https://statiz.sporki.com/add/?m=draft_school01&amp;ps_school=50209" xr:uid="{617748E5-94DF-45E9-947B-83E724411F7B}"/>
    <hyperlink ref="C2714" r:id="rId8139" display="https://statiz.sporki.com/add/?m=draft_school02&amp;ps_school=60204" xr:uid="{4C29B7C3-9C8F-4B8C-A1A8-EE8A5F39B922}"/>
    <hyperlink ref="A2715" r:id="rId8140" display="https://statiz.sporki.com/player/?m=playerinfo&amp;p_no=2293" xr:uid="{ED231231-B6B7-41D9-B7D5-D5DA99EE3BF1}"/>
    <hyperlink ref="B2715" r:id="rId8141" display="https://statiz.sporki.com/add/?m=draft_school01&amp;ps_school=50108" xr:uid="{D800CD5C-2016-4FFA-8505-DBE2FE1D8B88}"/>
    <hyperlink ref="C2715" r:id="rId8142" display="https://statiz.sporki.com/add/?m=draft_school02&amp;ps_school=60103" xr:uid="{BE044A49-34D9-456A-843E-C5DDE6F303DB}"/>
    <hyperlink ref="A2716" r:id="rId8143" display="https://statiz.sporki.com/player/?m=playerinfo&amp;p_no=10663" xr:uid="{D7C5CB55-41C6-466B-9621-07A52BC6E1F8}"/>
    <hyperlink ref="B2716" r:id="rId8144" display="https://statiz.sporki.com/add/?m=draft_school01&amp;ps_school=50110" xr:uid="{ACBC164D-1810-433F-B460-FF76384D9752}"/>
    <hyperlink ref="C2716" r:id="rId8145" display="https://statiz.sporki.com/add/?m=draft_school02&amp;ps_school=60102" xr:uid="{2FB8ACF1-DB68-4712-8C10-87BFA56AACE1}"/>
    <hyperlink ref="A2717" r:id="rId8146" display="https://statiz.sporki.com/player/?m=playerinfo&amp;p_no=10605" xr:uid="{150D6379-EAE8-4A3E-84D7-B6EA680C9631}"/>
    <hyperlink ref="B2717" r:id="rId8147" display="https://statiz.sporki.com/add/?m=draft_school01&amp;ps_school=50402" xr:uid="{71762614-D5BB-4D60-B17A-F53BC7076F12}"/>
    <hyperlink ref="C2717" r:id="rId8148" display="https://statiz.sporki.com/add/?m=draft_school02&amp;ps_school=60804" xr:uid="{294A9186-E66A-41F8-9B21-62EC63B5C272}"/>
    <hyperlink ref="A2718" r:id="rId8149" display="https://statiz.sporki.com/player/?m=playerinfo&amp;p_no=2279" xr:uid="{09D1025B-C7F0-4D1D-9AE1-BF13D6EC5F84}"/>
    <hyperlink ref="B2718" r:id="rId8150" display="https://statiz.sporki.com/add/?m=draft_school01&amp;ps_school=50112" xr:uid="{7D647709-1A4F-41DB-986E-B93276035EFB}"/>
    <hyperlink ref="C2718" r:id="rId8151" display="https://statiz.sporki.com/add/?m=draft_school02&amp;ps_school=60703" xr:uid="{8DF949D2-A7CE-4E1A-98F8-879CB0F1DCD9}"/>
    <hyperlink ref="A2719" r:id="rId8152" display="https://statiz.sporki.com/player/?m=playerinfo&amp;p_no=2351" xr:uid="{8EAD6FDE-4D7B-4E28-B83C-F584AD6BEF33}"/>
    <hyperlink ref="B2719" r:id="rId8153" display="https://statiz.sporki.com/add/?m=draft_school01&amp;ps_school=50803" xr:uid="{CBB36146-6B64-47D6-A322-58FFB1BFB862}"/>
    <hyperlink ref="C2719" r:id="rId8154" display="https://statiz.sporki.com/add/?m=draft_school02&amp;ps_school=60803" xr:uid="{8F480BFA-A585-42D8-A15A-9E24FD828A22}"/>
    <hyperlink ref="A2720" r:id="rId8155" display="https://statiz.sporki.com/player/?m=playerinfo&amp;p_no=2063" xr:uid="{498AED67-9CAE-4548-9F80-F7E36C05EE35}"/>
    <hyperlink ref="B2720" r:id="rId8156" display="https://statiz.sporki.com/add/?m=draft_school01&amp;ps_school=50602" xr:uid="{BBA0FE9B-E6CA-4769-A9B5-318E2200F4B6}"/>
    <hyperlink ref="C2720" r:id="rId8157" display="https://statiz.sporki.com/add/?m=draft_school02&amp;ps_school=60501" xr:uid="{F1103996-95A2-4B38-8523-D72724E0A5D6}"/>
    <hyperlink ref="A2721" r:id="rId8158" display="https://statiz.sporki.com/player/?m=playerinfo&amp;p_no=11457" xr:uid="{760AD712-84DF-4F17-9F4A-FE7E489B126C}"/>
    <hyperlink ref="B2721" r:id="rId8159" display="https://statiz.sporki.com/add/?m=draft_school01&amp;ps_school=50502" xr:uid="{5D300A80-F320-4AC4-BCA7-538898A1BCA4}"/>
    <hyperlink ref="C2721" r:id="rId8160" display="https://statiz.sporki.com/add/?m=draft_school02&amp;ps_school=60501" xr:uid="{EF4E080F-22C6-487D-BA13-101956FE2E40}"/>
    <hyperlink ref="A2722" r:id="rId8161" display="https://statiz.sporki.com/player/?m=playerinfo&amp;p_no=10201" xr:uid="{231D02A3-A036-47F8-8846-D7C38884BB17}"/>
    <hyperlink ref="B2722" r:id="rId8162" display="https://statiz.sporki.com/add/?m=draft_school01&amp;ps_school=50105" xr:uid="{FCCB6FC6-629F-442A-8B25-69F8E41DFC54}"/>
    <hyperlink ref="C2722" r:id="rId8163" display="https://statiz.sporki.com/add/?m=draft_school02&amp;ps_school=60101" xr:uid="{96B0DCB2-D2C1-4527-9638-33A31BC626A2}"/>
    <hyperlink ref="A2723" r:id="rId8164" display="https://statiz.sporki.com/player/?m=playerinfo&amp;p_no=10254" xr:uid="{E23EEDBE-D756-4AFB-BB65-A75A0F9ADCC9}"/>
    <hyperlink ref="B2723" r:id="rId8165" display="https://statiz.sporki.com/add/?m=draft_school01&amp;ps_school=50114" xr:uid="{9F8C266F-229A-40B3-8359-C603EE11E279}"/>
    <hyperlink ref="C2723" r:id="rId8166" display="https://statiz.sporki.com/add/?m=draft_school02&amp;ps_school=60501" xr:uid="{14FEFC0C-6119-4032-A4E8-52D931C16FD3}"/>
    <hyperlink ref="A2724" r:id="rId8167" display="https://statiz.sporki.com/player/?m=playerinfo&amp;p_no=10634" xr:uid="{75E38FEC-8FD6-473A-9BA1-537F1E559B4D}"/>
    <hyperlink ref="B2724" r:id="rId8168" display="https://statiz.sporki.com/add/?m=draft_school01&amp;ps_school=50705" xr:uid="{DB6DCB93-3485-4EA1-B137-918F5B87BBEB}"/>
    <hyperlink ref="C2724" r:id="rId8169" display="https://statiz.sporki.com/add/?m=draft_school02&amp;ps_school=60114" xr:uid="{A76EFFA6-92BB-4E8F-9439-FF0195531E9D}"/>
    <hyperlink ref="A2725" r:id="rId8170" display="https://statiz.sporki.com/player/?m=playerinfo&amp;p_no=2216" xr:uid="{0B427190-6FBA-4BF3-9787-918B3F64A0D7}"/>
    <hyperlink ref="B2725" r:id="rId8171" display="https://statiz.sporki.com/add/?m=draft_school01&amp;ps_school=50202" xr:uid="{9DDCE36C-869A-4040-B37D-9FB0AC4C3456}"/>
    <hyperlink ref="C2725" r:id="rId8172" display="https://statiz.sporki.com/add/?m=draft_school02&amp;ps_school=60801" xr:uid="{049059C3-E302-4DE4-89CA-AE605DB1B132}"/>
    <hyperlink ref="A2726" r:id="rId8173" display="https://statiz.sporki.com/player/?m=playerinfo&amp;p_no=2064" xr:uid="{9DC77B29-11B9-487B-B107-98DB82E63D4B}"/>
    <hyperlink ref="B2726" r:id="rId8174" display="https://statiz.sporki.com/add/?m=draft_school01&amp;ps_school=50110" xr:uid="{353C93D4-6E14-441A-B35B-3AFA6AFEEDB9}"/>
    <hyperlink ref="C2726" r:id="rId8175" display="https://statiz.sporki.com/add/?m=draft_school02&amp;ps_school=60501" xr:uid="{06DEC11B-C655-4C06-88BD-D5D538DC1D2B}"/>
    <hyperlink ref="A2727" r:id="rId8176" display="https://statiz.sporki.com/player/?m=playerinfo&amp;p_no=10395" xr:uid="{AE2185D3-8EEB-4466-BE85-694327598EFF}"/>
    <hyperlink ref="B2727" r:id="rId8177" display="https://statiz.sporki.com/add/?m=draft_school01&amp;ps_school=50711" xr:uid="{1C405260-D647-4AD5-AA15-3A8CDBC9BECE}"/>
    <hyperlink ref="C2727" r:id="rId8178" display="https://statiz.sporki.com/add/?m=draft_school02&amp;ps_school=60103" xr:uid="{7A269556-5F1D-4644-B1DE-9B11CEA6BB7E}"/>
    <hyperlink ref="A2728" r:id="rId8179" display="https://statiz.sporki.com/player/?m=playerinfo&amp;p_no=2280" xr:uid="{C0F1D27B-D4A9-4BC1-B2C4-5640CAC76E79}"/>
    <hyperlink ref="B2728" r:id="rId8180" display="https://statiz.sporki.com/add/?m=draft_school01&amp;ps_school=50402" xr:uid="{7D86DF70-036C-47E6-8DA1-74FC9BA9DAE8}"/>
    <hyperlink ref="C2728" r:id="rId8181" display="https://statiz.sporki.com/add/?m=draft_school02&amp;ps_school=60104" xr:uid="{CD51FE81-0324-4C2D-81B1-BF399302A212}"/>
    <hyperlink ref="A2729" r:id="rId8182" display="https://statiz.sporki.com/player/?m=playerinfo&amp;p_no=2288" xr:uid="{BBBAC5BD-EFB3-4067-A2D8-1A9F4134ED1A}"/>
    <hyperlink ref="B2729" r:id="rId8183" display="https://statiz.sporki.com/add/?m=draft_school01&amp;ps_school=50303" xr:uid="{DF0DEDB1-1E5F-418B-8412-18EA5A2D441D}"/>
    <hyperlink ref="C2729" r:id="rId8184" display="https://statiz.sporki.com/add/?m=draft_school02&amp;ps_school=60204" xr:uid="{A1A38CE2-1200-4663-BC9A-1C5D6D921DB0}"/>
    <hyperlink ref="A2730" r:id="rId8185" display="https://statiz.sporki.com/player/?m=playerinfo&amp;p_no=2167" xr:uid="{C3968A5D-E315-4E55-963A-1EDB82B52FBF}"/>
    <hyperlink ref="B2730" r:id="rId8186" display="https://statiz.sporki.com/add/?m=draft_school01&amp;ps_school=50602" xr:uid="{B2B7F4CE-F363-456C-8181-B3785BC34FC4}"/>
    <hyperlink ref="C2730" r:id="rId8187" display="https://statiz.sporki.com/add/?m=draft_school02&amp;ps_school=60204" xr:uid="{F5028532-9BB8-44A9-8B81-C366D4CC74AF}"/>
    <hyperlink ref="A2731" r:id="rId8188" display="https://statiz.sporki.com/player/?m=playerinfo&amp;p_no=2318" xr:uid="{483A4E24-533F-4BD0-B9D4-CA677606A2C7}"/>
    <hyperlink ref="B2731" r:id="rId8189" display="https://statiz.sporki.com/add/?m=draft_school01&amp;ps_school=50107" xr:uid="{07173EFE-EEC0-482C-865E-BF75317A54B3}"/>
    <hyperlink ref="C2731" r:id="rId8190" display="https://statiz.sporki.com/add/?m=draft_school02&amp;ps_school=60101" xr:uid="{4C49A481-A745-456D-8C0C-9374924F1BC3}"/>
    <hyperlink ref="A2732" r:id="rId8191" display="https://statiz.sporki.com/player/?m=playerinfo&amp;p_no=10443" xr:uid="{C4E82DF0-0838-443D-8C7C-C71873DF365E}"/>
    <hyperlink ref="B2732" r:id="rId8192" display="https://statiz.sporki.com/add/?m=draft_school01&amp;ps_school=50112" xr:uid="{894305A1-0F94-49F0-8BC6-A8FB94F3189B}"/>
    <hyperlink ref="C2732" r:id="rId8193" display="https://statiz.sporki.com/add/?m=draft_school02&amp;ps_school=60103" xr:uid="{BA8F9210-8C93-44B4-9E07-3B9FB20E0A07}"/>
    <hyperlink ref="A2733" r:id="rId8194" display="https://statiz.sporki.com/player/?m=playerinfo&amp;p_no=2108" xr:uid="{2CDA0301-408D-4726-ABA9-351611699022}"/>
    <hyperlink ref="B2733" r:id="rId8195" display="https://statiz.sporki.com/add/?m=draft_school01&amp;ps_school=50701" xr:uid="{8AC6EDCC-D64E-4D16-B79A-7399DA107976}"/>
    <hyperlink ref="C2733" r:id="rId8196" display="https://statiz.sporki.com/add/?m=draft_school02&amp;ps_school=60203" xr:uid="{0BDAD2E9-C4DF-4960-B18F-03B87F1CDFF3}"/>
    <hyperlink ref="A2734" r:id="rId8197" display="https://statiz.sporki.com/player/?m=playerinfo&amp;p_no=10573" xr:uid="{04A3DFC7-0173-4A07-B97B-023FC4B3E7D4}"/>
    <hyperlink ref="B2734" r:id="rId8198" display="https://statiz.sporki.com/add/?m=draft_school01&amp;ps_school=50202" xr:uid="{D65F3DBD-A946-4971-BC8B-4C43D2E8D769}"/>
    <hyperlink ref="C2734" r:id="rId8199" display="https://statiz.sporki.com/add/?m=draft_school02&amp;ps_school=61002" xr:uid="{C4D72367-7D6B-45AC-BF93-589326494E22}"/>
    <hyperlink ref="A2735" r:id="rId8200" display="https://statiz.sporki.com/player/?m=playerinfo&amp;p_no=11442" xr:uid="{E316A800-7DB7-4887-AFEC-5EBFE6514F57}"/>
    <hyperlink ref="B2735" r:id="rId8201" display="https://statiz.sporki.com/add/?m=draft_school01&amp;ps_school=50803" xr:uid="{58F2AB06-AA04-4113-95F0-48C35F4F2A6D}"/>
    <hyperlink ref="C2735" r:id="rId8202" display="https://statiz.sporki.com/add/?m=draft_school02&amp;ps_school=60109" xr:uid="{E4A3D960-27D0-4420-BC26-9F7B9A51A3E3}"/>
    <hyperlink ref="A2736" r:id="rId8203" display="https://statiz.sporki.com/player/?m=playerinfo&amp;p_no=11474" xr:uid="{F2C9BAEA-62A3-4865-9256-D80EE128A420}"/>
    <hyperlink ref="B2736" r:id="rId8204" display="https://statiz.sporki.com/add/?m=draft_school01&amp;ps_school=50602" xr:uid="{0DA9AFFD-D96E-42D9-BEE0-98B73FD54501}"/>
    <hyperlink ref="C2736" r:id="rId8205" display="https://statiz.sporki.com/add/?m=draft_school02&amp;ps_school=60204" xr:uid="{E832E411-12C5-4CFF-84A3-3B3C8526E677}"/>
    <hyperlink ref="A2737" r:id="rId8206" display="https://statiz.sporki.com/player/?m=playerinfo&amp;p_no=2069" xr:uid="{44F17902-6F88-4BCF-AB4D-6CB7EC8B4804}"/>
    <hyperlink ref="B2737" r:id="rId8207" display="https://statiz.sporki.com/add/?m=draft_school01&amp;ps_school=" xr:uid="{2731DBB8-B933-40D5-B25E-17D9FF77C486}"/>
    <hyperlink ref="C2737" r:id="rId8208" display="https://statiz.sporki.com/add/?m=draft_school02&amp;ps_school=" xr:uid="{93104009-0902-4FC3-AC41-40670807536E}"/>
    <hyperlink ref="A2738" r:id="rId8209" display="https://statiz.sporki.com/player/?m=playerinfo&amp;p_no=2087" xr:uid="{29A62154-3AF1-4B55-9C51-B9B9954CED19}"/>
    <hyperlink ref="B2738" r:id="rId8210" display="https://statiz.sporki.com/add/?m=draft_school01&amp;ps_school=" xr:uid="{88A514A1-8571-424B-9981-57A5EB9B4559}"/>
    <hyperlink ref="C2738" r:id="rId8211" display="https://statiz.sporki.com/add/?m=draft_school02&amp;ps_school=" xr:uid="{588DC6E0-58F3-443C-B478-79550D23CAF6}"/>
    <hyperlink ref="A2739" r:id="rId8212" display="https://statiz.sporki.com/player/?m=playerinfo&amp;p_no=2112" xr:uid="{949214DB-F115-465C-881E-3E09DC5E01C7}"/>
    <hyperlink ref="B2739" r:id="rId8213" display="https://statiz.sporki.com/add/?m=draft_school01&amp;ps_school=50209" xr:uid="{8F9B352E-B7F2-4DBB-89FC-BEFEA5290912}"/>
    <hyperlink ref="C2739" r:id="rId8214" display="https://statiz.sporki.com/add/?m=draft_school02&amp;ps_school=60101" xr:uid="{F15C41DD-2EA3-4976-A872-EF1A15394FAA}"/>
    <hyperlink ref="A2740" r:id="rId8215" display="https://statiz.sporki.com/player/?m=playerinfo&amp;p_no=2133" xr:uid="{C2A3F321-E9DE-47A5-9BE4-E68E95F1DFB3}"/>
    <hyperlink ref="B2740" r:id="rId8216" display="https://statiz.sporki.com/add/?m=draft_school01&amp;ps_school=50501" xr:uid="{2DFFA938-DC2F-48F7-9D3D-65199D362F41}"/>
    <hyperlink ref="C2740" r:id="rId8217" display="https://statiz.sporki.com/add/?m=draft_school02&amp;ps_school=60802" xr:uid="{44181D7F-5EBA-45CF-AB9C-8AA6BB9C7E18}"/>
    <hyperlink ref="A2741" r:id="rId8218" display="https://statiz.sporki.com/player/?m=playerinfo&amp;p_no=2098" xr:uid="{C4F17B4F-F9E7-43B0-83B7-89C2324D04E7}"/>
    <hyperlink ref="B2741" r:id="rId8219" display="https://statiz.sporki.com/add/?m=draft_school01&amp;ps_school=" xr:uid="{223CA507-8B5B-4760-A16A-DBECCBE74E71}"/>
    <hyperlink ref="C2741" r:id="rId8220" display="https://statiz.sporki.com/add/?m=draft_school02&amp;ps_school=" xr:uid="{E5D1B1AA-67F6-48E5-A5BE-FC96CBAE3FE4}"/>
    <hyperlink ref="A2742" r:id="rId8221" display="https://statiz.sporki.com/player/?m=playerinfo&amp;p_no=2131" xr:uid="{9A4F3BCE-1330-4DF6-AD9C-8F10A60FBD9A}"/>
    <hyperlink ref="B2742" r:id="rId8222" display="https://statiz.sporki.com/add/?m=draft_school01&amp;ps_school=50209" xr:uid="{75E38BC2-CF47-4E35-A41F-73C120AE5941}"/>
    <hyperlink ref="C2742" r:id="rId8223" display="https://statiz.sporki.com/add/?m=draft_school02&amp;ps_school=60101" xr:uid="{D6DA7C65-0392-4C3C-BB27-2D2394EA9360}"/>
    <hyperlink ref="A2743" r:id="rId8224" display="https://statiz.sporki.com/player/?m=playerinfo&amp;p_no=2103" xr:uid="{D4C3DDE5-8C6B-48C9-9585-2F7EB2C18503}"/>
    <hyperlink ref="B2743" r:id="rId8225" display="https://statiz.sporki.com/add/?m=draft_school01&amp;ps_school=50402" xr:uid="{E886E06C-BFAB-4D14-9324-5231EA50A0FD}"/>
    <hyperlink ref="C2743" r:id="rId8226" display="https://statiz.sporki.com/add/?m=draft_school02&amp;ps_school=60114" xr:uid="{B19E78D2-074A-4893-AD72-7A8998C3CDA1}"/>
    <hyperlink ref="A2744" r:id="rId8227" display="https://statiz.sporki.com/player/?m=playerinfo&amp;p_no=2147" xr:uid="{1F95B8DF-72AA-4033-9E15-B4DA112353F8}"/>
    <hyperlink ref="B2744" r:id="rId8228" display="https://statiz.sporki.com/add/?m=draft_school01&amp;ps_school=50402" xr:uid="{69D8B989-7C9B-4E18-B3C7-D84DFD79768A}"/>
    <hyperlink ref="C2744" r:id="rId8229" display="https://statiz.sporki.com/add/?m=draft_school02&amp;ps_school=60103" xr:uid="{07A90ADC-A8C8-4F1E-B219-18EC783B6123}"/>
    <hyperlink ref="A2745" r:id="rId8230" display="https://statiz.sporki.com/player/?m=playerinfo&amp;p_no=11454" xr:uid="{73CEDD1E-5317-49A9-A3DA-58B12CD261AD}"/>
    <hyperlink ref="B2745" r:id="rId8231" display="https://statiz.sporki.com/add/?m=draft_school01&amp;ps_school=50502" xr:uid="{33F26970-2B92-41BD-81D9-EAC73FF94DEB}"/>
    <hyperlink ref="C2745" r:id="rId8232" display="https://statiz.sporki.com/add/?m=draft_school02&amp;ps_school=" xr:uid="{3B57D567-6A5E-4823-8E9B-48EEFF1EAC3F}"/>
    <hyperlink ref="A2746" r:id="rId8233" display="https://statiz.sporki.com/player/?m=playerinfo&amp;p_no=2157" xr:uid="{D255AE3F-0D95-4432-888C-72934C245626}"/>
    <hyperlink ref="B2746" r:id="rId8234" display="https://statiz.sporki.com/add/?m=draft_school01&amp;ps_school=50301" xr:uid="{4DD186DD-7950-4C6B-A2B5-1DD387E5908E}"/>
    <hyperlink ref="C2746" r:id="rId8235" display="https://statiz.sporki.com/add/?m=draft_school02&amp;ps_school=" xr:uid="{B7F9DE18-C6B6-4D8C-B3C9-4C23B259AF35}"/>
    <hyperlink ref="A2747" r:id="rId8236" display="https://statiz.sporki.com/player/?m=playerinfo&amp;p_no=10348" xr:uid="{43277D7C-FF0A-4C09-ACC0-A7C8889A81FD}"/>
    <hyperlink ref="B2747" r:id="rId8237" display="https://statiz.sporki.com/add/?m=draft_school01&amp;ps_school=50107" xr:uid="{880B3A17-CFD7-4EDA-88D1-B326887A7570}"/>
    <hyperlink ref="C2747" r:id="rId8238" display="https://statiz.sporki.com/add/?m=draft_school02&amp;ps_school=" xr:uid="{D035C960-7B71-41CD-8549-6F7EFC0FA317}"/>
    <hyperlink ref="A2748" r:id="rId8239" display="https://statiz.sporki.com/player/?m=playerinfo&amp;p_no=10594" xr:uid="{521DF0CF-9F0C-447A-A9B3-66E243518464}"/>
    <hyperlink ref="B2748" r:id="rId8240" display="https://statiz.sporki.com/add/?m=draft_school01&amp;ps_school=50403" xr:uid="{7CDB53E9-A236-42DC-968D-CC34AB85499D}"/>
    <hyperlink ref="C2748" r:id="rId8241" display="https://statiz.sporki.com/add/?m=draft_school02&amp;ps_school=60109" xr:uid="{B275CF69-22E6-46B3-9635-9F9AB10CFC67}"/>
    <hyperlink ref="A2749" r:id="rId8242" display="https://statiz.sporki.com/player/?m=playerinfo&amp;p_no=10501" xr:uid="{00717FF0-A339-47E7-9168-B2667F3C00E0}"/>
    <hyperlink ref="B2749" r:id="rId8243" display="https://statiz.sporki.com/add/?m=draft_school01&amp;ps_school=50110" xr:uid="{15471FE7-9122-41B5-978D-807250339BA2}"/>
    <hyperlink ref="C2749" r:id="rId8244" display="https://statiz.sporki.com/add/?m=draft_school02&amp;ps_school=" xr:uid="{CC3A9B30-B40C-4D77-BDC1-07E9AB8D09E1}"/>
    <hyperlink ref="A2750" r:id="rId8245" display="https://statiz.sporki.com/player/?m=playerinfo&amp;p_no=10085" xr:uid="{A44F7128-4CBB-4EDA-BB28-2480D682FAA1}"/>
    <hyperlink ref="B2750" r:id="rId8246" display="https://statiz.sporki.com/add/?m=draft_school01&amp;ps_school=50502" xr:uid="{86C405A7-580F-4137-8479-494B52C07A7C}"/>
    <hyperlink ref="C2750" r:id="rId8247" display="https://statiz.sporki.com/add/?m=draft_school02&amp;ps_school=60804" xr:uid="{FF3F5004-956B-4C56-A7E5-55DEEE4F235C}"/>
    <hyperlink ref="A2751" r:id="rId8248" display="https://statiz.sporki.com/player/?m=playerinfo&amp;p_no=2071" xr:uid="{ED2EA35B-40CF-42AA-8241-D96AA10FD6F6}"/>
    <hyperlink ref="B2751" r:id="rId8249" display="https://statiz.sporki.com/add/?m=draft_school01&amp;ps_school=" xr:uid="{10278670-15CF-49B6-8ED2-CD03FD0F061A}"/>
    <hyperlink ref="C2751" r:id="rId8250" display="https://statiz.sporki.com/add/?m=draft_school02&amp;ps_school=" xr:uid="{4E888DB6-061D-4104-86DC-061B5D44C5B4}"/>
    <hyperlink ref="A2752" r:id="rId8251" display="https://statiz.sporki.com/player/?m=playerinfo&amp;p_no=2072" xr:uid="{3881B917-0637-4BC4-83CE-0D646ED00A4A}"/>
    <hyperlink ref="B2752" r:id="rId8252" display="https://statiz.sporki.com/add/?m=draft_school01&amp;ps_school=" xr:uid="{6ED73D20-72E8-4DD8-9D3E-B7540C20A1D7}"/>
    <hyperlink ref="C2752" r:id="rId8253" display="https://statiz.sporki.com/add/?m=draft_school02&amp;ps_school=" xr:uid="{F1C75586-C93B-4B80-A5C9-7CF6A7A646EF}"/>
    <hyperlink ref="A2753" r:id="rId8254" display="https://statiz.sporki.com/player/?m=playerinfo&amp;p_no=2090" xr:uid="{FD30FFBB-9A83-4748-94A8-1AF7E27F50AA}"/>
    <hyperlink ref="B2753" r:id="rId8255" display="https://statiz.sporki.com/add/?m=draft_school01&amp;ps_school=51100" xr:uid="{14279874-736B-4ADD-9ECF-2AF300FDD601}"/>
    <hyperlink ref="C2753" r:id="rId8256" display="https://statiz.sporki.com/add/?m=draft_school02&amp;ps_school=" xr:uid="{740E83E6-2B8D-4311-8BEF-DA149A3D3EEF}"/>
    <hyperlink ref="A2754" r:id="rId8257" display="https://statiz.sporki.com/player/?m=playerinfo&amp;p_no=2073" xr:uid="{76BE2578-0E0A-4DBC-B265-5D501BF8D389}"/>
    <hyperlink ref="B2754" r:id="rId8258" display="https://statiz.sporki.com/add/?m=draft_school01&amp;ps_school=" xr:uid="{877A6E1D-04EC-4409-BA9E-AF8651FB019C}"/>
    <hyperlink ref="C2754" r:id="rId8259" display="https://statiz.sporki.com/add/?m=draft_school02&amp;ps_school=" xr:uid="{1BE79DFA-094D-4D03-B058-7B65332656E4}"/>
    <hyperlink ref="A2755" r:id="rId8260" display="https://statiz.sporki.com/player/?m=playerinfo&amp;p_no=2101" xr:uid="{3B6EBC7C-3D8A-489D-867E-B9EE8648D5BF}"/>
    <hyperlink ref="B2755" r:id="rId8261" display="https://statiz.sporki.com/add/?m=draft_school01&amp;ps_school=" xr:uid="{1DF3117C-C0D3-4DD3-A69A-427159F0886A}"/>
    <hyperlink ref="C2755" r:id="rId8262" display="https://statiz.sporki.com/add/?m=draft_school02&amp;ps_school=" xr:uid="{D3940B8B-0A38-4767-8FDC-0ED5BEE98264}"/>
    <hyperlink ref="A2756" r:id="rId8263" display="https://statiz.sporki.com/player/?m=playerinfo&amp;p_no=2068" xr:uid="{C17EEDF8-C7C6-4ABA-ACE7-4CD3F0C74A7A}"/>
    <hyperlink ref="B2756" r:id="rId8264" display="https://statiz.sporki.com/add/?m=draft_school01&amp;ps_school=" xr:uid="{FCA35A89-EC92-43F0-9F3B-3C19B5F8252C}"/>
    <hyperlink ref="C2756" r:id="rId8265" display="https://statiz.sporki.com/add/?m=draft_school02&amp;ps_school=" xr:uid="{BC93CA47-8484-4EFE-AD41-57C0F61A248D}"/>
    <hyperlink ref="A2757" r:id="rId8266" display="https://statiz.sporki.com/player/?m=playerinfo&amp;p_no=2088" xr:uid="{558FACBA-E983-4304-9BD6-A86E9B8108B9}"/>
    <hyperlink ref="B2757" r:id="rId8267" display="https://statiz.sporki.com/add/?m=draft_school01&amp;ps_school=" xr:uid="{BF11CF05-96AE-4EE3-9453-446706CAE116}"/>
    <hyperlink ref="C2757" r:id="rId8268" display="https://statiz.sporki.com/add/?m=draft_school02&amp;ps_school=" xr:uid="{8739C383-3B8B-4392-827A-6A7AB944D901}"/>
    <hyperlink ref="A2758" r:id="rId8269" display="https://statiz.sporki.com/player/?m=playerinfo&amp;p_no=2066" xr:uid="{2620B9EB-368E-4BEB-8A10-C2BC4CE49119}"/>
    <hyperlink ref="B2758" r:id="rId8270" display="https://statiz.sporki.com/add/?m=draft_school01&amp;ps_school=" xr:uid="{5970D2B8-3454-4CE7-9699-8345B427D765}"/>
    <hyperlink ref="C2758" r:id="rId8271" display="https://statiz.sporki.com/add/?m=draft_school02&amp;ps_school=" xr:uid="{F80B585C-97AC-467F-B31A-13A2FF4A372C}"/>
    <hyperlink ref="A2759" r:id="rId8272" display="https://statiz.sporki.com/player/?m=playerinfo&amp;p_no=2094" xr:uid="{0D98E31E-CA56-49CB-8794-11BDCAFECD87}"/>
    <hyperlink ref="B2759" r:id="rId8273" display="https://statiz.sporki.com/add/?m=draft_school01&amp;ps_school=" xr:uid="{C5A32844-AF3A-4D94-8563-557EB129FE84}"/>
    <hyperlink ref="C2759" r:id="rId8274" display="https://statiz.sporki.com/add/?m=draft_school02&amp;ps_school=61100" xr:uid="{7315E36D-2F2C-4BA1-BF23-64E7146C8391}"/>
    <hyperlink ref="A2760" r:id="rId8275" display="https://statiz.sporki.com/player/?m=playerinfo&amp;p_no=2091" xr:uid="{EF0B0156-DC4B-448A-A483-6A14312787FF}"/>
    <hyperlink ref="B2760" r:id="rId8276" display="https://statiz.sporki.com/add/?m=draft_school01&amp;ps_school=" xr:uid="{9A47E5BB-7BEA-4601-BBD8-6CDCC4D4CB39}"/>
    <hyperlink ref="C2760" r:id="rId8277" display="https://statiz.sporki.com/add/?m=draft_school02&amp;ps_school=" xr:uid="{BC673A09-24AD-4568-BD67-925BA17678FB}"/>
    <hyperlink ref="A2761" r:id="rId8278" display="https://statiz.sporki.com/player/?m=playerinfo&amp;p_no=2067" xr:uid="{23F2C76D-880C-4A99-9228-A963D501EC7A}"/>
    <hyperlink ref="B2761" r:id="rId8279" display="https://statiz.sporki.com/add/?m=draft_school01&amp;ps_school=" xr:uid="{F0FC7374-5FB4-466B-B587-1A1C69C6FF47}"/>
    <hyperlink ref="C2761" r:id="rId8280" display="https://statiz.sporki.com/add/?m=draft_school02&amp;ps_school=" xr:uid="{287AB1E8-FA19-4793-BAF1-D2CE4D4FEDE1}"/>
    <hyperlink ref="A2762" r:id="rId8281" display="https://statiz.sporki.com/player/?m=playerinfo&amp;p_no=2093" xr:uid="{4F6629F2-6C17-41E6-85D9-A7D39C17EC84}"/>
    <hyperlink ref="B2762" r:id="rId8282" display="https://statiz.sporki.com/add/?m=draft_school01&amp;ps_school=51100" xr:uid="{CC6AFA61-0D2A-4129-B385-B731B52706BF}"/>
    <hyperlink ref="C2762" r:id="rId8283" display="https://statiz.sporki.com/add/?m=draft_school02&amp;ps_school=" xr:uid="{0B139F10-A14F-4C3A-B676-2841244B2AA3}"/>
    <hyperlink ref="A2763" r:id="rId8284" display="https://statiz.sporki.com/player/?m=playerinfo&amp;p_no=10173" xr:uid="{FF19BB17-B13E-44CD-94C6-1DB47E20629A}"/>
    <hyperlink ref="B2763" r:id="rId8285" display="https://statiz.sporki.com/add/?m=draft_school01&amp;ps_school=50105" xr:uid="{51B252CF-256E-409F-AC16-23BB32372553}"/>
    <hyperlink ref="C2763" r:id="rId8286" display="https://statiz.sporki.com/add/?m=draft_school02&amp;ps_school=60103" xr:uid="{1381977D-ACAA-408D-99DF-BE00C7C36DF3}"/>
    <hyperlink ref="A2764" r:id="rId8287" display="https://statiz.sporki.com/player/?m=playerinfo&amp;p_no=10564" xr:uid="{AFF97CB4-E8CC-46D1-87E1-B741A8DC5F69}"/>
    <hyperlink ref="B2764" r:id="rId8288" display="https://statiz.sporki.com/add/?m=draft_school01&amp;ps_school=50701" xr:uid="{D83968D7-B5C6-4FCC-98E2-A686A5B40AC5}"/>
    <hyperlink ref="C2764" r:id="rId8289" display="https://statiz.sporki.com/add/?m=draft_school02&amp;ps_school=60203" xr:uid="{429FFB7B-D2DD-4575-BB9F-96D6CB591F0C}"/>
    <hyperlink ref="A2765" r:id="rId8290" display="https://statiz.sporki.com/player/?m=playerinfo&amp;p_no=10379" xr:uid="{4B5A8C99-C7D5-4AA8-9282-C11C50AAC7CE}"/>
    <hyperlink ref="B2765" r:id="rId8291" display="https://statiz.sporki.com/add/?m=draft_school01&amp;ps_school=50502" xr:uid="{FF8E856F-E4C7-4B1A-9FED-268069AD9CF3}"/>
    <hyperlink ref="C2765" r:id="rId8292" display="https://statiz.sporki.com/add/?m=draft_school02&amp;ps_school=60501" xr:uid="{F9DEBF2C-B59D-42EA-8B0A-209C80306A4B}"/>
    <hyperlink ref="A2766" r:id="rId8293" display="https://statiz.sporki.com/player/?m=playerinfo&amp;p_no=2047" xr:uid="{B8C8E9C3-73A0-4B9D-BBF4-82B1184264CC}"/>
    <hyperlink ref="B2766" r:id="rId8294" display="https://statiz.sporki.com/add/?m=draft_school01&amp;ps_school=50203" xr:uid="{0171DA02-3D4C-4A4B-8311-D9DA87091271}"/>
    <hyperlink ref="C2766" r:id="rId8295" display="https://statiz.sporki.com/add/?m=draft_school02&amp;ps_school=60501" xr:uid="{80E90569-2BB8-4551-97E0-20E0E473DF62}"/>
    <hyperlink ref="A2767" r:id="rId8296" display="https://statiz.sporki.com/player/?m=playerinfo&amp;p_no=10463" xr:uid="{8FC7B89E-F10A-40B0-B9DB-23549C79E020}"/>
    <hyperlink ref="B2767" r:id="rId8297" display="https://statiz.sporki.com/add/?m=draft_school01&amp;ps_school=50110" xr:uid="{F1B4952B-E850-43FD-A904-BE8D2EEEC2AD}"/>
    <hyperlink ref="C2767" r:id="rId8298" display="https://statiz.sporki.com/add/?m=draft_school02&amp;ps_school=60109" xr:uid="{FD8D1751-C55A-4BBD-B21E-93EFB548BA17}"/>
    <hyperlink ref="A2768" r:id="rId8299" display="https://statiz.sporki.com/player/?m=playerinfo&amp;p_no=10298" xr:uid="{A0B9DCFF-F6CA-481C-84A7-726DE0B19205}"/>
    <hyperlink ref="B2768" r:id="rId8300" display="https://statiz.sporki.com/add/?m=draft_school01&amp;ps_school=50802" xr:uid="{F0CB314C-03ED-491B-BF1A-F2AF2D4502DC}"/>
    <hyperlink ref="C2768" r:id="rId8301" display="https://statiz.sporki.com/add/?m=draft_school02&amp;ps_school=60204" xr:uid="{CBC8C4E7-A392-4760-ABC8-6E743BCD9606}"/>
    <hyperlink ref="A2769" r:id="rId8302" display="https://statiz.sporki.com/player/?m=playerinfo&amp;p_no=10488" xr:uid="{77A93207-4251-4363-BE0B-2A986635075F}"/>
    <hyperlink ref="B2769" r:id="rId8303" display="https://statiz.sporki.com/add/?m=draft_school01&amp;ps_school=50110" xr:uid="{E08CDA03-E54D-41EA-BEF1-1B5325693ACF}"/>
    <hyperlink ref="C2769" r:id="rId8304" display="https://statiz.sporki.com/add/?m=draft_school02&amp;ps_school=60109" xr:uid="{DBFA798D-8D28-408F-AF3F-480D3DE531C7}"/>
    <hyperlink ref="A2770" r:id="rId8305" display="https://statiz.sporki.com/player/?m=playerinfo&amp;p_no=2027" xr:uid="{A404A3AC-DAFC-459C-AADA-7AA9F3D7C194}"/>
    <hyperlink ref="B2770" r:id="rId8306" display="https://statiz.sporki.com/add/?m=draft_school01&amp;ps_school=50209" xr:uid="{DE143194-6D51-4003-B877-08C558FA19CF}"/>
    <hyperlink ref="C2770" r:id="rId8307" display="https://statiz.sporki.com/add/?m=draft_school02&amp;ps_school=60114" xr:uid="{0142B723-6F87-410E-8850-830E26363CD3}"/>
    <hyperlink ref="A2771" r:id="rId8308" display="https://statiz.sporki.com/player/?m=playerinfo&amp;p_no=10500" xr:uid="{6C1B1913-313C-4C32-AB96-558A200FE920}"/>
    <hyperlink ref="B2771" r:id="rId8309" display="https://statiz.sporki.com/add/?m=draft_school01&amp;ps_school=50108" xr:uid="{A8631353-FF32-4840-BD01-ADDFF5467176}"/>
    <hyperlink ref="C2771" r:id="rId8310" display="https://statiz.sporki.com/add/?m=draft_school02&amp;ps_school=60102" xr:uid="{E1D1C36C-0609-4F96-BA27-105DC163E8B4}"/>
    <hyperlink ref="A2772" r:id="rId8311" display="https://statiz.sporki.com/player/?m=playerinfo&amp;p_no=2176" xr:uid="{F612DA61-C2D0-4CCB-8729-BFF0996D5080}"/>
    <hyperlink ref="B2772" r:id="rId8312" display="https://statiz.sporki.com/add/?m=draft_school01&amp;ps_school=50602" xr:uid="{36FD92BE-0466-4A01-9FC7-FA20A355C23B}"/>
    <hyperlink ref="C2772" r:id="rId8313" display="https://statiz.sporki.com/add/?m=draft_school02&amp;ps_school=" xr:uid="{459D07BE-7494-4427-9BF2-63B3C7F6B194}"/>
    <hyperlink ref="A2773" r:id="rId8314" display="https://statiz.sporki.com/player/?m=playerinfo&amp;p_no=10487" xr:uid="{A8D7B0B5-7D3A-4F9F-8495-4B29A545FFDA}"/>
    <hyperlink ref="B2773" r:id="rId8315" display="https://statiz.sporki.com/add/?m=draft_school01&amp;ps_school=50802" xr:uid="{9F58EDE2-5A63-49BC-A8EA-9AAC2450C598}"/>
    <hyperlink ref="C2773" r:id="rId8316" display="https://statiz.sporki.com/add/?m=draft_school02&amp;ps_school=60103" xr:uid="{B3C7708D-2871-4F3F-B770-901BECFBC844}"/>
    <hyperlink ref="A2774" r:id="rId8317" display="https://statiz.sporki.com/player/?m=playerinfo&amp;p_no=2021" xr:uid="{0F57BA6D-6CBD-48FE-A5C8-3ED850260611}"/>
    <hyperlink ref="B2774" r:id="rId8318" display="https://statiz.sporki.com/add/?m=draft_school01&amp;ps_school=50701" xr:uid="{FD8802CE-AA22-473D-803A-3B39AB763FF7}"/>
    <hyperlink ref="C2774" r:id="rId8319" display="https://statiz.sporki.com/add/?m=draft_school02&amp;ps_school=60113" xr:uid="{31454D53-52FC-404A-AC15-F551138C2CCA}"/>
    <hyperlink ref="A2775" r:id="rId8320" display="https://statiz.sporki.com/player/?m=playerinfo&amp;p_no=10117" xr:uid="{991D38C1-B20F-4325-92ED-CDFC92750B6C}"/>
    <hyperlink ref="B2775" r:id="rId8321" display="https://statiz.sporki.com/add/?m=draft_school01&amp;ps_school=50209" xr:uid="{33AA8A1B-653C-4F7F-A1C7-1EF3CAE26EE2}"/>
    <hyperlink ref="C2775" r:id="rId8322" display="https://statiz.sporki.com/add/?m=draft_school02&amp;ps_school=60801" xr:uid="{82633FC4-97B4-40B6-B1D2-700510EE99E1}"/>
    <hyperlink ref="A2776" r:id="rId8323" display="https://statiz.sporki.com/player/?m=playerinfo&amp;p_no=10542" xr:uid="{C6B4D56F-B001-4DB4-90B9-BA73B6483A94}"/>
    <hyperlink ref="B2776" r:id="rId8324" display="https://statiz.sporki.com/add/?m=draft_school01&amp;ps_school=50501" xr:uid="{0F00E4E6-7629-4C6A-94C1-EFADDA76634C}"/>
    <hyperlink ref="C2776" r:id="rId8325" display="https://statiz.sporki.com/add/?m=draft_school02&amp;ps_school=60104" xr:uid="{3FFDEF80-E7EF-4A8E-AA28-7D2CE4D06604}"/>
    <hyperlink ref="A2777" r:id="rId8326" display="https://statiz.sporki.com/player/?m=playerinfo&amp;p_no=2053" xr:uid="{2F2308EF-4267-4EB7-980A-E573A6141489}"/>
    <hyperlink ref="B2777" r:id="rId8327" display="https://statiz.sporki.com/add/?m=draft_school01&amp;ps_school=50703" xr:uid="{C71B82CA-A61C-4C8E-8FE5-5F7ADFF1A88D}"/>
    <hyperlink ref="C2777" r:id="rId8328" display="https://statiz.sporki.com/add/?m=draft_school02&amp;ps_school=" xr:uid="{F9134FAB-9CC0-4F94-8FD8-5C3B3CEBBA0E}"/>
    <hyperlink ref="A2778" r:id="rId8329" display="https://statiz.sporki.com/player/?m=playerinfo&amp;p_no=2059" xr:uid="{62294255-6AF8-43EF-945F-55ABDA630294}"/>
    <hyperlink ref="B2778" r:id="rId8330" display="https://statiz.sporki.com/add/?m=draft_school01&amp;ps_school=50812" xr:uid="{1D92951E-5D90-482A-87E5-80D32BCF6522}"/>
    <hyperlink ref="C2778" r:id="rId8331" display="https://statiz.sporki.com/add/?m=draft_school02&amp;ps_school=60113" xr:uid="{6CE92483-28A3-4F31-B89D-8F5E0A0044E8}"/>
    <hyperlink ref="A2779" r:id="rId8332" display="https://statiz.sporki.com/player/?m=playerinfo&amp;p_no=10642" xr:uid="{4E37C8F8-B9C0-41EC-BE1E-C95539ADF394}"/>
    <hyperlink ref="B2779" r:id="rId8333" display="https://statiz.sporki.com/add/?m=draft_school01&amp;ps_school=50801" xr:uid="{B9F22BE4-1E5C-490E-8F51-5794B302F46E}"/>
    <hyperlink ref="C2779" r:id="rId8334" display="https://statiz.sporki.com/add/?m=draft_school02&amp;ps_school=" xr:uid="{25C21901-9EED-4EEB-A1D6-6DB3342139C1}"/>
    <hyperlink ref="A2780" r:id="rId8335" display="https://statiz.sporki.com/player/?m=playerinfo&amp;p_no=2150" xr:uid="{6BFFC290-524B-4780-A73B-7CB19DD3233C}"/>
    <hyperlink ref="B2780" r:id="rId8336" display="https://statiz.sporki.com/add/?m=draft_school01&amp;ps_school=50802" xr:uid="{5FC9F586-0F89-4960-B897-1116CDDB1904}"/>
    <hyperlink ref="C2780" r:id="rId8337" display="https://statiz.sporki.com/add/?m=draft_school02&amp;ps_school=" xr:uid="{8AA670E7-7FCC-41F3-92A5-E6343A7E95EF}"/>
    <hyperlink ref="A2781" r:id="rId8338" display="https://statiz.sporki.com/player/?m=playerinfo&amp;p_no=2046" xr:uid="{4D2DFF24-EAD2-4F4B-935F-22947CF17A9C}"/>
    <hyperlink ref="B2781" r:id="rId8339" display="https://statiz.sporki.com/add/?m=draft_school01&amp;ps_school=50109" xr:uid="{7F79A6EE-92A1-4F6F-9F86-7E38E0A3FFBC}"/>
    <hyperlink ref="C2781" r:id="rId8340" display="https://statiz.sporki.com/add/?m=draft_school02&amp;ps_school=60802" xr:uid="{5F2725FC-0EB9-4EE5-A62D-A5BEF2188942}"/>
    <hyperlink ref="A2782" r:id="rId8341" display="https://statiz.sporki.com/player/?m=playerinfo&amp;p_no=2149" xr:uid="{0123F32D-0F85-4B97-BFBD-E67F82FE19D5}"/>
    <hyperlink ref="B2782" r:id="rId8342" display="https://statiz.sporki.com/add/?m=draft_school01&amp;ps_school=50107" xr:uid="{0AAE95C2-CFEB-4750-B514-7E5AB6E3B777}"/>
    <hyperlink ref="C2782" r:id="rId8343" display="https://statiz.sporki.com/add/?m=draft_school02&amp;ps_school=60109" xr:uid="{CAA902D9-A4C7-427E-A26A-C67738DEC125}"/>
    <hyperlink ref="A2783" r:id="rId8344" display="https://statiz.sporki.com/player/?m=playerinfo&amp;p_no=2024" xr:uid="{880F3590-21CC-47B5-8C1E-589CAE8EA3AC}"/>
    <hyperlink ref="B2783" r:id="rId8345" display="https://statiz.sporki.com/add/?m=draft_school01&amp;ps_school=50501" xr:uid="{DFBF70BB-CBF6-4347-A505-CBDD5EDD705D}"/>
    <hyperlink ref="C2783" r:id="rId8346" display="https://statiz.sporki.com/add/?m=draft_school02&amp;ps_school=60104" xr:uid="{F05C02BE-C4E7-418E-BBAC-2EF93BCF7CB2}"/>
    <hyperlink ref="A2784" r:id="rId8347" display="https://statiz.sporki.com/player/?m=playerinfo&amp;p_no=10515" xr:uid="{976B0A5C-E8D5-4F71-A998-112A3C9B3537}"/>
    <hyperlink ref="B2784" r:id="rId8348" display="https://statiz.sporki.com/add/?m=draft_school01&amp;ps_school=50402" xr:uid="{45BF97F7-B6B7-4121-9A47-7762C2F1ECE2}"/>
    <hyperlink ref="C2784" r:id="rId8349" display="https://statiz.sporki.com/add/?m=draft_school02&amp;ps_school=60104" xr:uid="{07F50B01-6F47-4B4E-96C6-F3C1C3D89D1B}"/>
    <hyperlink ref="A2785" r:id="rId8350" display="https://statiz.sporki.com/player/?m=playerinfo&amp;p_no=2065" xr:uid="{5B49B6B3-0A7A-4BB3-B54A-90E077DFA64C}"/>
    <hyperlink ref="B2785" r:id="rId8351" display="https://statiz.sporki.com/add/?m=draft_school01&amp;ps_school=50110" xr:uid="{B65B52F1-E5D3-47F7-A4BD-B26F93810744}"/>
    <hyperlink ref="C2785" r:id="rId8352" display="https://statiz.sporki.com/add/?m=draft_school02&amp;ps_school=60103" xr:uid="{E83E20BC-B499-492B-959F-1D00984613EC}"/>
    <hyperlink ref="A2786" r:id="rId8353" display="https://statiz.sporki.com/player/?m=playerinfo&amp;p_no=2032" xr:uid="{8A1E18A3-50DF-4F10-9D53-B008749DF17D}"/>
    <hyperlink ref="B2786" r:id="rId8354" display="https://statiz.sporki.com/add/?m=draft_school01&amp;ps_school=50802" xr:uid="{563163C8-0AD5-4DD3-8FDF-46D944809888}"/>
    <hyperlink ref="C2786" r:id="rId8355" display="https://statiz.sporki.com/add/?m=draft_school02&amp;ps_school=60108" xr:uid="{29E9CBEF-AA3B-4E05-952A-3B32C369ED2E}"/>
    <hyperlink ref="A2787" r:id="rId8356" display="https://statiz.sporki.com/player/?m=playerinfo&amp;p_no=2019" xr:uid="{826AFA34-50C7-4526-A802-C77EE9641167}"/>
    <hyperlink ref="B2787" r:id="rId8357" display="https://statiz.sporki.com/add/?m=draft_school01&amp;ps_school=50401" xr:uid="{053A02C1-1D6A-428D-8209-6B69433541C8}"/>
    <hyperlink ref="C2787" r:id="rId8358" display="https://statiz.sporki.com/add/?m=draft_school02&amp;ps_school=60501" xr:uid="{773F780F-ECE9-44AE-8EA7-1E7C613087E4}"/>
    <hyperlink ref="A2788" r:id="rId8359" display="https://statiz.sporki.com/player/?m=playerinfo&amp;p_no=2056" xr:uid="{6A62B198-3A59-4DA4-AC7F-976D6D8BE25F}"/>
    <hyperlink ref="B2788" r:id="rId8360" display="https://statiz.sporki.com/add/?m=draft_school01&amp;ps_school=50110" xr:uid="{7A7F4A9A-57F6-4477-B349-9C6C55D28268}"/>
    <hyperlink ref="C2788" r:id="rId8361" display="https://statiz.sporki.com/add/?m=draft_school02&amp;ps_school=60111" xr:uid="{5A5AA1CC-5521-4FAD-B001-C7D16279C65A}"/>
    <hyperlink ref="A2789" r:id="rId8362" display="https://statiz.sporki.com/player/?m=playerinfo&amp;p_no=2086" xr:uid="{F541D906-553F-41B0-9057-75D586531239}"/>
    <hyperlink ref="B2789" r:id="rId8363" display="https://statiz.sporki.com/add/?m=draft_school01&amp;ps_school=50802" xr:uid="{31B1B821-D89C-4B24-99BB-2BEAE38D8D74}"/>
    <hyperlink ref="C2789" r:id="rId8364" display="https://statiz.sporki.com/add/?m=draft_school02&amp;ps_school=60109" xr:uid="{E8E443B8-8B79-4DAC-AE09-98CEEE0D5A9C}"/>
    <hyperlink ref="A2790" r:id="rId8365" display="https://statiz.sporki.com/player/?m=playerinfo&amp;p_no=10091" xr:uid="{C4E59EDD-8AD2-4D35-BBCD-D4F2436508C6}"/>
    <hyperlink ref="B2790" r:id="rId8366" display="https://statiz.sporki.com/add/?m=draft_school01&amp;ps_school=50209" xr:uid="{85DC048F-4BC6-41C6-AD8F-B8EBCC7576F0}"/>
    <hyperlink ref="C2790" r:id="rId8367" display="https://statiz.sporki.com/add/?m=draft_school02&amp;ps_school=60109" xr:uid="{712E95F5-CB1E-4525-B814-406FFE55107B}"/>
    <hyperlink ref="A2791" r:id="rId8368" display="https://statiz.sporki.com/player/?m=playerinfo&amp;p_no=2330" xr:uid="{10368E85-7391-4454-AF62-BFD8D8FAA67A}"/>
    <hyperlink ref="B2791" r:id="rId8369" display="https://statiz.sporki.com/add/?m=draft_school01&amp;ps_school=50116" xr:uid="{196941F2-7572-41B7-ABCB-4B5FD9500A0C}"/>
    <hyperlink ref="C2791" r:id="rId8370" display="https://statiz.sporki.com/add/?m=draft_school02&amp;ps_school=60103" xr:uid="{330FC804-3D3A-45F3-9699-5E307D66695B}"/>
    <hyperlink ref="A2792" r:id="rId8371" display="https://statiz.sporki.com/player/?m=playerinfo&amp;p_no=10317" xr:uid="{7D12FE01-92E5-42D6-B681-F1C333C45899}"/>
    <hyperlink ref="B2792" r:id="rId8372" display="https://statiz.sporki.com/add/?m=draft_school01&amp;ps_school=50110" xr:uid="{E9A588D5-367D-4759-8EE9-A8B39B645B51}"/>
    <hyperlink ref="C2792" r:id="rId8373" display="https://statiz.sporki.com/add/?m=draft_school02&amp;ps_school=60108" xr:uid="{14496A53-32A4-4CA9-A214-B5DFDD5200F5}"/>
    <hyperlink ref="A2793" r:id="rId8374" display="https://statiz.sporki.com/player/?m=playerinfo&amp;p_no=2078" xr:uid="{CC29732C-0AC8-4316-BDCF-1B39DE9A68F5}"/>
    <hyperlink ref="B2793" r:id="rId8375" display="https://statiz.sporki.com/add/?m=draft_school01&amp;ps_school=50203" xr:uid="{1D6AA5B8-31DD-4537-A559-9715880B8904}"/>
    <hyperlink ref="C2793" r:id="rId8376" display="https://statiz.sporki.com/add/?m=draft_school02&amp;ps_school=60114" xr:uid="{59C44736-B897-4C62-9C2A-D243A836F96E}"/>
    <hyperlink ref="A2794" r:id="rId8377" display="https://statiz.sporki.com/player/?m=playerinfo&amp;p_no=2034" xr:uid="{3A41EF71-C49E-41DD-8F84-80FE64B66050}"/>
    <hyperlink ref="B2794" r:id="rId8378" display="https://statiz.sporki.com/add/?m=draft_school01&amp;ps_school=50103" xr:uid="{5318BCCC-54AB-4033-9C36-A590A3BE2D49}"/>
    <hyperlink ref="C2794" r:id="rId8379" display="https://statiz.sporki.com/add/?m=draft_school02&amp;ps_school=60204" xr:uid="{6B5540C3-52C6-4290-A845-C27D3EC5A115}"/>
    <hyperlink ref="A2795" r:id="rId8380" display="https://statiz.sporki.com/player/?m=playerinfo&amp;p_no=10397" xr:uid="{E7FEFE92-AC89-422D-B6A2-68C8EF8B96A8}"/>
    <hyperlink ref="B2795" r:id="rId8381" display="https://statiz.sporki.com/add/?m=draft_school01&amp;ps_school=50203" xr:uid="{6426B219-DE6E-45C8-A9CC-229923E0A75C}"/>
    <hyperlink ref="C2795" r:id="rId8382" display="https://statiz.sporki.com/add/?m=draft_school02&amp;ps_school=60113" xr:uid="{522F65B3-73B6-40B6-82EA-213920EF821A}"/>
    <hyperlink ref="A2796" r:id="rId8383" display="https://statiz.sporki.com/player/?m=playerinfo&amp;p_no=2018" xr:uid="{AB3E4A50-575F-4287-ACC5-1806E5DEECF4}"/>
    <hyperlink ref="B2796" r:id="rId8384" display="https://statiz.sporki.com/add/?m=draft_school01&amp;ps_school=50108" xr:uid="{55344973-B8A8-4012-BBB4-E88C2FBE19A3}"/>
    <hyperlink ref="C2796" r:id="rId8385" display="https://statiz.sporki.com/add/?m=draft_school02&amp;ps_school=60501" xr:uid="{FCF20023-4B72-40A1-801E-83F3DABB9440}"/>
    <hyperlink ref="A2797" r:id="rId8386" display="https://statiz.sporki.com/player/?m=playerinfo&amp;p_no=2148" xr:uid="{25E94A89-6246-4B02-B28F-D77824159049}"/>
    <hyperlink ref="B2797" r:id="rId8387" display="https://statiz.sporki.com/add/?m=draft_school01&amp;ps_school=50802" xr:uid="{60BA2003-9BA5-4017-B922-0F1D04955F87}"/>
    <hyperlink ref="C2797" r:id="rId8388" display="https://statiz.sporki.com/add/?m=draft_school02&amp;ps_school=" xr:uid="{1C778507-DEA2-4785-B1A8-52632F88348B}"/>
    <hyperlink ref="A2798" r:id="rId8389" display="https://statiz.sporki.com/player/?m=playerinfo&amp;p_no=2029" xr:uid="{FB235654-89DE-4A34-96CB-F24210146BF7}"/>
    <hyperlink ref="B2798" r:id="rId8390" display="https://statiz.sporki.com/add/?m=draft_school01&amp;ps_school=50804" xr:uid="{4D221B83-8148-467E-B6C9-68E832E306C1}"/>
    <hyperlink ref="C2798" r:id="rId8391" display="https://statiz.sporki.com/add/?m=draft_school02&amp;ps_school=60101" xr:uid="{7E200D92-B9E0-45B3-BAF6-7CAD0E58EE8F}"/>
    <hyperlink ref="A2799" r:id="rId8392" display="https://statiz.sporki.com/player/?m=playerinfo&amp;p_no=10315" xr:uid="{06C9BBDE-B25F-4509-BDD7-41BFACF83ED3}"/>
    <hyperlink ref="B2799" r:id="rId8393" display="https://statiz.sporki.com/add/?m=draft_school01&amp;ps_school=50116" xr:uid="{E86E7A44-FB10-4481-A5A8-93DA41BFFCD2}"/>
    <hyperlink ref="C2799" r:id="rId8394" display="https://statiz.sporki.com/add/?m=draft_school02&amp;ps_school=60109" xr:uid="{C8586EF7-AE99-4F7B-B7AE-8468771D2D09}"/>
    <hyperlink ref="A2800" r:id="rId8395" display="https://statiz.sporki.com/player/?m=playerinfo&amp;p_no=10455" xr:uid="{B052727C-7F72-46B8-92EA-0C01DE9B33E8}"/>
    <hyperlink ref="B2800" r:id="rId8396" display="https://statiz.sporki.com/add/?m=draft_school01&amp;ps_school=50606" xr:uid="{133F8E34-E63B-4B83-9043-12A9B91567E9}"/>
    <hyperlink ref="C2800" r:id="rId8397" display="https://statiz.sporki.com/add/?m=draft_school02&amp;ps_school=60109" xr:uid="{D8B09873-DCDF-4CC8-AAB1-516CF6F00AAC}"/>
    <hyperlink ref="A2801" r:id="rId8398" display="https://statiz.sporki.com/player/?m=playerinfo&amp;p_no=2180" xr:uid="{A9E16590-38DB-4F40-B84B-644CB7CF6DB2}"/>
    <hyperlink ref="B2801" r:id="rId8399" display="https://statiz.sporki.com/add/?m=draft_school01&amp;ps_school=50102" xr:uid="{DA4404F8-6728-40F1-B9E6-D2E3E06D3923}"/>
    <hyperlink ref="C2801" r:id="rId8400" display="https://statiz.sporki.com/add/?m=draft_school02&amp;ps_school=" xr:uid="{A873E6C5-306D-454E-825B-269F330EABF0}"/>
    <hyperlink ref="A2802" r:id="rId8401" display="https://statiz.sporki.com/player/?m=playerinfo&amp;p_no=2020" xr:uid="{1793D003-5835-447C-8930-956F84C7117E}"/>
    <hyperlink ref="B2802" r:id="rId8402" display="https://statiz.sporki.com/add/?m=draft_school01&amp;ps_school=50105" xr:uid="{25792915-B18A-4440-A3AE-71B257A80DAF}"/>
    <hyperlink ref="C2802" r:id="rId8403" display="https://statiz.sporki.com/add/?m=draft_school02&amp;ps_school=60111" xr:uid="{4EA4F1EC-9C4B-4FF7-B305-EC59ED1E41DA}"/>
    <hyperlink ref="A2803" r:id="rId8404" display="https://statiz.sporki.com/player/?m=playerinfo&amp;p_no=2074" xr:uid="{A5A03C2B-A9E5-4F54-9EDA-99729E1DF996}"/>
    <hyperlink ref="B2803" r:id="rId8405" display="https://statiz.sporki.com/add/?m=draft_school01&amp;ps_school=50202" xr:uid="{2E9FB35A-9777-41D4-BFD5-372E2668E0F4}"/>
    <hyperlink ref="C2803" r:id="rId8406" display="https://statiz.sporki.com/add/?m=draft_school02&amp;ps_school=60204" xr:uid="{83DEC0DB-E2D0-4D8A-816A-FF036FA0B85F}"/>
    <hyperlink ref="A2804" r:id="rId8407" display="https://statiz.sporki.com/player/?m=playerinfo&amp;p_no=10349" xr:uid="{74E77A6D-E0AD-4286-85AF-71D3CB102D0D}"/>
    <hyperlink ref="B2804" r:id="rId8408" display="https://statiz.sporki.com/add/?m=draft_school01&amp;ps_school=50812" xr:uid="{6EB077C2-3159-4E07-801C-09A469683150}"/>
    <hyperlink ref="C2804" r:id="rId8409" display="https://statiz.sporki.com/add/?m=draft_school02&amp;ps_school=60803" xr:uid="{841E2542-64A6-4C0B-8037-B8144FDC8E9B}"/>
    <hyperlink ref="A2805" r:id="rId8410" display="https://statiz.sporki.com/player/?m=playerinfo&amp;p_no=10420" xr:uid="{150A457E-04AA-4045-9462-B54BEECE9960}"/>
    <hyperlink ref="B2805" r:id="rId8411" display="https://statiz.sporki.com/add/?m=draft_school01&amp;ps_school=50107" xr:uid="{DC5DF28D-4C5F-4DC8-B7AC-3333155B70E8}"/>
    <hyperlink ref="C2805" r:id="rId8412" display="https://statiz.sporki.com/add/?m=draft_school02&amp;ps_school=60108" xr:uid="{603E99F4-6970-49EA-A2FE-DD43C02632A3}"/>
    <hyperlink ref="A2806" r:id="rId8413" display="https://statiz.sporki.com/player/?m=playerinfo&amp;p_no=2272" xr:uid="{0D4041DA-990D-4F79-A308-3FA9FDB99EBC}"/>
    <hyperlink ref="B2806" r:id="rId8414" display="https://statiz.sporki.com/add/?m=draft_school01&amp;ps_school=50114" xr:uid="{76651713-8996-469D-9459-24AB01C7F0BE}"/>
    <hyperlink ref="C2806" r:id="rId8415" display="https://statiz.sporki.com/add/?m=draft_school02&amp;ps_school=60114" xr:uid="{759747E6-F769-4BFD-887C-B0FC59382048}"/>
    <hyperlink ref="A2807" r:id="rId8416" display="https://statiz.sporki.com/player/?m=playerinfo&amp;p_no=2039" xr:uid="{F2AC199C-5615-4466-9190-CA28694A9ED8}"/>
    <hyperlink ref="B2807" r:id="rId8417" display="https://statiz.sporki.com/add/?m=draft_school01&amp;ps_school=50203" xr:uid="{D7468300-8EAC-4E9F-B290-3D2562B31117}"/>
    <hyperlink ref="C2807" r:id="rId8418" display="https://statiz.sporki.com/add/?m=draft_school02&amp;ps_school=60501" xr:uid="{E4878844-BB5A-4EF0-A270-CC096B7BB150}"/>
    <hyperlink ref="A2808" r:id="rId8419" display="https://statiz.sporki.com/player/?m=playerinfo&amp;p_no=2030" xr:uid="{FD043632-A2F3-4882-AA2A-6E26E87CFB84}"/>
    <hyperlink ref="B2808" r:id="rId8420" display="https://statiz.sporki.com/add/?m=draft_school01&amp;ps_school=50110" xr:uid="{2E1C77A5-913A-4EB4-BBA4-102599CAB7FB}"/>
    <hyperlink ref="C2808" r:id="rId8421" display="https://statiz.sporki.com/add/?m=draft_school02&amp;ps_school=60114" xr:uid="{F5E49AA5-9EFB-44A1-AF37-DEE5E1C93E61}"/>
    <hyperlink ref="A2809" r:id="rId8422" display="https://statiz.sporki.com/player/?m=playerinfo&amp;p_no=2291" xr:uid="{BB10D88F-D05E-43AE-9004-FF1F3FAC27C0}"/>
    <hyperlink ref="B2809" r:id="rId8423" display="https://statiz.sporki.com/add/?m=draft_school01&amp;ps_school=50602" xr:uid="{678D5FF4-E370-4E66-A516-D937DF995CB7}"/>
    <hyperlink ref="C2809" r:id="rId8424" display="https://statiz.sporki.com/add/?m=draft_school02&amp;ps_school=60103" xr:uid="{61A08864-8485-4358-B554-1631D03F5732}"/>
    <hyperlink ref="A2810" r:id="rId8425" display="https://statiz.sporki.com/player/?m=playerinfo&amp;p_no=2229" xr:uid="{B259372F-7251-4EB6-90CC-29E9CDBE14C7}"/>
    <hyperlink ref="B2810" r:id="rId8426" display="https://statiz.sporki.com/add/?m=draft_school01&amp;ps_school=50807" xr:uid="{30FB99A6-808F-449B-8239-D8CCEDA27ABB}"/>
    <hyperlink ref="C2810" r:id="rId8427" display="https://statiz.sporki.com/add/?m=draft_school02&amp;ps_school=60802" xr:uid="{E30FDF42-577B-4246-B640-0EF8ADCAFDE1}"/>
    <hyperlink ref="A2811" r:id="rId8428" display="https://statiz.sporki.com/player/?m=playerinfo&amp;p_no=2233" xr:uid="{62881F31-098B-47A4-B2C3-75EEA7749A07}"/>
    <hyperlink ref="B2811" r:id="rId8429" display="https://statiz.sporki.com/add/?m=draft_school01&amp;ps_school=50401" xr:uid="{172F8D74-AE43-4758-A0F9-19F1F13D92FB}"/>
    <hyperlink ref="C2811" r:id="rId8430" display="https://statiz.sporki.com/add/?m=draft_school02&amp;ps_school=60113" xr:uid="{865E51E3-E176-47A6-A90E-CF4BEBBACB10}"/>
    <hyperlink ref="A2812" r:id="rId8431" display="https://statiz.sporki.com/player/?m=playerinfo&amp;p_no=2049" xr:uid="{92E1F907-18DF-4C4F-B35D-24987AD71FA2}"/>
    <hyperlink ref="B2812" r:id="rId8432" display="https://statiz.sporki.com/add/?m=draft_school01&amp;ps_school=50110" xr:uid="{37D485C8-B3C5-4411-BB7E-2E8C8A874BEC}"/>
    <hyperlink ref="C2812" r:id="rId8433" display="https://statiz.sporki.com/add/?m=draft_school02&amp;ps_school=60102" xr:uid="{595CAE8A-F51D-46DF-8FE8-C6C676361924}"/>
    <hyperlink ref="A2813" r:id="rId8434" display="https://statiz.sporki.com/player/?m=playerinfo&amp;p_no=10436" xr:uid="{10021598-C158-464A-9C80-BBC30DAF605C}"/>
    <hyperlink ref="B2813" r:id="rId8435" display="https://statiz.sporki.com/add/?m=draft_school01&amp;ps_school=50303" xr:uid="{E8ABA443-3979-4C52-8B54-4EBE0B04F945}"/>
    <hyperlink ref="C2813" r:id="rId8436" display="https://statiz.sporki.com/add/?m=draft_school02&amp;ps_school=60203" xr:uid="{719D78D0-5200-4060-8F6B-05B9DF87EE15}"/>
    <hyperlink ref="A2814" r:id="rId8437" display="https://statiz.sporki.com/player/?m=playerinfo&amp;p_no=11446" xr:uid="{1CEA5721-7077-45A9-AD68-DF713E211706}"/>
    <hyperlink ref="B2814" r:id="rId8438" display="https://statiz.sporki.com/add/?m=draft_school01&amp;ps_school=50109" xr:uid="{E060989C-8456-467A-8040-1581620D050C}"/>
    <hyperlink ref="C2814" r:id="rId8439" display="https://statiz.sporki.com/add/?m=draft_school02&amp;ps_school=61000" xr:uid="{1EC5D619-5807-4B6A-96C1-384F1AE8E459}"/>
    <hyperlink ref="A2815" r:id="rId8440" display="https://statiz.sporki.com/player/?m=playerinfo&amp;p_no=10219" xr:uid="{2B121082-FD4A-4AD0-87B3-8181BB2BABB8}"/>
    <hyperlink ref="B2815" r:id="rId8441" display="https://statiz.sporki.com/add/?m=draft_school01&amp;ps_school=50116" xr:uid="{E29AB0AD-6005-497E-A6E0-335506D27BF2}"/>
    <hyperlink ref="C2815" r:id="rId8442" display="https://statiz.sporki.com/add/?m=draft_school02&amp;ps_school=61002" xr:uid="{11802134-1FE0-4393-8C9E-66A019647772}"/>
    <hyperlink ref="A2816" r:id="rId8443" display="https://statiz.sporki.com/player/?m=playerinfo&amp;p_no=2114" xr:uid="{53FA1B1A-BA3C-48EE-8A9D-2D44DCD0539D}"/>
    <hyperlink ref="B2816" r:id="rId8444" display="https://statiz.sporki.com/add/?m=draft_school01&amp;ps_school=50805" xr:uid="{C3D8D24E-383E-439F-ADE9-50157AF17D96}"/>
    <hyperlink ref="C2816" r:id="rId8445" display="https://statiz.sporki.com/add/?m=draft_school02&amp;ps_school=60103" xr:uid="{DCF7B5A0-3D1F-4E88-A159-1194AB1AA9E6}"/>
    <hyperlink ref="A2817" r:id="rId8446" display="https://statiz.sporki.com/player/?m=playerinfo&amp;p_no=10579" xr:uid="{C42DF8BD-F724-4A8F-85AF-6D506C10B895}"/>
    <hyperlink ref="B2817" r:id="rId8447" display="https://statiz.sporki.com/add/?m=draft_school01&amp;ps_school=50303" xr:uid="{9324F498-0BEE-4C22-8352-D10CBF0E627F}"/>
    <hyperlink ref="C2817" r:id="rId8448" display="https://statiz.sporki.com/add/?m=draft_school02&amp;ps_school=60108" xr:uid="{7EB16AF2-C375-4425-A20A-A35EEF11508D}"/>
    <hyperlink ref="A2818" r:id="rId8449" display="https://statiz.sporki.com/player/?m=playerinfo&amp;p_no=2187" xr:uid="{BB882E66-89B1-4D29-99A7-91D6D80EC90C}"/>
    <hyperlink ref="B2818" r:id="rId8450" display="https://statiz.sporki.com/add/?m=draft_school01&amp;ps_school=50402" xr:uid="{0510F983-1FD3-42BB-A312-CFB23C29E998}"/>
    <hyperlink ref="C2818" r:id="rId8451" display="https://statiz.sporki.com/add/?m=draft_school02&amp;ps_school=" xr:uid="{F1E655E2-456F-439A-AEC0-7365971D5897}"/>
    <hyperlink ref="A2819" r:id="rId8452" display="https://statiz.sporki.com/player/?m=playerinfo&amp;p_no=2079" xr:uid="{C277A622-0595-4116-AC52-8B9DD920B0BB}"/>
    <hyperlink ref="B2819" r:id="rId8453" display="https://statiz.sporki.com/add/?m=draft_school01&amp;ps_school=50111" xr:uid="{7E0303DE-8789-40A9-BBD8-6243D9D1320E}"/>
    <hyperlink ref="C2819" r:id="rId8454" display="https://statiz.sporki.com/add/?m=draft_school02&amp;ps_school=60114" xr:uid="{369897AA-9619-4B99-8FE4-038D798B3DD6}"/>
    <hyperlink ref="A2820" r:id="rId8455" display="https://statiz.sporki.com/player/?m=playerinfo&amp;p_no=2085" xr:uid="{6FACD4A0-9466-4613-AD36-678AB3A3E218}"/>
    <hyperlink ref="B2820" r:id="rId8456" display="https://statiz.sporki.com/add/?m=draft_school01&amp;ps_school=50105" xr:uid="{913236B1-7866-4040-9DA0-1B11DAB76F34}"/>
    <hyperlink ref="C2820" r:id="rId8457" display="https://statiz.sporki.com/add/?m=draft_school02&amp;ps_school=60101" xr:uid="{0B91A649-1364-4006-9976-E10ADE1130A5}"/>
    <hyperlink ref="A2821" r:id="rId8458" display="https://statiz.sporki.com/player/?m=playerinfo&amp;p_no=2022" xr:uid="{8A98FA29-D16D-4DD0-B4EB-22D51383915B}"/>
    <hyperlink ref="B2821" r:id="rId8459" display="https://statiz.sporki.com/add/?m=draft_school01&amp;ps_school=50110" xr:uid="{509DD642-5C10-44BD-8808-0178A5B74240}"/>
    <hyperlink ref="C2821" r:id="rId8460" display="https://statiz.sporki.com/add/?m=draft_school02&amp;ps_school=" xr:uid="{04FEC167-9FFA-4D0B-B2AA-59B08B2F22BC}"/>
    <hyperlink ref="A2822" r:id="rId8461" display="https://statiz.sporki.com/player/?m=playerinfo&amp;p_no=2113" xr:uid="{55232B7E-FCC6-4088-940D-7268BC72AF4D}"/>
    <hyperlink ref="B2822" r:id="rId8462" display="https://statiz.sporki.com/add/?m=draft_school01&amp;ps_school=50602" xr:uid="{16156D7F-3DEE-48D0-A969-564239F06C4B}"/>
    <hyperlink ref="C2822" r:id="rId8463" display="https://statiz.sporki.com/add/?m=draft_school02&amp;ps_school=60501" xr:uid="{B8F25B41-4532-43E4-A902-02CB0DD94DBE}"/>
    <hyperlink ref="A2823" r:id="rId8464" display="https://statiz.sporki.com/player/?m=playerinfo&amp;p_no=2037" xr:uid="{84B32E83-C831-4441-B6F9-7683EEEB25B6}"/>
    <hyperlink ref="B2823" r:id="rId8465" display="https://statiz.sporki.com/add/?m=draft_school01&amp;ps_school=50110" xr:uid="{B49677FB-6A7E-4884-AD15-299DE92843A6}"/>
    <hyperlink ref="C2823" r:id="rId8466" display="https://statiz.sporki.com/add/?m=draft_school02&amp;ps_school=" xr:uid="{3A89B601-9620-4848-9EDA-34F66BA0B101}"/>
    <hyperlink ref="A2824" r:id="rId8467" display="https://statiz.sporki.com/player/?m=playerinfo&amp;p_no=2082" xr:uid="{E6F16284-CAFF-4A48-A325-79F9323C56EA}"/>
    <hyperlink ref="B2824" r:id="rId8468" display="https://statiz.sporki.com/add/?m=draft_school01&amp;ps_school=50105" xr:uid="{4930087F-DD61-4B29-87BB-2BB46A1DAFAD}"/>
    <hyperlink ref="C2824" r:id="rId8469" display="https://statiz.sporki.com/add/?m=draft_school02&amp;ps_school=" xr:uid="{04FB2A34-D48F-4C0C-9F98-068F956DF6F7}"/>
    <hyperlink ref="A2825" r:id="rId8470" display="https://statiz.sporki.com/player/?m=playerinfo&amp;p_no=2077" xr:uid="{BFFD91E2-6B45-4FDB-911A-60AAD9248F0F}"/>
    <hyperlink ref="B2825" r:id="rId8471" display="https://statiz.sporki.com/add/?m=draft_school01&amp;ps_school=50106" xr:uid="{20AD4D4B-AB13-41BA-A2ED-CCB251DE36D1}"/>
    <hyperlink ref="C2825" r:id="rId8472" display="https://statiz.sporki.com/add/?m=draft_school02&amp;ps_school=" xr:uid="{BE7A5272-9883-4F76-9380-139D46FDEEFC}"/>
    <hyperlink ref="A2826" r:id="rId8473" display="https://statiz.sporki.com/player/?m=playerinfo&amp;p_no=2105" xr:uid="{D9B3945B-1299-42F7-8C07-5B13FAA0900A}"/>
    <hyperlink ref="B2826" r:id="rId8474" display="https://statiz.sporki.com/add/?m=draft_school01&amp;ps_school=50105" xr:uid="{837F7013-D1BA-4E37-9307-A47EBF580341}"/>
    <hyperlink ref="C2826" r:id="rId8475" display="https://statiz.sporki.com/add/?m=draft_school02&amp;ps_school=" xr:uid="{6990A458-6B7A-4CE5-A81D-EB32B928832C}"/>
    <hyperlink ref="A2827" r:id="rId8476" display="https://statiz.sporki.com/player/?m=playerinfo&amp;p_no=2050" xr:uid="{BBADD15C-AA10-498B-9032-5910E6466392}"/>
    <hyperlink ref="B2827" r:id="rId8477" display="https://statiz.sporki.com/add/?m=draft_school01&amp;ps_school=50803" xr:uid="{57803F20-B813-4827-B563-211C606A47EA}"/>
    <hyperlink ref="C2827" r:id="rId8478" display="https://statiz.sporki.com/add/?m=draft_school02&amp;ps_school=" xr:uid="{09E07A42-B9B5-4AF2-A102-2A4247D4E90F}"/>
    <hyperlink ref="A2828" r:id="rId8479" display="https://statiz.sporki.com/player/?m=playerinfo&amp;p_no=10164" xr:uid="{8882DAB9-1A5F-4D71-9B2E-2A928EF45402}"/>
    <hyperlink ref="B2828" r:id="rId8480" display="https://statiz.sporki.com/add/?m=draft_school01&amp;ps_school=50802" xr:uid="{FA12C1A2-BBA6-4CED-AC06-AF3BFA33C174}"/>
    <hyperlink ref="C2828" r:id="rId8481" display="https://statiz.sporki.com/add/?m=draft_school02&amp;ps_school=60602" xr:uid="{F9B621D0-7FDF-4442-954B-3C45EC847D48}"/>
    <hyperlink ref="A2829" r:id="rId8482" display="https://statiz.sporki.com/player/?m=playerinfo&amp;p_no=10357" xr:uid="{24DA9BDB-0C7A-448B-87EF-B18F9CD770E1}"/>
    <hyperlink ref="B2829" r:id="rId8483" display="https://statiz.sporki.com/add/?m=draft_school01&amp;ps_school=50703" xr:uid="{541F9B73-6299-4A35-BA04-E877DAF57F3E}"/>
    <hyperlink ref="C2829" r:id="rId8484" display="https://statiz.sporki.com/add/?m=draft_school02&amp;ps_school=" xr:uid="{1769C508-882D-47D5-8732-8630EDD2C5DC}"/>
    <hyperlink ref="A2830" r:id="rId8485" display="https://statiz.sporki.com/player/?m=playerinfo&amp;p_no=2239" xr:uid="{211FB65E-3689-422C-8CCB-107525C33B32}"/>
    <hyperlink ref="B2830" r:id="rId8486" display="https://statiz.sporki.com/add/?m=draft_school01&amp;ps_school=50711" xr:uid="{DAB788BC-1392-4D75-8954-9F859BB004AC}"/>
    <hyperlink ref="C2830" r:id="rId8487" display="https://statiz.sporki.com/add/?m=draft_school02&amp;ps_school=60111" xr:uid="{B1990979-4653-40F1-8132-5952E5B2726B}"/>
    <hyperlink ref="A2831" r:id="rId8488" display="https://statiz.sporki.com/player/?m=playerinfo&amp;p_no=2236" xr:uid="{77E4B439-6C41-4820-A6A8-1719F3FEFE00}"/>
    <hyperlink ref="B2831" r:id="rId8489" display="https://statiz.sporki.com/add/?m=draft_school01&amp;ps_school=50502" xr:uid="{75246F26-EDC1-4D3D-A261-63EB441E4115}"/>
    <hyperlink ref="C2831" r:id="rId8490" display="https://statiz.sporki.com/add/?m=draft_school02&amp;ps_school=60204" xr:uid="{E19F87AA-40E3-49F8-9805-AA4F6C4DF698}"/>
    <hyperlink ref="A2832" r:id="rId8491" display="https://statiz.sporki.com/player/?m=playerinfo&amp;p_no=2245" xr:uid="{10FF368C-F202-493B-A202-8A68FA5131A5}"/>
    <hyperlink ref="B2832" r:id="rId8492" display="https://statiz.sporki.com/add/?m=draft_school01&amp;ps_school=50403" xr:uid="{2E339088-99FC-4723-B7A7-7C57D241D3F3}"/>
    <hyperlink ref="C2832" r:id="rId8493" display="https://statiz.sporki.com/add/?m=draft_school02&amp;ps_school=60102" xr:uid="{0E45F51A-E28A-4D19-84C0-9152F6C797BF}"/>
    <hyperlink ref="A2833" r:id="rId8494" display="https://statiz.sporki.com/player/?m=playerinfo&amp;p_no=10497" xr:uid="{43651738-4163-460B-88B9-B866E3E00A6B}"/>
    <hyperlink ref="B2833" r:id="rId8495" display="https://statiz.sporki.com/add/?m=draft_school01&amp;ps_school=50606" xr:uid="{30E58EF7-DEAD-4828-8E14-356AC950BC25}"/>
    <hyperlink ref="C2833" r:id="rId8496" display="https://statiz.sporki.com/add/?m=draft_school02&amp;ps_school=60113" xr:uid="{C7277755-73EC-4CD6-8F82-BF34A9003AD5}"/>
    <hyperlink ref="A2834" r:id="rId8497" display="https://statiz.sporki.com/player/?m=playerinfo&amp;p_no=10385" xr:uid="{AED28A1F-294B-4B66-A0A8-0073D2DABC40}"/>
    <hyperlink ref="B2834" r:id="rId8498" display="https://statiz.sporki.com/add/?m=draft_school01&amp;ps_school=50202" xr:uid="{79C5B3F6-69C7-490A-A145-3D8207A8B75F}"/>
    <hyperlink ref="C2834" r:id="rId8499" display="https://statiz.sporki.com/add/?m=draft_school02&amp;ps_school=60104" xr:uid="{297904CD-D10F-4C06-8DA2-BCC04DB378B6}"/>
    <hyperlink ref="A2835" r:id="rId8500" display="https://statiz.sporki.com/player/?m=playerinfo&amp;p_no=10430" xr:uid="{A84BFBB4-E330-45CB-BFBE-CF9FA1F08381}"/>
    <hyperlink ref="B2835" r:id="rId8501" display="https://statiz.sporki.com/add/?m=draft_school01&amp;ps_school=50209" xr:uid="{BC329A43-9302-417C-BE8B-556BF6829502}"/>
    <hyperlink ref="C2835" r:id="rId8502" display="https://statiz.sporki.com/add/?m=draft_school02&amp;ps_school=" xr:uid="{3F9D7DEC-610E-47C6-BBFF-846D89B2A8E9}"/>
    <hyperlink ref="A2836" r:id="rId8503" display="https://statiz.sporki.com/player/?m=playerinfo&amp;p_no=10446" xr:uid="{DD2FE785-0F6F-45E3-B6FE-0FC6BEB82527}"/>
    <hyperlink ref="B2836" r:id="rId8504" display="https://statiz.sporki.com/add/?m=draft_school01&amp;ps_school=50904" xr:uid="{F24E1AB1-3936-47A0-94CB-CF39F5798316}"/>
    <hyperlink ref="C2836" r:id="rId8505" display="https://statiz.sporki.com/add/?m=draft_school02&amp;ps_school=60104" xr:uid="{C8A13758-A0C0-4ED9-9C31-79BF9AF6E624}"/>
    <hyperlink ref="A2837" r:id="rId8506" display="https://statiz.sporki.com/player/?m=playerinfo&amp;p_no=10022" xr:uid="{BC25C572-ADE9-47EE-8D51-01EEB7DFF166}"/>
    <hyperlink ref="B2837" r:id="rId8507" display="https://statiz.sporki.com/add/?m=draft_school01&amp;ps_school=50602" xr:uid="{3FCC5BBE-E300-4800-9F8C-725E962999A6}"/>
    <hyperlink ref="C2837" r:id="rId8508" display="https://statiz.sporki.com/add/?m=draft_school02&amp;ps_school=60109" xr:uid="{1D141B24-E25E-4C37-BDD3-E97B08FB7754}"/>
    <hyperlink ref="A2838" r:id="rId8509" display="https://statiz.sporki.com/player/?m=playerinfo&amp;p_no=10191" xr:uid="{50965B43-976B-446F-87CB-1AEAFEABE525}"/>
    <hyperlink ref="B2838" r:id="rId8510" display="https://statiz.sporki.com/add/?m=draft_school01&amp;ps_school=50116" xr:uid="{44CBA74C-8C26-44C9-B21E-790BE3816E38}"/>
    <hyperlink ref="C2838" r:id="rId8511" display="https://statiz.sporki.com/add/?m=draft_school02&amp;ps_school=60101" xr:uid="{D8F2EC00-FAE3-4ADA-ABE5-6C8B9023541E}"/>
    <hyperlink ref="A2839" r:id="rId8512" display="https://statiz.sporki.com/player/?m=playerinfo&amp;p_no=10766" xr:uid="{996BAF40-37C3-49F5-BD1B-D3DC07FF836A}"/>
    <hyperlink ref="B2839" r:id="rId8513" display="https://statiz.sporki.com/add/?m=draft_school01&amp;ps_school=50402" xr:uid="{1A2C4B23-841B-4A65-846C-B6E7A34306A8}"/>
    <hyperlink ref="C2839" r:id="rId8514" display="https://statiz.sporki.com/add/?m=draft_school02&amp;ps_school=" xr:uid="{1FA747BE-7651-432C-8C39-BEE4B405BBA9}"/>
    <hyperlink ref="A2840" r:id="rId8515" display="https://statiz.sporki.com/player/?m=playerinfo&amp;p_no=10485" xr:uid="{29909AF0-86E9-4256-A7ED-8BDF56F5D751}"/>
    <hyperlink ref="B2840" r:id="rId8516" display="https://statiz.sporki.com/add/?m=draft_school01&amp;ps_school=50116" xr:uid="{1C8970BD-E976-49B5-930E-27E4651133B5}"/>
    <hyperlink ref="C2840" r:id="rId8517" display="https://statiz.sporki.com/add/?m=draft_school02&amp;ps_school=60103" xr:uid="{4E8AC645-AEF2-4A3F-8419-E8521DF36DDB}"/>
    <hyperlink ref="A2841" r:id="rId8518" display="https://statiz.sporki.com/player/?m=playerinfo&amp;p_no=2025" xr:uid="{81900559-662E-4F3B-AE50-493668D952F7}"/>
    <hyperlink ref="B2841" r:id="rId8519" display="https://statiz.sporki.com/add/?m=draft_school01&amp;ps_school=" xr:uid="{98F85B51-0762-4605-9782-E2DF406C5A37}"/>
    <hyperlink ref="C2841" r:id="rId8520" display="https://statiz.sporki.com/add/?m=draft_school02&amp;ps_school=" xr:uid="{DF3BE162-2AE4-43D5-AB7D-9DFB11035EDD}"/>
    <hyperlink ref="A2842" r:id="rId8521" display="https://statiz.sporki.com/player/?m=playerinfo&amp;p_no=2045" xr:uid="{AFED8ADC-890A-4333-B38A-F0E532A7CF12}"/>
    <hyperlink ref="B2842" r:id="rId8522" display="https://statiz.sporki.com/add/?m=draft_school01&amp;ps_school=" xr:uid="{67DD8EFB-176D-4DC9-BA1D-F035FE8F8A9A}"/>
    <hyperlink ref="C2842" r:id="rId8523" display="https://statiz.sporki.com/add/?m=draft_school02&amp;ps_school=" xr:uid="{D2327D12-8B9A-491D-9078-AC640765BD18}"/>
    <hyperlink ref="A2843" r:id="rId8524" display="https://statiz.sporki.com/player/?m=playerinfo&amp;p_no=2041" xr:uid="{EE233AB7-61E8-4434-89FB-40A65575E291}"/>
    <hyperlink ref="B2843" r:id="rId8525" display="https://statiz.sporki.com/add/?m=draft_school01&amp;ps_school=" xr:uid="{5DDC1DC8-EFF5-4E5D-8ECE-E94121466446}"/>
    <hyperlink ref="C2843" r:id="rId8526" display="https://statiz.sporki.com/add/?m=draft_school02&amp;ps_school=" xr:uid="{BB736C17-C73B-4F30-BCD8-6EA0D585D3B7}"/>
    <hyperlink ref="A2844" r:id="rId8527" display="https://statiz.sporki.com/player/?m=playerinfo&amp;p_no=2055" xr:uid="{55CFC6F2-0A61-47A2-B356-C1743AA26C9A}"/>
    <hyperlink ref="B2844" r:id="rId8528" display="https://statiz.sporki.com/add/?m=draft_school01&amp;ps_school=" xr:uid="{07B4174A-64B7-4612-8CE9-688B58BA8CB4}"/>
    <hyperlink ref="C2844" r:id="rId8529" display="https://statiz.sporki.com/add/?m=draft_school02&amp;ps_school=61115" xr:uid="{09A133AA-73B9-455B-B2B3-8EEF9D928471}"/>
    <hyperlink ref="A2845" r:id="rId8530" display="https://statiz.sporki.com/player/?m=playerinfo&amp;p_no=2042" xr:uid="{A8B5F5F6-3C4E-46BC-B109-F795F8587781}"/>
    <hyperlink ref="B2845" r:id="rId8531" display="https://statiz.sporki.com/add/?m=draft_school01&amp;ps_school=" xr:uid="{541D8633-8639-4581-B07B-D694CD5E9925}"/>
    <hyperlink ref="C2845" r:id="rId8532" display="https://statiz.sporki.com/add/?m=draft_school02&amp;ps_school=" xr:uid="{A17A515D-D3B9-472C-896D-6D20A01D3E5D}"/>
    <hyperlink ref="A2846" r:id="rId8533" display="https://statiz.sporki.com/player/?m=playerinfo&amp;p_no=2058" xr:uid="{577DD16A-20E8-47D6-9F5F-936CA8B8B821}"/>
    <hyperlink ref="B2846" r:id="rId8534" display="https://statiz.sporki.com/add/?m=draft_school01&amp;ps_school=" xr:uid="{A83DE914-85E7-4557-BA16-329D7C3290EA}"/>
    <hyperlink ref="C2846" r:id="rId8535" display="https://statiz.sporki.com/add/?m=draft_school02&amp;ps_school=" xr:uid="{BC6A959D-CF0F-4A29-82AF-E6C0A35D8ADC}"/>
    <hyperlink ref="A2847" r:id="rId8536" display="https://statiz.sporki.com/player/?m=playerinfo&amp;p_no=2054" xr:uid="{951EB8E5-86F6-4287-8AFE-AE8BF9922994}"/>
    <hyperlink ref="B2847" r:id="rId8537" display="https://statiz.sporki.com/add/?m=draft_school01&amp;ps_school=" xr:uid="{083ABDF9-0A7F-4963-AC7A-1F339CDDAA8D}"/>
    <hyperlink ref="C2847" r:id="rId8538" display="https://statiz.sporki.com/add/?m=draft_school02&amp;ps_school=" xr:uid="{12A9F7BB-186A-49C0-9E5C-0D536255B80B}"/>
    <hyperlink ref="A2848" r:id="rId8539" display="https://statiz.sporki.com/player/?m=playerinfo&amp;p_no=2044" xr:uid="{93A45D59-722D-4EB8-A6D5-C848BBF327F5}"/>
    <hyperlink ref="B2848" r:id="rId8540" display="https://statiz.sporki.com/add/?m=draft_school01&amp;ps_school=" xr:uid="{5DA87DFA-170A-478B-9EB1-4A0A8479E1CD}"/>
    <hyperlink ref="C2848" r:id="rId8541" display="https://statiz.sporki.com/add/?m=draft_school02&amp;ps_school=" xr:uid="{327462F3-0C77-4079-B266-FA5C8B9191C9}"/>
    <hyperlink ref="A2849" r:id="rId8542" display="https://statiz.sporki.com/player/?m=playerinfo&amp;p_no=2031" xr:uid="{A117DCB4-4588-4A07-B5A0-9D619878494F}"/>
    <hyperlink ref="B2849" r:id="rId8543" display="https://statiz.sporki.com/add/?m=draft_school01&amp;ps_school=" xr:uid="{2BD1483E-3C1F-4ACB-9B8D-AF06595C1C82}"/>
    <hyperlink ref="C2849" r:id="rId8544" display="https://statiz.sporki.com/add/?m=draft_school02&amp;ps_school=" xr:uid="{86A14983-3BF8-4A29-A926-C6DC0780A73D}"/>
    <hyperlink ref="A2850" r:id="rId8545" display="https://statiz.sporki.com/player/?m=playerinfo&amp;p_no=2026" xr:uid="{B1951ABD-BAB8-47CC-9003-900F01C7CC62}"/>
    <hyperlink ref="B2850" r:id="rId8546" display="https://statiz.sporki.com/add/?m=draft_school01&amp;ps_school=" xr:uid="{0D85B713-0CFE-46EC-98D5-1F46A7144ED3}"/>
    <hyperlink ref="C2850" r:id="rId8547" display="https://statiz.sporki.com/add/?m=draft_school02&amp;ps_school=61100" xr:uid="{CAADE53D-D3B6-4F07-BFE4-17D9A22A5DCB}"/>
    <hyperlink ref="A2851" r:id="rId8548" display="https://statiz.sporki.com/player/?m=playerinfo&amp;p_no=2052" xr:uid="{C0811835-E2E2-481A-AAD2-EC9AAF7406F0}"/>
    <hyperlink ref="B2851" r:id="rId8549" display="https://statiz.sporki.com/add/?m=draft_school01&amp;ps_school=" xr:uid="{E2FE9668-10DA-4487-BE8A-B9719E563E6E}"/>
    <hyperlink ref="C2851" r:id="rId8550" display="https://statiz.sporki.com/add/?m=draft_school02&amp;ps_school=" xr:uid="{53110CFD-CB00-4C4B-A0B4-94D7D8AD3BAE}"/>
    <hyperlink ref="A2852" r:id="rId8551" display="https://statiz.sporki.com/player/?m=playerinfo&amp;p_no=2043" xr:uid="{5A0C7A11-5D11-499D-B1D6-4F93F7A41440}"/>
    <hyperlink ref="B2852" r:id="rId8552" display="https://statiz.sporki.com/add/?m=draft_school01&amp;ps_school=" xr:uid="{3CDE168D-8C52-44CD-8C40-ED07F5311D4A}"/>
    <hyperlink ref="C2852" r:id="rId8553" display="https://statiz.sporki.com/add/?m=draft_school02&amp;ps_school=" xr:uid="{3D86172B-3040-4675-8BD8-281DFD3FEB08}"/>
    <hyperlink ref="A2853" r:id="rId8554" display="https://statiz.sporki.com/player/?m=playerinfo&amp;p_no=2011" xr:uid="{38CE599C-4B2C-4FDC-8A3C-FBDE8CE76CC2}"/>
    <hyperlink ref="B2853" r:id="rId8555" display="https://statiz.sporki.com/add/?m=draft_school01&amp;ps_school=50105" xr:uid="{0D13ED4C-0E8C-4164-8709-943B5CC05BF0}"/>
    <hyperlink ref="C2853" r:id="rId8556" display="https://statiz.sporki.com/add/?m=draft_school02&amp;ps_school=60113" xr:uid="{86635BDD-635C-44FC-A3B3-D8880340DFCB}"/>
    <hyperlink ref="A2854" r:id="rId8557" display="https://statiz.sporki.com/player/?m=playerinfo&amp;p_no=2002" xr:uid="{5DED45A4-5840-4273-9683-9874E1E53A22}"/>
    <hyperlink ref="B2854" r:id="rId8558" display="https://statiz.sporki.com/add/?m=draft_school01&amp;ps_school=50703" xr:uid="{0E1B8AB2-5B65-4FAF-BB07-C276B3FA79D2}"/>
    <hyperlink ref="C2854" r:id="rId8559" display="https://statiz.sporki.com/add/?m=draft_school02&amp;ps_school=60703" xr:uid="{FF42779F-35D1-4B73-89AE-16DFB9F5BFDB}"/>
    <hyperlink ref="A2855" r:id="rId8560" display="https://statiz.sporki.com/player/?m=playerinfo&amp;p_no=10519" xr:uid="{F4627729-DBF1-4C95-92BF-FA7290F02ECD}"/>
    <hyperlink ref="B2855" r:id="rId8561" display="https://statiz.sporki.com/add/?m=draft_school01&amp;ps_school=50501" xr:uid="{E2C7FC62-0BA5-4735-83C6-A67A52AB3343}"/>
    <hyperlink ref="C2855" r:id="rId8562" display="https://statiz.sporki.com/add/?m=draft_school02&amp;ps_school=60108" xr:uid="{134A9C69-729A-4CF5-B8C6-B6DCAAC853C9}"/>
    <hyperlink ref="A2856" r:id="rId8563" display="https://statiz.sporki.com/player/?m=playerinfo&amp;p_no=2010" xr:uid="{F243BF0C-F2A1-4FEA-A1EE-A7F5CB418621}"/>
    <hyperlink ref="B2856" r:id="rId8564" display="https://statiz.sporki.com/add/?m=draft_school01&amp;ps_school=50609" xr:uid="{28B9FD2E-6C8B-4806-A3CA-855FF8A0644C}"/>
    <hyperlink ref="C2856" r:id="rId8565" display="https://statiz.sporki.com/add/?m=draft_school02&amp;ps_school=60703" xr:uid="{B21684F3-D961-49AC-A617-6C1765123D80}"/>
    <hyperlink ref="A2857" r:id="rId8566" display="https://statiz.sporki.com/player/?m=playerinfo&amp;p_no=10491" xr:uid="{69B40593-8E48-4D72-A6E9-2AAA95C2D661}"/>
    <hyperlink ref="B2857" r:id="rId8567" display="https://statiz.sporki.com/add/?m=draft_school01&amp;ps_school=50111" xr:uid="{62BB5A29-C4A0-4BEB-A0A3-6AF3E2468118}"/>
    <hyperlink ref="C2857" r:id="rId8568" display="https://statiz.sporki.com/add/?m=draft_school02&amp;ps_school=60203" xr:uid="{9762D837-9EE1-4E53-9AAF-4C064C8DD271}"/>
    <hyperlink ref="A2858" r:id="rId8569" display="https://statiz.sporki.com/player/?m=playerinfo&amp;p_no=10284" xr:uid="{5F5AB8E8-B2B2-4C49-A5CD-C820E8286DBC}"/>
    <hyperlink ref="B2858" r:id="rId8570" display="https://statiz.sporki.com/add/?m=draft_school01&amp;ps_school=50805" xr:uid="{D85BA2B5-EFAB-44D2-809F-664B730E3498}"/>
    <hyperlink ref="C2858" r:id="rId8571" display="https://statiz.sporki.com/add/?m=draft_school02&amp;ps_school=60103" xr:uid="{2F4EF248-A82D-4A0E-BA54-523712CC74C1}"/>
    <hyperlink ref="A2859" r:id="rId8572" display="https://statiz.sporki.com/player/?m=playerinfo&amp;p_no=10617" xr:uid="{02721D30-A499-4DC8-A432-9C2E4019A0CE}"/>
    <hyperlink ref="B2859" r:id="rId8573" display="https://statiz.sporki.com/add/?m=draft_school01&amp;ps_school=50208" xr:uid="{B7E4F873-8AD8-406C-ACA8-741B165BFE61}"/>
    <hyperlink ref="C2859" r:id="rId8574" display="https://statiz.sporki.com/add/?m=draft_school02&amp;ps_school=60102" xr:uid="{08473ACF-D44B-4A35-8A5A-D06A41319AF4}"/>
    <hyperlink ref="A2860" r:id="rId8575" display="https://statiz.sporki.com/player/?m=playerinfo&amp;p_no=1983" xr:uid="{93752D54-40EB-41FD-A254-B02D9AF30231}"/>
    <hyperlink ref="B2860" r:id="rId8576" display="https://statiz.sporki.com/add/?m=draft_school01&amp;ps_school=50106" xr:uid="{A015239C-7273-46AA-B93A-0C35B320BD3B}"/>
    <hyperlink ref="C2860" r:id="rId8577" display="https://statiz.sporki.com/add/?m=draft_school02&amp;ps_school=60101" xr:uid="{C79F773F-53EB-424C-BC9D-63F7AC95ACA2}"/>
    <hyperlink ref="A2861" r:id="rId8578" display="https://statiz.sporki.com/player/?m=playerinfo&amp;p_no=10069" xr:uid="{AD3650C2-B352-47DC-965C-36B650955D3C}"/>
    <hyperlink ref="B2861" r:id="rId8579" display="https://statiz.sporki.com/add/?m=draft_school01&amp;ps_school=50804" xr:uid="{17C9BA03-68B5-4FCD-93DC-603D9BF75200}"/>
    <hyperlink ref="C2861" r:id="rId8580" display="https://statiz.sporki.com/add/?m=draft_school02&amp;ps_school=60803" xr:uid="{6CAA8BDC-2888-4FF2-B838-2CB83A71C384}"/>
    <hyperlink ref="A2862" r:id="rId8581" display="https://statiz.sporki.com/player/?m=playerinfo&amp;p_no=10046" xr:uid="{9CC79218-2DB8-4DE9-B312-82E0F3E928CC}"/>
    <hyperlink ref="B2862" r:id="rId8582" display="https://statiz.sporki.com/add/?m=draft_school01&amp;ps_school=50101" xr:uid="{4F24501D-50CB-4016-B8B0-46283AC752AA}"/>
    <hyperlink ref="C2862" r:id="rId8583" display="https://statiz.sporki.com/add/?m=draft_school02&amp;ps_school=60204" xr:uid="{9455832A-5610-4B81-B0CD-26F8D559DEDA}"/>
    <hyperlink ref="A2863" r:id="rId8584" display="https://statiz.sporki.com/player/?m=playerinfo&amp;p_no=10314" xr:uid="{ACA25F10-0E84-442B-BAAC-F60B3A361489}"/>
    <hyperlink ref="B2863" r:id="rId8585" display="https://statiz.sporki.com/add/?m=draft_school01&amp;ps_school=50805" xr:uid="{9B2891B4-90B6-4420-9439-D405253D87F8}"/>
    <hyperlink ref="C2863" r:id="rId8586" display="https://statiz.sporki.com/add/?m=draft_school02&amp;ps_school=60103" xr:uid="{1077CA9D-4B4A-4404-9609-27E73305A2A2}"/>
    <hyperlink ref="A2864" r:id="rId8587" display="https://statiz.sporki.com/player/?m=playerinfo&amp;p_no=2012" xr:uid="{EEF18F97-4AB6-4FDC-BCAD-A7EFB36511F8}"/>
    <hyperlink ref="B2864" r:id="rId8588" display="https://statiz.sporki.com/add/?m=draft_school01&amp;ps_school=50109" xr:uid="{729E21D9-5652-4FCB-BD1C-C00F92D31F9C}"/>
    <hyperlink ref="C2864" r:id="rId8589" display="https://statiz.sporki.com/add/?m=draft_school02&amp;ps_school=60501" xr:uid="{2A07AC10-DA96-4D3A-A38E-520A4B44D894}"/>
    <hyperlink ref="A2865" r:id="rId8590" display="https://statiz.sporki.com/player/?m=playerinfo&amp;p_no=2008" xr:uid="{7F9400B0-CC18-45CC-8CBA-C6667139F471}"/>
    <hyperlink ref="B2865" r:id="rId8591" display="https://statiz.sporki.com/add/?m=draft_school01&amp;ps_school=50103" xr:uid="{4B5598E9-1F00-4B8C-964F-77BBFA9E8ABD}"/>
    <hyperlink ref="C2865" r:id="rId8592" display="https://statiz.sporki.com/add/?m=draft_school02&amp;ps_school=60101" xr:uid="{9B2213B3-8450-4819-B736-76B08380BF8C}"/>
    <hyperlink ref="A2866" r:id="rId8593" display="https://statiz.sporki.com/player/?m=playerinfo&amp;p_no=1980" xr:uid="{CEFD7BA1-33DB-48F2-83C6-D8503BC3CB13}"/>
    <hyperlink ref="B2866" r:id="rId8594" display="https://statiz.sporki.com/add/?m=draft_school01&amp;ps_school=50110" xr:uid="{2E363484-56EF-4F83-9B6B-99C5E7F47E69}"/>
    <hyperlink ref="C2866" r:id="rId8595" display="https://statiz.sporki.com/add/?m=draft_school02&amp;ps_school=60104" xr:uid="{22B973E8-7A31-473C-8171-DD3BC8E61B55}"/>
    <hyperlink ref="A2867" r:id="rId8596" display="https://statiz.sporki.com/player/?m=playerinfo&amp;p_no=10334" xr:uid="{25AB77E6-FB83-43A1-A582-FB7BC62B5555}"/>
    <hyperlink ref="B2867" r:id="rId8597" display="https://statiz.sporki.com/add/?m=draft_school01&amp;ps_school=50803" xr:uid="{7E4ECD63-D735-4DA0-A1EC-DFA7618205FC}"/>
    <hyperlink ref="C2867" r:id="rId8598" display="https://statiz.sporki.com/add/?m=draft_school02&amp;ps_school=60113" xr:uid="{88D3C199-F0A8-4A3B-AAFF-1C0240FB58F5}"/>
    <hyperlink ref="A2868" r:id="rId8599" display="https://statiz.sporki.com/player/?m=playerinfo&amp;p_no=10265" xr:uid="{8E9ADBC2-4E86-4C93-8B73-85D971539EAB}"/>
    <hyperlink ref="B2868" r:id="rId8600" display="https://statiz.sporki.com/add/?m=draft_school01&amp;ps_school=50402" xr:uid="{97A46886-B9D5-45B1-BCDB-30416814D9C6}"/>
    <hyperlink ref="C2868" r:id="rId8601" display="https://statiz.sporki.com/add/?m=draft_school02&amp;ps_school=60203" xr:uid="{366D85F4-DC73-4435-B960-E7C83241F2DF}"/>
    <hyperlink ref="A2869" r:id="rId8602" display="https://statiz.sporki.com/player/?m=playerinfo&amp;p_no=2014" xr:uid="{F97CC432-88F6-4534-A882-D15C34A40CAC}"/>
    <hyperlink ref="B2869" r:id="rId8603" display="https://statiz.sporki.com/add/?m=draft_school01&amp;ps_school=50103" xr:uid="{8A072222-B92B-4193-86B8-6404B227FBC0}"/>
    <hyperlink ref="C2869" r:id="rId8604" display="https://statiz.sporki.com/add/?m=draft_school02&amp;ps_school=60111" xr:uid="{2F5AB24C-7D76-4687-B499-6BFE23BECD5B}"/>
    <hyperlink ref="A2870" r:id="rId8605" display="https://statiz.sporki.com/player/?m=playerinfo&amp;p_no=1970" xr:uid="{409E02A1-D965-47C6-8F57-1D04C35500D5}"/>
    <hyperlink ref="B2870" r:id="rId8606" display="https://statiz.sporki.com/add/?m=draft_school01&amp;ps_school=50403" xr:uid="{41DD3864-B38F-4FEA-89ED-7E407507342B}"/>
    <hyperlink ref="C2870" r:id="rId8607" display="https://statiz.sporki.com/add/?m=draft_school02&amp;ps_school=60102" xr:uid="{794A7F00-2EE4-4B6E-9350-E82D5CAFE51B}"/>
    <hyperlink ref="A2871" r:id="rId8608" display="https://statiz.sporki.com/player/?m=playerinfo&amp;p_no=13432" xr:uid="{07621A20-F79A-4916-88C2-DC0C0B0404E4}"/>
    <hyperlink ref="B2871" r:id="rId8609" display="https://statiz.sporki.com/add/?m=draft_school01&amp;ps_school=50813" xr:uid="{40FDDFE2-5F2F-4754-BA93-D280FF341CF5}"/>
    <hyperlink ref="C2871" r:id="rId8610" display="https://statiz.sporki.com/add/?m=draft_school02&amp;ps_school=60803" xr:uid="{138743BD-E4EC-41DB-8651-089E927CF6E6}"/>
    <hyperlink ref="A2872" r:id="rId8611" display="https://statiz.sporki.com/player/?m=playerinfo&amp;p_no=1993" xr:uid="{9F388A11-3827-45D8-A844-2411D41085C5}"/>
    <hyperlink ref="B2872" r:id="rId8612" display="https://statiz.sporki.com/add/?m=draft_school01&amp;ps_school=50105" xr:uid="{81E8488A-A11A-42A8-A098-9801AE01CF37}"/>
    <hyperlink ref="C2872" r:id="rId8613" display="https://statiz.sporki.com/add/?m=draft_school02&amp;ps_school=60111" xr:uid="{A1603BF3-F1B3-410C-9D28-3DA57407D02B}"/>
    <hyperlink ref="A2873" r:id="rId8614" display="https://statiz.sporki.com/player/?m=playerinfo&amp;p_no=1985" xr:uid="{825BBA6A-D581-4E6A-834A-17161E9B0B89}"/>
    <hyperlink ref="B2873" r:id="rId8615" display="https://statiz.sporki.com/add/?m=draft_school01&amp;ps_school=50501" xr:uid="{E15BDCE8-DDC4-421D-9EB3-BDF3B27ACC5A}"/>
    <hyperlink ref="C2873" r:id="rId8616" display="https://statiz.sporki.com/add/?m=draft_school02&amp;ps_school=60108" xr:uid="{2461DA42-B866-4A31-A8C0-F3EDD363D309}"/>
    <hyperlink ref="A2874" r:id="rId8617" display="https://statiz.sporki.com/player/?m=playerinfo&amp;p_no=1992" xr:uid="{7237AB83-EFA2-4EC0-BDF0-D031C72A4D7D}"/>
    <hyperlink ref="B2874" r:id="rId8618" display="https://statiz.sporki.com/add/?m=draft_school01&amp;ps_school=50701" xr:uid="{D9332F5B-FD3B-4860-8FFC-6113838A2C7B}"/>
    <hyperlink ref="C2874" r:id="rId8619" display="https://statiz.sporki.com/add/?m=draft_school02&amp;ps_school=60113" xr:uid="{EB169259-3A9A-4A9F-9533-24E2657F4989}"/>
    <hyperlink ref="A2875" r:id="rId8620" display="https://statiz.sporki.com/player/?m=playerinfo&amp;p_no=10398" xr:uid="{CC38338D-3BA9-4763-AD28-4C00DAB4DBB1}"/>
    <hyperlink ref="B2875" r:id="rId8621" display="https://statiz.sporki.com/add/?m=draft_school01&amp;ps_school=50102" xr:uid="{4E025FC1-694E-4215-A03C-78B09B9FE4CA}"/>
    <hyperlink ref="C2875" r:id="rId8622" display="https://statiz.sporki.com/add/?m=draft_school02&amp;ps_school=" xr:uid="{FDF7B47A-799F-4D94-9AED-F961BE65FFEA}"/>
    <hyperlink ref="A2876" r:id="rId8623" display="https://statiz.sporki.com/player/?m=playerinfo&amp;p_no=1974" xr:uid="{F77ECB8B-161A-437E-8F71-4BA6C48DD387}"/>
    <hyperlink ref="B2876" r:id="rId8624" display="https://statiz.sporki.com/add/?m=draft_school01&amp;ps_school=" xr:uid="{C0038113-E098-4516-B9D6-EF685C1C331E}"/>
    <hyperlink ref="C2876" r:id="rId8625" display="https://statiz.sporki.com/add/?m=draft_school02&amp;ps_school=60204" xr:uid="{57C64E70-491D-4A48-A3BB-998AECA869C0}"/>
    <hyperlink ref="A2877" r:id="rId8626" display="https://statiz.sporki.com/player/?m=playerinfo&amp;p_no=1989" xr:uid="{7D790B13-5CEB-45DE-8AF2-6B2239B9FE64}"/>
    <hyperlink ref="B2877" r:id="rId8627" display="https://statiz.sporki.com/add/?m=draft_school01&amp;ps_school=50701" xr:uid="{8D559E0A-D1D9-494F-9B72-4A12FF7F3DE2}"/>
    <hyperlink ref="C2877" r:id="rId8628" display="https://statiz.sporki.com/add/?m=draft_school02&amp;ps_school=60113" xr:uid="{7F0E7041-4663-4A8C-907B-AD712C7D32F2}"/>
    <hyperlink ref="A2878" r:id="rId8629" display="https://statiz.sporki.com/player/?m=playerinfo&amp;p_no=10457" xr:uid="{5F86ADA0-1D30-4095-8627-3CC063211823}"/>
    <hyperlink ref="B2878" r:id="rId8630" display="https://statiz.sporki.com/add/?m=draft_school01&amp;ps_school=50105" xr:uid="{19D63DF8-0C3F-4366-BB5C-C2337FAD9E03}"/>
    <hyperlink ref="C2878" r:id="rId8631" display="https://statiz.sporki.com/add/?m=draft_school02&amp;ps_school=" xr:uid="{776DBAE7-DAFB-4650-B112-21CEBC87480D}"/>
    <hyperlink ref="A2879" r:id="rId8632" display="https://statiz.sporki.com/player/?m=playerinfo&amp;p_no=1982" xr:uid="{456FE003-CF60-4719-9441-7CB5DD8028B9}"/>
    <hyperlink ref="B2879" r:id="rId8633" display="https://statiz.sporki.com/add/?m=draft_school01&amp;ps_school=50103" xr:uid="{C2B8915C-A708-491E-84BF-FF7C78B99199}"/>
    <hyperlink ref="C2879" r:id="rId8634" display="https://statiz.sporki.com/add/?m=draft_school02&amp;ps_school=60501" xr:uid="{44803FEF-1A39-4E25-970E-9102E5683D61}"/>
    <hyperlink ref="A2880" r:id="rId8635" display="https://statiz.sporki.com/player/?m=playerinfo&amp;p_no=1971" xr:uid="{76FE8ED0-6E7E-4093-B770-430E39B56043}"/>
    <hyperlink ref="B2880" r:id="rId8636" display="https://statiz.sporki.com/add/?m=draft_school01&amp;ps_school=50116" xr:uid="{5DDDAF0D-6A52-445E-B271-4A84CB04B954}"/>
    <hyperlink ref="C2880" r:id="rId8637" display="https://statiz.sporki.com/add/?m=draft_school02&amp;ps_school=60705" xr:uid="{708AFA12-82BB-4224-9019-FAE66598E6F6}"/>
    <hyperlink ref="A2881" r:id="rId8638" display="https://statiz.sporki.com/player/?m=playerinfo&amp;p_no=1995" xr:uid="{DCB6F16E-F766-4979-A3DD-CCBEBB850932}"/>
    <hyperlink ref="B2881" r:id="rId8639" display="https://statiz.sporki.com/add/?m=draft_school01&amp;ps_school=50111" xr:uid="{CC4E737A-E324-43DC-B3DC-1A9D3CAE4579}"/>
    <hyperlink ref="C2881" r:id="rId8640" display="https://statiz.sporki.com/add/?m=draft_school02&amp;ps_school=60111" xr:uid="{88F98800-BAD9-43DF-8914-808B638C067A}"/>
    <hyperlink ref="A2882" r:id="rId8641" display="https://statiz.sporki.com/player/?m=playerinfo&amp;p_no=2007" xr:uid="{A177C357-BFEB-4BEB-8820-9AC657D57E96}"/>
    <hyperlink ref="B2882" r:id="rId8642" display="https://statiz.sporki.com/add/?m=draft_school01&amp;ps_school=50108" xr:uid="{852B102D-5307-40F2-9576-7E11C2846C4C}"/>
    <hyperlink ref="C2882" r:id="rId8643" display="https://statiz.sporki.com/add/?m=draft_school02&amp;ps_school=60801" xr:uid="{0D8D2CC0-FF44-43C4-A936-194A2E25B77D}"/>
    <hyperlink ref="A2883" r:id="rId8644" display="https://statiz.sporki.com/player/?m=playerinfo&amp;p_no=2004" xr:uid="{ED70DE25-69E8-4766-ACA6-3D32EFA2329E}"/>
    <hyperlink ref="B2883" r:id="rId8645" display="https://statiz.sporki.com/add/?m=draft_school01&amp;ps_school=50701" xr:uid="{480C24B0-E5BB-4945-87C7-3E43C0ACE39D}"/>
    <hyperlink ref="C2883" r:id="rId8646" display="https://statiz.sporki.com/add/?m=draft_school02&amp;ps_school=60803" xr:uid="{F20FBCB4-1398-4AEC-BDF9-E805288D4491}"/>
    <hyperlink ref="A2884" r:id="rId8647" display="https://statiz.sporki.com/player/?m=playerinfo&amp;p_no=1981" xr:uid="{C5301AAF-50B8-4D09-874C-96576B963B2A}"/>
    <hyperlink ref="B2884" r:id="rId8648" display="https://statiz.sporki.com/add/?m=draft_school01&amp;ps_school=50401" xr:uid="{936525DA-B5AB-4B5F-AC33-35FDBA534273}"/>
    <hyperlink ref="C2884" r:id="rId8649" display="https://statiz.sporki.com/add/?m=draft_school02&amp;ps_school=60501" xr:uid="{048B2F60-4FAE-4730-9154-16BA2E68C0C6}"/>
    <hyperlink ref="A2885" r:id="rId8650" display="https://statiz.sporki.com/player/?m=playerinfo&amp;p_no=1987" xr:uid="{01BF4177-1593-4563-B3D2-F65142D1FA42}"/>
    <hyperlink ref="B2885" r:id="rId8651" display="https://statiz.sporki.com/add/?m=draft_school01&amp;ps_school=50105" xr:uid="{DB4F7BDD-81F6-40AF-892E-8FA32483DD7D}"/>
    <hyperlink ref="C2885" r:id="rId8652" display="https://statiz.sporki.com/add/?m=draft_school02&amp;ps_school=" xr:uid="{1914D1E0-B2B5-46E6-8855-4239D2BC12B1}"/>
    <hyperlink ref="A2886" r:id="rId8653" display="https://statiz.sporki.com/player/?m=playerinfo&amp;p_no=2035" xr:uid="{F7E5992F-589A-4804-8082-8EC442675B29}"/>
    <hyperlink ref="B2886" r:id="rId8654" display="https://statiz.sporki.com/add/?m=draft_school01&amp;ps_school=50114" xr:uid="{811D0950-AF5F-4089-8659-7AF5F919B044}"/>
    <hyperlink ref="C2886" r:id="rId8655" display="https://statiz.sporki.com/add/?m=draft_school02&amp;ps_school=60111" xr:uid="{AC60DE59-F133-4AA7-ABBB-3EC501287A13}"/>
    <hyperlink ref="A2887" r:id="rId8656" display="https://statiz.sporki.com/player/?m=playerinfo&amp;p_no=1973" xr:uid="{70D66026-738A-47F1-A925-384AAB865A28}"/>
    <hyperlink ref="B2887" r:id="rId8657" display="https://statiz.sporki.com/add/?m=draft_school01&amp;ps_school=50109" xr:uid="{1FB857E3-F58B-4F02-BD3B-0CC6F696DE04}"/>
    <hyperlink ref="C2887" r:id="rId8658" display="https://statiz.sporki.com/add/?m=draft_school02&amp;ps_school=60203" xr:uid="{A8B24896-25E9-4983-BDC5-859543C1E73A}"/>
    <hyperlink ref="A2888" r:id="rId8659" display="https://statiz.sporki.com/player/?m=playerinfo&amp;p_no=1997" xr:uid="{C318EACF-F6E6-4BAB-A3F4-47FDEC31CE16}"/>
    <hyperlink ref="B2888" r:id="rId8660" display="https://statiz.sporki.com/add/?m=draft_school01&amp;ps_school=50702" xr:uid="{9B8748E4-D43B-4D76-8162-F17ADAD4F152}"/>
    <hyperlink ref="C2888" r:id="rId8661" display="https://statiz.sporki.com/add/?m=draft_school02&amp;ps_school=60703" xr:uid="{C8ACF043-5EB1-47CF-86B9-9D41436BB745}"/>
    <hyperlink ref="A2889" r:id="rId8662" display="https://statiz.sporki.com/player/?m=playerinfo&amp;p_no=2217" xr:uid="{490FACC7-40B2-42CC-A234-1FB7697FF81A}"/>
    <hyperlink ref="B2889" r:id="rId8663" display="https://statiz.sporki.com/add/?m=draft_school01&amp;ps_school=50107" xr:uid="{B73E8ABD-93DB-492F-87A4-D918474435B4}"/>
    <hyperlink ref="C2889" r:id="rId8664" display="https://statiz.sporki.com/add/?m=draft_school02&amp;ps_school=60114" xr:uid="{3ED37859-DE74-4AB4-A3BF-E5A5BFD211D0}"/>
    <hyperlink ref="A2890" r:id="rId8665" display="https://statiz.sporki.com/player/?m=playerinfo&amp;p_no=10336" xr:uid="{1EAD74BA-C0F7-442C-BE48-53214A42C275}"/>
    <hyperlink ref="B2890" r:id="rId8666" display="https://statiz.sporki.com/add/?m=draft_school01&amp;ps_school=50805" xr:uid="{B2528C52-35F4-4289-86F8-02C97AA7FF6D}"/>
    <hyperlink ref="C2890" r:id="rId8667" display="https://statiz.sporki.com/add/?m=draft_school02&amp;ps_school=60104" xr:uid="{D6840D17-0B7B-43F6-B25C-D943DBF48CCD}"/>
    <hyperlink ref="A2891" r:id="rId8668" display="https://statiz.sporki.com/player/?m=playerinfo&amp;p_no=2083" xr:uid="{5E5C6A00-4671-4FD6-AF7B-4EAA8205A26C}"/>
    <hyperlink ref="B2891" r:id="rId8669" display="https://statiz.sporki.com/add/?m=draft_school01&amp;ps_school=50401" xr:uid="{D0413385-8B85-401A-A061-62495FDF6D16}"/>
    <hyperlink ref="C2891" r:id="rId8670" display="https://statiz.sporki.com/add/?m=draft_school02&amp;ps_school=60802" xr:uid="{7961ABE4-EBCD-4649-8F94-5EA2274D36A2}"/>
    <hyperlink ref="A2892" r:id="rId8671" display="https://statiz.sporki.com/player/?m=playerinfo&amp;p_no=2226" xr:uid="{08141422-F032-468C-8F40-C48AB8481B06}"/>
    <hyperlink ref="B2892" r:id="rId8672" display="https://statiz.sporki.com/add/?m=draft_school01&amp;ps_school=50112" xr:uid="{34A750F6-2051-4248-AE79-32C20DF13D6B}"/>
    <hyperlink ref="C2892" r:id="rId8673" display="https://statiz.sporki.com/add/?m=draft_school02&amp;ps_school=60103" xr:uid="{2D29A872-F84A-4838-B33E-C0BE2EBD6489}"/>
    <hyperlink ref="A2893" r:id="rId8674" display="https://statiz.sporki.com/player/?m=playerinfo&amp;p_no=1984" xr:uid="{F10C7E63-6736-4447-986E-0D281591433A}"/>
    <hyperlink ref="B2893" r:id="rId8675" display="https://statiz.sporki.com/add/?m=draft_school01&amp;ps_school=50805" xr:uid="{DD130AEF-F514-4FA4-BB24-5494C128118B}"/>
    <hyperlink ref="C2893" r:id="rId8676" display="https://statiz.sporki.com/add/?m=draft_school02&amp;ps_school=60111" xr:uid="{C87E06CB-6EA5-4749-885A-F42E937AB64F}"/>
    <hyperlink ref="A2894" r:id="rId8677" display="https://statiz.sporki.com/player/?m=playerinfo&amp;p_no=11455" xr:uid="{6DADEFEF-1920-4F6E-8AAE-69326E0873A1}"/>
    <hyperlink ref="B2894" r:id="rId8678" display="https://statiz.sporki.com/add/?m=draft_school01&amp;ps_school=50303" xr:uid="{5E97665E-DBD5-47A5-8528-FDB48BE9D548}"/>
    <hyperlink ref="C2894" r:id="rId8679" display="https://statiz.sporki.com/add/?m=draft_school02&amp;ps_school=60101" xr:uid="{AEC10BD5-50E1-4C6C-9984-5A32E82F7A7C}"/>
    <hyperlink ref="A2895" r:id="rId8680" display="https://statiz.sporki.com/player/?m=playerinfo&amp;p_no=10029" xr:uid="{407E1F6E-8421-4D83-9668-DE8A91ED6454}"/>
    <hyperlink ref="B2895" r:id="rId8681" display="https://statiz.sporki.com/add/?m=draft_school01&amp;ps_school=50105" xr:uid="{E0628B9F-B58C-4D06-B9B7-78CBA4118095}"/>
    <hyperlink ref="C2895" r:id="rId8682" display="https://statiz.sporki.com/add/?m=draft_school02&amp;ps_school=60203" xr:uid="{2ACA7B7F-A331-4C71-89B0-0342D50BF5DF}"/>
    <hyperlink ref="A2896" r:id="rId8683" display="https://statiz.sporki.com/player/?m=playerinfo&amp;p_no=2033" xr:uid="{5D6E3567-DF05-4E16-9E8A-360FF80DD7D0}"/>
    <hyperlink ref="B2896" r:id="rId8684" display="https://statiz.sporki.com/add/?m=draft_school01&amp;ps_school=50706" xr:uid="{0A39A414-FDA4-473E-8F52-B201D092BBDA}"/>
    <hyperlink ref="C2896" r:id="rId8685" display="https://statiz.sporki.com/add/?m=draft_school02&amp;ps_school=" xr:uid="{BB93CC7A-8010-431D-8AEE-68694E969CEC}"/>
    <hyperlink ref="A2897" r:id="rId8686" display="https://statiz.sporki.com/player/?m=playerinfo&amp;p_no=1978" xr:uid="{8DAAD375-E481-4E0A-85BF-83B9A96E7033}"/>
    <hyperlink ref="B2897" r:id="rId8687" display="https://statiz.sporki.com/add/?m=draft_school01&amp;ps_school=50105" xr:uid="{1F95960F-AD79-41E6-A989-157160D50608}"/>
    <hyperlink ref="C2897" r:id="rId8688" display="https://statiz.sporki.com/add/?m=draft_school02&amp;ps_school=60102" xr:uid="{50F81393-F5EE-4907-8ACA-46C2F5AC32F5}"/>
    <hyperlink ref="A2898" r:id="rId8689" display="https://statiz.sporki.com/player/?m=playerinfo&amp;p_no=2051" xr:uid="{2619D6F7-4861-45DD-B3D9-34B1BAB46C4C}"/>
    <hyperlink ref="B2898" r:id="rId8690" display="https://statiz.sporki.com/add/?m=draft_school01&amp;ps_school=50604" xr:uid="{9704E950-750D-42E0-84CD-4BD27F2D4FFE}"/>
    <hyperlink ref="C2898" r:id="rId8691" display="https://statiz.sporki.com/add/?m=draft_school02&amp;ps_school=" xr:uid="{9E37B62C-6C96-4C95-A5FC-D50AA1FBAC3E}"/>
    <hyperlink ref="A2899" r:id="rId8692" display="https://statiz.sporki.com/player/?m=playerinfo&amp;p_no=1972" xr:uid="{E8BE11EA-FBCC-4ABE-86BA-484927B94DFB}"/>
    <hyperlink ref="B2899" r:id="rId8693" display="https://statiz.sporki.com/add/?m=draft_school01&amp;ps_school=50103" xr:uid="{828D71BB-2ED7-42E0-8717-C71EA67E45FB}"/>
    <hyperlink ref="C2899" r:id="rId8694" display="https://statiz.sporki.com/add/?m=draft_school02&amp;ps_school=60803" xr:uid="{7D631AB1-C1A1-4478-B21B-1C403C3B125E}"/>
    <hyperlink ref="A2900" r:id="rId8695" display="https://statiz.sporki.com/player/?m=playerinfo&amp;p_no=2164" xr:uid="{1EA1223E-3673-4EC4-A67D-0F3B2C2E2912}"/>
    <hyperlink ref="B2900" r:id="rId8696" display="https://statiz.sporki.com/add/?m=draft_school01&amp;ps_school=50110" xr:uid="{6B13F85D-CACD-403E-BFC3-7FFE8E7950B2}"/>
    <hyperlink ref="C2900" r:id="rId8697" display="https://statiz.sporki.com/add/?m=draft_school02&amp;ps_school=60108" xr:uid="{39A74565-5924-4A74-A6FB-B3DC03CAF80A}"/>
    <hyperlink ref="A2901" r:id="rId8698" display="https://statiz.sporki.com/player/?m=playerinfo&amp;p_no=2181" xr:uid="{63ECB380-3B88-4CB2-A6AC-6A226F414C9C}"/>
    <hyperlink ref="B2901" r:id="rId8699" display="https://statiz.sporki.com/add/?m=draft_school01&amp;ps_school=50116" xr:uid="{D94D3620-CC30-4D1F-B11A-1E13D87ADB4B}"/>
    <hyperlink ref="C2901" r:id="rId8700" display="https://statiz.sporki.com/add/?m=draft_school02&amp;ps_school=60111" xr:uid="{46E043D9-A0DD-4B89-BD70-40349AACED7B}"/>
    <hyperlink ref="A2902" r:id="rId8701" display="https://statiz.sporki.com/player/?m=playerinfo&amp;p_no=10277" xr:uid="{B8F02CCD-5A4A-471C-AB56-AC621C28844C}"/>
    <hyperlink ref="B2902" r:id="rId8702" display="https://statiz.sporki.com/add/?m=draft_school01&amp;ps_school=50110" xr:uid="{63D074F2-6390-4725-B8A5-22EA1C6D8F26}"/>
    <hyperlink ref="C2902" r:id="rId8703" display="https://statiz.sporki.com/add/?m=draft_school02&amp;ps_school=60109" xr:uid="{8807DC89-2910-4830-8D01-509272600C63}"/>
    <hyperlink ref="A2903" r:id="rId8704" display="https://statiz.sporki.com/player/?m=playerinfo&amp;p_no=2110" xr:uid="{67D72C27-B13E-43D1-9502-B22B1A1E2D52}"/>
    <hyperlink ref="B2903" r:id="rId8705" display="https://statiz.sporki.com/add/?m=draft_school01&amp;ps_school=50502" xr:uid="{39464050-4B0A-4107-AD56-BE14431E231A}"/>
    <hyperlink ref="C2903" r:id="rId8706" display="https://statiz.sporki.com/add/?m=draft_school02&amp;ps_school=" xr:uid="{1E62EADB-69A8-4A81-A7F7-21B9E8A0906B}"/>
    <hyperlink ref="A2904" r:id="rId8707" display="https://statiz.sporki.com/player/?m=playerinfo&amp;p_no=2005" xr:uid="{B35C8A6B-7B66-4218-939F-F45073897A3D}"/>
    <hyperlink ref="B2904" r:id="rId8708" display="https://statiz.sporki.com/add/?m=draft_school01&amp;ps_school=50115" xr:uid="{A973A998-E7A8-4DD0-ABDC-EE7B252393BC}"/>
    <hyperlink ref="C2904" r:id="rId8709" display="https://statiz.sporki.com/add/?m=draft_school02&amp;ps_school=60204" xr:uid="{F1766CD7-F822-4D45-B947-99641150935D}"/>
    <hyperlink ref="A2905" r:id="rId8710" display="https://statiz.sporki.com/player/?m=playerinfo&amp;p_no=2172" xr:uid="{642E8F27-FB79-4E66-8690-72EE9613660A}"/>
    <hyperlink ref="B2905" r:id="rId8711" display="https://statiz.sporki.com/add/?m=draft_school01&amp;ps_school=50112" xr:uid="{C07E4D71-A486-4E96-A5CA-65CFD5EDB643}"/>
    <hyperlink ref="C2905" r:id="rId8712" display="https://statiz.sporki.com/add/?m=draft_school02&amp;ps_school=60703" xr:uid="{CB06FF38-6B96-4B5A-94EC-726F65F9A72F}"/>
    <hyperlink ref="A2906" r:id="rId8713" display="https://statiz.sporki.com/player/?m=playerinfo&amp;p_no=2000" xr:uid="{2A27F646-4C86-4033-8E30-8C4256BAD061}"/>
    <hyperlink ref="B2906" r:id="rId8714" display="https://statiz.sporki.com/add/?m=draft_school01&amp;ps_school=50502" xr:uid="{3FAD5990-F986-49A0-B2F7-C69C1799B843}"/>
    <hyperlink ref="C2906" r:id="rId8715" display="https://statiz.sporki.com/add/?m=draft_school02&amp;ps_school=60501" xr:uid="{613D6DC1-766C-4FF7-B2F1-BB13F639664C}"/>
    <hyperlink ref="A2907" r:id="rId8716" display="https://statiz.sporki.com/player/?m=playerinfo&amp;p_no=1994" xr:uid="{5AF39554-F4BE-43D5-A71D-07B5518A3E0E}"/>
    <hyperlink ref="B2907" r:id="rId8717" display="https://statiz.sporki.com/add/?m=draft_school01&amp;ps_school=50802" xr:uid="{42712B04-091A-41F7-BA10-D3B22260D75F}"/>
    <hyperlink ref="C2907" r:id="rId8718" display="https://statiz.sporki.com/add/?m=draft_school02&amp;ps_school=60803" xr:uid="{1FE4CA7E-E49E-4D6B-9257-6527E1F25DA1}"/>
    <hyperlink ref="A2908" r:id="rId8719" display="https://statiz.sporki.com/player/?m=playerinfo&amp;p_no=2009" xr:uid="{84549CD4-B8EF-4E12-80C6-761A7FC33583}"/>
    <hyperlink ref="B2908" r:id="rId8720" display="https://statiz.sporki.com/add/?m=draft_school01&amp;ps_school=50106" xr:uid="{B213F81B-E098-425B-94A8-9C0B7FFBFE9B}"/>
    <hyperlink ref="C2908" r:id="rId8721" display="https://statiz.sporki.com/add/?m=draft_school02&amp;ps_school=60108" xr:uid="{15BEF9A0-7F37-4EF9-88A4-E17BD5B6D1A7}"/>
    <hyperlink ref="A2909" r:id="rId8722" display="https://statiz.sporki.com/player/?m=playerinfo&amp;p_no=2218" xr:uid="{800A03DE-6C35-4CAB-9DF5-77360E7028B0}"/>
    <hyperlink ref="B2909" r:id="rId8723" display="https://statiz.sporki.com/add/?m=draft_school01&amp;ps_school=50209" xr:uid="{F7EC1388-349F-4215-A488-A5F1C4DFE28F}"/>
    <hyperlink ref="C2909" r:id="rId8724" display="https://statiz.sporki.com/add/?m=draft_school02&amp;ps_school=60204" xr:uid="{1A3CDFC6-E9E5-46BB-ABBC-5DB4E1A76BC6}"/>
    <hyperlink ref="A2910" r:id="rId8725" display="https://statiz.sporki.com/player/?m=playerinfo&amp;p_no=10419" xr:uid="{99CA3EAA-FD4C-432A-90C0-6E01B222F055}"/>
    <hyperlink ref="B2910" r:id="rId8726" display="https://statiz.sporki.com/add/?m=draft_school01&amp;ps_school=50104" xr:uid="{4CD5D712-B2A0-4C23-AFD2-65B32B1EBE59}"/>
    <hyperlink ref="C2910" r:id="rId8727" display="https://statiz.sporki.com/add/?m=draft_school02&amp;ps_school=" xr:uid="{28B76D86-A0C0-4AB3-A109-38A44A99000C}"/>
    <hyperlink ref="A2911" r:id="rId8728" display="https://statiz.sporki.com/player/?m=playerinfo&amp;p_no=2060" xr:uid="{74E4227B-F610-40F9-9B59-FDF0B41D5DD4}"/>
    <hyperlink ref="B2911" r:id="rId8729" display="https://statiz.sporki.com/add/?m=draft_school01&amp;ps_school=50706" xr:uid="{C57A14C3-492B-458D-98A6-C57DC6C0DF77}"/>
    <hyperlink ref="C2911" r:id="rId8730" display="https://statiz.sporki.com/add/?m=draft_school02&amp;ps_school=" xr:uid="{64F7BAF1-6FC9-4300-8C54-6306505A119F}"/>
    <hyperlink ref="A2912" r:id="rId8731" display="https://statiz.sporki.com/player/?m=playerinfo&amp;p_no=2023" xr:uid="{F847EF5B-09CF-4D1B-A187-A1C16F967D73}"/>
    <hyperlink ref="B2912" r:id="rId8732" display="https://statiz.sporki.com/add/?m=draft_school01&amp;ps_school=50805" xr:uid="{D9AD6394-2D68-4B16-873C-F23FD0FE5200}"/>
    <hyperlink ref="C2912" r:id="rId8733" display="https://statiz.sporki.com/add/?m=draft_school02&amp;ps_school=60802" xr:uid="{A7777A82-67CB-47F3-BC64-0A8183C1BB2A}"/>
    <hyperlink ref="A2913" r:id="rId8734" display="https://statiz.sporki.com/player/?m=playerinfo&amp;p_no=10504" xr:uid="{5561A814-B50B-43BA-9854-986B14F65807}"/>
    <hyperlink ref="B2913" r:id="rId8735" display="https://statiz.sporki.com/add/?m=draft_school01&amp;ps_school=50103" xr:uid="{F037FCB8-8A35-4124-BC71-3D70F39E481C}"/>
    <hyperlink ref="C2913" r:id="rId8736" display="https://statiz.sporki.com/add/?m=draft_school02&amp;ps_school=" xr:uid="{324F603F-F926-46E4-BE5B-B1872331F205}"/>
    <hyperlink ref="A2914" r:id="rId8737" display="https://statiz.sporki.com/player/?m=playerinfo&amp;p_no=2297" xr:uid="{1175A371-3D51-4ADF-93F5-348BCBCED7F4}"/>
    <hyperlink ref="B2914" r:id="rId8738" display="https://statiz.sporki.com/add/?m=draft_school01&amp;ps_school=50116" xr:uid="{7203FC58-CCF1-49FF-81D5-8A3A82CC0E63}"/>
    <hyperlink ref="C2914" r:id="rId8739" display="https://statiz.sporki.com/add/?m=draft_school02&amp;ps_school=60101" xr:uid="{D632712C-4DB6-4A1A-999F-E59C6A75953F}"/>
    <hyperlink ref="A2915" r:id="rId8740" display="https://statiz.sporki.com/player/?m=playerinfo&amp;p_no=10098" xr:uid="{7E033E2C-66C2-48C2-8008-E8C8EEBAF4B0}"/>
    <hyperlink ref="B2915" r:id="rId8741" display="https://statiz.sporki.com/add/?m=draft_school01&amp;ps_school=50116" xr:uid="{C429E094-D964-44E4-B70D-1B445031CC97}"/>
    <hyperlink ref="C2915" r:id="rId8742" display="https://statiz.sporki.com/add/?m=draft_school02&amp;ps_school=" xr:uid="{A9BF9E7E-1B2F-4ECE-AD75-3B4F31475223}"/>
    <hyperlink ref="A2916" r:id="rId8743" display="https://statiz.sporki.com/player/?m=playerinfo&amp;p_no=2191" xr:uid="{B938CC67-6E3D-4559-B3FB-483DB895E667}"/>
    <hyperlink ref="B2916" r:id="rId8744" display="https://statiz.sporki.com/add/?m=draft_school01&amp;ps_school=50116" xr:uid="{D0B42D47-50F1-4A73-8A50-3D5E225B40DF}"/>
    <hyperlink ref="C2916" r:id="rId8745" display="https://statiz.sporki.com/add/?m=draft_school02&amp;ps_school=60102" xr:uid="{4C36E2CE-5419-4219-AD2D-938623AEBBF8}"/>
    <hyperlink ref="A2917" r:id="rId8746" display="https://statiz.sporki.com/player/?m=playerinfo&amp;p_no=2222" xr:uid="{CF9692EB-769A-44EA-BBF5-B3B92AFB38E2}"/>
    <hyperlink ref="B2917" r:id="rId8747" display="https://statiz.sporki.com/add/?m=draft_school01&amp;ps_school=50109" xr:uid="{46811AEE-EA06-479A-BA44-A31ADAE63C02}"/>
    <hyperlink ref="C2917" r:id="rId8748" display="https://statiz.sporki.com/add/?m=draft_school02&amp;ps_school=60103" xr:uid="{A4973AE1-E29E-4756-A7FB-1F634FABEE98}"/>
    <hyperlink ref="A2918" r:id="rId8749" display="https://statiz.sporki.com/player/?m=playerinfo&amp;p_no=2016" xr:uid="{AEA2EBD0-2CEA-43B2-9C29-90A19F4FFD3F}"/>
    <hyperlink ref="B2918" r:id="rId8750" display="https://statiz.sporki.com/add/?m=draft_school01&amp;ps_school=50802" xr:uid="{3E1BED36-C3E7-44D2-B160-344E7F763CF3}"/>
    <hyperlink ref="C2918" r:id="rId8751" display="https://statiz.sporki.com/add/?m=draft_school02&amp;ps_school=" xr:uid="{8C05751B-0069-4512-8CC7-7A661F32F17E}"/>
    <hyperlink ref="A2919" r:id="rId8752" display="https://statiz.sporki.com/player/?m=playerinfo&amp;p_no=2190" xr:uid="{FAEC89A1-0CF7-44BA-9918-D40E5EE97D88}"/>
    <hyperlink ref="B2919" r:id="rId8753" display="https://statiz.sporki.com/add/?m=draft_school01&amp;ps_school=50402" xr:uid="{38D0DA47-E5E7-4A55-80E2-40E18895BE94}"/>
    <hyperlink ref="C2919" r:id="rId8754" display="https://statiz.sporki.com/add/?m=draft_school02&amp;ps_school=60114" xr:uid="{805F8448-2432-4C2C-A418-46A3344203FA}"/>
    <hyperlink ref="A2920" r:id="rId8755" display="https://statiz.sporki.com/player/?m=playerinfo&amp;p_no=2076" xr:uid="{A8CA23F8-879A-4AF8-A951-9DDB24A9418E}"/>
    <hyperlink ref="B2920" r:id="rId8756" display="https://statiz.sporki.com/add/?m=draft_school01&amp;ps_school=50401" xr:uid="{ACDD6A99-9148-4DE2-9B79-77BBBC56129E}"/>
    <hyperlink ref="C2920" r:id="rId8757" display="https://statiz.sporki.com/add/?m=draft_school02&amp;ps_school=" xr:uid="{CF1A3A00-68B1-479D-B24B-3886F426DF82}"/>
    <hyperlink ref="A2921" r:id="rId8758" display="https://statiz.sporki.com/player/?m=playerinfo&amp;p_no=10228" xr:uid="{6AA60265-4EF5-4950-8984-10EE00F33A75}"/>
    <hyperlink ref="B2921" r:id="rId8759" display="https://statiz.sporki.com/add/?m=draft_school01&amp;ps_school=50403" xr:uid="{634B0E94-78E4-4C6A-A013-16A2C62BBF80}"/>
    <hyperlink ref="C2921" r:id="rId8760" display="https://statiz.sporki.com/add/?m=draft_school02&amp;ps_school=60113" xr:uid="{E2111ECC-99DA-4C5E-AA7E-2760511F5AA6}"/>
    <hyperlink ref="A2922" r:id="rId8761" display="https://statiz.sporki.com/player/?m=playerinfo&amp;p_no=2215" xr:uid="{515F0772-661C-4C7E-9185-256224BC5123}"/>
    <hyperlink ref="B2922" r:id="rId8762" display="https://statiz.sporki.com/add/?m=draft_school01&amp;ps_school=50209" xr:uid="{418F4A22-DE04-4ABA-94D1-ACE742969A7D}"/>
    <hyperlink ref="C2922" r:id="rId8763" display="https://statiz.sporki.com/add/?m=draft_school02&amp;ps_school=" xr:uid="{27E742EB-478C-4404-B8DD-1EE3FBFDCBB5}"/>
    <hyperlink ref="A2923" r:id="rId8764" display="https://statiz.sporki.com/player/?m=playerinfo&amp;p_no=1996" xr:uid="{276C2760-4F99-4119-9D4B-12EC01F3C900}"/>
    <hyperlink ref="B2923" r:id="rId8765" display="https://statiz.sporki.com/add/?m=draft_school01&amp;ps_school=50202" xr:uid="{77774EAB-44F5-41B5-90A4-A0D3D4C347B9}"/>
    <hyperlink ref="C2923" r:id="rId8766" display="https://statiz.sporki.com/add/?m=draft_school02&amp;ps_school=" xr:uid="{5C01CD4D-7060-4F3B-80CB-313690B7D2CF}"/>
    <hyperlink ref="A2924" r:id="rId8767" display="https://statiz.sporki.com/player/?m=playerinfo&amp;p_no=10327" xr:uid="{2A172CE8-CD1B-4498-AE04-DF75E35DC152}"/>
    <hyperlink ref="B2924" r:id="rId8768" display="https://statiz.sporki.com/add/?m=draft_school01&amp;ps_school=50803" xr:uid="{41C17F17-D525-4534-93D2-1A64A0EFE5D1}"/>
    <hyperlink ref="C2924" r:id="rId8769" display="https://statiz.sporki.com/add/?m=draft_school02&amp;ps_school=60109" xr:uid="{9A176D8A-1082-4C5B-9AD3-36C05AE76CAB}"/>
    <hyperlink ref="A2925" r:id="rId8770" display="https://statiz.sporki.com/player/?m=playerinfo&amp;p_no=10154" xr:uid="{2E9C0F74-7E87-4F26-BFC7-7B7E6CBDC4E5}"/>
    <hyperlink ref="B2925" r:id="rId8771" display="https://statiz.sporki.com/add/?m=draft_school01&amp;ps_school=50501" xr:uid="{F423E925-4C88-4EBC-A6B7-3FFA3A9E125C}"/>
    <hyperlink ref="C2925" r:id="rId8772" display="https://statiz.sporki.com/add/?m=draft_school02&amp;ps_school=60102" xr:uid="{B14DC3C5-24A5-4A13-9CF6-C9FBA9BD771A}"/>
    <hyperlink ref="A2926" r:id="rId8773" display="https://statiz.sporki.com/player/?m=playerinfo&amp;p_no=10009" xr:uid="{076BC43A-5006-4804-88A3-A82A190DDD79}"/>
    <hyperlink ref="B2926" r:id="rId8774" display="https://statiz.sporki.com/add/?m=draft_school01&amp;ps_school=50602" xr:uid="{3766FB0C-FE23-4175-B3EA-4ECCFA4716C1}"/>
    <hyperlink ref="C2926" r:id="rId8775" display="https://statiz.sporki.com/add/?m=draft_school02&amp;ps_school=60103" xr:uid="{B990FC16-2045-4006-9436-3D9651A490F6}"/>
    <hyperlink ref="A2927" r:id="rId8776" display="https://statiz.sporki.com/player/?m=playerinfo&amp;p_no=2107" xr:uid="{AE3BDDD6-EA37-4C8F-8C7A-AA26EA2F8109}"/>
    <hyperlink ref="B2927" r:id="rId8777" display="https://statiz.sporki.com/add/?m=draft_school01&amp;ps_school=50106" xr:uid="{B30B7E87-2D58-4B10-9BC9-C180EABBE4C3}"/>
    <hyperlink ref="C2927" r:id="rId8778" display="https://statiz.sporki.com/add/?m=draft_school02&amp;ps_school=60109" xr:uid="{E5485F09-826F-44C3-A1FD-1FB19CBC6FBF}"/>
    <hyperlink ref="A2928" r:id="rId8779" display="https://statiz.sporki.com/player/?m=playerinfo&amp;p_no=14231" xr:uid="{B03707E9-4E51-4807-9864-7AC045418E80}"/>
    <hyperlink ref="B2928" r:id="rId8780" display="https://statiz.sporki.com/add/?m=draft_school01&amp;ps_school=50114" xr:uid="{53CA141B-07A8-47A0-8F01-C41DF84DD540}"/>
    <hyperlink ref="C2928" r:id="rId8781" display="https://statiz.sporki.com/add/?m=draft_school02&amp;ps_school=60501" xr:uid="{D30B4A80-43C2-4952-8878-5C207CDB224F}"/>
    <hyperlink ref="A2929" r:id="rId8782" display="https://statiz.sporki.com/player/?m=playerinfo&amp;p_no=1967" xr:uid="{DC24FC9D-2810-4A0D-85FD-1C56CDC8F6D1}"/>
    <hyperlink ref="B2929" r:id="rId8783" display="https://statiz.sporki.com/add/?m=draft_school01&amp;ps_school=50804" xr:uid="{EEFBB920-6FBA-477B-B7F9-BE96BE98602A}"/>
    <hyperlink ref="C2929" r:id="rId8784" display="https://statiz.sporki.com/add/?m=draft_school02&amp;ps_school=60113" xr:uid="{5127DFDC-A118-48EF-98AE-CB6FCC4C4CAD}"/>
    <hyperlink ref="A2930" r:id="rId8785" display="https://statiz.sporki.com/player/?m=playerinfo&amp;p_no=1965" xr:uid="{920589A7-CFDB-4F93-9F0D-302E2AFB1227}"/>
    <hyperlink ref="B2930" r:id="rId8786" display="https://statiz.sporki.com/add/?m=draft_school01&amp;ps_school=50711" xr:uid="{CD78CF00-2812-43AA-8CD0-B9114B0B0D54}"/>
    <hyperlink ref="C2930" r:id="rId8787" display="https://statiz.sporki.com/add/?m=draft_school02&amp;ps_school=60703" xr:uid="{45396210-EA23-46A8-9361-D984022DBA3D}"/>
    <hyperlink ref="A2931" r:id="rId8788" display="https://statiz.sporki.com/player/?m=playerinfo&amp;p_no=14889" xr:uid="{5CE4C8AB-32D5-4724-BC0A-985E6F2AE581}"/>
    <hyperlink ref="B2931" r:id="rId8789" display="https://statiz.sporki.com/add/?m=draft_school01&amp;ps_school=50401" xr:uid="{44A450AD-5D00-4FB6-B233-07FD4F56D22D}"/>
    <hyperlink ref="C2931" r:id="rId8790" display="https://statiz.sporki.com/add/?m=draft_school02&amp;ps_school=60103" xr:uid="{DA19310C-94AD-4869-A552-CB87CBEFA4BE}"/>
    <hyperlink ref="A2932" r:id="rId8791" display="https://statiz.sporki.com/player/?m=playerinfo&amp;p_no=10537" xr:uid="{90EA23D8-D375-48CF-9FD1-8E8975F296D2}"/>
    <hyperlink ref="B2932" r:id="rId8792" display="https://statiz.sporki.com/add/?m=draft_school01&amp;ps_school=50209" xr:uid="{918BD1AB-F81F-41A6-9B8A-59182D9F83E1}"/>
    <hyperlink ref="C2932" r:id="rId8793" display="https://statiz.sporki.com/add/?m=draft_school02&amp;ps_school=60203" xr:uid="{5CE641F0-4A11-4224-8CF8-5F998AFC04B6}"/>
    <hyperlink ref="A2933" r:id="rId8794" display="https://statiz.sporki.com/player/?m=playerinfo&amp;p_no=1914" xr:uid="{796D5977-B223-4743-A1C6-136C61493974}"/>
    <hyperlink ref="B2933" r:id="rId8795" display="https://statiz.sporki.com/add/?m=draft_school01&amp;ps_school=50501" xr:uid="{7BD8A5D1-0628-4D35-B2D7-D56DAE612FAB}"/>
    <hyperlink ref="C2933" r:id="rId8796" display="https://statiz.sporki.com/add/?m=draft_school02&amp;ps_school=60108" xr:uid="{34C8AF91-211C-4E1F-847B-1977EA7C06F7}"/>
    <hyperlink ref="A2934" r:id="rId8797" display="https://statiz.sporki.com/player/?m=playerinfo&amp;p_no=10200" xr:uid="{B33CD9FD-1F59-4C1F-9B21-141294354779}"/>
    <hyperlink ref="B2934" r:id="rId8798" display="https://statiz.sporki.com/add/?m=draft_school01&amp;ps_school=50116" xr:uid="{AFEF9A07-5ACD-4CA9-B352-51DC17E03BD3}"/>
    <hyperlink ref="C2934" r:id="rId8799" display="https://statiz.sporki.com/add/?m=draft_school02&amp;ps_school=60103" xr:uid="{0AC4F968-7986-45EF-AAC2-8AF727DE49DE}"/>
    <hyperlink ref="A2935" r:id="rId8800" display="https://statiz.sporki.com/player/?m=playerinfo&amp;p_no=10032" xr:uid="{FAB4F466-36CE-4DFD-AB0A-AF552ECB1046}"/>
    <hyperlink ref="B2935" r:id="rId8801" display="https://statiz.sporki.com/add/?m=draft_school01&amp;ps_school=50114" xr:uid="{6C85A05B-5332-4C17-A992-43414E853ECC}"/>
    <hyperlink ref="C2935" r:id="rId8802" display="https://statiz.sporki.com/add/?m=draft_school02&amp;ps_school=60606" xr:uid="{25E63D32-B7A6-489A-9065-6B896BFB9638}"/>
    <hyperlink ref="A2936" r:id="rId8803" display="https://statiz.sporki.com/player/?m=playerinfo&amp;p_no=2118" xr:uid="{ACD1C8DE-26AD-45D5-8E68-DA3BE6864B95}"/>
    <hyperlink ref="B2936" r:id="rId8804" display="https://statiz.sporki.com/add/?m=draft_school01&amp;ps_school=50608" xr:uid="{79AC2660-EC78-4A54-BE1B-884F07DF6436}"/>
    <hyperlink ref="C2936" r:id="rId8805" display="https://statiz.sporki.com/add/?m=draft_school02&amp;ps_school=60102" xr:uid="{1E865E2B-C00B-488B-BA51-B0CCD19208AD}"/>
    <hyperlink ref="A2937" r:id="rId8806" display="https://statiz.sporki.com/player/?m=playerinfo&amp;p_no=10296" xr:uid="{6A9E57DD-84A6-45C6-868B-A333607ACCA1}"/>
    <hyperlink ref="B2937" r:id="rId8807" display="https://statiz.sporki.com/add/?m=draft_school01&amp;ps_school=50704" xr:uid="{294D0F50-EACF-475C-BC85-0D9B56089011}"/>
    <hyperlink ref="C2937" r:id="rId8808" display="https://statiz.sporki.com/add/?m=draft_school02&amp;ps_school=" xr:uid="{494903EA-4E4E-4A4D-814F-2EA57254C35C}"/>
    <hyperlink ref="A2938" r:id="rId8809" display="https://statiz.sporki.com/player/?m=playerinfo&amp;p_no=11441" xr:uid="{DEDC657B-D7EB-4343-9F41-6D68BBF7A7AF}"/>
    <hyperlink ref="B2938" r:id="rId8810" display="https://statiz.sporki.com/add/?m=draft_school01&amp;ps_school=50703" xr:uid="{A0FFE99F-AA8C-4F0E-865F-C3A1AF6DF525}"/>
    <hyperlink ref="C2938" r:id="rId8811" display="https://statiz.sporki.com/add/?m=draft_school02&amp;ps_school=60801" xr:uid="{A568DF72-20E5-423D-AFCD-8776B2268701}"/>
    <hyperlink ref="A2939" r:id="rId8812" display="https://statiz.sporki.com/player/?m=playerinfo&amp;p_no=2163" xr:uid="{3F7A232A-D7F6-42CD-BE8A-B57EFB60BBD9}"/>
    <hyperlink ref="B2939" r:id="rId8813" display="https://statiz.sporki.com/add/?m=draft_school01&amp;ps_school=" xr:uid="{4F97B0A7-775E-4812-85C9-8A9611A4895E}"/>
    <hyperlink ref="C2939" r:id="rId8814" display="https://statiz.sporki.com/add/?m=draft_school02&amp;ps_school=60101" xr:uid="{9D2780E0-5D43-4B27-B424-DBFEED6492E7}"/>
    <hyperlink ref="A2940" r:id="rId8815" display="https://statiz.sporki.com/player/?m=playerinfo&amp;p_no=2122" xr:uid="{FF4EFBB8-DDCE-40B0-889E-27C2ACAC17C2}"/>
    <hyperlink ref="B2940" r:id="rId8816" display="https://statiz.sporki.com/add/?m=draft_school01&amp;ps_school=50604" xr:uid="{3D22F169-A702-45C6-893C-B26E2A995795}"/>
    <hyperlink ref="C2940" r:id="rId8817" display="https://statiz.sporki.com/add/?m=draft_school02&amp;ps_school=60111" xr:uid="{713A1A1E-E1A4-46A4-82D5-4664881B20CB}"/>
    <hyperlink ref="A2941" r:id="rId8818" display="https://statiz.sporki.com/player/?m=playerinfo&amp;p_no=1915" xr:uid="{1C61A341-2F48-4E8C-8E2D-50E226EA8B8B}"/>
    <hyperlink ref="B2941" r:id="rId8819" display="https://statiz.sporki.com/add/?m=draft_school01&amp;ps_school=50706" xr:uid="{DBE52C64-FEA7-4B31-9FCC-098ED8210ADB}"/>
    <hyperlink ref="C2941" r:id="rId8820" display="https://statiz.sporki.com/add/?m=draft_school02&amp;ps_school=" xr:uid="{034A747A-829B-420D-ABFC-A0BCCD1EFA56}"/>
    <hyperlink ref="A2942" r:id="rId8821" display="https://statiz.sporki.com/player/?m=playerinfo&amp;p_no=1924" xr:uid="{C1AB7BEB-1D0D-45E4-B664-0093E4A59C44}"/>
    <hyperlink ref="B2942" r:id="rId8822" display="https://statiz.sporki.com/add/?m=draft_school01&amp;ps_school=50402" xr:uid="{065D5646-BC2C-46A1-A7B7-9898DB5D66ED}"/>
    <hyperlink ref="C2942" r:id="rId8823" display="https://statiz.sporki.com/add/?m=draft_school02&amp;ps_school=60803" xr:uid="{24746071-C39F-4A72-BBB9-585958E35470}"/>
    <hyperlink ref="A2943" r:id="rId8824" display="https://statiz.sporki.com/player/?m=playerinfo&amp;p_no=1920" xr:uid="{743EC3D2-9E47-425C-A236-8147A6A13354}"/>
    <hyperlink ref="B2943" r:id="rId8825" display="https://statiz.sporki.com/add/?m=draft_school01&amp;ps_school=50110" xr:uid="{C4648B64-226E-4FEF-810B-C84AA6C896D1}"/>
    <hyperlink ref="C2943" r:id="rId8826" display="https://statiz.sporki.com/add/?m=draft_school02&amp;ps_school=60103" xr:uid="{10C3C32B-B935-4178-955C-CDB0BC5BEF12}"/>
    <hyperlink ref="A2944" r:id="rId8827" display="https://statiz.sporki.com/player/?m=playerinfo&amp;p_no=14564" xr:uid="{0FA746B1-8E5A-4392-9DEA-92BB525CDA8C}"/>
    <hyperlink ref="B2944" r:id="rId8828" display="https://statiz.sporki.com/add/?m=draft_school01&amp;ps_school=50401" xr:uid="{79DDB326-6EFB-4A49-B06F-0186643C00D2}"/>
    <hyperlink ref="C2944" r:id="rId8829" display="https://statiz.sporki.com/add/?m=draft_school02&amp;ps_school=60103" xr:uid="{42B172D9-B1FE-4F31-AB6A-74A31932BC40}"/>
    <hyperlink ref="A2945" r:id="rId8830" display="https://statiz.sporki.com/player/?m=playerinfo&amp;p_no=1918" xr:uid="{F32C67B8-7426-444B-A884-6746CA5EB4F6}"/>
    <hyperlink ref="B2945" r:id="rId8831" display="https://statiz.sporki.com/add/?m=draft_school01&amp;ps_school=50803" xr:uid="{30332687-063B-452A-92BD-1FA6B4347554}"/>
    <hyperlink ref="C2945" r:id="rId8832" display="https://statiz.sporki.com/add/?m=draft_school02&amp;ps_school=60109" xr:uid="{D1C129DC-0C96-4803-A96E-0FF781EC47CE}"/>
    <hyperlink ref="A2946" r:id="rId8833" display="https://statiz.sporki.com/player/?m=playerinfo&amp;p_no=1954" xr:uid="{2436E635-EA23-44CA-93B3-86952B195D4A}"/>
    <hyperlink ref="B2946" r:id="rId8834" display="https://statiz.sporki.com/add/?m=draft_school01&amp;ps_school=50115" xr:uid="{2F890F7D-A6FA-430B-AAA7-158BE21EF621}"/>
    <hyperlink ref="C2946" r:id="rId8835" display="https://statiz.sporki.com/add/?m=draft_school02&amp;ps_school=60501" xr:uid="{D2ADEC77-DB76-4E9A-A30E-F2325132343E}"/>
    <hyperlink ref="A2947" r:id="rId8836" display="https://statiz.sporki.com/player/?m=playerinfo&amp;p_no=1959" xr:uid="{7A3C1F84-742F-4C07-97AD-9E66ADFBFAE6}"/>
    <hyperlink ref="B2947" r:id="rId8837" display="https://statiz.sporki.com/add/?m=draft_school01&amp;ps_school=50904" xr:uid="{0407E7CB-E53E-433F-9F93-790660F84DF2}"/>
    <hyperlink ref="C2947" r:id="rId8838" display="https://statiz.sporki.com/add/?m=draft_school02&amp;ps_school=60102" xr:uid="{C4F58E87-6B08-4240-9F98-7E3F9F8AA684}"/>
    <hyperlink ref="A2948" r:id="rId8839" display="https://statiz.sporki.com/player/?m=playerinfo&amp;p_no=1957" xr:uid="{41968A46-6F54-488A-910F-E5367ACFA8C2}"/>
    <hyperlink ref="B2948" r:id="rId8840" display="https://statiz.sporki.com/add/?m=draft_school01&amp;ps_school=50602" xr:uid="{0E60060D-3221-4B41-9A4F-E9C622B2BDBA}"/>
    <hyperlink ref="C2948" r:id="rId8841" display="https://statiz.sporki.com/add/?m=draft_school02&amp;ps_school=60204" xr:uid="{ADE60BA0-CEF8-4295-8D60-9FCA477DD547}"/>
    <hyperlink ref="A2949" r:id="rId8842" display="https://statiz.sporki.com/player/?m=playerinfo&amp;p_no=1951" xr:uid="{0BC05426-B9A0-4A03-9B27-CD8D2522E73D}"/>
    <hyperlink ref="B2949" r:id="rId8843" display="https://statiz.sporki.com/add/?m=draft_school01&amp;ps_school=50704" xr:uid="{F1B39F92-E2E4-40EC-A5C3-13CF0CE14A91}"/>
    <hyperlink ref="C2949" r:id="rId8844" display="https://statiz.sporki.com/add/?m=draft_school02&amp;ps_school=60802" xr:uid="{4142E668-1772-4098-8DC0-60EA83A2EF4F}"/>
    <hyperlink ref="A2950" r:id="rId8845" display="https://statiz.sporki.com/player/?m=playerinfo&amp;p_no=1936" xr:uid="{6B7B5A2D-8CC9-4D54-8C13-FE1E9AD3FEE5}"/>
    <hyperlink ref="B2950" r:id="rId8846" display="https://statiz.sporki.com/add/?m=draft_school01&amp;ps_school=50401" xr:uid="{3755B12A-A330-41CC-9170-B9569489F4FC}"/>
    <hyperlink ref="C2950" r:id="rId8847" display="https://statiz.sporki.com/add/?m=draft_school02&amp;ps_school=60113" xr:uid="{9DEF0226-3B3E-436B-B6AF-2D42707A0273}"/>
    <hyperlink ref="A2951" r:id="rId8848" display="https://statiz.sporki.com/player/?m=playerinfo&amp;p_no=2001" xr:uid="{89DF5089-6A31-4FC2-A7D6-A44CD82FA756}"/>
    <hyperlink ref="B2951" r:id="rId8849" display="https://statiz.sporki.com/add/?m=draft_school01&amp;ps_school=50111" xr:uid="{CC03D461-65BB-49F3-B41D-34698F25512C}"/>
    <hyperlink ref="C2951" r:id="rId8850" display="https://statiz.sporki.com/add/?m=draft_school02&amp;ps_school=60102" xr:uid="{0AB11A15-66A8-4D81-B9B0-95D8A2900DBD}"/>
    <hyperlink ref="A2952" r:id="rId8851" display="https://statiz.sporki.com/player/?m=playerinfo&amp;p_no=2075" xr:uid="{7251BA01-E774-4AE0-A520-AD2BA872D00F}"/>
    <hyperlink ref="B2952" r:id="rId8852" display="https://statiz.sporki.com/add/?m=draft_school01&amp;ps_school=50114" xr:uid="{E575A315-3D8B-4186-BDA0-59C52BA1A83C}"/>
    <hyperlink ref="C2952" r:id="rId8853" display="https://statiz.sporki.com/add/?m=draft_school02&amp;ps_school=60113" xr:uid="{90AF39AC-CF90-4146-97E8-757775CC189F}"/>
    <hyperlink ref="A2953" r:id="rId8854" display="https://statiz.sporki.com/player/?m=playerinfo&amp;p_no=10562" xr:uid="{274D510A-68F0-4C02-984F-D433E6EFAB89}"/>
    <hyperlink ref="B2953" r:id="rId8855" display="https://statiz.sporki.com/add/?m=draft_school01&amp;ps_school=50116" xr:uid="{A6D7F25E-CE04-4519-BB06-688492097579}"/>
    <hyperlink ref="C2953" r:id="rId8856" display="https://statiz.sporki.com/add/?m=draft_school02&amp;ps_school=60104" xr:uid="{C374170D-1345-45C7-BAEC-2861E224BBE0}"/>
    <hyperlink ref="A2954" r:id="rId8857" display="https://statiz.sporki.com/player/?m=playerinfo&amp;p_no=1941" xr:uid="{28AADB55-3C40-4042-8517-BBD82997BB1E}"/>
    <hyperlink ref="B2954" r:id="rId8858" display="https://statiz.sporki.com/add/?m=draft_school01&amp;ps_school=50403" xr:uid="{8F9F7D97-1A60-47B0-9CA3-8E822696F8FF}"/>
    <hyperlink ref="C2954" r:id="rId8859" display="https://statiz.sporki.com/add/?m=draft_school02&amp;ps_school=" xr:uid="{1EF680D5-2090-412E-BDC5-376B0D5E124A}"/>
    <hyperlink ref="A2955" r:id="rId8860" display="https://statiz.sporki.com/player/?m=playerinfo&amp;p_no=1949" xr:uid="{62C2807A-D738-4CC7-BBC1-3575AD913646}"/>
    <hyperlink ref="B2955" r:id="rId8861" display="https://statiz.sporki.com/add/?m=draft_school01&amp;ps_school=50701" xr:uid="{D4B6D867-7423-49D3-8064-9977332EB0E8}"/>
    <hyperlink ref="C2955" r:id="rId8862" display="https://statiz.sporki.com/add/?m=draft_school02&amp;ps_school=60705" xr:uid="{E3DB7807-8A22-4650-8726-03DBE6B3F7F2}"/>
    <hyperlink ref="A2956" r:id="rId8863" display="https://statiz.sporki.com/player/?m=playerinfo&amp;p_no=1960" xr:uid="{F74FD85E-24A0-466E-A7F8-518D4680B8C2}"/>
    <hyperlink ref="B2956" r:id="rId8864" display="https://statiz.sporki.com/add/?m=draft_school01&amp;ps_school=50701" xr:uid="{C43C4E18-C92C-4AD1-A96A-0CD74EC09937}"/>
    <hyperlink ref="C2956" r:id="rId8865" display="https://statiz.sporki.com/add/?m=draft_school02&amp;ps_school=60203" xr:uid="{2409C602-B818-4657-AAFD-7D00405357D6}"/>
    <hyperlink ref="A2957" r:id="rId8866" display="https://statiz.sporki.com/player/?m=playerinfo&amp;p_no=10574" xr:uid="{DC4749B9-1BFD-4247-85F8-F2C3BE3B0FAE}"/>
    <hyperlink ref="B2957" r:id="rId8867" display="https://statiz.sporki.com/add/?m=draft_school01&amp;ps_school=50109" xr:uid="{88198E34-91EB-49F3-B161-AC549F953FE1}"/>
    <hyperlink ref="C2957" r:id="rId8868" display="https://statiz.sporki.com/add/?m=draft_school02&amp;ps_school=60101" xr:uid="{B0955AA1-44BB-4093-8083-C37B963469BB}"/>
    <hyperlink ref="A2958" r:id="rId8869" display="https://statiz.sporki.com/player/?m=playerinfo&amp;p_no=1948" xr:uid="{C2FE32F0-C9F7-4256-87BB-C27E87BE6415}"/>
    <hyperlink ref="B2958" r:id="rId8870" display="https://statiz.sporki.com/add/?m=draft_school01&amp;ps_school=50116" xr:uid="{40261281-B23D-40F0-B783-81865B015B12}"/>
    <hyperlink ref="C2958" r:id="rId8871" display="https://statiz.sporki.com/add/?m=draft_school02&amp;ps_school=" xr:uid="{4DB5731E-AABF-41B4-AC67-CDDC117F07DF}"/>
    <hyperlink ref="A2959" r:id="rId8872" display="https://statiz.sporki.com/player/?m=playerinfo&amp;p_no=1935" xr:uid="{46DA56A5-3A27-49A6-9B76-5F121AE2FEB5}"/>
    <hyperlink ref="B2959" r:id="rId8873" display="https://statiz.sporki.com/add/?m=draft_school01&amp;ps_school=50110" xr:uid="{94709C5B-9DA9-4083-B62F-457C67AA57D1}"/>
    <hyperlink ref="C2959" r:id="rId8874" display="https://statiz.sporki.com/add/?m=draft_school02&amp;ps_school=60111" xr:uid="{8D533058-3A74-432B-9B53-E119F5834E33}"/>
    <hyperlink ref="A2960" r:id="rId8875" display="https://statiz.sporki.com/player/?m=playerinfo&amp;p_no=2070" xr:uid="{7F800982-6C2C-488E-B7E5-CDE35D96E13D}"/>
    <hyperlink ref="B2960" r:id="rId8876" display="https://statiz.sporki.com/add/?m=draft_school01&amp;ps_school=50110" xr:uid="{2F7BCAE0-D0EA-4180-B7EE-372A7FA2E25C}"/>
    <hyperlink ref="C2960" r:id="rId8877" display="https://statiz.sporki.com/add/?m=draft_school02&amp;ps_school=60501" xr:uid="{EB54D1FE-A7F2-4302-887A-C2395419EBD5}"/>
    <hyperlink ref="A2961" r:id="rId8878" display="https://statiz.sporki.com/player/?m=playerinfo&amp;p_no=2151" xr:uid="{B40BBFAB-8A09-4D31-BF7E-2E8C273A14CD}"/>
    <hyperlink ref="B2961" r:id="rId8879" display="https://statiz.sporki.com/add/?m=draft_school01&amp;ps_school=50112" xr:uid="{DDCB9BB9-14D7-4F0C-8092-AAC1DAC938DE}"/>
    <hyperlink ref="C2961" r:id="rId8880" display="https://statiz.sporki.com/add/?m=draft_school02&amp;ps_school=60203" xr:uid="{83536F78-9390-4C1E-BB76-1DFFFD472C4E}"/>
    <hyperlink ref="A2962" r:id="rId8881" display="https://statiz.sporki.com/player/?m=playerinfo&amp;p_no=1923" xr:uid="{9AB60E2E-DEDA-4346-AA30-06C29A8C9661}"/>
    <hyperlink ref="B2962" r:id="rId8882" display="https://statiz.sporki.com/add/?m=draft_school01&amp;ps_school=50805" xr:uid="{42C28AF0-7D39-47F9-8668-6F22291D68C1}"/>
    <hyperlink ref="C2962" r:id="rId8883" display="https://statiz.sporki.com/add/?m=draft_school02&amp;ps_school=60802" xr:uid="{739D912E-CE55-4519-869C-7D288662B990}"/>
    <hyperlink ref="A2963" r:id="rId8884" display="https://statiz.sporki.com/player/?m=playerinfo&amp;p_no=10377" xr:uid="{3C098631-178A-4B0E-96B3-BC1EA74C9CEB}"/>
    <hyperlink ref="B2963" r:id="rId8885" display="https://statiz.sporki.com/add/?m=draft_school01&amp;ps_school=50113" xr:uid="{BB10C9DB-231F-4F87-8211-F8197812B9B8}"/>
    <hyperlink ref="C2963" r:id="rId8886" display="https://statiz.sporki.com/add/?m=draft_school02&amp;ps_school=" xr:uid="{F9A600B2-A9DF-4A45-8584-304A8EE53118}"/>
    <hyperlink ref="A2964" r:id="rId8887" display="https://statiz.sporki.com/player/?m=playerinfo&amp;p_no=1929" xr:uid="{0DDF57D6-03CA-4BC1-8EB5-F5D763E96F07}"/>
    <hyperlink ref="B2964" r:id="rId8888" display="https://statiz.sporki.com/add/?m=draft_school01&amp;ps_school=50209" xr:uid="{0976BE1E-EFDC-4ABC-A242-ED3560241E5E}"/>
    <hyperlink ref="C2964" r:id="rId8889" display="https://statiz.sporki.com/add/?m=draft_school02&amp;ps_school=60114" xr:uid="{5D1D9B55-17FD-4E28-9BD6-8809BE59833A}"/>
    <hyperlink ref="A2965" r:id="rId8890" display="https://statiz.sporki.com/player/?m=playerinfo&amp;p_no=10412" xr:uid="{7DAA5001-5965-4255-A77F-3034B18BFA30}"/>
    <hyperlink ref="B2965" r:id="rId8891" display="https://statiz.sporki.com/add/?m=draft_school01&amp;ps_school=50202" xr:uid="{18CE3678-3D6B-4ABE-AA23-CEF9CF3B364A}"/>
    <hyperlink ref="C2965" r:id="rId8892" display="https://statiz.sporki.com/add/?m=draft_school02&amp;ps_school=60204" xr:uid="{55F0D410-82FC-4529-BC01-BE94F3E47D86}"/>
    <hyperlink ref="A2966" r:id="rId8893" display="https://statiz.sporki.com/player/?m=playerinfo&amp;p_no=2132" xr:uid="{50FC5972-75A6-4911-8DAE-42A27D6CD047}"/>
    <hyperlink ref="B2966" r:id="rId8894" display="https://statiz.sporki.com/add/?m=draft_school01&amp;ps_school=50608" xr:uid="{55ED3FCA-5C63-4877-B45E-AADE6840632E}"/>
    <hyperlink ref="C2966" r:id="rId8895" display="https://statiz.sporki.com/add/?m=draft_school02&amp;ps_school=60111" xr:uid="{7229BB26-180A-423F-BE9E-412D529B3548}"/>
    <hyperlink ref="A2967" r:id="rId8896" display="https://statiz.sporki.com/player/?m=playerinfo&amp;p_no=12966" xr:uid="{DD9C6930-E089-4809-9236-77975FF8ABE6}"/>
    <hyperlink ref="B2967" r:id="rId8897" display="https://statiz.sporki.com/add/?m=draft_school01&amp;ps_school=50103" xr:uid="{071090B6-842C-46BA-A7FB-B12FDF79D89D}"/>
    <hyperlink ref="C2967" r:id="rId8898" display="https://statiz.sporki.com/add/?m=draft_school02&amp;ps_school=60111" xr:uid="{EEA04AF5-C641-4484-B5B8-B0A05E6BB133}"/>
    <hyperlink ref="A2968" r:id="rId8899" display="https://statiz.sporki.com/player/?m=playerinfo&amp;p_no=1934" xr:uid="{9F109005-6138-465E-A825-75EE08F1D3F7}"/>
    <hyperlink ref="B2968" r:id="rId8900" display="https://statiz.sporki.com/add/?m=draft_school01&amp;ps_school=50805" xr:uid="{5AE04595-216F-43B2-AA35-D58C021E84FF}"/>
    <hyperlink ref="C2968" r:id="rId8901" display="https://statiz.sporki.com/add/?m=draft_school02&amp;ps_school=60803" xr:uid="{7FE1F734-30EC-424F-BC7F-ED202C51E8AB}"/>
    <hyperlink ref="A2969" r:id="rId8902" display="https://statiz.sporki.com/player/?m=playerinfo&amp;p_no=2048" xr:uid="{C6C7275D-F8A4-4BA4-8BAC-32C7C527B2E0}"/>
    <hyperlink ref="B2969" r:id="rId8903" display="https://statiz.sporki.com/add/?m=draft_school01&amp;ps_school=50106" xr:uid="{38B24342-3F94-443C-90A1-0BB1DCB5C754}"/>
    <hyperlink ref="C2969" r:id="rId8904" display="https://statiz.sporki.com/add/?m=draft_school02&amp;ps_school=60703" xr:uid="{7BEC5E62-ECAE-41F1-8C0E-6673F05E7226}"/>
    <hyperlink ref="A2970" r:id="rId8905" display="https://statiz.sporki.com/player/?m=playerinfo&amp;p_no=1913" xr:uid="{2F9DD615-38C6-4D99-98C8-4E14E22C02E8}"/>
    <hyperlink ref="B2970" r:id="rId8906" display="https://statiz.sporki.com/add/?m=draft_school01&amp;ps_school=50804" xr:uid="{CD05E822-FD7F-4200-9784-C65D13330315}"/>
    <hyperlink ref="C2970" r:id="rId8907" display="https://statiz.sporki.com/add/?m=draft_school02&amp;ps_school=60113" xr:uid="{7300FA66-4E6A-4E1F-8E56-29E6E70F423A}"/>
    <hyperlink ref="A2971" r:id="rId8908" display="https://statiz.sporki.com/player/?m=playerinfo&amp;p_no=2204" xr:uid="{D944CDE1-1044-401B-B624-3169FC078944}"/>
    <hyperlink ref="B2971" r:id="rId8909" display="https://statiz.sporki.com/add/?m=draft_school01&amp;ps_school=50106" xr:uid="{5D65D1B4-9F4E-4CB3-973B-FD831D424335}"/>
    <hyperlink ref="C2971" r:id="rId8910" display="https://statiz.sporki.com/add/?m=draft_school02&amp;ps_school=60109" xr:uid="{5EDCBF17-BC53-4819-8A4F-0F82EDCC5B49}"/>
    <hyperlink ref="A2972" r:id="rId8911" display="https://statiz.sporki.com/player/?m=playerinfo&amp;p_no=2206" xr:uid="{8DEDBD94-8AB3-49B0-8E5F-ADA474CDEC7E}"/>
    <hyperlink ref="B2972" r:id="rId8912" display="https://statiz.sporki.com/add/?m=draft_school01&amp;ps_school=50203" xr:uid="{9E1FA711-405C-46D1-8037-8497DF37A0EF}"/>
    <hyperlink ref="C2972" r:id="rId8913" display="https://statiz.sporki.com/add/?m=draft_school02&amp;ps_school=60803" xr:uid="{21652116-B837-4BD1-97DB-C5A0752C5F31}"/>
    <hyperlink ref="A2973" r:id="rId8914" display="https://statiz.sporki.com/player/?m=playerinfo&amp;p_no=10291" xr:uid="{ADAB1AE4-4538-4A76-87C2-CAE891C96ADC}"/>
    <hyperlink ref="B2973" r:id="rId8915" display="https://statiz.sporki.com/add/?m=draft_school01&amp;ps_school=50806" xr:uid="{4A7F9985-C8DE-44CD-B91B-CD078E1D3279}"/>
    <hyperlink ref="C2973" r:id="rId8916" display="https://statiz.sporki.com/add/?m=draft_school02&amp;ps_school=60802" xr:uid="{65F7D06F-270F-41EF-9AB2-2B362D386FC5}"/>
    <hyperlink ref="A2974" r:id="rId8917" display="https://statiz.sporki.com/player/?m=playerinfo&amp;p_no=1925" xr:uid="{51C64E97-C992-4F32-923A-956B9D49ADA0}"/>
    <hyperlink ref="B2974" r:id="rId8918" display="https://statiz.sporki.com/add/?m=draft_school01&amp;ps_school=50602" xr:uid="{7585A4CC-2624-44F4-9C3F-E4734E809F9C}"/>
    <hyperlink ref="C2974" r:id="rId8919" display="https://statiz.sporki.com/add/?m=draft_school02&amp;ps_school=60103" xr:uid="{5371B879-B806-441B-99DD-EB20985CA1A2}"/>
    <hyperlink ref="A2975" r:id="rId8920" display="https://statiz.sporki.com/player/?m=playerinfo&amp;p_no=1926" xr:uid="{EFEDA61D-EC62-491F-A9BF-AFB90FDF98A2}"/>
    <hyperlink ref="B2975" r:id="rId8921" display="https://statiz.sporki.com/add/?m=draft_school01&amp;ps_school=50403" xr:uid="{03922FE1-5441-44AD-8634-CA55E168F56F}"/>
    <hyperlink ref="C2975" r:id="rId8922" display="https://statiz.sporki.com/add/?m=draft_school02&amp;ps_school=" xr:uid="{CF9F69DF-6FDD-47FE-A4A0-955F34988790}"/>
    <hyperlink ref="A2976" r:id="rId8923" display="https://statiz.sporki.com/player/?m=playerinfo&amp;p_no=10575" xr:uid="{B1001C6B-8D8E-4331-B2FB-688FF63D65BE}"/>
    <hyperlink ref="B2976" r:id="rId8924" display="https://statiz.sporki.com/add/?m=draft_school01&amp;ps_school=50110" xr:uid="{D40D2B11-7301-4873-915B-A1C0CAEEBB29}"/>
    <hyperlink ref="C2976" r:id="rId8925" display="https://statiz.sporki.com/add/?m=draft_school02&amp;ps_school=60113" xr:uid="{327786BD-2C21-422C-9ACC-50B3A3EE1E03}"/>
    <hyperlink ref="A2977" r:id="rId8926" display="https://statiz.sporki.com/player/?m=playerinfo&amp;p_no=10102" xr:uid="{20637157-79D6-4122-B47E-BFC780618304}"/>
    <hyperlink ref="B2977" r:id="rId8927" display="https://statiz.sporki.com/add/?m=draft_school01&amp;ps_school=50209" xr:uid="{46AB76AF-4D9F-4332-ACD5-CE9C62EA463E}"/>
    <hyperlink ref="C2977" r:id="rId8928" display="https://statiz.sporki.com/add/?m=draft_school02&amp;ps_school=60114" xr:uid="{A62B2DD6-5D41-446C-B036-0E6E11C90297}"/>
    <hyperlink ref="A2978" r:id="rId8929" display="https://statiz.sporki.com/player/?m=playerinfo&amp;p_no=10097" xr:uid="{C463A361-7ED7-4D74-8D64-C92402164EDC}"/>
    <hyperlink ref="B2978" r:id="rId8930" display="https://statiz.sporki.com/add/?m=draft_school01&amp;ps_school=50121" xr:uid="{E5E99305-483F-467E-BE83-D9748F2A2C47}"/>
    <hyperlink ref="C2978" r:id="rId8931" display="https://statiz.sporki.com/add/?m=draft_school02&amp;ps_school=60104" xr:uid="{96C23571-0E4F-449A-8E1E-A851B8C8DF87}"/>
    <hyperlink ref="A2979" r:id="rId8932" display="https://statiz.sporki.com/player/?m=playerinfo&amp;p_no=2036" xr:uid="{7A868403-67E7-4BD3-895A-316B083B17CF}"/>
    <hyperlink ref="B2979" r:id="rId8933" display="https://statiz.sporki.com/add/?m=draft_school01&amp;ps_school=50604" xr:uid="{202126F3-A134-472B-B7AE-D73C1B09713F}"/>
    <hyperlink ref="C2979" r:id="rId8934" display="https://statiz.sporki.com/add/?m=draft_school02&amp;ps_school=60204" xr:uid="{C27A490E-0769-4066-ADF1-732E1B1B8E12}"/>
    <hyperlink ref="A2980" r:id="rId8935" display="https://statiz.sporki.com/player/?m=playerinfo&amp;p_no=1912" xr:uid="{51A8D33F-B238-4399-93A4-B7009A83A068}"/>
    <hyperlink ref="B2980" r:id="rId8936" display="https://statiz.sporki.com/add/?m=draft_school01&amp;ps_school=50804" xr:uid="{4E628B86-0FAD-4B91-B5D2-F77D8225DD1B}"/>
    <hyperlink ref="C2980" r:id="rId8937" display="https://statiz.sporki.com/add/?m=draft_school02&amp;ps_school=60203" xr:uid="{A1912EA7-0058-46A0-9B09-1B4569C2D587}"/>
    <hyperlink ref="A2981" r:id="rId8938" display="https://statiz.sporki.com/player/?m=playerinfo&amp;p_no=1952" xr:uid="{9AF61C40-7BDB-403B-B2E2-03DB3C663A4D}"/>
    <hyperlink ref="B2981" r:id="rId8939" display="https://statiz.sporki.com/add/?m=draft_school01&amp;ps_school=50703" xr:uid="{BB7A5D35-864B-47D5-9B36-EE618845584E}"/>
    <hyperlink ref="C2981" r:id="rId8940" display="https://statiz.sporki.com/add/?m=draft_school02&amp;ps_school=" xr:uid="{7DBB41C2-537B-4481-A215-D2D7584ADB9D}"/>
    <hyperlink ref="A2982" r:id="rId8941" display="https://statiz.sporki.com/player/?m=playerinfo&amp;p_no=10332" xr:uid="{4B88F7D0-8C71-4047-B847-4A1749D02C00}"/>
    <hyperlink ref="B2982" r:id="rId8942" display="https://statiz.sporki.com/add/?m=draft_school01&amp;ps_school=50802" xr:uid="{40749ABD-3F1C-4FD4-9288-53673083638C}"/>
    <hyperlink ref="C2982" r:id="rId8943" display="https://statiz.sporki.com/add/?m=draft_school02&amp;ps_school=60103" xr:uid="{F5AC0036-4D6E-4F91-8C69-0E9F37F0A91E}"/>
    <hyperlink ref="A2983" r:id="rId8944" display="https://statiz.sporki.com/player/?m=playerinfo&amp;p_no=1945" xr:uid="{27ADD921-5106-4808-B461-061082CC9964}"/>
    <hyperlink ref="B2983" r:id="rId8945" display="https://statiz.sporki.com/add/?m=draft_school01&amp;ps_school=50701" xr:uid="{A7BC82A3-7148-4A91-9CEB-DFFBB5884FA6}"/>
    <hyperlink ref="C2983" r:id="rId8946" display="https://statiz.sporki.com/add/?m=draft_school02&amp;ps_school=" xr:uid="{864FAFC3-A0D2-4A6C-A32F-B1F4F9D09309}"/>
    <hyperlink ref="A2984" r:id="rId8947" display="https://statiz.sporki.com/player/?m=playerinfo&amp;p_no=1991" xr:uid="{22CEA8C1-B2AF-45A4-83B1-F738E6E5B115}"/>
    <hyperlink ref="B2984" r:id="rId8948" display="https://statiz.sporki.com/add/?m=draft_school01&amp;ps_school=50804" xr:uid="{53F6E471-6FAE-4CA6-9F97-23BCB049198E}"/>
    <hyperlink ref="C2984" r:id="rId8949" display="https://statiz.sporki.com/add/?m=draft_school02&amp;ps_school=60101" xr:uid="{5305DBA1-4DA4-4D48-B6A6-0EA379A7447D}"/>
    <hyperlink ref="A2985" r:id="rId8950" display="https://statiz.sporki.com/player/?m=playerinfo&amp;p_no=1916" xr:uid="{CC8F8FB1-1346-44B7-8670-599055675900}"/>
    <hyperlink ref="B2985" r:id="rId8951" display="https://statiz.sporki.com/add/?m=draft_school01&amp;ps_school=" xr:uid="{27750C1F-61D7-4A60-B8AB-03283A0D9537}"/>
    <hyperlink ref="C2985" r:id="rId8952" display="https://statiz.sporki.com/add/?m=draft_school02&amp;ps_school=60114" xr:uid="{44FDC708-226A-4A55-B659-4AFEFD663EB5}"/>
    <hyperlink ref="A2986" r:id="rId8953" display="https://statiz.sporki.com/player/?m=playerinfo&amp;p_no=1966" xr:uid="{4950F987-6CC2-44F8-B95F-7D5014C185B7}"/>
    <hyperlink ref="B2986" r:id="rId8954" display="https://statiz.sporki.com/add/?m=draft_school01&amp;ps_school=50803" xr:uid="{EC39361D-C7E1-48A1-BCE1-48075443C04A}"/>
    <hyperlink ref="C2986" r:id="rId8955" display="https://statiz.sporki.com/add/?m=draft_school02&amp;ps_school=60114" xr:uid="{BE9F7B0B-6F5D-416D-A42E-C105120701DF}"/>
    <hyperlink ref="A2987" r:id="rId8956" display="https://statiz.sporki.com/player/?m=playerinfo&amp;p_no=10105" xr:uid="{78C8AD35-92C7-48FE-8B73-23BAE2DD0762}"/>
    <hyperlink ref="B2987" r:id="rId8957" display="https://statiz.sporki.com/add/?m=draft_school01&amp;ps_school=50106" xr:uid="{1C2DB623-8C03-407D-9FCA-DA0F13A51F86}"/>
    <hyperlink ref="C2987" r:id="rId8958" display="https://statiz.sporki.com/add/?m=draft_school02&amp;ps_school=60109" xr:uid="{E450589E-BA36-4EEA-AFCA-4CE138585492}"/>
    <hyperlink ref="A2988" r:id="rId8959" display="https://statiz.sporki.com/player/?m=playerinfo&amp;p_no=1975" xr:uid="{972DC78E-2CF6-4429-9095-31D17E01EDB4}"/>
    <hyperlink ref="B2988" r:id="rId8960" display="https://statiz.sporki.com/add/?m=draft_school01&amp;ps_school=50110" xr:uid="{865ECB2D-CCFE-4ED3-A769-968183491EAF}"/>
    <hyperlink ref="C2988" r:id="rId8961" display="https://statiz.sporki.com/add/?m=draft_school02&amp;ps_school=" xr:uid="{DDEACC4E-5F65-4CEE-803F-F5DC7DC186AB}"/>
    <hyperlink ref="A2989" r:id="rId8962" display="https://statiz.sporki.com/player/?m=playerinfo&amp;p_no=2128" xr:uid="{2873F7C4-61B4-443D-BDAC-AFAD10053543}"/>
    <hyperlink ref="B2989" r:id="rId8963" display="https://statiz.sporki.com/add/?m=draft_school01&amp;ps_school=50401" xr:uid="{CB2B7C18-0A65-40E1-9894-337B1A94A86B}"/>
    <hyperlink ref="C2989" r:id="rId8964" display="https://statiz.sporki.com/add/?m=draft_school02&amp;ps_school=" xr:uid="{CF1745EC-8DF0-43A9-B3A6-6114DD85CDA5}"/>
    <hyperlink ref="A2990" r:id="rId8965" display="https://statiz.sporki.com/player/?m=playerinfo&amp;p_no=2154" xr:uid="{6F65FC9A-930D-4B59-8413-05EB8A5AF9EA}"/>
    <hyperlink ref="B2990" r:id="rId8966" display="https://statiz.sporki.com/add/?m=draft_school01&amp;ps_school=50402" xr:uid="{9CD53908-4DBE-4A6C-A823-E575743B3C3B}"/>
    <hyperlink ref="C2990" r:id="rId8967" display="https://statiz.sporki.com/add/?m=draft_school02&amp;ps_school=60114" xr:uid="{E46CB61D-4339-4A60-9566-39423C54FFBB}"/>
    <hyperlink ref="A2991" r:id="rId8968" display="https://statiz.sporki.com/player/?m=playerinfo&amp;p_no=2153" xr:uid="{D378A02F-C0CB-4F8E-9AB8-61FE02AE7C43}"/>
    <hyperlink ref="B2991" r:id="rId8969" display="https://statiz.sporki.com/add/?m=draft_school01&amp;ps_school=50209" xr:uid="{C8B4D512-1D2B-4837-85D0-926D11EC6D3C}"/>
    <hyperlink ref="C2991" r:id="rId8970" display="https://statiz.sporki.com/add/?m=draft_school02&amp;ps_school=60101" xr:uid="{C6CF75A9-36FC-486E-B327-FF38270C3BE5}"/>
    <hyperlink ref="A2992" r:id="rId8971" display="https://statiz.sporki.com/player/?m=playerinfo&amp;p_no=10408" xr:uid="{F02D93BF-7C4F-4B90-A486-0D6D2D3D8918}"/>
    <hyperlink ref="B2992" r:id="rId8972" display="https://statiz.sporki.com/add/?m=draft_school01&amp;ps_school=50110" xr:uid="{245D85F2-6FFA-4894-A6CA-0F709FA9ED05}"/>
    <hyperlink ref="C2992" r:id="rId8973" display="https://statiz.sporki.com/add/?m=draft_school02&amp;ps_school=60103" xr:uid="{E8009BF4-553C-4BB1-B23A-2C08CAF53834}"/>
    <hyperlink ref="A2993" r:id="rId8974" display="https://statiz.sporki.com/player/?m=playerinfo&amp;p_no=1940" xr:uid="{9581CC6F-5A46-4CC9-B809-A6B1B9E0E55C}"/>
    <hyperlink ref="B2993" r:id="rId8975" display="https://statiz.sporki.com/add/?m=draft_school01&amp;ps_school=50105" xr:uid="{9FC28861-8607-48CC-BF07-6F41FD79E228}"/>
    <hyperlink ref="C2993" r:id="rId8976" display="https://statiz.sporki.com/add/?m=draft_school02&amp;ps_school=" xr:uid="{505E7A75-B8C8-4A3B-975E-364787716C3C}"/>
    <hyperlink ref="A2994" r:id="rId8977" display="https://statiz.sporki.com/player/?m=playerinfo&amp;p_no=11451" xr:uid="{AE478106-E6A6-4801-ACEC-729F5FC69870}"/>
    <hyperlink ref="B2994" r:id="rId8978" display="https://statiz.sporki.com/add/?m=draft_school01&amp;ps_school=50110" xr:uid="{BEC9AE45-2539-440B-AC03-E4EF0C5E4FCD}"/>
    <hyperlink ref="C2994" r:id="rId8979" display="https://statiz.sporki.com/add/?m=draft_school02&amp;ps_school=" xr:uid="{A4EE0EFC-81D8-4FAA-BE86-C15DB4C869A3}"/>
    <hyperlink ref="A2995" r:id="rId8980" display="https://statiz.sporki.com/player/?m=playerinfo&amp;p_no=2015" xr:uid="{15AADC37-26F7-4AB7-9B62-B2A9AC3790D4}"/>
    <hyperlink ref="B2995" r:id="rId8981" display="https://statiz.sporki.com/add/?m=draft_school01&amp;ps_school=50802" xr:uid="{3DD96B4C-B43A-46CE-99D1-77764FAA64E1}"/>
    <hyperlink ref="C2995" r:id="rId8982" display="https://statiz.sporki.com/add/?m=draft_school02&amp;ps_school=60803" xr:uid="{E5AB91F3-6CB7-46E7-BA69-130FE1A7687F}"/>
    <hyperlink ref="A2996" r:id="rId8983" display="https://statiz.sporki.com/player/?m=playerinfo&amp;p_no=2123" xr:uid="{44153703-D280-4DF8-A938-8515948D70AA}"/>
    <hyperlink ref="B2996" r:id="rId8984" display="https://statiz.sporki.com/add/?m=draft_school01&amp;ps_school=50121" xr:uid="{83072D31-99EA-4B74-9C15-3DBBFB7943EF}"/>
    <hyperlink ref="C2996" r:id="rId8985" display="https://statiz.sporki.com/add/?m=draft_school02&amp;ps_school=60102" xr:uid="{34F89FCD-1C09-462E-A267-060E36142079}"/>
    <hyperlink ref="A2997" r:id="rId8986" display="https://statiz.sporki.com/player/?m=playerinfo&amp;p_no=10439" xr:uid="{16394460-BFDF-4F9D-8196-26187D3BEA76}"/>
    <hyperlink ref="B2997" r:id="rId8987" display="https://statiz.sporki.com/add/?m=draft_school01&amp;ps_school=50107" xr:uid="{FBE4A08C-9DC9-41A7-87CB-DDB81E2AF04E}"/>
    <hyperlink ref="C2997" r:id="rId8988" display="https://statiz.sporki.com/add/?m=draft_school02&amp;ps_school=60102" xr:uid="{D20DDFB2-B177-4B07-A7D9-FF2573A9EEB1}"/>
    <hyperlink ref="A2998" r:id="rId8989" display="https://statiz.sporki.com/player/?m=playerinfo&amp;p_no=2168" xr:uid="{3DB58287-9F9D-4021-98F2-17F8709BEC09}"/>
    <hyperlink ref="B2998" r:id="rId8990" display="https://statiz.sporki.com/add/?m=draft_school01&amp;ps_school=50103" xr:uid="{04C4CE4D-11AA-4B6E-BC31-1C428BC57BA0}"/>
    <hyperlink ref="C2998" r:id="rId8991" display="https://statiz.sporki.com/add/?m=draft_school02&amp;ps_school=60111" xr:uid="{3CA2E9BB-2DFE-4B8A-A773-155F9FCE609E}"/>
    <hyperlink ref="A2999" r:id="rId8992" display="https://statiz.sporki.com/player/?m=playerinfo&amp;p_no=2232" xr:uid="{5C0C3089-9BCA-485E-B324-DCBE43F91282}"/>
    <hyperlink ref="B2999" r:id="rId8993" display="https://statiz.sporki.com/add/?m=draft_school01&amp;ps_school=50116" xr:uid="{75E9E6D9-2F02-46BC-ACE1-4F2D94C25076}"/>
    <hyperlink ref="C2999" r:id="rId8994" display="https://statiz.sporki.com/add/?m=draft_school02&amp;ps_school=60103" xr:uid="{C5665347-F2E3-4B00-926C-1A3813086D99}"/>
    <hyperlink ref="A3000" r:id="rId8995" display="https://statiz.sporki.com/player/?m=playerinfo&amp;p_no=1942" xr:uid="{1362A982-D6B1-498D-95E4-1825F20C6DB2}"/>
    <hyperlink ref="B3000" r:id="rId8996" display="https://statiz.sporki.com/add/?m=draft_school01&amp;ps_school=50403" xr:uid="{4F18365F-A420-4F50-A235-2F6CE3F0A387}"/>
    <hyperlink ref="C3000" r:id="rId8997" display="https://statiz.sporki.com/add/?m=draft_school02&amp;ps_school=60108" xr:uid="{43A427B8-9BC2-42AD-9BC6-9888BA51EDB2}"/>
    <hyperlink ref="A3001" r:id="rId8998" display="https://statiz.sporki.com/player/?m=playerinfo&amp;p_no=1990" xr:uid="{FF87E4B1-C58C-4B9F-BB36-1AC5AE5CA449}"/>
    <hyperlink ref="B3001" r:id="rId8999" display="https://statiz.sporki.com/add/?m=draft_school01&amp;ps_school=50105" xr:uid="{F745BF2D-F254-4A0C-A60B-66B587E2D0C8}"/>
    <hyperlink ref="C3001" r:id="rId9000" display="https://statiz.sporki.com/add/?m=draft_school02&amp;ps_school=" xr:uid="{88B298A9-B155-4C6E-91A0-5F38E0CCB2AB}"/>
    <hyperlink ref="A3002" r:id="rId9001" display="https://statiz.sporki.com/player/?m=playerinfo&amp;p_no=1947" xr:uid="{A87009B8-6C02-45A8-82B0-94247A333236}"/>
    <hyperlink ref="B3002" r:id="rId9002" display="https://statiz.sporki.com/add/?m=draft_school01&amp;ps_school=" xr:uid="{1124353F-F3F0-4F78-B065-15DCDCBD09EA}"/>
    <hyperlink ref="C3002" r:id="rId9003" display="https://statiz.sporki.com/add/?m=draft_school02&amp;ps_school=60705" xr:uid="{1AC5C4D4-B1DE-41B1-A04A-88C3183DE116}"/>
    <hyperlink ref="A3003" r:id="rId9004" display="https://statiz.sporki.com/player/?m=playerinfo&amp;p_no=10531" xr:uid="{17DD955B-1697-44EA-9F39-E4C786ABF711}"/>
    <hyperlink ref="B3003" r:id="rId9005" display="https://statiz.sporki.com/add/?m=draft_school01&amp;ps_school=50703" xr:uid="{EA553017-961F-4C56-9C59-CB0AB3074405}"/>
    <hyperlink ref="C3003" r:id="rId9006" display="https://statiz.sporki.com/add/?m=draft_school02&amp;ps_school=" xr:uid="{6B3DF26D-890D-48EF-8D01-9EC411B4C976}"/>
    <hyperlink ref="A3004" r:id="rId9007" display="https://statiz.sporki.com/player/?m=playerinfo&amp;p_no=1917" xr:uid="{58870478-683D-4935-8D87-1BAA44D15423}"/>
    <hyperlink ref="B3004" r:id="rId9008" display="https://statiz.sporki.com/add/?m=draft_school01&amp;ps_school=50121" xr:uid="{2CFB3CF3-3D9F-44C5-88B6-C38B4C05FB2F}"/>
    <hyperlink ref="C3004" r:id="rId9009" display="https://statiz.sporki.com/add/?m=draft_school02&amp;ps_school=60108" xr:uid="{151123A6-8070-4AF8-920A-0C0E545FC069}"/>
    <hyperlink ref="A3005" r:id="rId9010" display="https://statiz.sporki.com/player/?m=playerinfo&amp;p_no=10026" xr:uid="{E9247752-BB83-48CB-9A16-1855A20D3F19}"/>
    <hyperlink ref="B3005" r:id="rId9011" display="https://statiz.sporki.com/add/?m=draft_school01&amp;ps_school=50111" xr:uid="{C609EB3A-B496-4079-AEBD-5B78FF1E1251}"/>
    <hyperlink ref="C3005" r:id="rId9012" display="https://statiz.sporki.com/add/?m=draft_school02&amp;ps_school=60108" xr:uid="{8F9E9F7A-6D52-4EF0-8135-83754676C220}"/>
    <hyperlink ref="A3006" r:id="rId9013" display="https://statiz.sporki.com/player/?m=playerinfo&amp;p_no=10039" xr:uid="{158F72C8-C11A-45A9-9077-74F8B1B11639}"/>
    <hyperlink ref="B3006" r:id="rId9014" display="https://statiz.sporki.com/add/?m=draft_school01&amp;ps_school=50803" xr:uid="{86D2D3D9-32AC-4731-AE0D-03FF08977636}"/>
    <hyperlink ref="C3006" r:id="rId9015" display="https://statiz.sporki.com/add/?m=draft_school02&amp;ps_school=60109" xr:uid="{1BE433A7-AC7D-4C8D-B14E-8FC3125217C7}"/>
    <hyperlink ref="A3007" r:id="rId9016" display="https://statiz.sporki.com/player/?m=playerinfo&amp;p_no=2040" xr:uid="{6631A1D3-8B58-4E8F-A9C9-3FEDCD3E4007}"/>
    <hyperlink ref="B3007" r:id="rId9017" display="https://statiz.sporki.com/add/?m=draft_school01&amp;ps_school=50203" xr:uid="{3CC8C8C5-B570-4539-BD91-BFDCF7FC83C6}"/>
    <hyperlink ref="C3007" r:id="rId9018" display="https://statiz.sporki.com/add/?m=draft_school02&amp;ps_school=60802" xr:uid="{63F222F9-EBE4-4BA5-BA4E-A85B39FB4253}"/>
    <hyperlink ref="A3008" r:id="rId9019" display="https://statiz.sporki.com/player/?m=playerinfo&amp;p_no=2126" xr:uid="{551D1582-B98B-4905-BAE6-14DF832DD30C}"/>
    <hyperlink ref="B3008" r:id="rId9020" display="https://statiz.sporki.com/add/?m=draft_school01&amp;ps_school=50110" xr:uid="{C43184A1-B704-43B2-926F-6D4F4E56405C}"/>
    <hyperlink ref="C3008" r:id="rId9021" display="https://statiz.sporki.com/add/?m=draft_school02&amp;ps_school=60114" xr:uid="{526D0042-CD49-4113-87DE-A5846ACFD922}"/>
    <hyperlink ref="A3009" r:id="rId9022" display="https://statiz.sporki.com/player/?m=playerinfo&amp;p_no=1930" xr:uid="{61A8E538-7B7C-448C-A9C9-DE85745F8AF4}"/>
    <hyperlink ref="B3009" r:id="rId9023" display="https://statiz.sporki.com/add/?m=draft_school01&amp;ps_school=50108" xr:uid="{6AF899D7-B5D5-4AF7-A27B-6A7742E97802}"/>
    <hyperlink ref="C3009" r:id="rId9024" display="https://statiz.sporki.com/add/?m=draft_school02&amp;ps_school=60204" xr:uid="{269561C0-565E-4A31-AA54-3D62B4D82FFE}"/>
    <hyperlink ref="A3010" r:id="rId9025" display="https://statiz.sporki.com/player/?m=playerinfo&amp;p_no=1986" xr:uid="{800F9013-A90A-424F-BB3B-F6819608951D}"/>
    <hyperlink ref="B3010" r:id="rId9026" display="https://statiz.sporki.com/add/?m=draft_school01&amp;ps_school=50604" xr:uid="{EE943306-9571-4B68-A431-A1E56F8B0946}"/>
    <hyperlink ref="C3010" r:id="rId9027" display="https://statiz.sporki.com/add/?m=draft_school02&amp;ps_school=" xr:uid="{9701A377-508A-4F56-8A33-9962FFF4D51A}"/>
    <hyperlink ref="A3011" r:id="rId9028" display="https://statiz.sporki.com/player/?m=playerinfo&amp;p_no=2129" xr:uid="{6C3BC7D3-CB94-45DD-ADC9-AC81736D3B14}"/>
    <hyperlink ref="B3011" r:id="rId9029" display="https://statiz.sporki.com/add/?m=draft_school01&amp;ps_school=50209" xr:uid="{6377E821-82FC-4E74-94F9-FB6F473BAFCB}"/>
    <hyperlink ref="C3011" r:id="rId9030" display="https://statiz.sporki.com/add/?m=draft_school02&amp;ps_school=60101" xr:uid="{292CC971-13A6-4C02-82C6-10B3F71732BA}"/>
    <hyperlink ref="A3012" r:id="rId9031" display="https://statiz.sporki.com/player/?m=playerinfo&amp;p_no=1968" xr:uid="{B4877520-D33A-4D05-A6FC-360A042A93E3}"/>
    <hyperlink ref="B3012" r:id="rId9032" display="https://statiz.sporki.com/add/?m=draft_school01&amp;ps_school=50803" xr:uid="{5B409259-0071-4CF8-A6D2-F6BC8DE4D868}"/>
    <hyperlink ref="C3012" r:id="rId9033" display="https://statiz.sporki.com/add/?m=draft_school02&amp;ps_school=60111" xr:uid="{4496C3CD-8E69-48C0-A0D2-53CEF0E128CD}"/>
    <hyperlink ref="A3013" r:id="rId9034" display="https://statiz.sporki.com/player/?m=playerinfo&amp;p_no=1931" xr:uid="{409A57D2-52D9-4B30-AC2C-E728698C0FD7}"/>
    <hyperlink ref="B3013" r:id="rId9035" display="https://statiz.sporki.com/add/?m=draft_school01&amp;ps_school=" xr:uid="{38FFD24F-E80A-4756-A320-0E47E0D925A4}"/>
    <hyperlink ref="C3013" r:id="rId9036" display="https://statiz.sporki.com/add/?m=draft_school02&amp;ps_school=60705" xr:uid="{E7A08C52-F6CA-4A43-8DD7-BBA3B923A91D}"/>
    <hyperlink ref="A3014" r:id="rId9037" display="https://statiz.sporki.com/player/?m=playerinfo&amp;p_no=1943" xr:uid="{AF332766-8AA8-418D-BF51-E04F72D127AF}"/>
    <hyperlink ref="B3014" r:id="rId9038" display="https://statiz.sporki.com/add/?m=draft_school01&amp;ps_school=50502" xr:uid="{2BFE7E57-3147-4ABA-AA5A-E5FA9081D111}"/>
    <hyperlink ref="C3014" r:id="rId9039" display="https://statiz.sporki.com/add/?m=draft_school02&amp;ps_school=" xr:uid="{9B272121-9CF5-42D4-98D8-1D68D2CA9BB9}"/>
    <hyperlink ref="A3015" r:id="rId9040" display="https://statiz.sporki.com/player/?m=playerinfo&amp;p_no=1938" xr:uid="{4913D04F-8BEF-4823-BF0F-5D5A036024D4}"/>
    <hyperlink ref="B3015" r:id="rId9041" display="https://statiz.sporki.com/add/?m=draft_school01&amp;ps_school=50804" xr:uid="{FD3152D1-9DFB-44A7-818C-051BE8E4C066}"/>
    <hyperlink ref="C3015" r:id="rId9042" display="https://statiz.sporki.com/add/?m=draft_school02&amp;ps_school=60114" xr:uid="{7202B221-90F2-463C-AFE7-281AC41D0D57}"/>
    <hyperlink ref="A3016" r:id="rId9043" display="https://statiz.sporki.com/player/?m=playerinfo&amp;p_no=10498" xr:uid="{1A2E5D2A-5BD2-4CA5-B320-8B67D91A6CAC}"/>
    <hyperlink ref="B3016" r:id="rId9044" display="https://statiz.sporki.com/add/?m=draft_school01&amp;ps_school=50109" xr:uid="{FC658FAA-9F49-410C-8459-D2821271A49C}"/>
    <hyperlink ref="C3016" r:id="rId9045" display="https://statiz.sporki.com/add/?m=draft_school02&amp;ps_school=60113" xr:uid="{9966C055-6E75-40F7-9E84-2D5CBA16A909}"/>
    <hyperlink ref="A3017" r:id="rId9046" display="https://statiz.sporki.com/player/?m=playerinfo&amp;p_no=2057" xr:uid="{B2E310B5-DAEE-498F-8821-7D8ACCBCEE89}"/>
    <hyperlink ref="B3017" r:id="rId9047" display="https://statiz.sporki.com/add/?m=draft_school01&amp;ps_school=50114" xr:uid="{5C8D6CFA-2CAB-42E1-A995-6D56AB531FCA}"/>
    <hyperlink ref="C3017" r:id="rId9048" display="https://statiz.sporki.com/add/?m=draft_school02&amp;ps_school=" xr:uid="{CEFF8EF4-3D0D-4DF1-8341-9935A2DFA44D}"/>
    <hyperlink ref="A3018" r:id="rId9049" display="https://statiz.sporki.com/player/?m=playerinfo&amp;p_no=10169" xr:uid="{3E5120E4-1288-405F-8AA8-5C22B29DF6BB}"/>
    <hyperlink ref="B3018" r:id="rId9050" display="https://statiz.sporki.com/add/?m=draft_school01&amp;ps_school=50106" xr:uid="{4209CAD1-D8ED-4925-8E1E-366204650E07}"/>
    <hyperlink ref="C3018" r:id="rId9051" display="https://statiz.sporki.com/add/?m=draft_school02&amp;ps_school=60109" xr:uid="{8CBD1071-AD3E-4644-8941-2688647007AB}"/>
    <hyperlink ref="A3019" r:id="rId9052" display="https://statiz.sporki.com/player/?m=playerinfo&amp;p_no=1969" xr:uid="{10AA02D3-80A0-4D68-A10D-D71AF3AFA970}"/>
    <hyperlink ref="B3019" r:id="rId9053" display="https://statiz.sporki.com/add/?m=draft_school01&amp;ps_school=50108" xr:uid="{27FB532E-1C40-425A-B6C4-EFD6501A2500}"/>
    <hyperlink ref="C3019" r:id="rId9054" display="https://statiz.sporki.com/add/?m=draft_school02&amp;ps_school=" xr:uid="{4EF2D79A-A852-4A6D-839E-01AC245E301D}"/>
    <hyperlink ref="A3020" r:id="rId9055" display="https://statiz.sporki.com/player/?m=playerinfo&amp;p_no=1963" xr:uid="{191E1DE0-83EE-4B40-BF8F-DC5864FE0A36}"/>
    <hyperlink ref="B3020" r:id="rId9056" display="https://statiz.sporki.com/add/?m=draft_school01&amp;ps_school=50803" xr:uid="{B8FBCB89-9565-4A9F-BE90-90909CD29580}"/>
    <hyperlink ref="C3020" r:id="rId9057" display="https://statiz.sporki.com/add/?m=draft_school02&amp;ps_school=" xr:uid="{52225337-D221-47C5-AF72-69B229D360AF}"/>
    <hyperlink ref="A3021" r:id="rId9058" display="https://statiz.sporki.com/player/?m=playerinfo&amp;p_no=11447" xr:uid="{173C6F96-F298-4015-ABEF-24D05CAF87B1}"/>
    <hyperlink ref="B3021" r:id="rId9059" display="https://statiz.sporki.com/add/?m=draft_school01&amp;ps_school=50711" xr:uid="{60D87B37-65DC-41FE-8832-AA7012143DB3}"/>
    <hyperlink ref="C3021" r:id="rId9060" display="https://statiz.sporki.com/add/?m=draft_school02&amp;ps_school=" xr:uid="{1F100B83-378F-4C90-85E6-47A52D5DC21A}"/>
    <hyperlink ref="A3022" r:id="rId9061" display="https://statiz.sporki.com/player/?m=playerinfo&amp;p_no=1928" xr:uid="{9FE855B8-6915-4ABC-A6D9-CC7FE22463B4}"/>
    <hyperlink ref="B3022" r:id="rId9062" display="https://statiz.sporki.com/add/?m=draft_school01&amp;ps_school=50702" xr:uid="{8C7D7210-E98B-4F7A-AB0E-7481E32BC0C8}"/>
    <hyperlink ref="C3022" r:id="rId9063" display="https://statiz.sporki.com/add/?m=draft_school02&amp;ps_school=" xr:uid="{38E0C216-4562-493C-9BB0-49567A57022D}"/>
    <hyperlink ref="A3023" r:id="rId9064" display="https://statiz.sporki.com/player/?m=playerinfo&amp;p_no=2185" xr:uid="{4F89C98F-CE53-4D84-84C8-BD1F1618399F}"/>
    <hyperlink ref="B3023" r:id="rId9065" display="https://statiz.sporki.com/add/?m=draft_school01&amp;ps_school=50502" xr:uid="{7EA5D64A-BFDF-4696-824B-B10BDF6792F3}"/>
    <hyperlink ref="C3023" r:id="rId9066" display="https://statiz.sporki.com/add/?m=draft_school02&amp;ps_school=60703" xr:uid="{030047A4-80CB-40F8-88FA-92F07F321156}"/>
    <hyperlink ref="A3024" r:id="rId9067" display="https://statiz.sporki.com/player/?m=playerinfo&amp;p_no=10310" xr:uid="{0160ABBB-F06C-4D91-858E-CCD34A8B8A80}"/>
    <hyperlink ref="B3024" r:id="rId9068" display="https://statiz.sporki.com/add/?m=draft_school01&amp;ps_school=50403" xr:uid="{B30582D1-261B-435D-BCBE-637AC48688D7}"/>
    <hyperlink ref="C3024" r:id="rId9069" display="https://statiz.sporki.com/add/?m=draft_school02&amp;ps_school=60402" xr:uid="{32128EED-8B22-467C-AF1A-FDF6E04A6B65}"/>
    <hyperlink ref="A3025" r:id="rId9070" display="https://statiz.sporki.com/player/?m=playerinfo&amp;p_no=10449" xr:uid="{CE53924D-6F4B-4428-AEDE-0A2747BDEC18}"/>
    <hyperlink ref="B3025" r:id="rId9071" display="https://statiz.sporki.com/add/?m=draft_school01&amp;ps_school=50403" xr:uid="{49313ABD-D76F-49A6-8112-43542795F590}"/>
    <hyperlink ref="C3025" r:id="rId9072" display="https://statiz.sporki.com/add/?m=draft_school02&amp;ps_school=" xr:uid="{5313AD60-A1A0-4470-A3D3-BCAB2F468DFB}"/>
    <hyperlink ref="A3026" r:id="rId9073" display="https://statiz.sporki.com/player/?m=playerinfo&amp;p_no=1950" xr:uid="{2E5A5FAE-1B6F-49CC-8192-16D2D1A4399F}"/>
    <hyperlink ref="B3026" r:id="rId9074" display="https://statiz.sporki.com/add/?m=draft_school01&amp;ps_school=50604" xr:uid="{ACA677EE-A8D2-48BE-9F10-25CD2AC95CF5}"/>
    <hyperlink ref="C3026" r:id="rId9075" display="https://statiz.sporki.com/add/?m=draft_school02&amp;ps_school=" xr:uid="{72C98F39-B377-471F-A9E3-CEBBF2A84322}"/>
    <hyperlink ref="A3027" r:id="rId9076" display="https://statiz.sporki.com/player/?m=playerinfo&amp;p_no=10510" xr:uid="{772D8B2C-A3D1-482E-ACAC-B6027BC8B96B}"/>
    <hyperlink ref="B3027" r:id="rId9077" display="https://statiz.sporki.com/add/?m=draft_school01&amp;ps_school=50114" xr:uid="{D82A7F3B-B779-42FB-B78B-49AB63E712D4}"/>
    <hyperlink ref="C3027" r:id="rId9078" display="https://statiz.sporki.com/add/?m=draft_school02&amp;ps_school=60602" xr:uid="{338C6044-B267-4BB8-9E56-6BE5CC49489F}"/>
    <hyperlink ref="A3028" r:id="rId9079" display="https://statiz.sporki.com/player/?m=playerinfo&amp;p_no=10001" xr:uid="{2AE2A5DB-699D-46BA-9722-6931630C8E3A}"/>
    <hyperlink ref="B3028" r:id="rId9080" display="https://statiz.sporki.com/add/?m=draft_school01&amp;ps_school=50602" xr:uid="{178B9EF8-1068-49B1-A147-A5A71969614E}"/>
    <hyperlink ref="C3028" r:id="rId9081" display="https://statiz.sporki.com/add/?m=draft_school02&amp;ps_school=60103" xr:uid="{19A80EED-140C-4BD9-8476-E2219488FEA1}"/>
    <hyperlink ref="A3029" r:id="rId9082" display="https://statiz.sporki.com/player/?m=playerinfo&amp;p_no=10053" xr:uid="{EE2D7ACE-1E26-4F3E-97D0-1039E87977C0}"/>
    <hyperlink ref="B3029" r:id="rId9083" display="https://statiz.sporki.com/add/?m=draft_school01&amp;ps_school=50602" xr:uid="{C394578E-29E5-4689-9F11-A8F319452963}"/>
    <hyperlink ref="C3029" r:id="rId9084" display="https://statiz.sporki.com/add/?m=draft_school02&amp;ps_school=60204" xr:uid="{1F5DB886-F114-4D01-AEF3-62F88546F044}"/>
    <hyperlink ref="A3030" r:id="rId9085" display="https://statiz.sporki.com/player/?m=playerinfo&amp;p_no=2006" xr:uid="{B3A23534-F45B-427D-B9E6-24288F207BA5}"/>
    <hyperlink ref="B3030" r:id="rId9086" display="https://statiz.sporki.com/add/?m=draft_school01&amp;ps_school=50501" xr:uid="{B37595CA-337E-484C-8722-45E05D0B651F}"/>
    <hyperlink ref="C3030" r:id="rId9087" display="https://statiz.sporki.com/add/?m=draft_school02&amp;ps_school=" xr:uid="{72911D9A-4494-43B3-84CC-58E876754CD1}"/>
    <hyperlink ref="A3031" r:id="rId9088" display="https://statiz.sporki.com/player/?m=playerinfo&amp;p_no=10323" xr:uid="{FF195934-7363-43CD-BBFC-86CA3F4054B3}"/>
    <hyperlink ref="B3031" r:id="rId9089" display="https://statiz.sporki.com/add/?m=draft_school01&amp;ps_school=50209" xr:uid="{566B5286-E20D-4E80-AC85-7C1F7C9C3C00}"/>
    <hyperlink ref="C3031" r:id="rId9090" display="https://statiz.sporki.com/add/?m=draft_school02&amp;ps_school=60201" xr:uid="{8814AC27-0187-4424-A11A-14C4CBFB7E4C}"/>
    <hyperlink ref="A3032" r:id="rId9091" display="https://statiz.sporki.com/player/?m=playerinfo&amp;p_no=1867" xr:uid="{28645307-255B-4FAE-8398-1B76ECC358D4}"/>
    <hyperlink ref="B3032" r:id="rId9092" display="https://statiz.sporki.com/add/?m=draft_school01&amp;ps_school=50114" xr:uid="{718AE35F-70B1-41BF-9898-806F346757EB}"/>
    <hyperlink ref="C3032" r:id="rId9093" display="https://statiz.sporki.com/add/?m=draft_school02&amp;ps_school=60103" xr:uid="{10E98805-ABD1-4D55-8D48-0C8FF37098D8}"/>
    <hyperlink ref="A3033" r:id="rId9094" display="https://statiz.sporki.com/player/?m=playerinfo&amp;p_no=1903" xr:uid="{D5315CD4-5B13-4A6E-A96B-39839EF6F89D}"/>
    <hyperlink ref="B3033" r:id="rId9095" display="https://statiz.sporki.com/add/?m=draft_school01&amp;ps_school=50114" xr:uid="{D489589C-CD62-4BDC-B6D8-796678048D21}"/>
    <hyperlink ref="C3033" r:id="rId9096" display="https://statiz.sporki.com/add/?m=draft_school02&amp;ps_school=60101" xr:uid="{4E387ABE-59C0-45AB-954B-7D4DE9D53C96}"/>
    <hyperlink ref="A3034" r:id="rId9097" display="https://statiz.sporki.com/player/?m=playerinfo&amp;p_no=10593" xr:uid="{ED948E81-0DC1-41DD-95F4-190EC31660FC}"/>
    <hyperlink ref="B3034" r:id="rId9098" display="https://statiz.sporki.com/add/?m=draft_school01&amp;ps_school=50813" xr:uid="{75D89553-9021-4323-B5D9-55E367D1B5C5}"/>
    <hyperlink ref="C3034" r:id="rId9099" display="https://statiz.sporki.com/add/?m=draft_school02&amp;ps_school=60109" xr:uid="{B8FD9FAD-7D26-49D5-AD34-790DF3BB5ADC}"/>
    <hyperlink ref="A3035" r:id="rId9100" display="https://statiz.sporki.com/player/?m=playerinfo&amp;p_no=1906" xr:uid="{96E4386D-7F68-414E-846A-AEB72D194A12}"/>
    <hyperlink ref="B3035" r:id="rId9101" display="https://statiz.sporki.com/add/?m=draft_school01&amp;ps_school=" xr:uid="{C96CC6B4-966A-467E-A02C-61BAE98D8A75}"/>
    <hyperlink ref="C3035" r:id="rId9102" display="https://statiz.sporki.com/add/?m=draft_school02&amp;ps_school=60803" xr:uid="{714EBACB-99A0-4FC8-BA75-E8C1EBA7EA40}"/>
    <hyperlink ref="A3036" r:id="rId9103" display="https://statiz.sporki.com/player/?m=playerinfo&amp;p_no=1886" xr:uid="{B38A6205-25B9-4142-BC91-A5ED3B067C05}"/>
    <hyperlink ref="B3036" r:id="rId9104" display="https://statiz.sporki.com/add/?m=draft_school01&amp;ps_school=50202" xr:uid="{01C1F218-AE86-4ACA-8236-0742CBD057E6}"/>
    <hyperlink ref="C3036" r:id="rId9105" display="https://statiz.sporki.com/add/?m=draft_school02&amp;ps_school=60204" xr:uid="{E7A03AAD-DAAD-483B-9302-99B32D521AA2}"/>
    <hyperlink ref="A3037" r:id="rId9106" display="https://statiz.sporki.com/player/?m=playerinfo&amp;p_no=1905" xr:uid="{57477329-5011-4186-A8C2-01569809B3A5}"/>
    <hyperlink ref="B3037" r:id="rId9107" display="https://statiz.sporki.com/add/?m=draft_school01&amp;ps_school=50401" xr:uid="{BFD8D729-45DE-4866-8EAF-3F2A4FEF1721}"/>
    <hyperlink ref="C3037" r:id="rId9108" display="https://statiz.sporki.com/add/?m=draft_school02&amp;ps_school=60802" xr:uid="{1D861D4C-64F7-43EB-8FAB-C0A38FD98E69}"/>
    <hyperlink ref="A3038" r:id="rId9109" display="https://statiz.sporki.com/player/?m=playerinfo&amp;p_no=2003" xr:uid="{1AD49AC2-C335-40D2-BFE9-2FD8EA5EE8EE}"/>
    <hyperlink ref="B3038" r:id="rId9110" display="https://statiz.sporki.com/add/?m=draft_school01&amp;ps_school=50609" xr:uid="{BB7CE2C5-5D23-4CBD-9A08-0D948088A607}"/>
    <hyperlink ref="C3038" r:id="rId9111" display="https://statiz.sporki.com/add/?m=draft_school02&amp;ps_school=60705" xr:uid="{B4365267-5B78-49B0-9556-2D67E0599A14}"/>
    <hyperlink ref="A3039" r:id="rId9112" display="https://statiz.sporki.com/player/?m=playerinfo&amp;p_no=2061" xr:uid="{F349F1E4-DD7D-4DD5-ABE4-07DB9E437EFF}"/>
    <hyperlink ref="B3039" r:id="rId9113" display="https://statiz.sporki.com/add/?m=draft_school01&amp;ps_school=50501" xr:uid="{59BFCC9F-81A5-43D9-A8F1-26B385069851}"/>
    <hyperlink ref="C3039" r:id="rId9114" display="https://statiz.sporki.com/add/?m=draft_school02&amp;ps_school=60109" xr:uid="{96ED5CB5-7BC1-43E0-80FF-75635F4E8E90}"/>
    <hyperlink ref="A3040" r:id="rId9115" display="https://statiz.sporki.com/player/?m=playerinfo&amp;p_no=1882" xr:uid="{D6DE6552-48AE-4229-890A-25658EDAB8D6}"/>
    <hyperlink ref="B3040" r:id="rId9116" display="https://statiz.sporki.com/add/?m=draft_school01&amp;ps_school=50114" xr:uid="{1F82BE91-1E05-4E14-A6E8-48EB34547854}"/>
    <hyperlink ref="C3040" r:id="rId9117" display="https://statiz.sporki.com/add/?m=draft_school02&amp;ps_school=60501" xr:uid="{2B786D5B-95FB-4AE1-A278-358737FC2CC4}"/>
    <hyperlink ref="A3041" r:id="rId9118" display="https://statiz.sporki.com/player/?m=playerinfo&amp;p_no=1979" xr:uid="{446BE3F9-125D-4ED5-9BB3-19664FA0B86E}"/>
    <hyperlink ref="B3041" r:id="rId9119" display="https://statiz.sporki.com/add/?m=draft_school01&amp;ps_school=50208" xr:uid="{C5852534-6954-49CB-857E-E24DA17D7F6F}"/>
    <hyperlink ref="C3041" r:id="rId9120" display="https://statiz.sporki.com/add/?m=draft_school02&amp;ps_school=60114" xr:uid="{236C5B5B-F250-44C5-AD9F-A253E4FDAB8E}"/>
    <hyperlink ref="A3042" r:id="rId9121" display="https://statiz.sporki.com/player/?m=playerinfo&amp;p_no=10246" xr:uid="{35BBE4B0-02D4-43CC-8457-14945AA90313}"/>
    <hyperlink ref="B3042" r:id="rId9122" display="https://statiz.sporki.com/add/?m=draft_school01&amp;ps_school=50802" xr:uid="{AD097C1F-9828-40E7-A351-D93C76466B3B}"/>
    <hyperlink ref="C3042" r:id="rId9123" display="https://statiz.sporki.com/add/?m=draft_school02&amp;ps_school=60803" xr:uid="{282BE03B-4816-4CD1-B490-515C987C4B33}"/>
    <hyperlink ref="A3043" r:id="rId9124" display="https://statiz.sporki.com/player/?m=playerinfo&amp;p_no=1874" xr:uid="{D2D6F9EB-E08C-4022-8269-2BF498758000}"/>
    <hyperlink ref="B3043" r:id="rId9125" display="https://statiz.sporki.com/add/?m=draft_school01&amp;ps_school=50113" xr:uid="{96618C2F-B319-43A8-B6A5-39B1C85F53FB}"/>
    <hyperlink ref="C3043" r:id="rId9126" display="https://statiz.sporki.com/add/?m=draft_school02&amp;ps_school=60104" xr:uid="{627DFA41-7D79-45A7-A0E6-897D8F3D850F}"/>
    <hyperlink ref="A3044" r:id="rId9127" display="https://statiz.sporki.com/player/?m=playerinfo&amp;p_no=1907" xr:uid="{9BFFAA6C-0001-482C-814F-E6E0436C657B}"/>
    <hyperlink ref="B3044" r:id="rId9128" display="https://statiz.sporki.com/add/?m=draft_school01&amp;ps_school=50114" xr:uid="{FF6BFD24-EDA0-41B2-B595-EAC05DB83431}"/>
    <hyperlink ref="C3044" r:id="rId9129" display="https://statiz.sporki.com/add/?m=draft_school02&amp;ps_school=60113" xr:uid="{EFD5FAB7-BC60-468D-ABBE-415287312846}"/>
    <hyperlink ref="A3045" r:id="rId9130" display="https://statiz.sporki.com/player/?m=playerinfo&amp;p_no=1883" xr:uid="{A4FD95AC-E327-411D-9FA2-7BEA03791DAE}"/>
    <hyperlink ref="B3045" r:id="rId9131" display="https://statiz.sporki.com/add/?m=draft_school01&amp;ps_school=50403" xr:uid="{DE3528AF-EB3B-4964-9F17-F8B2DB7D3222}"/>
    <hyperlink ref="C3045" r:id="rId9132" display="https://statiz.sporki.com/add/?m=draft_school02&amp;ps_school=60203" xr:uid="{8E6CAE6B-FFBD-4582-955F-05AF6A93FE6C}"/>
    <hyperlink ref="A3046" r:id="rId9133" display="https://statiz.sporki.com/player/?m=playerinfo&amp;p_no=1868" xr:uid="{AA2D0B10-AE2A-4FA5-A717-406D614DC926}"/>
    <hyperlink ref="B3046" r:id="rId9134" display="https://statiz.sporki.com/add/?m=draft_school01&amp;ps_school=50803" xr:uid="{411042B4-B4AD-4FB5-B684-CE133CAF8724}"/>
    <hyperlink ref="C3046" r:id="rId9135" display="https://statiz.sporki.com/add/?m=draft_school02&amp;ps_school=60109" xr:uid="{59E21B81-99BE-459C-A9D1-A9B7A4F910C6}"/>
    <hyperlink ref="A3047" r:id="rId9136" display="https://statiz.sporki.com/player/?m=playerinfo&amp;p_no=1884" xr:uid="{DEC301A1-8311-45E4-8116-F8FBB68525DF}"/>
    <hyperlink ref="B3047" r:id="rId9137" display="https://statiz.sporki.com/add/?m=draft_school01&amp;ps_school=50802" xr:uid="{1FC28099-1205-4A46-89CA-2B1170055E23}"/>
    <hyperlink ref="C3047" r:id="rId9138" display="https://statiz.sporki.com/add/?m=draft_school02&amp;ps_school=60803" xr:uid="{E84102DD-124D-4FB7-B700-7EBEFE6705E3}"/>
    <hyperlink ref="A3048" r:id="rId9139" display="https://statiz.sporki.com/player/?m=playerinfo&amp;p_no=1894" xr:uid="{9B55CC05-1666-42A8-B7C0-575FEB1D43E6}"/>
    <hyperlink ref="B3048" r:id="rId9140" display="https://statiz.sporki.com/add/?m=draft_school01&amp;ps_school=50116" xr:uid="{2F918269-ECB1-4155-AFC6-136E2BC15C70}"/>
    <hyperlink ref="C3048" r:id="rId9141" display="https://statiz.sporki.com/add/?m=draft_school02&amp;ps_school=60111" xr:uid="{8F1C3DE7-63A1-474D-B0E2-C5C3B3E85A4B}"/>
    <hyperlink ref="A3049" r:id="rId9142" display="https://statiz.sporki.com/player/?m=playerinfo&amp;p_no=2038" xr:uid="{8FEE3402-8718-4EDC-A0CA-EABEDA0B99BB}"/>
    <hyperlink ref="B3049" r:id="rId9143" display="https://statiz.sporki.com/add/?m=draft_school01&amp;ps_school=50107" xr:uid="{F4CBEDAF-F0DD-4D48-B499-3FAA96A4010C}"/>
    <hyperlink ref="C3049" r:id="rId9144" display="https://statiz.sporki.com/add/?m=draft_school02&amp;ps_school=60103" xr:uid="{964C0DBD-4D87-4FB9-840C-342BFFEED66B}"/>
    <hyperlink ref="A3050" r:id="rId9145" display="https://statiz.sporki.com/player/?m=playerinfo&amp;p_no=10321" xr:uid="{B2AD307B-687C-4A9E-AD15-C80B79E611EC}"/>
    <hyperlink ref="B3050" r:id="rId9146" display="https://statiz.sporki.com/add/?m=draft_school01&amp;ps_school=50103" xr:uid="{5D373A37-9D3C-483F-8BF6-258A7A8A5030}"/>
    <hyperlink ref="C3050" r:id="rId9147" display="https://statiz.sporki.com/add/?m=draft_school02&amp;ps_school=60203" xr:uid="{2ECE84AD-A2DA-41E9-8E33-78B1783CD3FE}"/>
    <hyperlink ref="A3051" r:id="rId9148" display="https://statiz.sporki.com/player/?m=playerinfo&amp;p_no=1898" xr:uid="{2D085D28-1E26-4041-80F4-C5ADE802F48F}"/>
    <hyperlink ref="B3051" r:id="rId9149" display="https://statiz.sporki.com/add/?m=draft_school01&amp;ps_school=50105" xr:uid="{6D0158A1-01DF-4711-900A-BA4CA8739AD7}"/>
    <hyperlink ref="C3051" r:id="rId9150" display="https://statiz.sporki.com/add/?m=draft_school02&amp;ps_school=60108" xr:uid="{ECA6DA41-1688-4C33-8EF8-7AC265013822}"/>
    <hyperlink ref="A3052" r:id="rId9151" display="https://statiz.sporki.com/player/?m=playerinfo&amp;p_no=2028" xr:uid="{D8508EB7-9E41-44C5-B943-B3AFD0FF98E2}"/>
    <hyperlink ref="B3052" r:id="rId9152" display="https://statiz.sporki.com/add/?m=draft_school01&amp;ps_school=50402" xr:uid="{6C68C557-14CA-4B8C-A5F7-448227F3EA4C}"/>
    <hyperlink ref="C3052" r:id="rId9153" display="https://statiz.sporki.com/add/?m=draft_school02&amp;ps_school=60109" xr:uid="{9E08FC7B-8D6D-404A-B99F-226558805D03}"/>
    <hyperlink ref="A3053" r:id="rId9154" display="https://statiz.sporki.com/player/?m=playerinfo&amp;p_no=1910" xr:uid="{EB0EC17D-4630-49BD-B818-E794918441C7}"/>
    <hyperlink ref="B3053" r:id="rId9155" display="https://statiz.sporki.com/add/?m=draft_school01&amp;ps_school=50901" xr:uid="{6C69E4C8-BD8A-43CD-A2AA-BD79F9911A21}"/>
    <hyperlink ref="C3053" r:id="rId9156" display="https://statiz.sporki.com/add/?m=draft_school02&amp;ps_school=60703" xr:uid="{751D52F1-C81F-4B85-B767-6470EFB5C69B}"/>
    <hyperlink ref="A3054" r:id="rId9157" display="https://statiz.sporki.com/player/?m=playerinfo&amp;p_no=1881" xr:uid="{1103D960-574E-4574-BB46-C0B90FB4842A}"/>
    <hyperlink ref="B3054" r:id="rId9158" display="https://statiz.sporki.com/add/?m=draft_school01&amp;ps_school=50802" xr:uid="{BFEF9DE8-0097-4C49-B1E3-272E38080007}"/>
    <hyperlink ref="C3054" r:id="rId9159" display="https://statiz.sporki.com/add/?m=draft_school02&amp;ps_school=60204" xr:uid="{B7131064-AE4C-4AFC-85BE-0AD799C0E492}"/>
    <hyperlink ref="A3055" r:id="rId9160" display="https://statiz.sporki.com/player/?m=playerinfo&amp;p_no=1899" xr:uid="{4CAE9BDC-96A6-4324-9759-A3B0A5E0E8AA}"/>
    <hyperlink ref="B3055" r:id="rId9161" display="https://statiz.sporki.com/add/?m=draft_school01&amp;ps_school=50802" xr:uid="{470E34FA-1093-48CD-A953-92EDFA126ACB}"/>
    <hyperlink ref="C3055" r:id="rId9162" display="https://statiz.sporki.com/add/?m=draft_school02&amp;ps_school=60203" xr:uid="{F7E270E0-C592-4F96-8277-021F812A703A}"/>
    <hyperlink ref="A3056" r:id="rId9163" display="https://statiz.sporki.com/player/?m=playerinfo&amp;p_no=1946" xr:uid="{9A7BE7D9-571B-43C1-8E38-8A6A4E9E9BF9}"/>
    <hyperlink ref="B3056" r:id="rId9164" display="https://statiz.sporki.com/add/?m=draft_school01&amp;ps_school=" xr:uid="{6FFDF058-8B62-4931-82E3-C50A2BC192C4}"/>
    <hyperlink ref="C3056" r:id="rId9165" display="https://statiz.sporki.com/add/?m=draft_school02&amp;ps_school=60801" xr:uid="{0340AF1D-68EC-4AF4-8728-A6E7500B0B4C}"/>
    <hyperlink ref="A3057" r:id="rId9166" display="https://statiz.sporki.com/player/?m=playerinfo&amp;p_no=1892" xr:uid="{3D76FA65-3AAB-4DE7-810A-A34AEA8AC84C}"/>
    <hyperlink ref="B3057" r:id="rId9167" display="https://statiz.sporki.com/add/?m=draft_school01&amp;ps_school=50805" xr:uid="{001AE320-4126-4457-B7B4-541DA5911FFE}"/>
    <hyperlink ref="C3057" r:id="rId9168" display="https://statiz.sporki.com/add/?m=draft_school02&amp;ps_school=60803" xr:uid="{C7D3EB36-4C04-4D9F-A11B-EF8DD1F532C5}"/>
    <hyperlink ref="A3058" r:id="rId9169" display="https://statiz.sporki.com/player/?m=playerinfo&amp;p_no=1878" xr:uid="{BC1035E9-D89A-440C-B364-A2B0AFC8DB6D}"/>
    <hyperlink ref="B3058" r:id="rId9170" display="https://statiz.sporki.com/add/?m=draft_school01&amp;ps_school=50202" xr:uid="{FD55F1E8-5C6E-4489-A8CD-8EC2C1A66D15}"/>
    <hyperlink ref="C3058" r:id="rId9171" display="https://statiz.sporki.com/add/?m=draft_school02&amp;ps_school=60113" xr:uid="{5A79B25A-9FEB-4A3A-A213-D5142D565125}"/>
    <hyperlink ref="A3059" r:id="rId9172" display="https://statiz.sporki.com/player/?m=playerinfo&amp;p_no=1919" xr:uid="{517B3A8B-D395-4608-B165-7280121D839B}"/>
    <hyperlink ref="B3059" r:id="rId9173" display="https://statiz.sporki.com/add/?m=draft_school01&amp;ps_school=50401" xr:uid="{0686C24B-7C07-4F33-8190-702F6BD7471C}"/>
    <hyperlink ref="C3059" r:id="rId9174" display="https://statiz.sporki.com/add/?m=draft_school02&amp;ps_school=60104" xr:uid="{EA86BF86-DDCA-48FF-AA41-4B1FDE6D4204}"/>
    <hyperlink ref="A3060" r:id="rId9175" display="https://statiz.sporki.com/player/?m=playerinfo&amp;p_no=1888" xr:uid="{FC0A88D0-33AE-44E3-B5A8-50E8040414BC}"/>
    <hyperlink ref="B3060" r:id="rId9176" display="https://statiz.sporki.com/add/?m=draft_school01&amp;ps_school=" xr:uid="{55F703BD-9651-4EBC-88E9-3BB3FD98B747}"/>
    <hyperlink ref="C3060" r:id="rId9177" display="https://statiz.sporki.com/add/?m=draft_school02&amp;ps_school=60204" xr:uid="{6E8B77EF-8680-404B-93D8-089053FB5A89}"/>
    <hyperlink ref="A3061" r:id="rId9178" display="https://statiz.sporki.com/player/?m=playerinfo&amp;p_no=1880" xr:uid="{7E9E4D26-59E2-444B-9DCA-A18D79090BA1}"/>
    <hyperlink ref="B3061" r:id="rId9179" display="https://statiz.sporki.com/add/?m=draft_school01&amp;ps_school=50209" xr:uid="{EC238904-B4EB-4E23-B99E-E4B109351B7C}"/>
    <hyperlink ref="C3061" r:id="rId9180" display="https://statiz.sporki.com/add/?m=draft_school02&amp;ps_school=60101" xr:uid="{60842482-BB0F-4E6B-AF4A-82638580E09E}"/>
    <hyperlink ref="A3062" r:id="rId9181" display="https://statiz.sporki.com/player/?m=playerinfo&amp;p_no=1890" xr:uid="{AF0C86B6-7849-48E0-8F6E-5AC37DF91AD3}"/>
    <hyperlink ref="B3062" r:id="rId9182" display="https://statiz.sporki.com/add/?m=draft_school01&amp;ps_school=" xr:uid="{E9AAC9A8-26A9-41D4-8C15-469C27A5B2CF}"/>
    <hyperlink ref="C3062" r:id="rId9183" display="https://statiz.sporki.com/add/?m=draft_school02&amp;ps_school=60802" xr:uid="{C7E5D076-1ED0-493B-A65B-9A52E688B714}"/>
    <hyperlink ref="A3063" r:id="rId9184" display="https://statiz.sporki.com/player/?m=playerinfo&amp;p_no=10041" xr:uid="{78C80D9F-E8D9-439E-B0FC-D1CFF0FB666B}"/>
    <hyperlink ref="B3063" r:id="rId9185" display="https://statiz.sporki.com/add/?m=draft_school01&amp;ps_school=50108" xr:uid="{C78B1D40-5487-477D-A5D8-2DE695C91DAA}"/>
    <hyperlink ref="C3063" r:id="rId9186" display="https://statiz.sporki.com/add/?m=draft_school02&amp;ps_school=60102" xr:uid="{294F7BE2-9BB6-498A-974D-3CF1EE0123AB}"/>
    <hyperlink ref="A3064" r:id="rId9187" display="https://statiz.sporki.com/player/?m=playerinfo&amp;p_no=1875" xr:uid="{EDAA7798-F073-4B9C-8514-9B5E368BBD32}"/>
    <hyperlink ref="B3064" r:id="rId9188" display="https://statiz.sporki.com/add/?m=draft_school01&amp;ps_school=50802" xr:uid="{FC5B3687-24D9-454A-BC26-B581E6727A11}"/>
    <hyperlink ref="C3064" r:id="rId9189" display="https://statiz.sporki.com/add/?m=draft_school02&amp;ps_school=60803" xr:uid="{E4621968-6C64-45FC-B0DF-E6BAEA7A45E6}"/>
    <hyperlink ref="A3065" r:id="rId9190" display="https://statiz.sporki.com/player/?m=playerinfo&amp;p_no=1998" xr:uid="{8326406E-7E26-4A66-A055-42640EAD8F22}"/>
    <hyperlink ref="B3065" r:id="rId9191" display="https://statiz.sporki.com/add/?m=draft_school01&amp;ps_school=" xr:uid="{958D4292-AF17-42C8-B672-E1FDD4ACAFB9}"/>
    <hyperlink ref="C3065" r:id="rId9192" display="https://statiz.sporki.com/add/?m=draft_school02&amp;ps_school=60703" xr:uid="{CC356A3A-A2BC-4229-9074-E718E051056C}"/>
    <hyperlink ref="A3066" r:id="rId9193" display="https://statiz.sporki.com/player/?m=playerinfo&amp;p_no=2130" xr:uid="{1B44D526-7BA6-4670-B20A-D046FD2BF788}"/>
    <hyperlink ref="B3066" r:id="rId9194" display="https://statiz.sporki.com/add/?m=draft_school01&amp;ps_school=50501" xr:uid="{C8392275-C0D8-4227-9143-BD750223124F}"/>
    <hyperlink ref="C3066" r:id="rId9195" display="https://statiz.sporki.com/add/?m=draft_school02&amp;ps_school=60109" xr:uid="{4AE42FFC-C59C-4DCA-AF60-5C0087074EC6}"/>
    <hyperlink ref="A3067" r:id="rId9196" display="https://statiz.sporki.com/player/?m=playerinfo&amp;p_no=1944" xr:uid="{7F58ED7E-4BEC-43DC-AB3F-BCB06B2B3860}"/>
    <hyperlink ref="B3067" r:id="rId9197" display="https://statiz.sporki.com/add/?m=draft_school01&amp;ps_school=50803" xr:uid="{8BF5B5EF-C62A-4E75-A31D-5FBA44FAEEFE}"/>
    <hyperlink ref="C3067" r:id="rId9198" display="https://statiz.sporki.com/add/?m=draft_school02&amp;ps_school=60703" xr:uid="{17508198-D82E-4009-A452-0B6670430C6C}"/>
    <hyperlink ref="A3068" r:id="rId9199" display="https://statiz.sporki.com/player/?m=playerinfo&amp;p_no=14993" xr:uid="{231FCEC1-9F8F-40E6-8AED-88F7C79B3BCD}"/>
    <hyperlink ref="B3068" r:id="rId9200" display="https://statiz.sporki.com/add/?m=draft_school01&amp;ps_school=50402" xr:uid="{1D97EB08-1FA7-43C3-B745-1ED0D25C8921}"/>
    <hyperlink ref="C3068" r:id="rId9201" display="https://statiz.sporki.com/add/?m=draft_school02&amp;ps_school=60113" xr:uid="{4C98C502-7A95-466A-89D9-A5DCB00FC73B}"/>
    <hyperlink ref="A3069" r:id="rId9202" display="https://statiz.sporki.com/player/?m=playerinfo&amp;p_no=11445" xr:uid="{00CDB437-8C49-4582-9FA3-6F516DC2950A}"/>
    <hyperlink ref="B3069" r:id="rId9203" display="https://statiz.sporki.com/add/?m=draft_school01&amp;ps_school=50609" xr:uid="{537D68AA-C1B4-4DA9-A05C-AD85209E0A7A}"/>
    <hyperlink ref="C3069" r:id="rId9204" display="https://statiz.sporki.com/add/?m=draft_school02&amp;ps_school=60703" xr:uid="{A10C0F0E-565A-4DA1-96CE-823D4AAF3E77}"/>
    <hyperlink ref="A3070" r:id="rId9205" display="https://statiz.sporki.com/player/?m=playerinfo&amp;p_no=1922" xr:uid="{8B029C7C-E355-413A-9F93-03B381F7053F}"/>
    <hyperlink ref="B3070" r:id="rId9206" display="https://statiz.sporki.com/add/?m=draft_school01&amp;ps_school=50114" xr:uid="{337039D9-FC78-49B9-8DE8-7033C33CDCDD}"/>
    <hyperlink ref="C3070" r:id="rId9207" display="https://statiz.sporki.com/add/?m=draft_school02&amp;ps_school=60104" xr:uid="{A975BFB1-934C-4E2D-AAAC-3CC304FC7108}"/>
    <hyperlink ref="A3071" r:id="rId9208" display="https://statiz.sporki.com/player/?m=playerinfo&amp;p_no=1260" xr:uid="{AFB748FA-CB51-4E06-88D4-FBAC4A105159}"/>
    <hyperlink ref="B3071" r:id="rId9209" display="https://statiz.sporki.com/add/?m=draft_school01&amp;ps_school=" xr:uid="{28E451B5-0E22-4BF2-9A9E-F9A6E9CF89BE}"/>
    <hyperlink ref="C3071" r:id="rId9210" display="https://statiz.sporki.com/add/?m=draft_school02&amp;ps_school=" xr:uid="{E141D83A-5809-47FE-A84B-DFC1FF0836D0}"/>
    <hyperlink ref="A3072" r:id="rId9211" display="https://statiz.sporki.com/player/?m=playerinfo&amp;p_no=1885" xr:uid="{544DAFD8-E624-4013-A9C1-51FA800CF099}"/>
    <hyperlink ref="B3072" r:id="rId9212" display="https://statiz.sporki.com/add/?m=draft_school01&amp;ps_school=50804" xr:uid="{99E1751A-AA68-4646-9642-44C216D7BE55}"/>
    <hyperlink ref="C3072" r:id="rId9213" display="https://statiz.sporki.com/add/?m=draft_school02&amp;ps_school=" xr:uid="{B24C1FAE-E0A2-4ABD-868D-2634710CBD4B}"/>
    <hyperlink ref="A3073" r:id="rId9214" display="https://statiz.sporki.com/player/?m=playerinfo&amp;p_no=1901" xr:uid="{A46418E2-FD96-4D6E-A533-D9C59FF2B5B1}"/>
    <hyperlink ref="B3073" r:id="rId9215" display="https://statiz.sporki.com/add/?m=draft_school01&amp;ps_school=50802" xr:uid="{741F0224-7C3F-45B7-84F7-87559E5521ED}"/>
    <hyperlink ref="C3073" r:id="rId9216" display="https://statiz.sporki.com/add/?m=draft_school02&amp;ps_school=60203" xr:uid="{64A1A96E-8CC1-4105-83D0-3B13E72AD407}"/>
    <hyperlink ref="A3074" r:id="rId9217" display="https://statiz.sporki.com/player/?m=playerinfo&amp;p_no=1877" xr:uid="{63C272CD-6125-495F-9EED-83D419B402C1}"/>
    <hyperlink ref="B3074" r:id="rId9218" display="https://statiz.sporki.com/add/?m=draft_school01&amp;ps_school=50109" xr:uid="{605A5B16-FAC0-4F2F-B3AE-2BE37E7B8ECB}"/>
    <hyperlink ref="C3074" r:id="rId9219" display="https://statiz.sporki.com/add/?m=draft_school02&amp;ps_school=60104" xr:uid="{7611EFE2-37BD-409E-A0E8-6986E1381ADF}"/>
    <hyperlink ref="A3075" r:id="rId9220" display="https://statiz.sporki.com/player/?m=playerinfo&amp;p_no=1976" xr:uid="{E60E5889-DE5A-4B1A-9751-71C81278383B}"/>
    <hyperlink ref="B3075" r:id="rId9221" display="https://statiz.sporki.com/add/?m=draft_school01&amp;ps_school=50604" xr:uid="{F0A8A220-042E-4046-9412-3CD281CA50A8}"/>
    <hyperlink ref="C3075" r:id="rId9222" display="https://statiz.sporki.com/add/?m=draft_school02&amp;ps_school=" xr:uid="{F515584D-3242-418A-9B1A-A7643DDC0774}"/>
    <hyperlink ref="A3076" r:id="rId9223" display="https://statiz.sporki.com/player/?m=playerinfo&amp;p_no=2099" xr:uid="{BF9141D9-7D7C-46B2-91ED-7E1BDB9254D2}"/>
    <hyperlink ref="B3076" r:id="rId9224" display="https://statiz.sporki.com/add/?m=draft_school01&amp;ps_school=50501" xr:uid="{B2B244F5-BA90-4182-B896-9E18226BC2B2}"/>
    <hyperlink ref="C3076" r:id="rId9225" display="https://statiz.sporki.com/add/?m=draft_school02&amp;ps_school=" xr:uid="{8007D9FE-5DAB-4639-B228-57CA4DE410C3}"/>
    <hyperlink ref="A3077" r:id="rId9226" display="https://statiz.sporki.com/player/?m=playerinfo&amp;p_no=1866" xr:uid="{D3C3AD99-510E-4569-9712-70477E8EBD4B}"/>
    <hyperlink ref="B3077" r:id="rId9227" display="https://statiz.sporki.com/add/?m=draft_school01&amp;ps_school=50110" xr:uid="{36855EDB-0C32-4481-A248-5EF06E7C46EF}"/>
    <hyperlink ref="C3077" r:id="rId9228" display="https://statiz.sporki.com/add/?m=draft_school02&amp;ps_school=" xr:uid="{705A1ECE-409C-4552-8519-2DABDF0C1D5B}"/>
    <hyperlink ref="A3078" r:id="rId9229" display="https://statiz.sporki.com/player/?m=playerinfo&amp;p_no=1933" xr:uid="{18ABEACB-77ED-400B-8911-AE4527DB8687}"/>
    <hyperlink ref="B3078" r:id="rId9230" display="https://statiz.sporki.com/add/?m=draft_school01&amp;ps_school=50114" xr:uid="{47CF027F-4636-454B-BCC4-F65AA498432C}"/>
    <hyperlink ref="C3078" r:id="rId9231" display="https://statiz.sporki.com/add/?m=draft_school02&amp;ps_school=" xr:uid="{695F6E22-C12D-4489-89C7-40116FDD9E95}"/>
    <hyperlink ref="A3079" r:id="rId9232" display="https://statiz.sporki.com/player/?m=playerinfo&amp;p_no=1955" xr:uid="{7BC5F747-F134-4CF8-A121-37B7CC9C4540}"/>
    <hyperlink ref="B3079" r:id="rId9233" display="https://statiz.sporki.com/add/?m=draft_school01&amp;ps_school=50108" xr:uid="{8B518BF4-ED57-4EBB-892C-6130A4507E6A}"/>
    <hyperlink ref="C3079" r:id="rId9234" display="https://statiz.sporki.com/add/?m=draft_school02&amp;ps_school=" xr:uid="{3E11E2E9-0788-44E9-8493-66D44461CF98}"/>
    <hyperlink ref="A3080" r:id="rId9235" display="https://statiz.sporki.com/player/?m=playerinfo&amp;p_no=1927" xr:uid="{DF5DC467-E1DF-424C-B7FC-3E3C47563FFD}"/>
    <hyperlink ref="B3080" r:id="rId9236" display="https://statiz.sporki.com/add/?m=draft_school01&amp;ps_school=50110" xr:uid="{6267D107-7B1A-4A00-9B99-C03ACEE89AF4}"/>
    <hyperlink ref="C3080" r:id="rId9237" display="https://statiz.sporki.com/add/?m=draft_school02&amp;ps_school=" xr:uid="{C8AE196E-1579-489C-A6F0-EB84164980E6}"/>
    <hyperlink ref="A3081" r:id="rId9238" display="https://statiz.sporki.com/player/?m=playerinfo&amp;p_no=1897" xr:uid="{64C2A72C-6CB6-4528-988B-277BC0799A5C}"/>
    <hyperlink ref="B3081" r:id="rId9239" display="https://statiz.sporki.com/add/?m=draft_school01&amp;ps_school=50105" xr:uid="{CB732943-1238-481F-B529-FDDE976F7873}"/>
    <hyperlink ref="C3081" r:id="rId9240" display="https://statiz.sporki.com/add/?m=draft_school02&amp;ps_school=" xr:uid="{939F4251-714C-4F51-8A06-A1DA8E9EF42C}"/>
    <hyperlink ref="A3082" r:id="rId9241" display="https://statiz.sporki.com/player/?m=playerinfo&amp;p_no=1961" xr:uid="{5F1C2EF0-C438-4218-AAC0-5EE801DE1230}"/>
    <hyperlink ref="B3082" r:id="rId9242" display="https://statiz.sporki.com/add/?m=draft_school01&amp;ps_school=50121" xr:uid="{649AB360-9AFD-4FB1-948B-3BE3F2A42673}"/>
    <hyperlink ref="C3082" r:id="rId9243" display="https://statiz.sporki.com/add/?m=draft_school02&amp;ps_school=" xr:uid="{23D1CDFB-E641-4233-B091-3EEB5930F0C9}"/>
    <hyperlink ref="A3083" r:id="rId9244" display="https://statiz.sporki.com/player/?m=playerinfo&amp;p_no=10264" xr:uid="{D1CB474F-A086-4E89-85F2-915F838F38C3}"/>
    <hyperlink ref="B3083" r:id="rId9245" display="https://statiz.sporki.com/add/?m=draft_school01&amp;ps_school=50103" xr:uid="{E94BFC08-30E4-49E1-B27F-A44CB3EFBD48}"/>
    <hyperlink ref="C3083" r:id="rId9246" display="https://statiz.sporki.com/add/?m=draft_school02&amp;ps_school=60602" xr:uid="{BDCF56A6-E82C-4185-9C86-E948AF16D89F}"/>
    <hyperlink ref="A3084" r:id="rId9247" display="https://statiz.sporki.com/player/?m=playerinfo&amp;p_no=2017" xr:uid="{7C973B82-9BC2-4FBD-B82D-B0010AE9B864}"/>
    <hyperlink ref="B3084" r:id="rId9248" display="https://statiz.sporki.com/add/?m=draft_school01&amp;ps_school=50105" xr:uid="{7ADF8D0F-CCA1-4D4A-BCA7-E64FBBBCC95D}"/>
    <hyperlink ref="C3084" r:id="rId9249" display="https://statiz.sporki.com/add/?m=draft_school02&amp;ps_school=" xr:uid="{2A67C8F4-DB93-44EA-8ABD-1F37E6037BF9}"/>
    <hyperlink ref="A3085" r:id="rId9250" display="https://statiz.sporki.com/player/?m=playerinfo&amp;p_no=1977" xr:uid="{1DC78DAC-690B-4FC4-80FD-AC0DD9A86183}"/>
    <hyperlink ref="B3085" r:id="rId9251" display="https://statiz.sporki.com/add/?m=draft_school01&amp;ps_school=50813" xr:uid="{B62B592A-12D9-4705-BE15-857303CD134E}"/>
    <hyperlink ref="C3085" r:id="rId9252" display="https://statiz.sporki.com/add/?m=draft_school02&amp;ps_school=" xr:uid="{9CD531DF-722D-4D44-8DEC-F80BC5DD8115}"/>
    <hyperlink ref="A3086" r:id="rId9253" display="https://statiz.sporki.com/player/?m=playerinfo&amp;p_no=1900" xr:uid="{26240DAC-A5DA-4A87-8035-1C0E07B590F0}"/>
    <hyperlink ref="B3086" r:id="rId9254" display="https://statiz.sporki.com/add/?m=draft_school01&amp;ps_school=50803" xr:uid="{411703DC-79D2-434F-A32C-3A00EB56E318}"/>
    <hyperlink ref="C3086" r:id="rId9255" display="https://statiz.sporki.com/add/?m=draft_school02&amp;ps_school=" xr:uid="{5498E0B6-9FA5-4D5C-86DC-3E9AEB103FF9}"/>
    <hyperlink ref="A3087" r:id="rId9256" display="https://statiz.sporki.com/player/?m=playerinfo&amp;p_no=1908" xr:uid="{1695419D-F475-4D49-9FD6-1A3DB6DA7B4B}"/>
    <hyperlink ref="B3087" r:id="rId9257" display="https://statiz.sporki.com/add/?m=draft_school01&amp;ps_school=50805" xr:uid="{9B51EFA1-568A-475E-A4F7-A4022718F462}"/>
    <hyperlink ref="C3087" r:id="rId9258" display="https://statiz.sporki.com/add/?m=draft_school02&amp;ps_school=" xr:uid="{E7C0486C-6A4F-470A-805D-EF608CE0A8EC}"/>
    <hyperlink ref="A3088" r:id="rId9259" display="https://statiz.sporki.com/player/?m=playerinfo&amp;p_no=1904" xr:uid="{196C2500-6D0C-4EA7-AB4A-2A4B8E03179B}"/>
    <hyperlink ref="B3088" r:id="rId9260" display="https://statiz.sporki.com/add/?m=draft_school01&amp;ps_school=50701" xr:uid="{A394CD15-6C20-4A87-AF89-701C4B486D83}"/>
    <hyperlink ref="C3088" r:id="rId9261" display="https://statiz.sporki.com/add/?m=draft_school02&amp;ps_school=" xr:uid="{ACAAF08E-3A47-436F-86D1-E3E6E07E1F76}"/>
    <hyperlink ref="A3089" r:id="rId9262" display="https://statiz.sporki.com/player/?m=playerinfo&amp;p_no=1870" xr:uid="{D556ED8A-64C1-4C63-A8FA-89C8C7D3C341}"/>
    <hyperlink ref="B3089" r:id="rId9263" display="https://statiz.sporki.com/add/?m=draft_school01&amp;ps_school=50711" xr:uid="{5CC2D34F-2416-4F09-9BAA-0595F346F90B}"/>
    <hyperlink ref="C3089" r:id="rId9264" display="https://statiz.sporki.com/add/?m=draft_school02&amp;ps_school=" xr:uid="{A50FF6C7-F235-4A5F-8CA9-378748375BA7}"/>
    <hyperlink ref="A3090" r:id="rId9265" display="https://statiz.sporki.com/player/?m=playerinfo&amp;p_no=1964" xr:uid="{E5412EC9-5A89-4D3F-9CA9-E25E9384B3AA}"/>
    <hyperlink ref="B3090" r:id="rId9266" display="https://statiz.sporki.com/add/?m=draft_school01&amp;ps_school=50701" xr:uid="{4818B6A7-3599-4AF0-8462-417AA74CD88C}"/>
    <hyperlink ref="C3090" r:id="rId9267" display="https://statiz.sporki.com/add/?m=draft_school02&amp;ps_school=" xr:uid="{08AD30A0-96BA-4A4D-B3C8-10706969BDFA}"/>
    <hyperlink ref="A3091" r:id="rId9268" display="https://statiz.sporki.com/player/?m=playerinfo&amp;p_no=10881" xr:uid="{38CA443A-4186-44D5-9438-79939E53642D}"/>
    <hyperlink ref="B3091" r:id="rId9269" display="https://statiz.sporki.com/add/?m=draft_school01&amp;ps_school=50701" xr:uid="{76CB2F62-EE33-4D50-A507-F990E78B0427}"/>
    <hyperlink ref="C3091" r:id="rId9270" display="https://statiz.sporki.com/add/?m=draft_school02&amp;ps_school=" xr:uid="{8C1CDD77-B797-4BEF-8819-547D17F3247C}"/>
    <hyperlink ref="A3092" r:id="rId9271" display="https://statiz.sporki.com/player/?m=playerinfo&amp;p_no=1876" xr:uid="{9E245BE8-F03A-475D-A6CA-23102F19A32F}"/>
    <hyperlink ref="B3092" r:id="rId9272" display="https://statiz.sporki.com/add/?m=draft_school01&amp;ps_school=50706" xr:uid="{DF8765F4-8E4C-4F83-A115-D60B05FF3344}"/>
    <hyperlink ref="C3092" r:id="rId9273" display="https://statiz.sporki.com/add/?m=draft_school02&amp;ps_school=" xr:uid="{FEF87D86-91A8-47E5-8A65-6903782E9D6D}"/>
    <hyperlink ref="A3093" r:id="rId9274" display="https://statiz.sporki.com/player/?m=playerinfo&amp;p_no=1896" xr:uid="{6E411442-8730-4848-848B-86A4F1ECE101}"/>
    <hyperlink ref="B3093" r:id="rId9275" display="https://statiz.sporki.com/add/?m=draft_school01&amp;ps_school=50208" xr:uid="{5452E796-A410-4B03-94AC-A58B6308FC51}"/>
    <hyperlink ref="C3093" r:id="rId9276" display="https://statiz.sporki.com/add/?m=draft_school02&amp;ps_school=" xr:uid="{3D0B7A1A-F438-4C71-A8D0-AE301CD47FEA}"/>
    <hyperlink ref="A3094" r:id="rId9277" display="https://statiz.sporki.com/player/?m=playerinfo&amp;p_no=1889" xr:uid="{3ADF3BA8-517D-4F48-9A72-6CEC301AA258}"/>
    <hyperlink ref="B3094" r:id="rId9278" display="https://statiz.sporki.com/add/?m=draft_school01&amp;ps_school=50202" xr:uid="{ED5EB5FD-54B3-4F73-A485-DDAC06C818BD}"/>
    <hyperlink ref="C3094" r:id="rId9279" display="https://statiz.sporki.com/add/?m=draft_school02&amp;ps_school=" xr:uid="{20528ACC-2A49-4CC7-8B00-5F285CA19971}"/>
    <hyperlink ref="A3095" r:id="rId9280" display="https://statiz.sporki.com/player/?m=playerinfo&amp;p_no=1879" xr:uid="{8A43362D-EC02-4459-AA1B-8541C4D6FDAD}"/>
    <hyperlink ref="B3095" r:id="rId9281" display="https://statiz.sporki.com/add/?m=draft_school01&amp;ps_school=50203" xr:uid="{F573C4B1-D408-4B6D-B1B2-47C2AB9D0A7A}"/>
    <hyperlink ref="C3095" r:id="rId9282" display="https://statiz.sporki.com/add/?m=draft_school02&amp;ps_school=" xr:uid="{266CE830-E1DB-4D66-BC4C-E1009606602F}"/>
    <hyperlink ref="A3096" r:id="rId9283" display="https://statiz.sporki.com/player/?m=playerinfo&amp;p_no=1871" xr:uid="{35769ECE-9C86-4EFA-9E6F-78743C0C83C5}"/>
    <hyperlink ref="B3096" r:id="rId9284" display="https://statiz.sporki.com/add/?m=draft_school01&amp;ps_school=50402" xr:uid="{5C766137-C92B-4D93-8ACF-DB5258317F70}"/>
    <hyperlink ref="C3096" r:id="rId9285" display="https://statiz.sporki.com/add/?m=draft_school02&amp;ps_school=" xr:uid="{D14D12AD-142B-48DC-8A65-AEDE74C1C081}"/>
    <hyperlink ref="A3097" r:id="rId9286" display="https://statiz.sporki.com/player/?m=playerinfo&amp;p_no=1873" xr:uid="{E9822EE4-A5D5-4076-B19F-08C04FF7B1F5}"/>
    <hyperlink ref="B3097" r:id="rId9287" display="https://statiz.sporki.com/add/?m=draft_school01&amp;ps_school=50401" xr:uid="{DBC922D4-0D64-404C-A2A3-49747345B261}"/>
    <hyperlink ref="C3097" r:id="rId9288" display="https://statiz.sporki.com/add/?m=draft_school02&amp;ps_school=" xr:uid="{EBEAE631-BCC0-42B8-909A-E5CB6F7EE000}"/>
    <hyperlink ref="A3098" r:id="rId9289" display="https://statiz.sporki.com/player/?m=playerinfo&amp;p_no=1962" xr:uid="{2818250C-D6A8-417F-9C5B-5ACF5FAA5D74}"/>
    <hyperlink ref="B3098" r:id="rId9290" display="https://statiz.sporki.com/add/?m=draft_school01&amp;ps_school=50609" xr:uid="{399F3196-1509-450D-B242-0D43A1F15FBF}"/>
    <hyperlink ref="C3098" r:id="rId9291" display="https://statiz.sporki.com/add/?m=draft_school02&amp;ps_school=" xr:uid="{408B5312-92B2-400C-8FDA-F9D3385605CB}"/>
    <hyperlink ref="A3099" r:id="rId9292" display="https://statiz.sporki.com/player/?m=playerinfo&amp;p_no=10465" xr:uid="{F0CE737E-8F38-4DA7-8665-C4083307E71C}"/>
    <hyperlink ref="B3099" r:id="rId9293" display="https://statiz.sporki.com/add/?m=draft_school01&amp;ps_school=50108" xr:uid="{250FC05B-B9C2-4294-B7E2-D201406D1B15}"/>
    <hyperlink ref="C3099" r:id="rId9294" display="https://statiz.sporki.com/add/?m=draft_school02&amp;ps_school=" xr:uid="{C7575709-9D55-442A-AF66-248DAF7E0811}"/>
    <hyperlink ref="A3100" r:id="rId9295" display="https://statiz.sporki.com/player/?m=playerinfo&amp;p_no=11281" xr:uid="{13B4A8E1-C871-4F35-A320-57BAD511AB33}"/>
    <hyperlink ref="B3100" r:id="rId9296" display="https://statiz.sporki.com/add/?m=draft_school01&amp;ps_school=50604" xr:uid="{B4F6AEF1-65A0-4CD9-8291-CE5728275616}"/>
    <hyperlink ref="C3100" r:id="rId9297" display="https://statiz.sporki.com/add/?m=draft_school02&amp;ps_school=" xr:uid="{BD30D103-6B8B-470A-B7C2-FBE49E8DCE56}"/>
    <hyperlink ref="A3101" r:id="rId9298" display="https://statiz.sporki.com/player/?m=playerinfo&amp;p_no=1909" xr:uid="{01F0F19B-924D-403E-B936-46F847BC484E}"/>
    <hyperlink ref="B3101" r:id="rId9299" display="https://statiz.sporki.com/add/?m=draft_school01&amp;ps_school=50502" xr:uid="{9F0657D9-FE1C-4374-B8A3-2B097C34F4DA}"/>
    <hyperlink ref="C3101" r:id="rId9300" display="https://statiz.sporki.com/add/?m=draft_school02&amp;ps_school=" xr:uid="{96BAD789-9F95-409F-89B7-E3F4199C68EA}"/>
    <hyperlink ref="A3102" r:id="rId9301" display="https://statiz.sporki.com/player/?m=playerinfo&amp;p_no=1783" xr:uid="{55BA78C1-F405-4B8D-9582-CE9111C9A7FA}"/>
    <hyperlink ref="B3102" r:id="rId9302" display="https://statiz.sporki.com/add/?m=draft_school01&amp;ps_school=50114" xr:uid="{09FC278D-D78A-4B4B-8FAB-7B65390E1658}"/>
    <hyperlink ref="C3102" r:id="rId9303" display="https://statiz.sporki.com/add/?m=draft_school02&amp;ps_school=60113" xr:uid="{F15BC583-AEE1-4CE8-8AC8-6FE8A9914C68}"/>
    <hyperlink ref="A3103" r:id="rId9304" display="https://statiz.sporki.com/player/?m=playerinfo&amp;p_no=10507" xr:uid="{A116889F-5A57-41C7-8003-E4F687A15BC6}"/>
    <hyperlink ref="B3103" r:id="rId9305" display="https://statiz.sporki.com/add/?m=draft_school01&amp;ps_school=50116" xr:uid="{51BA4D67-45ED-4D50-9ECC-548ED8E2D0F4}"/>
    <hyperlink ref="C3103" r:id="rId9306" display="https://statiz.sporki.com/add/?m=draft_school02&amp;ps_school=60104" xr:uid="{D9728C1A-6FC8-4686-B7EC-60B6A1644B54}"/>
    <hyperlink ref="A3104" r:id="rId9307" display="https://statiz.sporki.com/player/?m=playerinfo&amp;p_no=1837" xr:uid="{C74BB993-6578-45E4-B12F-72F5F2E518DA}"/>
    <hyperlink ref="B3104" r:id="rId9308" display="https://statiz.sporki.com/add/?m=draft_school01&amp;ps_school=50805" xr:uid="{FD1B35AD-03D4-4EF5-956D-F95812BA0A13}"/>
    <hyperlink ref="C3104" r:id="rId9309" display="https://statiz.sporki.com/add/?m=draft_school02&amp;ps_school=60103" xr:uid="{4665ACA2-2B50-4FD9-BF0F-A167587E1B94}"/>
    <hyperlink ref="A3105" r:id="rId9310" display="https://statiz.sporki.com/player/?m=playerinfo&amp;p_no=1836" xr:uid="{0FBDFE2E-D7AB-436D-A54A-FC4EF43A73FE}"/>
    <hyperlink ref="B3105" r:id="rId9311" display="https://statiz.sporki.com/add/?m=draft_school01&amp;ps_school=50701" xr:uid="{FF9DBA8B-5C5C-4ECE-B1DF-00A96BC31278}"/>
    <hyperlink ref="C3105" r:id="rId9312" display="https://statiz.sporki.com/add/?m=draft_school02&amp;ps_school=60203" xr:uid="{66FFF325-3755-4840-A4F3-04111F83FD44}"/>
    <hyperlink ref="A3106" r:id="rId9313" display="https://statiz.sporki.com/player/?m=playerinfo&amp;p_no=1815" xr:uid="{8C60354B-9054-49ED-AF02-94114F4B13A4}"/>
    <hyperlink ref="B3106" r:id="rId9314" display="https://statiz.sporki.com/add/?m=draft_school01&amp;ps_school=50501" xr:uid="{334842C5-A90E-43DB-8D8D-98BA3CE565EB}"/>
    <hyperlink ref="C3106" r:id="rId9315" display="https://statiz.sporki.com/add/?m=draft_school02&amp;ps_school=60501" xr:uid="{DFF63757-43D3-4B8F-8CBF-F9BD64BBBD06}"/>
    <hyperlink ref="A3107" r:id="rId9316" display="https://statiz.sporki.com/player/?m=playerinfo&amp;p_no=10616" xr:uid="{1CDB1AB0-5E67-428D-9F1D-B8B953F92595}"/>
    <hyperlink ref="B3107" r:id="rId9317" display="https://statiz.sporki.com/add/?m=draft_school01&amp;ps_school=50209" xr:uid="{E77CC15B-039C-422A-8078-C95DA8890FBD}"/>
    <hyperlink ref="C3107" r:id="rId9318" display="https://statiz.sporki.com/add/?m=draft_school02&amp;ps_school=60114" xr:uid="{BCAC57BC-4572-45BE-91BD-7A16E1BAFE97}"/>
    <hyperlink ref="A3108" r:id="rId9319" display="https://statiz.sporki.com/player/?m=playerinfo&amp;p_no=1842" xr:uid="{E8910963-0F37-434B-A5CD-DFFD1347AE4F}"/>
    <hyperlink ref="B3108" r:id="rId9320" display="https://statiz.sporki.com/add/?m=draft_school01&amp;ps_school=50402" xr:uid="{472F76A2-9BFA-42AA-9749-CD805607DF96}"/>
    <hyperlink ref="C3108" r:id="rId9321" display="https://statiz.sporki.com/add/?m=draft_school02&amp;ps_school=60501" xr:uid="{AF20DAF5-530D-4090-BE21-583F5F9A95B2}"/>
    <hyperlink ref="A3109" r:id="rId9322" display="https://statiz.sporki.com/player/?m=playerinfo&amp;p_no=1861" xr:uid="{87CC0FD3-BCE6-4EC5-BB97-6665A93C7FEC}"/>
    <hyperlink ref="B3109" r:id="rId9323" display="https://statiz.sporki.com/add/?m=draft_school01&amp;ps_school=50604" xr:uid="{DD7E02E6-1289-49C1-ABBF-F1C9A8C893E4}"/>
    <hyperlink ref="C3109" r:id="rId9324" display="https://statiz.sporki.com/add/?m=draft_school02&amp;ps_school=60203" xr:uid="{4C36D0CB-B61C-47BB-8FF2-42558BA6DADD}"/>
    <hyperlink ref="A3110" r:id="rId9325" display="https://statiz.sporki.com/player/?m=playerinfo&amp;p_no=1814" xr:uid="{1F1D0AD7-96A8-4CD8-B316-44E5C2871033}"/>
    <hyperlink ref="B3110" r:id="rId9326" display="https://statiz.sporki.com/add/?m=draft_school01&amp;ps_school=50803" xr:uid="{3DC97E88-A2EF-439C-BBD9-A056652DF849}"/>
    <hyperlink ref="C3110" r:id="rId9327" display="https://statiz.sporki.com/add/?m=draft_school02&amp;ps_school=60802" xr:uid="{AC210E1F-2DE3-4F58-9D11-956F4CC3D7B9}"/>
    <hyperlink ref="A3111" r:id="rId9328" display="https://statiz.sporki.com/player/?m=playerinfo&amp;p_no=1999" xr:uid="{15FC0CBB-437B-430B-A5A7-F9CD26662EF0}"/>
    <hyperlink ref="B3111" r:id="rId9329" display="https://statiz.sporki.com/add/?m=draft_school01&amp;ps_school=50111" xr:uid="{9C6E36BD-F9C8-407B-81FC-67A0A69D5A08}"/>
    <hyperlink ref="C3111" r:id="rId9330" display="https://statiz.sporki.com/add/?m=draft_school02&amp;ps_school=60108" xr:uid="{3FCAF8BD-4364-44BC-80F6-E91BFAF2E64D}"/>
    <hyperlink ref="A3112" r:id="rId9331" display="https://statiz.sporki.com/player/?m=playerinfo&amp;p_no=1823" xr:uid="{810BCD6B-DCC8-4570-B3A0-A222B73E6F8E}"/>
    <hyperlink ref="B3112" r:id="rId9332" display="https://statiz.sporki.com/add/?m=draft_school01&amp;ps_school=50116" xr:uid="{C4359D66-2713-473C-A457-F1EED34B6E68}"/>
    <hyperlink ref="C3112" r:id="rId9333" display="https://statiz.sporki.com/add/?m=draft_school02&amp;ps_school=60203" xr:uid="{99C76D91-C614-4D7F-A9DB-6AEA05DE2482}"/>
    <hyperlink ref="A3113" r:id="rId9334" display="https://statiz.sporki.com/player/?m=playerinfo&amp;p_no=1857" xr:uid="{76B72727-5588-430C-95A7-2606467B3B4B}"/>
    <hyperlink ref="B3113" r:id="rId9335" display="https://statiz.sporki.com/add/?m=draft_school01&amp;ps_school=50109" xr:uid="{7DFD02E6-5209-4F32-BCCC-8AC311473958}"/>
    <hyperlink ref="C3113" r:id="rId9336" display="https://statiz.sporki.com/add/?m=draft_school02&amp;ps_school=60203" xr:uid="{9B53F379-1329-4D59-A95A-A3202A8CF0D4}"/>
    <hyperlink ref="A3114" r:id="rId9337" display="https://statiz.sporki.com/player/?m=playerinfo&amp;p_no=1864" xr:uid="{A296CB9C-246C-4D22-9742-DC723C7BFE2B}"/>
    <hyperlink ref="B3114" r:id="rId9338" display="https://statiz.sporki.com/add/?m=draft_school01&amp;ps_school=50108" xr:uid="{692F6F03-9B05-467E-A15F-DAEEC425E488}"/>
    <hyperlink ref="C3114" r:id="rId9339" display="https://statiz.sporki.com/add/?m=draft_school02&amp;ps_school=60705" xr:uid="{CB22FBB1-377D-43D1-B520-F29BE896BB4D}"/>
    <hyperlink ref="A3115" r:id="rId9340" display="https://statiz.sporki.com/player/?m=playerinfo&amp;p_no=1819" xr:uid="{E43D1C97-6FD0-432B-A5E6-7FD10F137F6A}"/>
    <hyperlink ref="B3115" r:id="rId9341" display="https://statiz.sporki.com/add/?m=draft_school01&amp;ps_school=50107" xr:uid="{CE448494-3835-4EDD-A475-9ED069318FC9}"/>
    <hyperlink ref="C3115" r:id="rId9342" display="https://statiz.sporki.com/add/?m=draft_school02&amp;ps_school=60103" xr:uid="{D4730B3B-EB54-4218-81AF-524339382182}"/>
    <hyperlink ref="A3116" r:id="rId9343" display="https://statiz.sporki.com/player/?m=playerinfo&amp;p_no=12964" xr:uid="{11E0B28D-04AD-4789-896F-7718ADB526AD}"/>
    <hyperlink ref="B3116" r:id="rId9344" display="https://statiz.sporki.com/add/?m=draft_school01&amp;ps_school=50126" xr:uid="{4FCEF00D-7E4E-4A86-AE83-9E4B3165BA21}"/>
    <hyperlink ref="C3116" r:id="rId9345" display="https://statiz.sporki.com/add/?m=draft_school02&amp;ps_school=60111" xr:uid="{3E9ADB7B-E927-45BA-AACD-DC0F9B904210}"/>
    <hyperlink ref="A3117" r:id="rId9346" display="https://statiz.sporki.com/player/?m=playerinfo&amp;p_no=1843" xr:uid="{D1A0A9CF-E085-4C1C-8470-C3D3145B2D72}"/>
    <hyperlink ref="B3117" r:id="rId9347" display="https://statiz.sporki.com/add/?m=draft_school01&amp;ps_school=50115" xr:uid="{4611CFE7-ACD0-4369-9A83-843626B9B00E}"/>
    <hyperlink ref="C3117" r:id="rId9348" display="https://statiz.sporki.com/add/?m=draft_school02&amp;ps_school=60101" xr:uid="{4E224C55-88AF-4C1F-8352-326640A4DDC5}"/>
    <hyperlink ref="A3118" r:id="rId9349" display="https://statiz.sporki.com/player/?m=playerinfo&amp;p_no=10402" xr:uid="{70BA696A-34EF-418D-9F65-05159ED4952F}"/>
    <hyperlink ref="B3118" r:id="rId9350" display="https://statiz.sporki.com/add/?m=draft_school01&amp;ps_school=50112" xr:uid="{36875DFE-0F86-4A93-8F61-106EC97EFFF9}"/>
    <hyperlink ref="C3118" r:id="rId9351" display="https://statiz.sporki.com/add/?m=draft_school02&amp;ps_school=60102" xr:uid="{0E18A980-1D2D-4ACD-98F2-AA328F2234FF}"/>
    <hyperlink ref="A3119" r:id="rId9352" display="https://statiz.sporki.com/player/?m=playerinfo&amp;p_no=1840" xr:uid="{0BD01FE4-0029-4B1C-A631-260ED4E6239A}"/>
    <hyperlink ref="B3119" r:id="rId9353" display="https://statiz.sporki.com/add/?m=draft_school01&amp;ps_school=50814" xr:uid="{3C0F7F58-72E2-4D9E-984E-E231490C88D2}"/>
    <hyperlink ref="C3119" r:id="rId9354" display="https://statiz.sporki.com/add/?m=draft_school02&amp;ps_school=60801" xr:uid="{6909C221-F71D-45EC-8CF7-75BEDD0770AD}"/>
    <hyperlink ref="A3120" r:id="rId9355" display="https://statiz.sporki.com/player/?m=playerinfo&amp;p_no=1786" xr:uid="{77ED3A42-B1B0-41DA-83C8-E8F35AAE74BB}"/>
    <hyperlink ref="B3120" r:id="rId9356" display="https://statiz.sporki.com/add/?m=draft_school01&amp;ps_school=50802" xr:uid="{9BCCBB46-4E5E-4D0E-A688-7C8A99B06DBD}"/>
    <hyperlink ref="C3120" r:id="rId9357" display="https://statiz.sporki.com/add/?m=draft_school02&amp;ps_school=60803" xr:uid="{BE385898-A558-4B0C-BB17-2DDCA5E15C01}"/>
    <hyperlink ref="A3121" r:id="rId9358" display="https://statiz.sporki.com/player/?m=playerinfo&amp;p_no=14566" xr:uid="{F5F37E06-51C1-4E63-B5D0-B0D1ED52E6D1}"/>
    <hyperlink ref="B3121" r:id="rId9359" display="https://statiz.sporki.com/add/?m=draft_school01&amp;ps_school=50806" xr:uid="{AA6928BA-42A7-4E64-98B2-145C0C2D1520}"/>
    <hyperlink ref="C3121" r:id="rId9360" display="https://statiz.sporki.com/add/?m=draft_school02&amp;ps_school=60802" xr:uid="{EEC5E10E-D350-4BB7-AF35-6B796A12DCFD}"/>
    <hyperlink ref="A3122" r:id="rId9361" display="https://statiz.sporki.com/player/?m=playerinfo&amp;p_no=1932" xr:uid="{87D3F269-758B-41DE-B9BC-7420D2AC1DE9}"/>
    <hyperlink ref="B3122" r:id="rId9362" display="https://statiz.sporki.com/add/?m=draft_school01&amp;ps_school=50608" xr:uid="{5EE4E4C0-08C6-42D0-AFDF-C943BD33B5D6}"/>
    <hyperlink ref="C3122" r:id="rId9363" display="https://statiz.sporki.com/add/?m=draft_school02&amp;ps_school=60501" xr:uid="{58D03112-08AB-4035-A24D-C33FD797FF67}"/>
    <hyperlink ref="A3123" r:id="rId9364" display="https://statiz.sporki.com/player/?m=playerinfo&amp;p_no=1792" xr:uid="{3D14A3DC-CF29-4712-A6B0-E24F4844725E}"/>
    <hyperlink ref="B3123" r:id="rId9365" display="https://statiz.sporki.com/add/?m=draft_school01&amp;ps_school=50110" xr:uid="{B91D5560-F156-435A-A8D1-755DEC0D03CA}"/>
    <hyperlink ref="C3123" r:id="rId9366" display="https://statiz.sporki.com/add/?m=draft_school02&amp;ps_school=60203" xr:uid="{33782DD9-4C56-4DBD-BFD3-4337D165FDBD}"/>
    <hyperlink ref="A3124" r:id="rId9367" display="https://statiz.sporki.com/player/?m=playerinfo&amp;p_no=1800" xr:uid="{F0B85266-FCD9-4EFC-8060-7529EE3AE2D9}"/>
    <hyperlink ref="B3124" r:id="rId9368" display="https://statiz.sporki.com/add/?m=draft_school01&amp;ps_school=50403" xr:uid="{9B9F1821-98A4-4E38-891F-32E74BF9B056}"/>
    <hyperlink ref="C3124" r:id="rId9369" display="https://statiz.sporki.com/add/?m=draft_school02&amp;ps_school=60102" xr:uid="{4220DEB2-2885-4A85-ADA7-7F6862C795FE}"/>
    <hyperlink ref="A3125" r:id="rId9370" display="https://statiz.sporki.com/player/?m=playerinfo&amp;p_no=1820" xr:uid="{FE42F36F-CC85-454B-843F-31427F01B343}"/>
    <hyperlink ref="B3125" r:id="rId9371" display="https://statiz.sporki.com/add/?m=draft_school01&amp;ps_school=" xr:uid="{0E9B9C0D-154C-41C7-9FB2-12551D1C71D0}"/>
    <hyperlink ref="C3125" r:id="rId9372" display="https://statiz.sporki.com/add/?m=draft_school02&amp;ps_school=60801" xr:uid="{4587580F-21CA-493C-8D9F-80E831435DB3}"/>
    <hyperlink ref="A3126" r:id="rId9373" display="https://statiz.sporki.com/player/?m=playerinfo&amp;p_no=1854" xr:uid="{27BA4F13-93BB-41CB-92ED-487E68BAE7A7}"/>
    <hyperlink ref="B3126" r:id="rId9374" display="https://statiz.sporki.com/add/?m=draft_school01&amp;ps_school=50802" xr:uid="{9A04A7F0-5805-4F52-9D8B-A05AB25E69D6}"/>
    <hyperlink ref="C3126" r:id="rId9375" display="https://statiz.sporki.com/add/?m=draft_school02&amp;ps_school=60803" xr:uid="{6C32E9E9-0F0D-438C-8F94-27BE9D833CC4}"/>
    <hyperlink ref="A3127" r:id="rId9376" display="https://statiz.sporki.com/player/?m=playerinfo&amp;p_no=1794" xr:uid="{E093DB2D-9EF7-419B-8D8B-EBC3DC710990}"/>
    <hyperlink ref="B3127" r:id="rId9377" display="https://statiz.sporki.com/add/?m=draft_school01&amp;ps_school=50803" xr:uid="{CCF6FE30-76B7-4335-9404-B99181015253}"/>
    <hyperlink ref="C3127" r:id="rId9378" display="https://statiz.sporki.com/add/?m=draft_school02&amp;ps_school=60705" xr:uid="{1EA46923-35F5-44FD-9D5D-B1A9D1236686}"/>
    <hyperlink ref="A3128" r:id="rId9379" display="https://statiz.sporki.com/player/?m=playerinfo&amp;p_no=1795" xr:uid="{F00BE2EE-626B-406D-833E-373479C4E6C2}"/>
    <hyperlink ref="B3128" r:id="rId9380" display="https://statiz.sporki.com/add/?m=draft_school01&amp;ps_school=50803" xr:uid="{A5177E6D-F533-415E-8EE3-5F99C0917351}"/>
    <hyperlink ref="C3128" r:id="rId9381" display="https://statiz.sporki.com/add/?m=draft_school02&amp;ps_school=60705" xr:uid="{8DA7125B-FBEB-44CF-B81A-41CEDADD79E3}"/>
    <hyperlink ref="A3129" r:id="rId9382" display="https://statiz.sporki.com/player/?m=playerinfo&amp;p_no=1810" xr:uid="{76268120-1F3B-4C3A-9FAF-FCB46E99A047}"/>
    <hyperlink ref="B3129" r:id="rId9383" display="https://statiz.sporki.com/add/?m=draft_school01&amp;ps_school=50802" xr:uid="{8AECE9D6-1094-4CFD-A6BF-AA1A5CE25630}"/>
    <hyperlink ref="C3129" r:id="rId9384" display="https://statiz.sporki.com/add/?m=draft_school02&amp;ps_school=60803" xr:uid="{B5C72E9A-667E-4DD0-9883-EFF33FDBDED5}"/>
    <hyperlink ref="A3130" r:id="rId9385" display="https://statiz.sporki.com/player/?m=playerinfo&amp;p_no=1796" xr:uid="{1D7A6985-1B93-4EBA-B016-FC24460D92A3}"/>
    <hyperlink ref="B3130" r:id="rId9386" display="https://statiz.sporki.com/add/?m=draft_school01&amp;ps_school=50701" xr:uid="{25212965-7A4A-42C8-AE9D-0436DC741362}"/>
    <hyperlink ref="C3130" r:id="rId9387" display="https://statiz.sporki.com/add/?m=draft_school02&amp;ps_school=60113" xr:uid="{BEC15566-308C-4CF9-89D7-D9523994AC39}"/>
    <hyperlink ref="A3131" r:id="rId9388" display="https://statiz.sporki.com/player/?m=playerinfo&amp;p_no=1850" xr:uid="{D26C04CE-06FC-45CE-B2BF-CC1046382453}"/>
    <hyperlink ref="B3131" r:id="rId9389" display="https://statiz.sporki.com/add/?m=draft_school01&amp;ps_school=50110" xr:uid="{3E4A6AF3-1158-40F2-9D35-AED9EAD47C00}"/>
    <hyperlink ref="C3131" r:id="rId9390" display="https://statiz.sporki.com/add/?m=draft_school02&amp;ps_school=60103" xr:uid="{F960982E-A503-4D44-9A71-EF08EEFDB983}"/>
    <hyperlink ref="A3132" r:id="rId9391" display="https://statiz.sporki.com/player/?m=playerinfo&amp;p_no=1863" xr:uid="{82F42D5B-B21D-4C36-875F-F275B552E052}"/>
    <hyperlink ref="B3132" r:id="rId9392" display="https://statiz.sporki.com/add/?m=draft_school01&amp;ps_school=50126" xr:uid="{BEC6140D-45F5-4F49-A3F1-B8FDDB80DAE2}"/>
    <hyperlink ref="C3132" r:id="rId9393" display="https://statiz.sporki.com/add/?m=draft_school02&amp;ps_school=60109" xr:uid="{46A31F85-29E2-4504-8AFB-342875EA84BF}"/>
    <hyperlink ref="A3133" r:id="rId9394" display="https://statiz.sporki.com/player/?m=playerinfo&amp;p_no=1809" xr:uid="{B9B2FDB7-E7B3-4C71-94A8-BFE32CEE9FD0}"/>
    <hyperlink ref="B3133" r:id="rId9395" display="https://statiz.sporki.com/add/?m=draft_school01&amp;ps_school=50301" xr:uid="{F5CC88E9-2E8E-4434-A380-529B71AEF0F6}"/>
    <hyperlink ref="C3133" r:id="rId9396" display="https://statiz.sporki.com/add/?m=draft_school02&amp;ps_school=60501" xr:uid="{5FA0DA03-FDEE-4A05-A432-97C3EC5D4C92}"/>
    <hyperlink ref="A3134" r:id="rId9397" display="https://statiz.sporki.com/player/?m=playerinfo&amp;p_no=1803" xr:uid="{9EC281E2-1FBE-4282-B9B0-8CA6AA685347}"/>
    <hyperlink ref="B3134" r:id="rId9398" display="https://statiz.sporki.com/add/?m=draft_school01&amp;ps_school=50805" xr:uid="{AFAC1494-EE89-4D91-A52D-511F649B1885}"/>
    <hyperlink ref="C3134" r:id="rId9399" display="https://statiz.sporki.com/add/?m=draft_school02&amp;ps_school=60111" xr:uid="{71812FB9-E484-41C7-9DFD-1922D9BB551C}"/>
    <hyperlink ref="A3135" r:id="rId9400" display="https://statiz.sporki.com/player/?m=playerinfo&amp;p_no=1856" xr:uid="{93FBB85D-932E-4D7E-9114-93D5D162B541}"/>
    <hyperlink ref="B3135" r:id="rId9401" display="https://statiz.sporki.com/add/?m=draft_school01&amp;ps_school=50114" xr:uid="{9B52C0AB-41E5-4484-A298-80E77FC74DC3}"/>
    <hyperlink ref="C3135" r:id="rId9402" display="https://statiz.sporki.com/add/?m=draft_school02&amp;ps_school=60501" xr:uid="{5F3F9084-03E2-4985-A0E5-4E967C17E8F2}"/>
    <hyperlink ref="A3136" r:id="rId9403" display="https://statiz.sporki.com/player/?m=playerinfo&amp;p_no=1787" xr:uid="{09BD29DA-0A58-49A8-A69F-0C9314490111}"/>
    <hyperlink ref="B3136" r:id="rId9404" display="https://statiz.sporki.com/add/?m=draft_school01&amp;ps_school=50110" xr:uid="{B86EF8AF-CBC8-42EE-9DFF-9C6AC7675DAD}"/>
    <hyperlink ref="C3136" r:id="rId9405" display="https://statiz.sporki.com/add/?m=draft_school02&amp;ps_school=60203" xr:uid="{CE24EBF2-3911-4E2C-A79B-60E40B4ACEC7}"/>
    <hyperlink ref="A3137" r:id="rId9406" display="https://statiz.sporki.com/player/?m=playerinfo&amp;p_no=10481" xr:uid="{E32C23BE-E8B7-41BB-9ABA-DC44BE4A0172}"/>
    <hyperlink ref="B3137" r:id="rId9407" display="https://statiz.sporki.com/add/?m=draft_school01&amp;ps_school=50126" xr:uid="{BEA65C2A-515E-4393-A7B1-4548AEA7D2E2}"/>
    <hyperlink ref="C3137" r:id="rId9408" display="https://statiz.sporki.com/add/?m=draft_school02&amp;ps_school=60111" xr:uid="{8CD77584-983B-47D4-BBBE-33B9A469AC56}"/>
    <hyperlink ref="A3138" r:id="rId9409" display="https://statiz.sporki.com/player/?m=playerinfo&amp;p_no=1831" xr:uid="{E2F22573-89FA-4683-91C8-12245A131DEE}"/>
    <hyperlink ref="B3138" r:id="rId9410" display="https://statiz.sporki.com/add/?m=draft_school01&amp;ps_school=50802" xr:uid="{6A2034BA-7997-4F47-9A59-15BF96561821}"/>
    <hyperlink ref="C3138" r:id="rId9411" display="https://statiz.sporki.com/add/?m=draft_school02&amp;ps_school=" xr:uid="{E93AAAB2-C201-45CE-97A0-3AE0D68577B5}"/>
    <hyperlink ref="A3139" r:id="rId9412" display="https://statiz.sporki.com/player/?m=playerinfo&amp;p_no=1862" xr:uid="{A2D7B74E-E7CF-41F5-83C1-4CF4D622185D}"/>
    <hyperlink ref="B3139" r:id="rId9413" display="https://statiz.sporki.com/add/?m=draft_school01&amp;ps_school=50805" xr:uid="{ACE5450E-1206-4F3E-B788-88EA7EC9E25B}"/>
    <hyperlink ref="C3139" r:id="rId9414" display="https://statiz.sporki.com/add/?m=draft_school02&amp;ps_school=60802" xr:uid="{13971FA7-6210-47B8-9A87-FAF6ECE92333}"/>
    <hyperlink ref="A3140" r:id="rId9415" display="https://statiz.sporki.com/player/?m=playerinfo&amp;p_no=1829" xr:uid="{207C732D-EA42-4E46-B57B-621A60EDA5CA}"/>
    <hyperlink ref="B3140" r:id="rId9416" display="https://statiz.sporki.com/add/?m=draft_school01&amp;ps_school=50804" xr:uid="{67341082-2B53-4DD2-B49C-EF543EB6CDAC}"/>
    <hyperlink ref="C3140" r:id="rId9417" display="https://statiz.sporki.com/add/?m=draft_school02&amp;ps_school=60802" xr:uid="{8F8EDC62-66B7-41AB-B56E-DB51046B819A}"/>
    <hyperlink ref="A3141" r:id="rId9418" display="https://statiz.sporki.com/player/?m=playerinfo&amp;p_no=1801" xr:uid="{CE247BD4-A54F-43AE-A82B-942FA1E5F2C8}"/>
    <hyperlink ref="B3141" r:id="rId9419" display="https://statiz.sporki.com/add/?m=draft_school01&amp;ps_school=50110" xr:uid="{1802D9EC-EBFF-4FD6-AF49-92B6E9637DB7}"/>
    <hyperlink ref="C3141" r:id="rId9420" display="https://statiz.sporki.com/add/?m=draft_school02&amp;ps_school=60803" xr:uid="{5108A5C4-5131-4016-BCC2-5845FF80A838}"/>
    <hyperlink ref="A3142" r:id="rId9421" display="https://statiz.sporki.com/player/?m=playerinfo&amp;p_no=1784" xr:uid="{3DC089B3-D9DB-4BD2-829C-34EE74288DB1}"/>
    <hyperlink ref="B3142" r:id="rId9422" display="https://statiz.sporki.com/add/?m=draft_school01&amp;ps_school=50114" xr:uid="{A2473A7A-C686-4D84-9277-175AFC87BDB1}"/>
    <hyperlink ref="C3142" r:id="rId9423" display="https://statiz.sporki.com/add/?m=draft_school02&amp;ps_school=60501" xr:uid="{4A5EEE1B-4676-4D18-9F5E-D1E3BC4FAA92}"/>
    <hyperlink ref="A3143" r:id="rId9424" display="https://statiz.sporki.com/player/?m=playerinfo&amp;p_no=1812" xr:uid="{AC8B7312-535E-46AF-B4D8-AF671DD921D5}"/>
    <hyperlink ref="B3143" r:id="rId9425" display="https://statiz.sporki.com/add/?m=draft_school01&amp;ps_school=50604" xr:uid="{61175163-248B-425E-AE53-7DBFB38DC39C}"/>
    <hyperlink ref="C3143" r:id="rId9426" display="https://statiz.sporki.com/add/?m=draft_school02&amp;ps_school=" xr:uid="{01AA3876-BAD0-4141-B3EA-F813B272DD94}"/>
    <hyperlink ref="A3144" r:id="rId9427" display="https://statiz.sporki.com/player/?m=playerinfo&amp;p_no=1849" xr:uid="{E10087AC-C989-4CCD-9A23-36FD8F2C2190}"/>
    <hyperlink ref="B3144" r:id="rId9428" display="https://statiz.sporki.com/add/?m=draft_school01&amp;ps_school=50202" xr:uid="{99511391-06DA-4015-9625-8B8559E3989F}"/>
    <hyperlink ref="C3144" r:id="rId9429" display="https://statiz.sporki.com/add/?m=draft_school02&amp;ps_school=60801" xr:uid="{61D8A909-D894-4116-A97C-AE0BB85DB34C}"/>
    <hyperlink ref="A3145" r:id="rId9430" display="https://statiz.sporki.com/player/?m=playerinfo&amp;p_no=12657" xr:uid="{B91E536F-BA37-4A4F-A9E2-D85A9A8E7E71}"/>
    <hyperlink ref="B3145" r:id="rId9431" display="https://statiz.sporki.com/add/?m=draft_school01&amp;ps_school=50805" xr:uid="{D3B357D7-0C67-432B-9D95-241D629EF6C4}"/>
    <hyperlink ref="C3145" r:id="rId9432" display="https://statiz.sporki.com/add/?m=draft_school02&amp;ps_school=60103" xr:uid="{0BA4033C-DF1C-4710-81E7-E44D8F2C76D1}"/>
    <hyperlink ref="A3146" r:id="rId9433" display="https://statiz.sporki.com/player/?m=playerinfo&amp;p_no=1782" xr:uid="{41776CC0-685F-4E92-B0C8-35A1987FEF55}"/>
    <hyperlink ref="B3146" r:id="rId9434" display="https://statiz.sporki.com/add/?m=draft_school01&amp;ps_school=50109" xr:uid="{881DC2C1-50BA-413B-AA6A-DF909674D740}"/>
    <hyperlink ref="C3146" r:id="rId9435" display="https://statiz.sporki.com/add/?m=draft_school02&amp;ps_school=60203" xr:uid="{93757DDC-93AA-4C6C-BF5B-86470BE18CD1}"/>
    <hyperlink ref="A3147" r:id="rId9436" display="https://statiz.sporki.com/player/?m=playerinfo&amp;p_no=10511" xr:uid="{4E05E2F4-1A43-4CD7-AD68-12F5455CDC39}"/>
    <hyperlink ref="B3147" r:id="rId9437" display="https://statiz.sporki.com/add/?m=draft_school01&amp;ps_school=50813" xr:uid="{1912AE08-B840-478D-A5F2-1D889C7DDA57}"/>
    <hyperlink ref="C3147" r:id="rId9438" display="https://statiz.sporki.com/add/?m=draft_school02&amp;ps_school=" xr:uid="{C1275E20-F467-4CDD-8BD8-48287E870363}"/>
    <hyperlink ref="A3148" r:id="rId9439" display="https://statiz.sporki.com/player/?m=playerinfo&amp;p_no=1833" xr:uid="{E0324356-C336-441F-909C-86A9A29E9237}"/>
    <hyperlink ref="B3148" r:id="rId9440" display="https://statiz.sporki.com/add/?m=draft_school01&amp;ps_school=51100" xr:uid="{633AB3D1-B7EF-4CF0-B51F-F2A9DCB28C68}"/>
    <hyperlink ref="C3148" r:id="rId9441" display="https://statiz.sporki.com/add/?m=draft_school02&amp;ps_school=" xr:uid="{7AA9BC7A-A8A7-435C-9236-6C5CFA6814CD}"/>
    <hyperlink ref="A3149" r:id="rId9442" display="https://statiz.sporki.com/player/?m=playerinfo&amp;p_no=1797" xr:uid="{49380400-5B51-4D55-8858-A63E32063D85}"/>
    <hyperlink ref="B3149" r:id="rId9443" display="https://statiz.sporki.com/add/?m=draft_school01&amp;ps_school=" xr:uid="{3434CB03-B064-486F-96C0-921BB5E8907A}"/>
    <hyperlink ref="C3149" r:id="rId9444" display="https://statiz.sporki.com/add/?m=draft_school02&amp;ps_school=" xr:uid="{46E3E407-9805-413D-BD97-C5BE11FBCAEC}"/>
    <hyperlink ref="A3150" r:id="rId9445" display="https://statiz.sporki.com/player/?m=playerinfo&amp;p_no=1788" xr:uid="{9FC038FF-C8AD-4E94-A4E7-78774A0EFF77}"/>
    <hyperlink ref="B3150" r:id="rId9446" display="https://statiz.sporki.com/add/?m=draft_school01&amp;ps_school=" xr:uid="{836BF0AA-BB6A-4E74-AECF-DC022DCB2F60}"/>
    <hyperlink ref="C3150" r:id="rId9447" display="https://statiz.sporki.com/add/?m=draft_school02&amp;ps_school=" xr:uid="{D2C27719-16B2-453B-A616-FB27E39021BF}"/>
    <hyperlink ref="A3151" r:id="rId9448" display="https://statiz.sporki.com/player/?m=playerinfo&amp;p_no=1953" xr:uid="{0CA3B6DC-3E0D-4D68-B47C-4A7C5F51AA68}"/>
    <hyperlink ref="B3151" r:id="rId9449" display="https://statiz.sporki.com/add/?m=draft_school01&amp;ps_school=50108" xr:uid="{E6FA0376-D127-4FBD-9F25-1DABAF92E833}"/>
    <hyperlink ref="C3151" r:id="rId9450" display="https://statiz.sporki.com/add/?m=draft_school02&amp;ps_school=60102" xr:uid="{F3D47D84-4BCA-403F-9150-F4B56A8D46C2}"/>
    <hyperlink ref="A3152" r:id="rId9451" display="https://statiz.sporki.com/player/?m=playerinfo&amp;p_no=1846" xr:uid="{28C8C509-B7BB-4C5D-B406-D804BF33DEB3}"/>
    <hyperlink ref="B3152" r:id="rId9452" display="https://statiz.sporki.com/add/?m=draft_school01&amp;ps_school=50804" xr:uid="{96749FE2-DBAF-43A2-8D2D-B7E7321718B0}"/>
    <hyperlink ref="C3152" r:id="rId9453" display="https://statiz.sporki.com/add/?m=draft_school02&amp;ps_school=60203" xr:uid="{0811F7BB-1802-4350-BC3E-87EE6722A633}"/>
    <hyperlink ref="A3153" r:id="rId9454" display="https://statiz.sporki.com/player/?m=playerinfo&amp;p_no=1872" xr:uid="{640B96E8-1D27-426E-9830-84DD941887B1}"/>
    <hyperlink ref="B3153" r:id="rId9455" display="https://statiz.sporki.com/add/?m=draft_school01&amp;ps_school=50805" xr:uid="{1928B89E-737D-46C3-8FD6-BDAC7AF68BD8}"/>
    <hyperlink ref="C3153" r:id="rId9456" display="https://statiz.sporki.com/add/?m=draft_school02&amp;ps_school=60802" xr:uid="{C63DC2A3-2776-4A24-8ECA-C5DEB7F8DAD8}"/>
    <hyperlink ref="A3154" r:id="rId9457" display="https://statiz.sporki.com/player/?m=playerinfo&amp;p_no=1827" xr:uid="{CA69480F-9334-4B29-A851-136E0EFB00D5}"/>
    <hyperlink ref="B3154" r:id="rId9458" display="https://statiz.sporki.com/add/?m=draft_school01&amp;ps_school=" xr:uid="{0A4C0E80-EB6C-41DC-8289-285ACD2EBDBF}"/>
    <hyperlink ref="C3154" r:id="rId9459" display="https://statiz.sporki.com/add/?m=draft_school02&amp;ps_school=60203" xr:uid="{C021898C-A2E2-4A2F-A8A9-5092CF13A5D1}"/>
    <hyperlink ref="A3155" r:id="rId9460" display="https://statiz.sporki.com/player/?m=playerinfo&amp;p_no=1828" xr:uid="{BBF3A881-4DFA-4A4F-88B9-4E9C17C3444A}"/>
    <hyperlink ref="B3155" r:id="rId9461" display="https://statiz.sporki.com/add/?m=draft_school01&amp;ps_school=50702" xr:uid="{C80E76A4-93E9-4BD6-AEF6-BB41AF171FC4}"/>
    <hyperlink ref="C3155" r:id="rId9462" display="https://statiz.sporki.com/add/?m=draft_school02&amp;ps_school=60705" xr:uid="{E6EBD27D-A1B0-4969-87B3-0828002951B0}"/>
    <hyperlink ref="A3156" r:id="rId9463" display="https://statiz.sporki.com/player/?m=playerinfo&amp;p_no=1839" xr:uid="{0E69C4EC-66BA-4951-991D-37EB86E394D4}"/>
    <hyperlink ref="B3156" r:id="rId9464" display="https://statiz.sporki.com/add/?m=draft_school01&amp;ps_school=50604" xr:uid="{B1ACAB70-AC94-4609-A043-5307EE57766D}"/>
    <hyperlink ref="C3156" r:id="rId9465" display="https://statiz.sporki.com/add/?m=draft_school02&amp;ps_school=60204" xr:uid="{D0E26B84-D614-4F4A-9003-A39E6DA9E668}"/>
    <hyperlink ref="A3157" r:id="rId9466" display="https://statiz.sporki.com/player/?m=playerinfo&amp;p_no=1821" xr:uid="{2FD4D5D9-0A28-4C01-8B34-6625E0D4DF40}"/>
    <hyperlink ref="B3157" r:id="rId9467" display="https://statiz.sporki.com/add/?m=draft_school01&amp;ps_school=50109" xr:uid="{F14FF8E9-9310-4221-93DD-324F741A1817}"/>
    <hyperlink ref="C3157" r:id="rId9468" display="https://statiz.sporki.com/add/?m=draft_school02&amp;ps_school=60101" xr:uid="{09F8904D-7FA1-4532-AE8B-93123F8E3D07}"/>
    <hyperlink ref="A3158" r:id="rId9469" display="https://statiz.sporki.com/player/?m=playerinfo&amp;p_no=1808" xr:uid="{F27A4E9B-6577-485F-AF42-E19E88E9E9ED}"/>
    <hyperlink ref="B3158" r:id="rId9470" display="https://statiz.sporki.com/add/?m=draft_school01&amp;ps_school=50604" xr:uid="{680D3FB9-DD7A-43D7-981D-FE68823C95EE}"/>
    <hyperlink ref="C3158" r:id="rId9471" display="https://statiz.sporki.com/add/?m=draft_school02&amp;ps_school=60204" xr:uid="{168F654D-EAE1-4669-A182-67F9A20026F5}"/>
    <hyperlink ref="A3159" r:id="rId9472" display="https://statiz.sporki.com/player/?m=playerinfo&amp;p_no=10109" xr:uid="{9B2B5F9E-42D8-48A3-A27D-176847E03C43}"/>
    <hyperlink ref="B3159" r:id="rId9473" display="https://statiz.sporki.com/add/?m=draft_school01&amp;ps_school=50110" xr:uid="{CC7D11C8-60FD-4AB6-BA4D-8B4AC5ABEB12}"/>
    <hyperlink ref="C3159" r:id="rId9474" display="https://statiz.sporki.com/add/?m=draft_school02&amp;ps_school=" xr:uid="{269CCD98-5169-4FEE-B9A4-1C9DB2646D4E}"/>
    <hyperlink ref="A3160" r:id="rId9475" display="https://statiz.sporki.com/player/?m=playerinfo&amp;p_no=1869" xr:uid="{C122D1B9-F129-4454-94C0-72FECCF69EA3}"/>
    <hyperlink ref="B3160" r:id="rId9476" display="https://statiz.sporki.com/add/?m=draft_school01&amp;ps_school=50116" xr:uid="{3C87ED8C-0884-4F26-8267-75A2F37E0462}"/>
    <hyperlink ref="C3160" r:id="rId9477" display="https://statiz.sporki.com/add/?m=draft_school02&amp;ps_school=" xr:uid="{66F5044A-4D8F-4E0C-A739-D9460885FBBF}"/>
    <hyperlink ref="A3161" r:id="rId9478" display="https://statiz.sporki.com/player/?m=playerinfo&amp;p_no=1832" xr:uid="{5D050B4A-2704-422C-BF7D-A5F4665FC2CA}"/>
    <hyperlink ref="B3161" r:id="rId9479" display="https://statiz.sporki.com/add/?m=draft_school01&amp;ps_school=50114" xr:uid="{0270F012-55DF-44CE-9EDF-F9C7AF6043EB}"/>
    <hyperlink ref="C3161" r:id="rId9480" display="https://statiz.sporki.com/add/?m=draft_school02&amp;ps_school=" xr:uid="{F4627EC8-9AA5-4EDF-8CFC-922D50FA0BE5}"/>
    <hyperlink ref="A3162" r:id="rId9481" display="https://statiz.sporki.com/player/?m=playerinfo&amp;p_no=1790" xr:uid="{C956E9DE-3E6C-45A5-AD15-5CA744BB2EA9}"/>
    <hyperlink ref="B3162" r:id="rId9482" display="https://statiz.sporki.com/add/?m=draft_school01&amp;ps_school=50116" xr:uid="{6B1C222A-C27A-4A8C-A353-4FF0040D771B}"/>
    <hyperlink ref="C3162" r:id="rId9483" display="https://statiz.sporki.com/add/?m=draft_school02&amp;ps_school=" xr:uid="{BDB84B58-2E6B-41DA-BF95-3E1D534D5A09}"/>
    <hyperlink ref="A3163" r:id="rId9484" display="https://statiz.sporki.com/player/?m=playerinfo&amp;p_no=1811" xr:uid="{2540C537-5E57-41A6-918E-4A0519866434}"/>
    <hyperlink ref="B3163" r:id="rId9485" display="https://statiz.sporki.com/add/?m=draft_school01&amp;ps_school=50121" xr:uid="{FD81DFAC-DF26-4874-809E-91D3D6851AAD}"/>
    <hyperlink ref="C3163" r:id="rId9486" display="https://statiz.sporki.com/add/?m=draft_school02&amp;ps_school=" xr:uid="{4473888D-D655-47B4-8E39-7AD96412B497}"/>
    <hyperlink ref="A3164" r:id="rId9487" display="https://statiz.sporki.com/player/?m=playerinfo&amp;p_no=1793" xr:uid="{851C1774-5637-4FE3-B41A-7D3C0C0D2237}"/>
    <hyperlink ref="B3164" r:id="rId9488" display="https://statiz.sporki.com/add/?m=draft_school01&amp;ps_school=50101" xr:uid="{B0DC55D4-BE67-4C97-A634-ABB6B7FE3243}"/>
    <hyperlink ref="C3164" r:id="rId9489" display="https://statiz.sporki.com/add/?m=draft_school02&amp;ps_school=" xr:uid="{DDFD7B58-DA12-4076-9B34-6D118721B7EA}"/>
    <hyperlink ref="A3165" r:id="rId9490" display="https://statiz.sporki.com/player/?m=playerinfo&amp;p_no=1791" xr:uid="{B259988A-0965-4082-A483-AFAFAE045356}"/>
    <hyperlink ref="B3165" r:id="rId9491" display="https://statiz.sporki.com/add/?m=draft_school01&amp;ps_school=50101" xr:uid="{73A627B1-1DFA-4CD4-B022-FAD18CEA9B8D}"/>
    <hyperlink ref="C3165" r:id="rId9492" display="https://statiz.sporki.com/add/?m=draft_school02&amp;ps_school=" xr:uid="{CA5C709F-312F-41F7-95EE-1297997E3FC4}"/>
    <hyperlink ref="A3166" r:id="rId9493" display="https://statiz.sporki.com/player/?m=playerinfo&amp;p_no=1847" xr:uid="{4BAFF126-362A-48F9-93CA-06CC6EF987A8}"/>
    <hyperlink ref="B3166" r:id="rId9494" display="https://statiz.sporki.com/add/?m=draft_school01&amp;ps_school=50107" xr:uid="{84DE90CF-AA3A-4779-B77D-069FDA3EABAE}"/>
    <hyperlink ref="C3166" r:id="rId9495" display="https://statiz.sporki.com/add/?m=draft_school02&amp;ps_school=" xr:uid="{84541869-896D-4DC0-81D8-24E9A7B23622}"/>
    <hyperlink ref="A3167" r:id="rId9496" display="https://statiz.sporki.com/player/?m=playerinfo&amp;p_no=1825" xr:uid="{8E4E5264-8C20-40FC-8D67-50E7731D18FF}"/>
    <hyperlink ref="B3167" r:id="rId9497" display="https://statiz.sporki.com/add/?m=draft_school01&amp;ps_school=50103" xr:uid="{85517032-EDD3-4DF2-9962-F92D43692F00}"/>
    <hyperlink ref="C3167" r:id="rId9498" display="https://statiz.sporki.com/add/?m=draft_school02&amp;ps_school=" xr:uid="{72D7780C-3FD9-459E-AD54-B2CB936415B7}"/>
    <hyperlink ref="A3168" r:id="rId9499" display="https://statiz.sporki.com/player/?m=playerinfo&amp;p_no=1806" xr:uid="{70A3C243-D218-4C7E-811D-B035C5B1E2EC}"/>
    <hyperlink ref="B3168" r:id="rId9500" display="https://statiz.sporki.com/add/?m=draft_school01&amp;ps_school=50112" xr:uid="{56AECA13-F54E-4AB4-97DD-48C58795713E}"/>
    <hyperlink ref="C3168" r:id="rId9501" display="https://statiz.sporki.com/add/?m=draft_school02&amp;ps_school=" xr:uid="{1BAA4530-2B58-402A-9F70-D98FFD3006EF}"/>
    <hyperlink ref="A3169" r:id="rId9502" display="https://statiz.sporki.com/player/?m=playerinfo&amp;p_no=1834" xr:uid="{88201347-0DDD-401D-B725-E359D6076048}"/>
    <hyperlink ref="B3169" r:id="rId9503" display="https://statiz.sporki.com/add/?m=draft_school01&amp;ps_school=50805" xr:uid="{FAD29531-B9D8-4F88-BD25-9BAE4C87FA0B}"/>
    <hyperlink ref="C3169" r:id="rId9504" display="https://statiz.sporki.com/add/?m=draft_school02&amp;ps_school=" xr:uid="{B21A0197-D67E-4D61-A2F1-5027C9476F38}"/>
    <hyperlink ref="A3170" r:id="rId9505" display="https://statiz.sporki.com/player/?m=playerinfo&amp;p_no=1851" xr:uid="{F0C16BE1-C5DF-4D02-9DF9-DBF80C78091F}"/>
    <hyperlink ref="B3170" r:id="rId9506" display="https://statiz.sporki.com/add/?m=draft_school01&amp;ps_school=50806" xr:uid="{D0AD2EC1-053D-4E4A-BC2E-4E9DEEE9FD09}"/>
    <hyperlink ref="C3170" r:id="rId9507" display="https://statiz.sporki.com/add/?m=draft_school02&amp;ps_school=" xr:uid="{1720624B-97E2-44B4-9360-80E4FE4CDB06}"/>
    <hyperlink ref="A3171" r:id="rId9508" display="https://statiz.sporki.com/player/?m=playerinfo&amp;p_no=1855" xr:uid="{7605232D-1B38-4E3A-8BC1-B360B0575B79}"/>
    <hyperlink ref="B3171" r:id="rId9509" display="https://statiz.sporki.com/add/?m=draft_school01&amp;ps_school=50802" xr:uid="{4B1C9D7E-8BB0-42C8-832B-CD142D0FFF3F}"/>
    <hyperlink ref="C3171" r:id="rId9510" display="https://statiz.sporki.com/add/?m=draft_school02&amp;ps_school=" xr:uid="{8621F2DA-6BB7-45B1-BB1C-13D45961DB79}"/>
    <hyperlink ref="A3172" r:id="rId9511" display="https://statiz.sporki.com/player/?m=playerinfo&amp;p_no=1807" xr:uid="{82737C60-3283-4772-9EB7-F1EE6E2C08B9}"/>
    <hyperlink ref="B3172" r:id="rId9512" display="https://statiz.sporki.com/add/?m=draft_school01&amp;ps_school=50701" xr:uid="{5A48DEA7-BD31-4A25-B237-5C03CDF971E8}"/>
    <hyperlink ref="C3172" r:id="rId9513" display="https://statiz.sporki.com/add/?m=draft_school02&amp;ps_school=" xr:uid="{3306DEC2-8830-436C-AEDE-29F78E5E210A}"/>
    <hyperlink ref="A3173" r:id="rId9514" display="https://statiz.sporki.com/player/?m=playerinfo&amp;p_no=1848" xr:uid="{B2C02EFB-41E1-42C4-B4D1-868283241A4F}"/>
    <hyperlink ref="B3173" r:id="rId9515" display="https://statiz.sporki.com/add/?m=draft_school01&amp;ps_school=50209" xr:uid="{E9468B90-06EC-43BA-A0F5-F1C81F2A1AF0}"/>
    <hyperlink ref="C3173" r:id="rId9516" display="https://statiz.sporki.com/add/?m=draft_school02&amp;ps_school=" xr:uid="{264977C8-49CE-4502-B9FF-BDAC0B87B3C2}"/>
    <hyperlink ref="A3174" r:id="rId9517" display="https://statiz.sporki.com/player/?m=playerinfo&amp;p_no=10153" xr:uid="{0DD94647-B92D-4577-99A7-7B63AE71BC24}"/>
    <hyperlink ref="B3174" r:id="rId9518" display="https://statiz.sporki.com/add/?m=draft_school01&amp;ps_school=50202" xr:uid="{0ACA82F4-C2DC-4519-B5B8-C27447D38EB2}"/>
    <hyperlink ref="C3174" r:id="rId9519" display="https://statiz.sporki.com/add/?m=draft_school02&amp;ps_school=" xr:uid="{D411E75D-3ACC-43AF-AAB7-2DFF9F6E091A}"/>
    <hyperlink ref="A3175" r:id="rId9520" display="https://statiz.sporki.com/player/?m=playerinfo&amp;p_no=1817" xr:uid="{852E0F87-3B31-46C3-8C88-B19EB83590D2}"/>
    <hyperlink ref="B3175" r:id="rId9521" display="https://statiz.sporki.com/add/?m=draft_school01&amp;ps_school=50403" xr:uid="{7BA093A1-5458-4ED1-9798-A42A5AB998AC}"/>
    <hyperlink ref="C3175" r:id="rId9522" display="https://statiz.sporki.com/add/?m=draft_school02&amp;ps_school=" xr:uid="{C10AECFB-BA0B-420E-927E-206623C43917}"/>
    <hyperlink ref="A3176" r:id="rId9523" display="https://statiz.sporki.com/player/?m=playerinfo&amp;p_no=1785" xr:uid="{2289EBF6-3FE8-4B62-9438-ABFFF78D7A0F}"/>
    <hyperlink ref="B3176" r:id="rId9524" display="https://statiz.sporki.com/add/?m=draft_school01&amp;ps_school=50301" xr:uid="{1A83A04B-DB9E-4747-9A35-75C1A7087B19}"/>
    <hyperlink ref="C3176" r:id="rId9525" display="https://statiz.sporki.com/add/?m=draft_school02&amp;ps_school=" xr:uid="{5277476E-FB16-4006-AC48-F87C7E68229E}"/>
    <hyperlink ref="A3177" r:id="rId9526" display="https://statiz.sporki.com/player/?m=playerinfo&amp;p_no=1891" xr:uid="{1D67A89A-E432-46C7-839D-DF0CD329F010}"/>
    <hyperlink ref="B3177" r:id="rId9527" display="https://statiz.sporki.com/add/?m=draft_school01&amp;ps_school=50609" xr:uid="{312460C5-7D7E-4732-B28C-1F9F05596C02}"/>
    <hyperlink ref="C3177" r:id="rId9528" display="https://statiz.sporki.com/add/?m=draft_school02&amp;ps_school=" xr:uid="{09CF41D6-768E-4E89-A763-BE62B89E60E4}"/>
    <hyperlink ref="A3178" r:id="rId9529" display="https://statiz.sporki.com/player/?m=playerinfo&amp;p_no=11238" xr:uid="{16573896-F782-4A19-87E4-4D5F95D0FBCD}"/>
    <hyperlink ref="B3178" r:id="rId9530" display="https://statiz.sporki.com/add/?m=draft_school01&amp;ps_school=50114" xr:uid="{FA865014-3537-49AA-9AC0-478873BD2F95}"/>
    <hyperlink ref="C3178" r:id="rId9531" display="https://statiz.sporki.com/add/?m=draft_school02&amp;ps_school=" xr:uid="{C7BC37A6-E31A-47EC-AD92-CBD87213C00C}"/>
    <hyperlink ref="A3179" r:id="rId9532" display="https://statiz.sporki.com/player/?m=playerinfo&amp;p_no=10101" xr:uid="{779DF168-976B-4D8C-B0A3-AD0DA29C1175}"/>
    <hyperlink ref="B3179" r:id="rId9533" display="https://statiz.sporki.com/add/?m=draft_school01&amp;ps_school=50602" xr:uid="{E0DD6C44-16FC-47A7-87C7-90FAE8DA8461}"/>
    <hyperlink ref="C3179" r:id="rId9534" display="https://statiz.sporki.com/add/?m=draft_school02&amp;ps_school=60606" xr:uid="{65F8ABD8-8AFC-44EB-A5B4-5D1AA4A85E11}"/>
    <hyperlink ref="A3180" r:id="rId9535" display="https://statiz.sporki.com/player/?m=playerinfo&amp;p_no=1858" xr:uid="{DC867B6B-2A0E-4D21-A7F6-A784FCF5E757}"/>
    <hyperlink ref="B3180" r:id="rId9536" display="https://statiz.sporki.com/add/?m=draft_school01&amp;ps_school=50701" xr:uid="{8568AFEA-E3F3-47D3-9962-AC9D52D9B036}"/>
    <hyperlink ref="C3180" r:id="rId9537" display="https://statiz.sporki.com/add/?m=draft_school02&amp;ps_school=" xr:uid="{9EC7423D-1764-4283-BB4D-E5F29FE4D45C}"/>
    <hyperlink ref="A3181" r:id="rId9538" display="https://statiz.sporki.com/player/?m=playerinfo&amp;p_no=1937" xr:uid="{B64CF2AD-C273-43E0-9E60-B7B7640DBB0C}"/>
    <hyperlink ref="B3181" r:id="rId9539" display="https://statiz.sporki.com/add/?m=draft_school01&amp;ps_school=50502" xr:uid="{14A85255-7B9E-43FF-B74E-772198B1C8B5}"/>
    <hyperlink ref="C3181" r:id="rId9540" display="https://statiz.sporki.com/add/?m=draft_school02&amp;ps_school=" xr:uid="{D345F825-D4DC-494C-B779-D3B35D596E98}"/>
    <hyperlink ref="A3182" r:id="rId9541" display="https://statiz.sporki.com/player/?m=playerinfo&amp;p_no=1762" xr:uid="{3DBF7AFD-690B-4A9A-8298-058BC3BF44DF}"/>
    <hyperlink ref="B3182" r:id="rId9542" display="https://statiz.sporki.com/add/?m=draft_school01&amp;ps_school=50107" xr:uid="{A0007291-22E5-4118-96C7-476BC21F1CBF}"/>
    <hyperlink ref="C3182" r:id="rId9543" display="https://statiz.sporki.com/add/?m=draft_school02&amp;ps_school=60103" xr:uid="{F4D87D85-B810-4C33-A575-AA1640505200}"/>
    <hyperlink ref="A3183" r:id="rId9544" display="https://statiz.sporki.com/player/?m=playerinfo&amp;p_no=1757" xr:uid="{5F712826-220F-42BA-8136-D7ED8C487473}"/>
    <hyperlink ref="B3183" r:id="rId9545" display="https://statiz.sporki.com/add/?m=draft_school01&amp;ps_school=50107" xr:uid="{C95CF632-4625-48D8-9FF9-EADA1698F20F}"/>
    <hyperlink ref="C3183" r:id="rId9546" display="https://statiz.sporki.com/add/?m=draft_school02&amp;ps_school=60101" xr:uid="{A5756518-0A71-4C9A-8975-47D452C82CB2}"/>
    <hyperlink ref="A3184" r:id="rId9547" display="https://statiz.sporki.com/player/?m=playerinfo&amp;p_no=1893" xr:uid="{F12D6555-6C40-4ED2-B2A0-6CD5D7E97897}"/>
    <hyperlink ref="B3184" r:id="rId9548" display="https://statiz.sporki.com/add/?m=draft_school01&amp;ps_school=50803" xr:uid="{D545C145-91E2-43E7-A5B5-AEF29A0B690A}"/>
    <hyperlink ref="C3184" r:id="rId9549" display="https://statiz.sporki.com/add/?m=draft_school02&amp;ps_school=60802" xr:uid="{19D2B3AB-BC42-481F-879A-A8FCF17DD8D3}"/>
    <hyperlink ref="A3185" r:id="rId9550" display="https://statiz.sporki.com/player/?m=playerinfo&amp;p_no=10339" xr:uid="{ADB294F0-450B-48D3-B859-59C7D56D2CC8}"/>
    <hyperlink ref="B3185" r:id="rId9551" display="https://statiz.sporki.com/add/?m=draft_school01&amp;ps_school=50711" xr:uid="{A0DD1155-8388-470F-B26A-4F396D66D832}"/>
    <hyperlink ref="C3185" r:id="rId9552" display="https://statiz.sporki.com/add/?m=draft_school02&amp;ps_school=60703" xr:uid="{2EF896D0-3331-4747-BC93-11BDEAC71707}"/>
    <hyperlink ref="A3186" r:id="rId9553" display="https://statiz.sporki.com/player/?m=playerinfo&amp;p_no=1804" xr:uid="{26186CAB-280B-424B-BB22-3D50B217FE17}"/>
    <hyperlink ref="B3186" r:id="rId9554" display="https://statiz.sporki.com/add/?m=draft_school01&amp;ps_school=50501" xr:uid="{0C7BFEC2-F7D9-4C5F-8599-7EA326D69464}"/>
    <hyperlink ref="C3186" r:id="rId9555" display="https://statiz.sporki.com/add/?m=draft_school02&amp;ps_school=60501" xr:uid="{70AF49BA-E000-4EE8-8ABA-91DFA95A91DD}"/>
    <hyperlink ref="A3187" r:id="rId9556" display="https://statiz.sporki.com/player/?m=playerinfo&amp;p_no=1769" xr:uid="{11C3B54C-52D0-4DDB-A067-5CB82D68DAE2}"/>
    <hyperlink ref="B3187" r:id="rId9557" display="https://statiz.sporki.com/add/?m=draft_school01&amp;ps_school=50209" xr:uid="{7BC0AC43-7F7F-4AFB-A0CF-22273266293A}"/>
    <hyperlink ref="C3187" r:id="rId9558" display="https://statiz.sporki.com/add/?m=draft_school02&amp;ps_school=60203" xr:uid="{7F78AA83-47FF-49BF-B77D-1B7D0CEB708D}"/>
    <hyperlink ref="A3188" r:id="rId9559" display="https://statiz.sporki.com/player/?m=playerinfo&amp;p_no=10580" xr:uid="{5ABF3650-9FC7-4D74-9330-02176B2A1BF8}"/>
    <hyperlink ref="B3188" r:id="rId9560" display="https://statiz.sporki.com/add/?m=draft_school01&amp;ps_school=50402" xr:uid="{ED9A28FA-7DD3-4ECB-9E83-CBFA72AFCE00}"/>
    <hyperlink ref="C3188" r:id="rId9561" display="https://statiz.sporki.com/add/?m=draft_school02&amp;ps_school=60113" xr:uid="{3A07AF81-6562-4665-8ADD-AED0DF8DBF01}"/>
    <hyperlink ref="A3189" r:id="rId9562" display="https://statiz.sporki.com/player/?m=playerinfo&amp;p_no=10036" xr:uid="{C100B6F5-51C0-4ECF-B43A-7F084879C59A}"/>
    <hyperlink ref="B3189" r:id="rId9563" display="https://statiz.sporki.com/add/?m=draft_school01&amp;ps_school=50602" xr:uid="{6EF801C8-48FE-4F57-9F24-B317A6869F5B}"/>
    <hyperlink ref="C3189" r:id="rId9564" display="https://statiz.sporki.com/add/?m=draft_school02&amp;ps_school=60101" xr:uid="{AB25685F-22D5-424F-999D-7B9C43744B10}"/>
    <hyperlink ref="A3190" r:id="rId9565" display="https://statiz.sporki.com/player/?m=playerinfo&amp;p_no=1724" xr:uid="{E81B0CA4-7D45-4D6E-AD4C-F8EBF04FEE1A}"/>
    <hyperlink ref="B3190" r:id="rId9566" display="https://statiz.sporki.com/add/?m=draft_school01&amp;ps_school=50702" xr:uid="{E6BBC973-E0CA-4174-B411-DC8BAA96103A}"/>
    <hyperlink ref="C3190" r:id="rId9567" display="https://statiz.sporki.com/add/?m=draft_school02&amp;ps_school=60705" xr:uid="{3A45C99D-8EBA-4E97-8DFA-367BCBECBD1F}"/>
    <hyperlink ref="A3191" r:id="rId9568" display="https://statiz.sporki.com/player/?m=playerinfo&amp;p_no=1727" xr:uid="{24BE7F53-A368-4215-BB44-37D8CF1B1EE4}"/>
    <hyperlink ref="B3191" r:id="rId9569" display="https://statiz.sporki.com/add/?m=draft_school01&amp;ps_school=50805" xr:uid="{AB36FD9F-254D-4302-B22D-B939A88D433A}"/>
    <hyperlink ref="C3191" r:id="rId9570" display="https://statiz.sporki.com/add/?m=draft_school02&amp;ps_school=60803" xr:uid="{DEBDF8C3-97CB-436F-A93C-43AB911BDFAF}"/>
    <hyperlink ref="A3192" r:id="rId9571" display="https://statiz.sporki.com/player/?m=playerinfo&amp;p_no=10458" xr:uid="{9CE145A8-B9CE-4677-991A-3DA598414E7F}"/>
    <hyperlink ref="B3192" r:id="rId9572" display="https://statiz.sporki.com/add/?m=draft_school01&amp;ps_school=50403" xr:uid="{C6CC16C6-37F5-4227-97AD-FD0EA15B6623}"/>
    <hyperlink ref="C3192" r:id="rId9573" display="https://statiz.sporki.com/add/?m=draft_school02&amp;ps_school=60703" xr:uid="{7592583C-1159-4F8D-93A0-E40F90EFA616}"/>
    <hyperlink ref="A3193" r:id="rId9574" display="https://statiz.sporki.com/player/?m=playerinfo&amp;p_no=1773" xr:uid="{6F43C86D-8E57-4FCC-9A19-E39988FB4110}"/>
    <hyperlink ref="B3193" r:id="rId9575" display="https://statiz.sporki.com/add/?m=draft_school01&amp;ps_school=50901" xr:uid="{EF74A971-EDF7-43AE-BD0D-4DB4B8B4B60E}"/>
    <hyperlink ref="C3193" r:id="rId9576" display="https://statiz.sporki.com/add/?m=draft_school02&amp;ps_school=60104" xr:uid="{F6920730-D186-4AD7-BC49-C0E3F6EF82A7}"/>
    <hyperlink ref="A3194" r:id="rId9577" display="https://statiz.sporki.com/player/?m=playerinfo&amp;p_no=1865" xr:uid="{A508311F-EC09-45E3-BA01-8B7CBF4C76CD}"/>
    <hyperlink ref="B3194" r:id="rId9578" display="https://statiz.sporki.com/add/?m=draft_school01&amp;ps_school=50805" xr:uid="{A505E454-5F5D-473E-B208-2393E2774F31}"/>
    <hyperlink ref="C3194" r:id="rId9579" display="https://statiz.sporki.com/add/?m=draft_school02&amp;ps_school=60203" xr:uid="{77DB3F2D-13D5-438A-AA68-3283B2601463}"/>
    <hyperlink ref="A3195" r:id="rId9580" display="https://statiz.sporki.com/player/?m=playerinfo&amp;p_no=1759" xr:uid="{5E3311CF-CC76-4CB0-897E-01DA0BAB703F}"/>
    <hyperlink ref="B3195" r:id="rId9581" display="https://statiz.sporki.com/add/?m=draft_school01&amp;ps_school=50401" xr:uid="{16760E6B-9131-4141-8741-7B437F48CD71}"/>
    <hyperlink ref="C3195" r:id="rId9582" display="https://statiz.sporki.com/add/?m=draft_school02&amp;ps_school=60802" xr:uid="{1C39D3D5-19EF-4245-9D51-083262B90732}"/>
    <hyperlink ref="A3196" r:id="rId9583" display="https://statiz.sporki.com/player/?m=playerinfo&amp;p_no=1763" xr:uid="{05DD71B9-8B2C-479A-8FA2-7204850557FC}"/>
    <hyperlink ref="B3196" r:id="rId9584" display="https://statiz.sporki.com/add/?m=draft_school01&amp;ps_school=50608" xr:uid="{793CCEF7-38BA-4908-9C2D-5F5D55C9AC59}"/>
    <hyperlink ref="C3196" r:id="rId9585" display="https://statiz.sporki.com/add/?m=draft_school02&amp;ps_school=60102" xr:uid="{E02EA1D6-0BA2-40A5-BD42-9EBDAAD62443}"/>
    <hyperlink ref="A3197" r:id="rId9586" display="https://statiz.sporki.com/player/?m=playerinfo&amp;p_no=1775" xr:uid="{077BE7C8-9ED3-4B60-B399-E371073FBBB6}"/>
    <hyperlink ref="B3197" r:id="rId9587" display="https://statiz.sporki.com/add/?m=draft_school01&amp;ps_school=50602" xr:uid="{ABF39A74-B62A-4D57-AD89-B7379B9D716C}"/>
    <hyperlink ref="C3197" r:id="rId9588" display="https://statiz.sporki.com/add/?m=draft_school02&amp;ps_school=60204" xr:uid="{26C4C614-19E8-4092-879A-D40584EF332A}"/>
    <hyperlink ref="A3198" r:id="rId9589" display="https://statiz.sporki.com/player/?m=playerinfo&amp;p_no=13285" xr:uid="{B949698C-F08D-408F-AA88-0B69BA2EA595}"/>
    <hyperlink ref="B3198" r:id="rId9590" display="https://statiz.sporki.com/add/?m=draft_school01&amp;ps_school=50108" xr:uid="{B3306AA8-6633-4356-8258-69315F76BB1B}"/>
    <hyperlink ref="C3198" r:id="rId9591" display="https://statiz.sporki.com/add/?m=draft_school02&amp;ps_school=60102" xr:uid="{44BC9580-FC95-4F76-AC67-9493C7EA3F26}"/>
    <hyperlink ref="A3199" r:id="rId9592" display="https://statiz.sporki.com/player/?m=playerinfo&amp;p_no=1737" xr:uid="{5CD46656-7A21-4826-AF97-DB9A39C12B69}"/>
    <hyperlink ref="B3199" r:id="rId9593" display="https://statiz.sporki.com/add/?m=draft_school01&amp;ps_school=50202" xr:uid="{A46DF98B-BFAA-4709-801F-457FB6582EE2}"/>
    <hyperlink ref="C3199" r:id="rId9594" display="https://statiz.sporki.com/add/?m=draft_school02&amp;ps_school=60204" xr:uid="{13423D77-2EDB-4D18-BBF0-253BB84575BF}"/>
    <hyperlink ref="A3200" r:id="rId9595" display="https://statiz.sporki.com/player/?m=playerinfo&amp;p_no=1742" xr:uid="{68C06975-10E0-4AE4-9B3A-3C52F532C2DA}"/>
    <hyperlink ref="B3200" r:id="rId9596" display="https://statiz.sporki.com/add/?m=draft_school01&amp;ps_school=50401" xr:uid="{98F73598-4AD7-43A4-8D5B-E51BA98E3609}"/>
    <hyperlink ref="C3200" r:id="rId9597" display="https://statiz.sporki.com/add/?m=draft_school02&amp;ps_school=60113" xr:uid="{206F4E3E-6222-4D37-85D7-3CF62CEB2BC2}"/>
    <hyperlink ref="A3201" r:id="rId9598" display="https://statiz.sporki.com/player/?m=playerinfo&amp;p_no=1720" xr:uid="{EE8AB20A-CEF0-45B1-90A1-18653242B3D1}"/>
    <hyperlink ref="B3201" r:id="rId9599" display="https://statiz.sporki.com/add/?m=draft_school01&amp;ps_school=" xr:uid="{D31D5636-F554-4A80-9E2F-230380E3F47E}"/>
    <hyperlink ref="C3201" r:id="rId9600" display="https://statiz.sporki.com/add/?m=draft_school02&amp;ps_school=60109" xr:uid="{CA8418A0-11CD-446E-B550-E38DD847B840}"/>
    <hyperlink ref="A3202" r:id="rId9601" display="https://statiz.sporki.com/player/?m=playerinfo&amp;p_no=1736" xr:uid="{6F60555A-FFB2-478D-AA38-03F040FB4379}"/>
    <hyperlink ref="B3202" r:id="rId9602" display="https://statiz.sporki.com/add/?m=draft_school01&amp;ps_school=" xr:uid="{0152AB00-2BE1-44FD-98E0-D0CF5B86A648}"/>
    <hyperlink ref="C3202" r:id="rId9603" display="https://statiz.sporki.com/add/?m=draft_school02&amp;ps_school=60102" xr:uid="{E310A5CC-E14F-448E-BBA6-EC3ABDB3B855}"/>
    <hyperlink ref="A3203" r:id="rId9604" display="https://statiz.sporki.com/player/?m=playerinfo&amp;p_no=1743" xr:uid="{FC9200B0-DF7B-47AE-BBB4-8981CD8732EF}"/>
    <hyperlink ref="B3203" r:id="rId9605" display="https://statiz.sporki.com/add/?m=draft_school01&amp;ps_school=50110" xr:uid="{17107707-614F-4D42-9F4A-CC21DFCA6374}"/>
    <hyperlink ref="C3203" r:id="rId9606" display="https://statiz.sporki.com/add/?m=draft_school02&amp;ps_school=60101" xr:uid="{FBD9FE8D-5FC0-407A-8F67-C34D28FF6DAE}"/>
    <hyperlink ref="A3204" r:id="rId9607" display="https://statiz.sporki.com/player/?m=playerinfo&amp;p_no=1754" xr:uid="{44A3214C-B697-40C0-AFE5-7CB344856269}"/>
    <hyperlink ref="B3204" r:id="rId9608" display="https://statiz.sporki.com/add/?m=draft_school01&amp;ps_school=50403" xr:uid="{F2FA7DA4-FC19-4144-BF4D-D4D96A6219FB}"/>
    <hyperlink ref="C3204" r:id="rId9609" display="https://statiz.sporki.com/add/?m=draft_school02&amp;ps_school=60803" xr:uid="{5FDD7685-0DDC-4530-9383-28D78CB79B3E}"/>
    <hyperlink ref="A3205" r:id="rId9610" display="https://statiz.sporki.com/player/?m=playerinfo&amp;p_no=1756" xr:uid="{1C5C3D4C-FF2B-44DD-96B4-2A9ADA0B3E11}"/>
    <hyperlink ref="B3205" r:id="rId9611" display="https://statiz.sporki.com/add/?m=draft_school01&amp;ps_school=" xr:uid="{231AB4F7-BE0A-4C37-A4DA-E6CF4A257296}"/>
    <hyperlink ref="C3205" r:id="rId9612" display="https://statiz.sporki.com/add/?m=draft_school02&amp;ps_school=60803" xr:uid="{0A3034D1-646D-4516-BCEB-E51E585EDC8D}"/>
    <hyperlink ref="A3206" r:id="rId9613" display="https://statiz.sporki.com/player/?m=playerinfo&amp;p_no=1722" xr:uid="{94AF7AC1-5693-4051-9ADA-4DFC640F95AE}"/>
    <hyperlink ref="B3206" r:id="rId9614" display="https://statiz.sporki.com/add/?m=draft_school01&amp;ps_school=50602" xr:uid="{A4BD0AAD-C260-4FCF-9728-B6F02D36FDD1}"/>
    <hyperlink ref="C3206" r:id="rId9615" display="https://statiz.sporki.com/add/?m=draft_school02&amp;ps_school=60104" xr:uid="{863A5D29-3F7B-44D6-BE77-C537F4A5FFC9}"/>
    <hyperlink ref="A3207" r:id="rId9616" display="https://statiz.sporki.com/player/?m=playerinfo&amp;p_no=1728" xr:uid="{D705EDE1-63C8-48CF-9BA1-979CDBFFFA44}"/>
    <hyperlink ref="B3207" r:id="rId9617" display="https://statiz.sporki.com/add/?m=draft_school01&amp;ps_school=50114" xr:uid="{7CC7947E-9889-4F44-8DEB-C54B12435C6E}"/>
    <hyperlink ref="C3207" r:id="rId9618" display="https://statiz.sporki.com/add/?m=draft_school02&amp;ps_school=60104" xr:uid="{88491BD4-DA58-49BC-8D17-92CFAE397F86}"/>
    <hyperlink ref="A3208" r:id="rId9619" display="https://statiz.sporki.com/player/?m=playerinfo&amp;p_no=1721" xr:uid="{8DBAEB74-3807-44C8-AB55-F0F2F3544B90}"/>
    <hyperlink ref="B3208" r:id="rId9620" display="https://statiz.sporki.com/add/?m=draft_school01&amp;ps_school=50110" xr:uid="{A870B153-A097-4632-90E4-1CF97C82B8E4}"/>
    <hyperlink ref="C3208" r:id="rId9621" display="https://statiz.sporki.com/add/?m=draft_school02&amp;ps_school=60203" xr:uid="{F59DC96D-5FB0-4AA4-89CE-A66F834E05E9}"/>
    <hyperlink ref="A3209" r:id="rId9622" display="https://statiz.sporki.com/player/?m=playerinfo&amp;p_no=1805" xr:uid="{91E3633E-E6FB-4A08-BD71-BB328B28F25E}"/>
    <hyperlink ref="B3209" r:id="rId9623" display="https://statiz.sporki.com/add/?m=draft_school01&amp;ps_school=50126" xr:uid="{1071E86B-142E-4F9D-A624-C96413D537BC}"/>
    <hyperlink ref="C3209" r:id="rId9624" display="https://statiz.sporki.com/add/?m=draft_school02&amp;ps_school=60111" xr:uid="{E197C252-051B-40BB-9074-AC137D058AFC}"/>
    <hyperlink ref="A3210" r:id="rId9625" display="https://statiz.sporki.com/player/?m=playerinfo&amp;p_no=1729" xr:uid="{177C124D-76D3-4D8A-8430-178C58E44B08}"/>
    <hyperlink ref="B3210" r:id="rId9626" display="https://statiz.sporki.com/add/?m=draft_school01&amp;ps_school=50802" xr:uid="{3FEBC558-A995-4E08-804E-3E2F77428697}"/>
    <hyperlink ref="C3210" r:id="rId9627" display="https://statiz.sporki.com/add/?m=draft_school02&amp;ps_school=60803" xr:uid="{6521E2F4-9648-4A02-91AD-65BA6E8AA6CF}"/>
    <hyperlink ref="A3211" r:id="rId9628" display="https://statiz.sporki.com/player/?m=playerinfo&amp;p_no=1748" xr:uid="{117D347C-11B0-4058-B99A-E005BE5D27A0}"/>
    <hyperlink ref="B3211" r:id="rId9629" display="https://statiz.sporki.com/add/?m=draft_school01&amp;ps_school=50706" xr:uid="{FE64B40A-76AC-4F75-A8B5-FA44771FF4CE}"/>
    <hyperlink ref="C3211" r:id="rId9630" display="https://statiz.sporki.com/add/?m=draft_school02&amp;ps_school=60703" xr:uid="{A0EC2B9E-7C50-4C24-B385-9AEF3C340F7C}"/>
    <hyperlink ref="A3212" r:id="rId9631" display="https://statiz.sporki.com/player/?m=playerinfo&amp;p_no=1768" xr:uid="{E67AEF4D-DC1D-41D2-B156-95E64109570C}"/>
    <hyperlink ref="B3212" r:id="rId9632" display="https://statiz.sporki.com/add/?m=draft_school01&amp;ps_school=50701" xr:uid="{288CDA07-16A9-45CB-8770-251B3CE91560}"/>
    <hyperlink ref="C3212" r:id="rId9633" display="https://statiz.sporki.com/add/?m=draft_school02&amp;ps_school=60113" xr:uid="{1505DC82-C0C9-4409-8132-D9F16D3D2808}"/>
    <hyperlink ref="A3213" r:id="rId9634" display="https://statiz.sporki.com/player/?m=playerinfo&amp;p_no=1730" xr:uid="{D760DD90-B2E7-4A1D-A852-1EDD1B0F4C4B}"/>
    <hyperlink ref="B3213" r:id="rId9635" display="https://statiz.sporki.com/add/?m=draft_school01&amp;ps_school=50604" xr:uid="{3D33850A-B4AE-4D24-9F14-BEA312FF7BA0}"/>
    <hyperlink ref="C3213" r:id="rId9636" display="https://statiz.sporki.com/add/?m=draft_school02&amp;ps_school=60113" xr:uid="{B1FA6E34-4368-4A76-B60E-F56FF78A752E}"/>
    <hyperlink ref="A3214" r:id="rId9637" display="https://statiz.sporki.com/player/?m=playerinfo&amp;p_no=1958" xr:uid="{BE93F32C-4895-4488-8B07-FBF5CF845276}"/>
    <hyperlink ref="B3214" r:id="rId9638" display="https://statiz.sporki.com/add/?m=draft_school01&amp;ps_school=50602" xr:uid="{1BCE9E93-CB9A-45C6-A940-61E71352B367}"/>
    <hyperlink ref="C3214" r:id="rId9639" display="https://statiz.sporki.com/add/?m=draft_school02&amp;ps_school=60103" xr:uid="{EB5BF902-B79F-498A-A054-98A2352656B5}"/>
    <hyperlink ref="A3215" r:id="rId9640" display="https://statiz.sporki.com/player/?m=playerinfo&amp;p_no=1764" xr:uid="{C7C9DA5C-7D5C-4B11-8436-5E7B19C3CF4C}"/>
    <hyperlink ref="B3215" r:id="rId9641" display="https://statiz.sporki.com/add/?m=draft_school01&amp;ps_school=50805" xr:uid="{4C71D89C-D044-46DA-822C-4118A33946F0}"/>
    <hyperlink ref="C3215" r:id="rId9642" display="https://statiz.sporki.com/add/?m=draft_school02&amp;ps_school=60111" xr:uid="{A353E410-E880-42A6-9B0B-3BE1D9BDC730}"/>
    <hyperlink ref="A3216" r:id="rId9643" display="https://statiz.sporki.com/player/?m=playerinfo&amp;p_no=1767" xr:uid="{0394DBF9-276E-416E-A82A-EC545AF57A88}"/>
    <hyperlink ref="B3216" r:id="rId9644" display="https://statiz.sporki.com/add/?m=draft_school01&amp;ps_school=50102" xr:uid="{A7EBC5AD-9619-4046-AA25-A781B038D583}"/>
    <hyperlink ref="C3216" r:id="rId9645" display="https://statiz.sporki.com/add/?m=draft_school02&amp;ps_school=60803" xr:uid="{628EBF9E-7D3A-41AA-B386-A4F22118AA81}"/>
    <hyperlink ref="A3217" r:id="rId9646" display="https://statiz.sporki.com/player/?m=playerinfo&amp;p_no=1921" xr:uid="{053883EA-1207-4C0B-8EEE-A1A50A2DA52C}"/>
    <hyperlink ref="B3217" r:id="rId9647" display="https://statiz.sporki.com/add/?m=draft_school01&amp;ps_school=50701" xr:uid="{D00BE205-7C47-470A-951E-B1D1D5425D3D}"/>
    <hyperlink ref="C3217" r:id="rId9648" display="https://statiz.sporki.com/add/?m=draft_school02&amp;ps_school=60109" xr:uid="{7554CCE5-D68E-42B6-A56D-6100A384B1A7}"/>
    <hyperlink ref="A3218" r:id="rId9649" display="https://statiz.sporki.com/player/?m=playerinfo&amp;p_no=1758" xr:uid="{B43E2EDB-A8CA-4717-8F6E-A02798D8CF4C}"/>
    <hyperlink ref="B3218" r:id="rId9650" display="https://statiz.sporki.com/add/?m=draft_school01&amp;ps_school=50114" xr:uid="{2A7E8378-C432-4B11-9ACC-5CCA14FF9765}"/>
    <hyperlink ref="C3218" r:id="rId9651" display="https://statiz.sporki.com/add/?m=draft_school02&amp;ps_school=60102" xr:uid="{E1AD6F3B-E3D5-43D8-8C89-7453BC0993AA}"/>
    <hyperlink ref="A3219" r:id="rId9652" display="https://statiz.sporki.com/player/?m=playerinfo&amp;p_no=1779" xr:uid="{49D8B3E2-603B-46A6-A1C1-BDCEE0832B9F}"/>
    <hyperlink ref="B3219" r:id="rId9653" display="https://statiz.sporki.com/add/?m=draft_school01&amp;ps_school=50711" xr:uid="{2A6E15BF-0D1A-40B5-82D8-BB248956E89F}"/>
    <hyperlink ref="C3219" r:id="rId9654" display="https://statiz.sporki.com/add/?m=draft_school02&amp;ps_school=60703" xr:uid="{056CB96D-7BA4-4AC8-90B2-5C456207FB53}"/>
    <hyperlink ref="A3220" r:id="rId9655" display="https://statiz.sporki.com/player/?m=playerinfo&amp;p_no=1755" xr:uid="{D05CFD7B-F2A7-47B6-9693-F6BDAFF3601E}"/>
    <hyperlink ref="B3220" r:id="rId9656" display="https://statiz.sporki.com/add/?m=draft_school01&amp;ps_school=50114" xr:uid="{1BC1A067-1B61-4792-A30F-F1E7B5DA9DDB}"/>
    <hyperlink ref="C3220" r:id="rId9657" display="https://statiz.sporki.com/add/?m=draft_school02&amp;ps_school=60114" xr:uid="{534340AB-9EDD-47F1-A146-D7E6815BB910}"/>
    <hyperlink ref="A3221" r:id="rId9658" display="https://statiz.sporki.com/player/?m=playerinfo&amp;p_no=1740" xr:uid="{C3D0E862-921C-4D3A-9A2B-137F2C5110A2}"/>
    <hyperlink ref="B3221" r:id="rId9659" display="https://statiz.sporki.com/add/?m=draft_school01&amp;ps_school=50202" xr:uid="{B81AA870-F7F9-496B-B91E-2E9E90BA362E}"/>
    <hyperlink ref="C3221" r:id="rId9660" display="https://statiz.sporki.com/add/?m=draft_school02&amp;ps_school=60204" xr:uid="{B01D280A-D9C9-416C-93D8-0893A4995874}"/>
    <hyperlink ref="A3222" r:id="rId9661" display="https://statiz.sporki.com/player/?m=playerinfo&amp;p_no=1845" xr:uid="{BE20077A-649B-4C27-8016-54ECC760FA0B}"/>
    <hyperlink ref="B3222" r:id="rId9662" display="https://statiz.sporki.com/add/?m=draft_school01&amp;ps_school=50401" xr:uid="{EAF1ACD6-D18B-4041-B86A-71AC68DE7456}"/>
    <hyperlink ref="C3222" r:id="rId9663" display="https://statiz.sporki.com/add/?m=draft_school02&amp;ps_school=" xr:uid="{366E741B-3FCD-4E13-AF3D-00BEF9CD863E}"/>
    <hyperlink ref="A3223" r:id="rId9664" display="https://statiz.sporki.com/player/?m=playerinfo&amp;p_no=1824" xr:uid="{40F0B8A4-5471-4155-B5E3-05799D3D01EC}"/>
    <hyperlink ref="B3223" r:id="rId9665" display="https://statiz.sporki.com/add/?m=draft_school01&amp;ps_school=50701" xr:uid="{4C55B6FC-10F1-4057-94B3-542A73B364FF}"/>
    <hyperlink ref="C3223" r:id="rId9666" display="https://statiz.sporki.com/add/?m=draft_school02&amp;ps_school=60113" xr:uid="{0BAE6BD4-A3A4-4C4E-9BB0-CE678CCD78F2}"/>
    <hyperlink ref="A3224" r:id="rId9667" display="https://statiz.sporki.com/player/?m=playerinfo&amp;p_no=1746" xr:uid="{84065106-AD08-44A5-BB35-A7CA78472E4E}"/>
    <hyperlink ref="B3224" r:id="rId9668" display="https://statiz.sporki.com/add/?m=draft_school01&amp;ps_school=50126" xr:uid="{B5D535CF-95A2-4489-8CF5-64778DBC8F70}"/>
    <hyperlink ref="C3224" r:id="rId9669" display="https://statiz.sporki.com/add/?m=draft_school02&amp;ps_school=" xr:uid="{81738AD9-8D65-4B66-8AC4-6B7C9CBEC3CF}"/>
    <hyperlink ref="A3225" r:id="rId9670" display="https://statiz.sporki.com/player/?m=playerinfo&amp;p_no=1723" xr:uid="{2F342B74-34C9-4FDE-9448-1E7650336F64}"/>
    <hyperlink ref="B3225" r:id="rId9671" display="https://statiz.sporki.com/add/?m=draft_school01&amp;ps_school=50110" xr:uid="{0D7B4BB9-4296-43E0-A442-EC25CF64982A}"/>
    <hyperlink ref="C3225" r:id="rId9672" display="https://statiz.sporki.com/add/?m=draft_school02&amp;ps_school=60103" xr:uid="{2E1C042C-5499-4889-9864-C1343F7D106F}"/>
    <hyperlink ref="A3226" r:id="rId9673" display="https://statiz.sporki.com/player/?m=playerinfo&amp;p_no=11439" xr:uid="{BA8D5E4A-1E73-41EB-B91F-3D5ABF47A037}"/>
    <hyperlink ref="B3226" r:id="rId9674" display="https://statiz.sporki.com/add/?m=draft_school01&amp;ps_school=50116" xr:uid="{B24D5779-77FA-49E7-A018-2EE8B445418B}"/>
    <hyperlink ref="C3226" r:id="rId9675" display="https://statiz.sporki.com/add/?m=draft_school02&amp;ps_school=60101" xr:uid="{11489632-74F9-4DEC-A56B-680389185857}"/>
    <hyperlink ref="A3227" r:id="rId9676" display="https://statiz.sporki.com/player/?m=playerinfo&amp;p_no=1739" xr:uid="{49639C01-83C6-4B59-9331-A8EFEFDCEE7E}"/>
    <hyperlink ref="B3227" r:id="rId9677" display="https://statiz.sporki.com/add/?m=draft_school01&amp;ps_school=50209" xr:uid="{A5034B01-956C-45FC-A52C-424421A185B2}"/>
    <hyperlink ref="C3227" r:id="rId9678" display="https://statiz.sporki.com/add/?m=draft_school02&amp;ps_school=60203" xr:uid="{961008DE-FF58-428B-97E8-DC9405497F17}"/>
    <hyperlink ref="A3228" r:id="rId9679" display="https://statiz.sporki.com/player/?m=playerinfo&amp;p_no=1733" xr:uid="{52B2E70C-6A4C-4899-A5AF-CB7F623B618A}"/>
    <hyperlink ref="B3228" r:id="rId9680" display="https://statiz.sporki.com/add/?m=draft_school01&amp;ps_school=50202" xr:uid="{9BE2AF56-8897-4DAA-89F5-2DFB595EB9F0}"/>
    <hyperlink ref="C3228" r:id="rId9681" display="https://statiz.sporki.com/add/?m=draft_school02&amp;ps_school=60204" xr:uid="{8AB194AB-D758-401C-A827-4F621C16800B}"/>
    <hyperlink ref="A3229" r:id="rId9682" display="https://statiz.sporki.com/player/?m=playerinfo&amp;p_no=1776" xr:uid="{2C937357-9812-4DE2-B088-32964060A1C2}"/>
    <hyperlink ref="B3229" r:id="rId9683" display="https://statiz.sporki.com/add/?m=draft_school01&amp;ps_school=50208" xr:uid="{F35B321D-FCED-47E3-8639-CFBEE10BE3FA}"/>
    <hyperlink ref="C3229" r:id="rId9684" display="https://statiz.sporki.com/add/?m=draft_school02&amp;ps_school=" xr:uid="{EF143C0D-1B7E-4CA6-95CF-972196455977}"/>
    <hyperlink ref="A3230" r:id="rId9685" display="https://statiz.sporki.com/player/?m=playerinfo&amp;p_no=1734" xr:uid="{FB5BA13D-409B-4398-A996-F403C9C2E0A0}"/>
    <hyperlink ref="B3230" r:id="rId9686" display="https://statiz.sporki.com/add/?m=draft_school01&amp;ps_school=50209" xr:uid="{72AC4676-AE86-44E7-8253-592DF7A55C81}"/>
    <hyperlink ref="C3230" r:id="rId9687" display="https://statiz.sporki.com/add/?m=draft_school02&amp;ps_school=" xr:uid="{CE76B10C-9DAB-4F3D-A32B-66C49F006343}"/>
    <hyperlink ref="A3231" r:id="rId9688" display="https://statiz.sporki.com/player/?m=playerinfo&amp;p_no=1719" xr:uid="{0B3F758B-09A0-4DFA-B5CD-6AC5046887F2}"/>
    <hyperlink ref="B3231" r:id="rId9689" display="https://statiz.sporki.com/add/?m=draft_school01&amp;ps_school=" xr:uid="{B93A769C-488E-4597-B7CD-28AA2ED18D45}"/>
    <hyperlink ref="C3231" r:id="rId9690" display="https://statiz.sporki.com/add/?m=draft_school02&amp;ps_school=61100" xr:uid="{2BF8E676-6332-4856-9219-E3DB439889B7}"/>
    <hyperlink ref="A3232" r:id="rId9691" display="https://statiz.sporki.com/player/?m=playerinfo&amp;p_no=1777" xr:uid="{BC133F11-FFC5-4E51-99F3-3F94968C8311}"/>
    <hyperlink ref="B3232" r:id="rId9692" display="https://statiz.sporki.com/add/?m=draft_school01&amp;ps_school=50107" xr:uid="{BF1E9F97-40BB-4567-9144-23775C873B33}"/>
    <hyperlink ref="C3232" r:id="rId9693" display="https://statiz.sporki.com/add/?m=draft_school02&amp;ps_school=60101" xr:uid="{3EF61355-9581-4045-899D-7C0C93BC409A}"/>
    <hyperlink ref="A3233" r:id="rId9694" display="https://statiz.sporki.com/player/?m=playerinfo&amp;p_no=1752" xr:uid="{D2638BE2-2827-493D-8B11-0631CFBC7D33}"/>
    <hyperlink ref="B3233" r:id="rId9695" display="https://statiz.sporki.com/add/?m=draft_school01&amp;ps_school=50402" xr:uid="{EEC2775D-6CA1-4484-942D-29279F6F7378}"/>
    <hyperlink ref="C3233" r:id="rId9696" display="https://statiz.sporki.com/add/?m=draft_school02&amp;ps_school=60108" xr:uid="{DAF9E1EC-6635-431A-9090-5871EFF9278A}"/>
    <hyperlink ref="A3234" r:id="rId9697" display="https://statiz.sporki.com/player/?m=playerinfo&amp;p_no=1799" xr:uid="{190AF1AC-1BC4-4397-AE07-CEABDBD962DC}"/>
    <hyperlink ref="B3234" r:id="rId9698" display="https://statiz.sporki.com/add/?m=draft_school01&amp;ps_school=50115" xr:uid="{4C881497-7C1D-47AE-BEB4-6BFB6A773869}"/>
    <hyperlink ref="C3234" r:id="rId9699" display="https://statiz.sporki.com/add/?m=draft_school02&amp;ps_school=" xr:uid="{377F3FC9-F596-4DDB-9006-F0F7D13D1A7D}"/>
    <hyperlink ref="A3235" r:id="rId9700" display="https://statiz.sporki.com/player/?m=playerinfo&amp;p_no=1813" xr:uid="{6173598C-09D0-4176-9951-C320FAC7219A}"/>
    <hyperlink ref="B3235" r:id="rId9701" display="https://statiz.sporki.com/add/?m=draft_school01&amp;ps_school=50107" xr:uid="{0651FE87-B157-4915-944A-AEFD1FEE7D52}"/>
    <hyperlink ref="C3235" r:id="rId9702" display="https://statiz.sporki.com/add/?m=draft_school02&amp;ps_school=" xr:uid="{519E0CC3-B59A-4B62-935F-E063341F8070}"/>
    <hyperlink ref="A3236" r:id="rId9703" display="https://statiz.sporki.com/player/?m=playerinfo&amp;p_no=1726" xr:uid="{F535C86D-6E92-4656-9726-33B05B5B3901}"/>
    <hyperlink ref="B3236" r:id="rId9704" display="https://statiz.sporki.com/add/?m=draft_school01&amp;ps_school=50209" xr:uid="{8B644A14-21C3-41C9-9447-37EFF3DCEB2E}"/>
    <hyperlink ref="C3236" r:id="rId9705" display="https://statiz.sporki.com/add/?m=draft_school02&amp;ps_school=60114" xr:uid="{7892347E-16F6-427D-961A-FAC095352FA6}"/>
    <hyperlink ref="A3237" r:id="rId9706" display="https://statiz.sporki.com/player/?m=playerinfo&amp;p_no=1802" xr:uid="{60246448-632F-448D-A26D-5B1E4A3DC9F8}"/>
    <hyperlink ref="B3237" r:id="rId9707" display="https://statiz.sporki.com/add/?m=draft_school01&amp;ps_school=50609" xr:uid="{40D65FAA-1433-4ED0-A7A3-9D8D5A4F37C8}"/>
    <hyperlink ref="C3237" r:id="rId9708" display="https://statiz.sporki.com/add/?m=draft_school02&amp;ps_school=" xr:uid="{D71FAC53-FE1B-4E97-8C78-7F5AE7990BC3}"/>
    <hyperlink ref="A3238" r:id="rId9709" display="https://statiz.sporki.com/player/?m=playerinfo&amp;p_no=11438" xr:uid="{64010BEA-F75D-4FDA-BFBB-A8EF71D7FB7F}"/>
    <hyperlink ref="B3238" r:id="rId9710" display="https://statiz.sporki.com/add/?m=draft_school01&amp;ps_school=50604" xr:uid="{60564C51-16CF-4EFC-AD1B-8452137EC32D}"/>
    <hyperlink ref="C3238" r:id="rId9711" display="https://statiz.sporki.com/add/?m=draft_school02&amp;ps_school=60113" xr:uid="{A72B283F-874F-4511-B6BA-B5B95F2C3B26}"/>
    <hyperlink ref="A3239" r:id="rId9712" display="https://statiz.sporki.com/player/?m=playerinfo&amp;p_no=1780" xr:uid="{C38FBFF0-37E6-45F2-9241-3BA47DAD4F5A}"/>
    <hyperlink ref="B3239" r:id="rId9713" display="https://statiz.sporki.com/add/?m=draft_school01&amp;ps_school=50806" xr:uid="{7F6A5B27-FCFB-49CC-B0C4-5996C5F22853}"/>
    <hyperlink ref="C3239" r:id="rId9714" display="https://statiz.sporki.com/add/?m=draft_school02&amp;ps_school=" xr:uid="{0B980F83-EC5C-4827-9B38-B199E0AE738B}"/>
    <hyperlink ref="A3240" r:id="rId9715" display="https://statiz.sporki.com/player/?m=playerinfo&amp;p_no=1887" xr:uid="{E696D5C6-B0A5-4EA3-976F-D8FC01D19C34}"/>
    <hyperlink ref="B3240" r:id="rId9716" display="https://statiz.sporki.com/add/?m=draft_school01&amp;ps_school=50401" xr:uid="{07FA6B8D-E95A-4847-88CB-DFDCC66678B8}"/>
    <hyperlink ref="C3240" r:id="rId9717" display="https://statiz.sporki.com/add/?m=draft_school02&amp;ps_school=" xr:uid="{360EA2E6-F694-43F2-BD52-2F798BBE21FF}"/>
    <hyperlink ref="A3241" r:id="rId9718" display="https://statiz.sporki.com/player/?m=playerinfo&amp;p_no=2096" xr:uid="{00023D30-A4E4-46A0-BE39-A0DBE343FD5D}"/>
    <hyperlink ref="B3241" r:id="rId9719" display="https://statiz.sporki.com/add/?m=draft_school01&amp;ps_school=50121" xr:uid="{B306BB5B-15BB-47D1-8FC4-C9D5EF2A0760}"/>
    <hyperlink ref="C3241" r:id="rId9720" display="https://statiz.sporki.com/add/?m=draft_school02&amp;ps_school=" xr:uid="{E66C73ED-AA09-4EED-85B0-8DE99CDD0737}"/>
    <hyperlink ref="A3242" r:id="rId9721" display="https://statiz.sporki.com/player/?m=playerinfo&amp;p_no=1859" xr:uid="{3B4CC313-78AD-4568-ABB6-791F1226AE24}"/>
    <hyperlink ref="B3242" r:id="rId9722" display="https://statiz.sporki.com/add/?m=draft_school01&amp;ps_school=50106" xr:uid="{941EE810-11A4-4BAF-B2EB-ADA18231DFD0}"/>
    <hyperlink ref="C3242" r:id="rId9723" display="https://statiz.sporki.com/add/?m=draft_school02&amp;ps_school=" xr:uid="{4F061245-4212-4AC4-9570-92CBBF39B009}"/>
    <hyperlink ref="A3243" r:id="rId9724" display="https://statiz.sporki.com/player/?m=playerinfo&amp;p_no=2062" xr:uid="{CCA1C357-713E-47B8-8F48-879C62EC12AC}"/>
    <hyperlink ref="B3243" r:id="rId9725" display="https://statiz.sporki.com/add/?m=draft_school01&amp;ps_school=50110" xr:uid="{853426C2-9FB4-41C1-8417-0AF46560C528}"/>
    <hyperlink ref="C3243" r:id="rId9726" display="https://statiz.sporki.com/add/?m=draft_school02&amp;ps_school=60113" xr:uid="{6F58AF73-9E35-40B7-8669-5D3C5681A9B4}"/>
    <hyperlink ref="A3244" r:id="rId9727" display="https://statiz.sporki.com/player/?m=playerinfo&amp;p_no=10543" xr:uid="{223097EF-7039-4644-8E20-6C4C3D36F201}"/>
    <hyperlink ref="B3244" r:id="rId9728" display="https://statiz.sporki.com/add/?m=draft_school01&amp;ps_school=50116" xr:uid="{E9BBA291-47E2-4821-9B9E-38DF9E230B29}"/>
    <hyperlink ref="C3244" r:id="rId9729" display="https://statiz.sporki.com/add/?m=draft_school02&amp;ps_school=" xr:uid="{BC42A196-0817-4FCF-BD20-44D0DD9D4D18}"/>
    <hyperlink ref="A3245" r:id="rId9730" display="https://statiz.sporki.com/player/?m=playerinfo&amp;p_no=1765" xr:uid="{E51DC624-6C62-489E-AD1D-DF240A6D8E32}"/>
    <hyperlink ref="B3245" r:id="rId9731" display="https://statiz.sporki.com/add/?m=draft_school01&amp;ps_school=50813" xr:uid="{4E4EC267-5B5E-4111-9DBD-D41279FDA22B}"/>
    <hyperlink ref="C3245" r:id="rId9732" display="https://statiz.sporki.com/add/?m=draft_school02&amp;ps_school=" xr:uid="{3769A8F9-77E9-4AAB-8CEB-5DCD8C157A52}"/>
    <hyperlink ref="A3246" r:id="rId9733" display="https://statiz.sporki.com/player/?m=playerinfo&amp;p_no=1853" xr:uid="{CAF1BC95-6338-4A8B-87F7-AD7BF3357F46}"/>
    <hyperlink ref="B3246" r:id="rId9734" display="https://statiz.sporki.com/add/?m=draft_school01&amp;ps_school=50802" xr:uid="{738024C0-4D03-474A-B795-774C4785BECA}"/>
    <hyperlink ref="C3246" r:id="rId9735" display="https://statiz.sporki.com/add/?m=draft_school02&amp;ps_school=" xr:uid="{B18BB277-BB61-4097-BFB3-134646A59B17}"/>
    <hyperlink ref="A3247" r:id="rId9736" display="https://statiz.sporki.com/player/?m=playerinfo&amp;p_no=1771" xr:uid="{E2F478CB-1DAB-4969-A5FA-D17304B0E8E1}"/>
    <hyperlink ref="B3247" r:id="rId9737" display="https://statiz.sporki.com/add/?m=draft_school01&amp;ps_school=50401" xr:uid="{73EBEEB2-41E4-45CC-A40C-7E74CC3EFFA2}"/>
    <hyperlink ref="C3247" r:id="rId9738" display="https://statiz.sporki.com/add/?m=draft_school02&amp;ps_school=" xr:uid="{8D1DBE6F-218C-4A98-A989-8B2558D3DFC5}"/>
    <hyperlink ref="A3248" r:id="rId9739" display="https://statiz.sporki.com/player/?m=playerinfo&amp;p_no=1781" xr:uid="{0C82221A-5789-4347-BF68-0767CA6F6093}"/>
    <hyperlink ref="B3248" r:id="rId9740" display="https://statiz.sporki.com/add/?m=draft_school01&amp;ps_school=50706" xr:uid="{B35A2A29-79F7-4120-955A-950D37EAA865}"/>
    <hyperlink ref="C3248" r:id="rId9741" display="https://statiz.sporki.com/add/?m=draft_school02&amp;ps_school=" xr:uid="{806B7FA4-5D7F-4D92-A116-6E7A52416EAE}"/>
    <hyperlink ref="A3249" r:id="rId9742" display="https://statiz.sporki.com/player/?m=playerinfo&amp;p_no=1749" xr:uid="{EB72579C-0CE9-4ECE-98A1-8F68B52C39B8}"/>
    <hyperlink ref="B3249" r:id="rId9743" display="https://statiz.sporki.com/add/?m=draft_school01&amp;ps_school=50208" xr:uid="{CF0CB91C-62C9-493A-BDE2-55A3CE222B53}"/>
    <hyperlink ref="C3249" r:id="rId9744" display="https://statiz.sporki.com/add/?m=draft_school02&amp;ps_school=" xr:uid="{21B3E7F5-AEED-4207-9061-2AD0DB810DD5}"/>
    <hyperlink ref="A3250" r:id="rId9745" display="https://statiz.sporki.com/player/?m=playerinfo&amp;p_no=1770" xr:uid="{769D700A-F25D-4DE7-A7D2-01B42E1C1408}"/>
    <hyperlink ref="B3250" r:id="rId9746" display="https://statiz.sporki.com/add/?m=draft_school01&amp;ps_school=50203" xr:uid="{C2E8E7BF-818E-4989-8D12-AED418DFC98A}"/>
    <hyperlink ref="C3250" r:id="rId9747" display="https://statiz.sporki.com/add/?m=draft_school02&amp;ps_school=" xr:uid="{33C62AAB-816C-41D0-9B96-73AC4B606954}"/>
    <hyperlink ref="A3251" r:id="rId9748" display="https://statiz.sporki.com/player/?m=playerinfo&amp;p_no=1774" xr:uid="{0929F2A5-E22B-4BD9-BD83-D9AE1D0B32FE}"/>
    <hyperlink ref="B3251" r:id="rId9749" display="https://statiz.sporki.com/add/?m=draft_school01&amp;ps_school=50604" xr:uid="{044D1136-6D04-4114-95A3-2F1CD043BF78}"/>
    <hyperlink ref="C3251" r:id="rId9750" display="https://statiz.sporki.com/add/?m=draft_school02&amp;ps_school=" xr:uid="{5C59F732-9331-4123-95F4-5297BC3A2374}"/>
    <hyperlink ref="A3252" r:id="rId9751" display="https://statiz.sporki.com/player/?m=playerinfo&amp;p_no=10062" xr:uid="{EC7AD22F-C3AD-490F-B2E5-90D50DBBEA13}"/>
    <hyperlink ref="B3252" r:id="rId9752" display="https://statiz.sporki.com/add/?m=draft_school01&amp;ps_school=50604" xr:uid="{82963258-A688-4EE0-AA07-A6F4E889F8F2}"/>
    <hyperlink ref="C3252" r:id="rId9753" display="https://statiz.sporki.com/add/?m=draft_school02&amp;ps_school=" xr:uid="{7D3760EB-2860-4C14-B321-0DFB9BA7BB8A}"/>
    <hyperlink ref="A3253" r:id="rId9754" display="https://statiz.sporki.com/player/?m=playerinfo&amp;p_no=1826" xr:uid="{CE380A8F-F79A-4579-9CD8-1420D0AD59DE}"/>
    <hyperlink ref="B3253" r:id="rId9755" display="https://statiz.sporki.com/add/?m=draft_school01&amp;ps_school=50608" xr:uid="{62A5BB4A-FE86-4ECF-9252-C152A1E40887}"/>
    <hyperlink ref="C3253" r:id="rId9756" display="https://statiz.sporki.com/add/?m=draft_school02&amp;ps_school=" xr:uid="{BF0F61A7-B632-4EAE-AC25-A572D28B968D}"/>
    <hyperlink ref="A3254" r:id="rId9757" display="https://statiz.sporki.com/player/?m=playerinfo&amp;p_no=1778" xr:uid="{79EB33A4-3E22-4CE9-8AFF-9B4910CF70CD}"/>
    <hyperlink ref="B3254" r:id="rId9758" display="https://statiz.sporki.com/add/?m=draft_school01&amp;ps_school=50608" xr:uid="{6F07A0CA-9CA9-4D6F-AC11-0133CC7ECBFC}"/>
    <hyperlink ref="C3254" r:id="rId9759" display="https://statiz.sporki.com/add/?m=draft_school02&amp;ps_school=" xr:uid="{FB6F54C6-7833-4F1E-8D9C-5A1A32F168F3}"/>
    <hyperlink ref="A3255" r:id="rId9760" display="https://statiz.sporki.com/player/?m=playerinfo&amp;p_no=1745" xr:uid="{7A646046-B20D-4275-91F6-E47A5D2C9A10}"/>
    <hyperlink ref="B3255" r:id="rId9761" display="https://statiz.sporki.com/add/?m=draft_school01&amp;ps_school=50604" xr:uid="{03EA9641-FD6A-4943-A86F-80D1A46600B8}"/>
    <hyperlink ref="C3255" r:id="rId9762" display="https://statiz.sporki.com/add/?m=draft_school02&amp;ps_school=" xr:uid="{7D3F4805-18A6-4D95-8FAA-3053C6DF9A01}"/>
    <hyperlink ref="A3256" r:id="rId9763" display="https://statiz.sporki.com/player/?m=playerinfo&amp;p_no=10113" xr:uid="{A08B5DC6-718D-4DCF-8D62-8F6069A6EF33}"/>
    <hyperlink ref="B3256" r:id="rId9764" display="https://statiz.sporki.com/add/?m=draft_school01&amp;ps_school=50602" xr:uid="{A4B1E3D4-3B0E-49A7-9648-E24BAFF3F48E}"/>
    <hyperlink ref="C3256" r:id="rId9765" display="https://statiz.sporki.com/add/?m=draft_school02&amp;ps_school=60109" xr:uid="{9D1A7E91-29BE-4589-920F-DB9EF41D67AC}"/>
    <hyperlink ref="A3257" r:id="rId9766" display="https://statiz.sporki.com/player/?m=playerinfo&amp;p_no=2013" xr:uid="{D1B2F28D-E18A-417F-832D-9767C2FB2DE2}"/>
    <hyperlink ref="B3257" r:id="rId9767" display="https://statiz.sporki.com/add/?m=draft_school01&amp;ps_school=50116" xr:uid="{F1BFE5F8-1A72-4535-902C-C0BEC382AB68}"/>
    <hyperlink ref="C3257" r:id="rId9768" display="https://statiz.sporki.com/add/?m=draft_school02&amp;ps_school=60109" xr:uid="{64CF05BB-E8C3-4166-900D-CF131AA6F3D7}"/>
    <hyperlink ref="A3258" r:id="rId9769" display="https://statiz.sporki.com/player/?m=playerinfo&amp;p_no=1648" xr:uid="{58699BBB-6DE3-43D3-8C5C-FACD4E7F81E7}"/>
    <hyperlink ref="B3258" r:id="rId9770" display="https://statiz.sporki.com/add/?m=draft_school01&amp;ps_school=" xr:uid="{4E0BA974-D8D1-4CB5-8077-24061CD0C421}"/>
    <hyperlink ref="C3258" r:id="rId9771" display="https://statiz.sporki.com/add/?m=draft_school02&amp;ps_school=60203" xr:uid="{4A6C19FC-2D13-4F16-BE3A-9FB5ABF1AB54}"/>
    <hyperlink ref="A3259" r:id="rId9772" display="https://statiz.sporki.com/player/?m=playerinfo&amp;p_no=1685" xr:uid="{4C3234B4-2B3E-49E9-AE5D-A9CD731C092F}"/>
    <hyperlink ref="B3259" r:id="rId9773" display="https://statiz.sporki.com/add/?m=draft_school01&amp;ps_school=50403" xr:uid="{3AEEEF4F-10E0-4AEA-8CB1-7575267FC70E}"/>
    <hyperlink ref="C3259" r:id="rId9774" display="https://statiz.sporki.com/add/?m=draft_school02&amp;ps_school=60803" xr:uid="{4815996B-2699-4B44-BA44-B9A3E2613D02}"/>
    <hyperlink ref="A3260" r:id="rId9775" display="https://statiz.sporki.com/player/?m=playerinfo&amp;p_no=1693" xr:uid="{9CE5FB74-AFB4-4AC2-9570-FCC94E85EC14}"/>
    <hyperlink ref="B3260" r:id="rId9776" display="https://statiz.sporki.com/add/?m=draft_school01&amp;ps_school=50711" xr:uid="{8F15E0AA-FC67-4445-818C-94281D28B069}"/>
    <hyperlink ref="C3260" r:id="rId9777" display="https://statiz.sporki.com/add/?m=draft_school02&amp;ps_school=60705" xr:uid="{41B070FA-4307-4B4B-968B-A255CC328949}"/>
    <hyperlink ref="A3261" r:id="rId9778" display="https://statiz.sporki.com/player/?m=playerinfo&amp;p_no=1852" xr:uid="{D5AF784B-82A8-44F9-9583-C0CF2E2AE954}"/>
    <hyperlink ref="B3261" r:id="rId9779" display="https://statiz.sporki.com/add/?m=draft_school01&amp;ps_school=50502" xr:uid="{BBB7D77C-16BD-40BE-A84D-0B980CAF580A}"/>
    <hyperlink ref="C3261" r:id="rId9780" display="https://statiz.sporki.com/add/?m=draft_school02&amp;ps_school=60501" xr:uid="{880BDFBD-90AF-4D8E-B4D3-D83799D9D298}"/>
    <hyperlink ref="A3262" r:id="rId9781" display="https://statiz.sporki.com/player/?m=playerinfo&amp;p_no=1716" xr:uid="{13CA6CDF-9739-4D50-9AD6-F4D9906CABAB}"/>
    <hyperlink ref="B3262" r:id="rId9782" display="https://statiz.sporki.com/add/?m=draft_school01&amp;ps_school=50202" xr:uid="{6FCB0456-56A1-4337-9492-DFF185065D3E}"/>
    <hyperlink ref="C3262" r:id="rId9783" display="https://statiz.sporki.com/add/?m=draft_school02&amp;ps_school=60113" xr:uid="{495E2C67-BDF6-4C3F-8B76-A43DEDA9B7F4}"/>
    <hyperlink ref="A3263" r:id="rId9784" display="https://statiz.sporki.com/player/?m=playerinfo&amp;p_no=1956" xr:uid="{D623AA78-5F99-43D7-9DC0-459E0C7BAD51}"/>
    <hyperlink ref="B3263" r:id="rId9785" display="https://statiz.sporki.com/add/?m=draft_school01&amp;ps_school=" xr:uid="{DA8A47E8-B8DC-4071-A1C9-3BBFE0335CDF}"/>
    <hyperlink ref="C3263" r:id="rId9786" display="https://statiz.sporki.com/add/?m=draft_school02&amp;ps_school=60501" xr:uid="{76FAD2F2-D435-4FE2-AAE4-3AECA67FEA7A}"/>
    <hyperlink ref="A3264" r:id="rId9787" display="https://statiz.sporki.com/player/?m=playerinfo&amp;p_no=1686" xr:uid="{DD832FE8-7B56-43E7-B8E8-F1D00AFBFF68}"/>
    <hyperlink ref="B3264" r:id="rId9788" display="https://statiz.sporki.com/add/?m=draft_school01&amp;ps_school=50108" xr:uid="{0E744A90-4E43-4351-953E-EB5B285C5784}"/>
    <hyperlink ref="C3264" r:id="rId9789" display="https://statiz.sporki.com/add/?m=draft_school02&amp;ps_school=60101" xr:uid="{9948A146-CC07-4BC6-BC74-E0074F62E2AE}"/>
    <hyperlink ref="A3265" r:id="rId9790" display="https://statiz.sporki.com/player/?m=playerinfo&amp;p_no=1695" xr:uid="{3796D75D-945F-41AC-8177-358E349AC647}"/>
    <hyperlink ref="B3265" r:id="rId9791" display="https://statiz.sporki.com/add/?m=draft_school01&amp;ps_school=50209" xr:uid="{913A6E2C-ED0B-4A93-A12A-9CF6BC56802D}"/>
    <hyperlink ref="C3265" r:id="rId9792" display="https://statiz.sporki.com/add/?m=draft_school02&amp;ps_school=60204" xr:uid="{BA428DF4-ADA0-43BA-8B15-D4C0F8B07EEE}"/>
    <hyperlink ref="A3266" r:id="rId9793" display="https://statiz.sporki.com/player/?m=playerinfo&amp;p_no=10123" xr:uid="{DDCA9804-5784-4B1C-BD3A-8475E0A82744}"/>
    <hyperlink ref="B3266" r:id="rId9794" display="https://statiz.sporki.com/add/?m=draft_school01&amp;ps_school=50402" xr:uid="{655A0105-0FF5-4C02-A3CE-5E9302EC5A15}"/>
    <hyperlink ref="C3266" r:id="rId9795" display="https://statiz.sporki.com/add/?m=draft_school02&amp;ps_school=60104" xr:uid="{4CE310D2-B287-4CE1-BA8D-EEEDC905A9EA}"/>
    <hyperlink ref="A3267" r:id="rId9796" display="https://statiz.sporki.com/player/?m=playerinfo&amp;p_no=1701" xr:uid="{4A273CD8-B4FA-451D-9830-D33810F85923}"/>
    <hyperlink ref="B3267" r:id="rId9797" display="https://statiz.sporki.com/add/?m=draft_school01&amp;ps_school=50802" xr:uid="{70763174-CBC9-423F-B841-7E67D74CD32C}"/>
    <hyperlink ref="C3267" r:id="rId9798" display="https://statiz.sporki.com/add/?m=draft_school02&amp;ps_school=60802" xr:uid="{4007EE6B-B4F9-4472-A3E4-C475C5FC175E}"/>
    <hyperlink ref="A3268" r:id="rId9799" display="https://statiz.sporki.com/player/?m=playerinfo&amp;p_no=1651" xr:uid="{44E99CC4-1B55-453D-9ADC-A2AE35E5A8E1}"/>
    <hyperlink ref="B3268" r:id="rId9800" display="https://statiz.sporki.com/add/?m=draft_school01&amp;ps_school=50110" xr:uid="{1C9CA0A2-E52D-42A6-ACBE-24967B3ADC56}"/>
    <hyperlink ref="C3268" r:id="rId9801" display="https://statiz.sporki.com/add/?m=draft_school02&amp;ps_school=60111" xr:uid="{733823ED-20F5-4FF9-BF83-1F6DE49F83E5}"/>
    <hyperlink ref="A3269" r:id="rId9802" display="https://statiz.sporki.com/player/?m=playerinfo&amp;p_no=1715" xr:uid="{986E026A-6152-4110-B936-6EBEA31CC0AA}"/>
    <hyperlink ref="B3269" r:id="rId9803" display="https://statiz.sporki.com/add/?m=draft_school01&amp;ps_school=50202" xr:uid="{2FA0FAA0-12A9-4D1B-AFCF-A74C1FDF5BFE}"/>
    <hyperlink ref="C3269" r:id="rId9804" display="https://statiz.sporki.com/add/?m=draft_school02&amp;ps_school=60801" xr:uid="{F5BCD816-0E27-4E93-A108-B254E921FE83}"/>
    <hyperlink ref="A3270" r:id="rId9805" display="https://statiz.sporki.com/player/?m=playerinfo&amp;p_no=12722" xr:uid="{1C73FCAC-15D9-4BF7-96AE-E8BD6CAE2458}"/>
    <hyperlink ref="B3270" r:id="rId9806" display="https://statiz.sporki.com/add/?m=draft_school01&amp;ps_school=50202" xr:uid="{5400E93C-51CB-401A-90A4-BE7F050EEABD}"/>
    <hyperlink ref="C3270" r:id="rId9807" display="https://statiz.sporki.com/add/?m=draft_school02&amp;ps_school=" xr:uid="{1A74A9E2-3E50-413E-87C1-DE6461F19222}"/>
    <hyperlink ref="A3271" r:id="rId9808" display="https://statiz.sporki.com/player/?m=playerinfo&amp;p_no=1650" xr:uid="{DAE0B671-20F6-401D-A700-F2AEFE6D48F5}"/>
    <hyperlink ref="B3271" r:id="rId9809" display="https://statiz.sporki.com/add/?m=draft_school01&amp;ps_school=50208" xr:uid="{BE3A2D31-EA13-4383-9C9D-F39CE4D47762}"/>
    <hyperlink ref="C3271" r:id="rId9810" display="https://statiz.sporki.com/add/?m=draft_school02&amp;ps_school=60108" xr:uid="{3B72545E-FE83-422C-9B04-9043235BAE8F}"/>
    <hyperlink ref="A3272" r:id="rId9811" display="https://statiz.sporki.com/player/?m=playerinfo&amp;p_no=1707" xr:uid="{ABBAA2D7-44D9-46D7-B8A2-96FF8949889C}"/>
    <hyperlink ref="B3272" r:id="rId9812" display="https://statiz.sporki.com/add/?m=draft_school01&amp;ps_school=50901" xr:uid="{CC4C4F73-5BF3-4F10-89C2-A306325D488D}"/>
    <hyperlink ref="C3272" r:id="rId9813" display="https://statiz.sporki.com/add/?m=draft_school02&amp;ps_school=60114" xr:uid="{6A89BDCC-BACC-4CE8-8EE7-198713037673}"/>
    <hyperlink ref="A3273" r:id="rId9814" display="https://statiz.sporki.com/player/?m=playerinfo&amp;p_no=10099" xr:uid="{5E138FA2-B6C1-4AD1-BEA0-D493FFD6AC6A}"/>
    <hyperlink ref="B3273" r:id="rId9815" display="https://statiz.sporki.com/add/?m=draft_school01&amp;ps_school=50903" xr:uid="{948B118F-4FAB-453E-BF39-A023520330D4}"/>
    <hyperlink ref="C3273" r:id="rId9816" display="https://statiz.sporki.com/add/?m=draft_school02&amp;ps_school=60109" xr:uid="{B325BEA5-1276-40D2-8102-2CC2B9E1F92A}"/>
    <hyperlink ref="A3274" r:id="rId9817" display="https://statiz.sporki.com/player/?m=playerinfo&amp;p_no=1646" xr:uid="{92FD106E-F505-47D6-8D42-E873FFEB446A}"/>
    <hyperlink ref="B3274" r:id="rId9818" display="https://statiz.sporki.com/add/?m=draft_school01&amp;ps_school=50805" xr:uid="{5714AED2-1C13-4C98-B085-2A79CEEBA494}"/>
    <hyperlink ref="C3274" r:id="rId9819" display="https://statiz.sporki.com/add/?m=draft_school02&amp;ps_school=60103" xr:uid="{8FB1F93C-A2B5-49EC-ADCD-AF594EE626C8}"/>
    <hyperlink ref="A3275" r:id="rId9820" display="https://statiz.sporki.com/player/?m=playerinfo&amp;p_no=1664" xr:uid="{F6DBC489-9F51-48DF-887D-868D0BE8F3BA}"/>
    <hyperlink ref="B3275" r:id="rId9821" display="https://statiz.sporki.com/add/?m=draft_school01&amp;ps_school=" xr:uid="{66A2D755-B577-4630-84CC-B4404C0BC66A}"/>
    <hyperlink ref="C3275" r:id="rId9822" display="https://statiz.sporki.com/add/?m=draft_school02&amp;ps_school=60803" xr:uid="{C504A5A1-74BC-40DC-870C-60C5F7C543D3}"/>
    <hyperlink ref="A3276" r:id="rId9823" display="https://statiz.sporki.com/player/?m=playerinfo&amp;p_no=1658" xr:uid="{C46B14F1-A524-4882-AE0B-8F96676267A4}"/>
    <hyperlink ref="B3276" r:id="rId9824" display="https://statiz.sporki.com/add/?m=draft_school01&amp;ps_school=" xr:uid="{E3058E1D-3526-4B72-AE55-A3307E970667}"/>
    <hyperlink ref="C3276" r:id="rId9825" display="https://statiz.sporki.com/add/?m=draft_school02&amp;ps_school=60803" xr:uid="{614BB74F-8A87-483A-9C25-42AA805A1212}"/>
    <hyperlink ref="A3277" r:id="rId9826" display="https://statiz.sporki.com/player/?m=playerinfo&amp;p_no=10339" xr:uid="{691D3568-D050-4274-952D-1870523F7E48}"/>
    <hyperlink ref="B3277" r:id="rId9827" display="https://statiz.sporki.com/add/?m=draft_school01&amp;ps_school=50711" xr:uid="{FDFC7642-C996-4E6E-8698-D134314E6D19}"/>
    <hyperlink ref="C3277" r:id="rId9828" display="https://statiz.sporki.com/add/?m=draft_school02&amp;ps_school=60703" xr:uid="{EA81686D-56E1-4B4B-8E78-831E1A03BD9F}"/>
    <hyperlink ref="A3278" r:id="rId9829" display="https://statiz.sporki.com/player/?m=playerinfo&amp;p_no=1671" xr:uid="{3683D11F-78BD-472E-8CE1-DC47DBD0391A}"/>
    <hyperlink ref="B3278" r:id="rId9830" display="https://statiz.sporki.com/add/?m=draft_school01&amp;ps_school=50208" xr:uid="{7E52F24F-FCF2-4F31-8311-79198180D161}"/>
    <hyperlink ref="C3278" r:id="rId9831" display="https://statiz.sporki.com/add/?m=draft_school02&amp;ps_school=60114" xr:uid="{B9D53F3D-7594-401E-9BB0-451DEC4E0EEC}"/>
    <hyperlink ref="A3279" r:id="rId9832" display="https://statiz.sporki.com/player/?m=playerinfo&amp;p_no=1787" xr:uid="{B45BE4BB-45D8-4A38-A2FA-B551FE340F12}"/>
    <hyperlink ref="B3279" r:id="rId9833" display="https://statiz.sporki.com/add/?m=draft_school01&amp;ps_school=50110" xr:uid="{672D903B-C36A-46F7-B68F-0EA881930CF6}"/>
    <hyperlink ref="C3279" r:id="rId9834" display="https://statiz.sporki.com/add/?m=draft_school02&amp;ps_school=60203" xr:uid="{73265B88-FBB4-4FB2-9B33-CDC769ACD242}"/>
    <hyperlink ref="A3280" r:id="rId9835" display="https://statiz.sporki.com/player/?m=playerinfo&amp;p_no=1691" xr:uid="{8EAB4F0F-40B1-40F4-940A-9B650D211016}"/>
    <hyperlink ref="B3280" r:id="rId9836" display="https://statiz.sporki.com/add/?m=draft_school01&amp;ps_school=50802" xr:uid="{8D878C8E-FBC0-49E4-9ABB-1E0805B04668}"/>
    <hyperlink ref="C3280" r:id="rId9837" display="https://statiz.sporki.com/add/?m=draft_school02&amp;ps_school=60803" xr:uid="{74EBA4F1-6297-4473-BC4B-A9666A70F420}"/>
    <hyperlink ref="A3281" r:id="rId9838" display="https://statiz.sporki.com/player/?m=playerinfo&amp;p_no=1657" xr:uid="{DB0BC590-7E06-4A3F-BC7E-DBAB2C26733C}"/>
    <hyperlink ref="B3281" r:id="rId9839" display="https://statiz.sporki.com/add/?m=draft_school01&amp;ps_school=50209" xr:uid="{E5CB5115-B731-4DC6-9BD2-56BEF9FD7C57}"/>
    <hyperlink ref="C3281" r:id="rId9840" display="https://statiz.sporki.com/add/?m=draft_school02&amp;ps_school=60204" xr:uid="{93372381-399D-40C4-9E74-35612BD5514F}"/>
    <hyperlink ref="A3282" r:id="rId9841" display="https://statiz.sporki.com/player/?m=playerinfo&amp;p_no=1670" xr:uid="{99CCEE1E-B993-4DB8-ACC1-C92140753553}"/>
    <hyperlink ref="B3282" r:id="rId9842" display="https://statiz.sporki.com/add/?m=draft_school01&amp;ps_school=" xr:uid="{370DEF8F-67BC-4696-8898-87195A5146C8}"/>
    <hyperlink ref="C3282" r:id="rId9843" display="https://statiz.sporki.com/add/?m=draft_school02&amp;ps_school=60203" xr:uid="{8AC781DA-A2F0-46B3-99FC-7A21A9DAECA4}"/>
    <hyperlink ref="A3283" r:id="rId9844" display="https://statiz.sporki.com/player/?m=playerinfo&amp;p_no=1677" xr:uid="{C4545BEE-0C09-4FB4-B42C-759E848BBDF4}"/>
    <hyperlink ref="B3283" r:id="rId9845" display="https://statiz.sporki.com/add/?m=draft_school01&amp;ps_school=50403" xr:uid="{6172D3A4-9CE1-4846-9B9A-F6F78DE2FA9D}"/>
    <hyperlink ref="C3283" r:id="rId9846" display="https://statiz.sporki.com/add/?m=draft_school02&amp;ps_school=60113" xr:uid="{953336C5-038B-48F6-AABA-F18B0AD09927}"/>
    <hyperlink ref="A3284" r:id="rId9847" display="https://statiz.sporki.com/player/?m=playerinfo&amp;p_no=1660" xr:uid="{F98AEA28-3D51-4D62-B6D2-71824DF9D4BA}"/>
    <hyperlink ref="B3284" r:id="rId9848" display="https://statiz.sporki.com/add/?m=draft_school01&amp;ps_school=50608" xr:uid="{2681C012-46F9-437D-A3AD-9891427CBDF8}"/>
    <hyperlink ref="C3284" r:id="rId9849" display="https://statiz.sporki.com/add/?m=draft_school02&amp;ps_school=60203" xr:uid="{129FC84B-BF66-411C-B513-416830759E02}"/>
    <hyperlink ref="A3285" r:id="rId9850" display="https://statiz.sporki.com/player/?m=playerinfo&amp;p_no=1700" xr:uid="{DF2DBF4C-4B07-4E7C-A412-E576BF988654}"/>
    <hyperlink ref="B3285" r:id="rId9851" display="https://statiz.sporki.com/add/?m=draft_school01&amp;ps_school=50114" xr:uid="{70AACBA2-9A18-48E8-8A1D-5E0DB7802D3D}"/>
    <hyperlink ref="C3285" r:id="rId9852" display="https://statiz.sporki.com/add/?m=draft_school02&amp;ps_school=60203" xr:uid="{EA5E209C-EC6C-491E-9035-F5FB7A0847A6}"/>
    <hyperlink ref="A3286" r:id="rId9853" display="https://statiz.sporki.com/player/?m=playerinfo&amp;p_no=1682" xr:uid="{97EACB25-4909-4545-A5DF-761302C27B16}"/>
    <hyperlink ref="B3286" r:id="rId9854" display="https://statiz.sporki.com/add/?m=draft_school01&amp;ps_school=50209" xr:uid="{EC8469F0-629E-4537-B63E-EAD68385259A}"/>
    <hyperlink ref="C3286" r:id="rId9855" display="https://statiz.sporki.com/add/?m=draft_school02&amp;ps_school=60204" xr:uid="{18C874E3-8FEA-4D9E-B1FC-BC243A34C7D8}"/>
    <hyperlink ref="A3287" r:id="rId9856" display="https://statiz.sporki.com/player/?m=playerinfo&amp;p_no=1653" xr:uid="{AD47B08F-ECA5-4173-A07F-AE0497FC5735}"/>
    <hyperlink ref="B3287" r:id="rId9857" display="https://statiz.sporki.com/add/?m=draft_school01&amp;ps_school=50209" xr:uid="{2720A773-B6F9-4BFB-AF2D-3A2FBE85ECB0}"/>
    <hyperlink ref="C3287" r:id="rId9858" display="https://statiz.sporki.com/add/?m=draft_school02&amp;ps_school=60208" xr:uid="{1904CD69-B61D-42B9-BBB4-F7BB6246A0DC}"/>
    <hyperlink ref="A3288" r:id="rId9859" display="https://statiz.sporki.com/player/?m=playerinfo&amp;p_no=1673" xr:uid="{89C4B2E5-3C7D-4B7E-8BFB-CF1915DCAC6C}"/>
    <hyperlink ref="B3288" r:id="rId9860" display="https://statiz.sporki.com/add/?m=draft_school01&amp;ps_school=50802" xr:uid="{1390D619-5D04-43BD-A1BB-ABE7CBC27837}"/>
    <hyperlink ref="C3288" r:id="rId9861" display="https://statiz.sporki.com/add/?m=draft_school02&amp;ps_school=60802" xr:uid="{0F295CD6-8702-4D60-B52D-B5BFF7EEC4F0}"/>
    <hyperlink ref="A3289" r:id="rId9862" display="https://statiz.sporki.com/player/?m=playerinfo&amp;p_no=1687" xr:uid="{30FC2FE4-D887-4CF3-8A7C-9C7741A8E108}"/>
    <hyperlink ref="B3289" r:id="rId9863" display="https://statiz.sporki.com/add/?m=draft_school01&amp;ps_school=50403" xr:uid="{D186A84A-9231-493D-87FD-377C0E012ADD}"/>
    <hyperlink ref="C3289" r:id="rId9864" display="https://statiz.sporki.com/add/?m=draft_school02&amp;ps_school=60203" xr:uid="{BCE13DA9-BA86-4425-A6FA-E6CE92BFC8B3}"/>
    <hyperlink ref="A3290" r:id="rId9865" display="https://statiz.sporki.com/player/?m=playerinfo&amp;p_no=11437" xr:uid="{89DF6618-4C6A-410C-9D96-1B3D3100F466}"/>
    <hyperlink ref="B3290" r:id="rId9866" display="https://statiz.sporki.com/add/?m=draft_school01&amp;ps_school=50802" xr:uid="{4AE7DAFF-A460-4E8B-B527-4BBF5409808D}"/>
    <hyperlink ref="C3290" r:id="rId9867" display="https://statiz.sporki.com/add/?m=draft_school02&amp;ps_school=60802" xr:uid="{6AF28570-0FC0-41AC-A7D1-AD342F50917E}"/>
    <hyperlink ref="A3291" r:id="rId9868" display="https://statiz.sporki.com/player/?m=playerinfo&amp;p_no=1681" xr:uid="{E891D312-F1FF-4707-AC2E-7E2CCFF7DC2F}"/>
    <hyperlink ref="B3291" r:id="rId9869" display="https://statiz.sporki.com/add/?m=draft_school01&amp;ps_school=50701" xr:uid="{508A7695-3E07-4C3C-9505-A5B7D4E2CC60}"/>
    <hyperlink ref="C3291" r:id="rId9870" display="https://statiz.sporki.com/add/?m=draft_school02&amp;ps_school=60703" xr:uid="{35A87F5C-CDE7-47B1-9872-9BA211BE415B}"/>
    <hyperlink ref="A3292" r:id="rId9871" display="https://statiz.sporki.com/player/?m=playerinfo&amp;p_no=1654" xr:uid="{CB45E322-726D-401D-8199-C8D31019FE45}"/>
    <hyperlink ref="B3292" r:id="rId9872" display="https://statiz.sporki.com/add/?m=draft_school01&amp;ps_school=50711" xr:uid="{E91EABB8-A6F1-4113-A399-8596A3397FE0}"/>
    <hyperlink ref="C3292" r:id="rId9873" display="https://statiz.sporki.com/add/?m=draft_school02&amp;ps_school=60114" xr:uid="{A7A2E9C4-94D3-4E25-A41C-C560A84D9716}"/>
    <hyperlink ref="A3293" r:id="rId9874" display="https://statiz.sporki.com/player/?m=playerinfo&amp;p_no=1712" xr:uid="{0E67262E-0712-468C-BDC4-E951EA9E5DD5}"/>
    <hyperlink ref="B3293" r:id="rId9875" display="https://statiz.sporki.com/add/?m=draft_school01&amp;ps_school=" xr:uid="{F7568479-8369-459B-86E8-23E8826C8CC6}"/>
    <hyperlink ref="C3293" r:id="rId9876" display="https://statiz.sporki.com/add/?m=draft_school02&amp;ps_school=60204" xr:uid="{E90E37E7-1DA3-4F62-B7D8-D940A42283D5}"/>
    <hyperlink ref="A3294" r:id="rId9877" display="https://statiz.sporki.com/player/?m=playerinfo&amp;p_no=1713" xr:uid="{676A87B1-1D1F-44BA-84A1-ED5C71E43BFE}"/>
    <hyperlink ref="B3294" r:id="rId9878" display="https://statiz.sporki.com/add/?m=draft_school01&amp;ps_school=50109" xr:uid="{27E84C97-537F-4D73-83D1-9EBC6FFC8A81}"/>
    <hyperlink ref="C3294" r:id="rId9879" display="https://statiz.sporki.com/add/?m=draft_school02&amp;ps_school=60101" xr:uid="{68C908F1-5124-4EA4-9093-73049E8D82EC}"/>
    <hyperlink ref="A3295" r:id="rId9880" display="https://statiz.sporki.com/player/?m=playerinfo&amp;p_no=1652" xr:uid="{22C2E56C-F6D4-4AFD-A245-E29ECAA847E6}"/>
    <hyperlink ref="B3295" r:id="rId9881" display="https://statiz.sporki.com/add/?m=draft_school01&amp;ps_school=" xr:uid="{643C3DB0-2863-4CA9-9EF1-D911E856F07C}"/>
    <hyperlink ref="C3295" r:id="rId9882" display="https://statiz.sporki.com/add/?m=draft_school02&amp;ps_school=60801" xr:uid="{19202F96-FB17-486E-9BBB-8787FC915935}"/>
    <hyperlink ref="A3296" r:id="rId9883" display="https://statiz.sporki.com/player/?m=playerinfo&amp;p_no=1694" xr:uid="{D685EDF2-6B39-4313-8598-403AD520F435}"/>
    <hyperlink ref="B3296" r:id="rId9884" display="https://statiz.sporki.com/add/?m=draft_school01&amp;ps_school=50706" xr:uid="{5357611B-4F4B-4809-A9FB-56094990BEC5}"/>
    <hyperlink ref="C3296" r:id="rId9885" display="https://statiz.sporki.com/add/?m=draft_school02&amp;ps_school=" xr:uid="{17643C9E-3631-4117-9A6B-2A4033FAFCB5}"/>
    <hyperlink ref="A3297" r:id="rId9886" display="https://statiz.sporki.com/player/?m=playerinfo&amp;p_no=1669" xr:uid="{502889E8-FF92-4448-AD65-E5C4E3C8B9A5}"/>
    <hyperlink ref="B3297" r:id="rId9887" display="https://statiz.sporki.com/add/?m=draft_school01&amp;ps_school=50403" xr:uid="{DC4FDD4E-2701-4798-B8E4-6A7D2F735B83}"/>
    <hyperlink ref="C3297" r:id="rId9888" display="https://statiz.sporki.com/add/?m=draft_school02&amp;ps_school=60703" xr:uid="{E3D1F8A8-B76A-418B-B111-E5D2E189469E}"/>
    <hyperlink ref="A3298" r:id="rId9889" display="https://statiz.sporki.com/player/?m=playerinfo&amp;p_no=1661" xr:uid="{906F7964-DC49-4464-8A5E-F784EF1071A4}"/>
    <hyperlink ref="B3298" r:id="rId9890" display="https://statiz.sporki.com/add/?m=draft_school01&amp;ps_school=50302" xr:uid="{6CB57D4C-6693-4DBA-B361-21B32E472E42}"/>
    <hyperlink ref="C3298" r:id="rId9891" display="https://statiz.sporki.com/add/?m=draft_school02&amp;ps_school=60705" xr:uid="{304D5990-4B62-4D3D-958B-C4BEF3292988}"/>
    <hyperlink ref="A3299" r:id="rId9892" display="https://statiz.sporki.com/player/?m=playerinfo&amp;p_no=1684" xr:uid="{1C610A81-F779-420B-8F67-B1393A04406D}"/>
    <hyperlink ref="B3299" r:id="rId9893" display="https://statiz.sporki.com/add/?m=draft_school01&amp;ps_school=50113" xr:uid="{F39275B7-7B56-44D8-B813-F593CA28DA25}"/>
    <hyperlink ref="C3299" r:id="rId9894" display="https://statiz.sporki.com/add/?m=draft_school02&amp;ps_school=60501" xr:uid="{1C6D9D32-DA86-4D92-A1CA-C1A50F05E817}"/>
    <hyperlink ref="A3300" r:id="rId9895" display="https://statiz.sporki.com/player/?m=playerinfo&amp;p_no=1709" xr:uid="{985E3FAE-8449-4149-A457-4F2BCD803AB7}"/>
    <hyperlink ref="B3300" r:id="rId9896" display="https://statiz.sporki.com/add/?m=draft_school01&amp;ps_school=50105" xr:uid="{09B0C99C-DE5A-44B2-BB26-754D256B6C21}"/>
    <hyperlink ref="C3300" r:id="rId9897" display="https://statiz.sporki.com/add/?m=draft_school02&amp;ps_school=60102" xr:uid="{E19BD6FF-40A8-4B74-9703-CA46C06D776E}"/>
    <hyperlink ref="A3301" r:id="rId9898" display="https://statiz.sporki.com/player/?m=playerinfo&amp;p_no=1659" xr:uid="{C7192F13-EEDB-4BA7-8D91-18D168C48CAC}"/>
    <hyperlink ref="B3301" r:id="rId9899" display="https://statiz.sporki.com/add/?m=draft_school01&amp;ps_school=50114" xr:uid="{E499D825-30FA-48A5-A81F-020B2122CE97}"/>
    <hyperlink ref="C3301" r:id="rId9900" display="https://statiz.sporki.com/add/?m=draft_school02&amp;ps_school=60109" xr:uid="{1552F91C-EC9D-4B0F-B123-EC5EDEFB9FC2}"/>
    <hyperlink ref="A3302" r:id="rId9901" display="https://statiz.sporki.com/player/?m=playerinfo&amp;p_no=1753" xr:uid="{D8BD9E78-AFF3-45D5-A7D8-F28E045B1852}"/>
    <hyperlink ref="B3302" r:id="rId9902" display="https://statiz.sporki.com/add/?m=draft_school01&amp;ps_school=50105" xr:uid="{A77606D8-F347-47C1-ADE8-85ADB9CB28C5}"/>
    <hyperlink ref="C3302" r:id="rId9903" display="https://statiz.sporki.com/add/?m=draft_school02&amp;ps_school=60208" xr:uid="{45C3A886-D5E7-4B90-80CD-98615356C630}"/>
    <hyperlink ref="A3303" r:id="rId9904" display="https://statiz.sporki.com/player/?m=playerinfo&amp;p_no=1662" xr:uid="{FEC872B0-A982-45E9-8F97-970B9DBAF863}"/>
    <hyperlink ref="B3303" r:id="rId9905" display="https://statiz.sporki.com/add/?m=draft_school01&amp;ps_school=" xr:uid="{E723CC1A-8AD2-49AE-9F67-D181FAD4C718}"/>
    <hyperlink ref="C3303" r:id="rId9906" display="https://statiz.sporki.com/add/?m=draft_school02&amp;ps_school=" xr:uid="{9651E4CE-A86C-485A-BEF0-BD1768DE6A16}"/>
    <hyperlink ref="A3304" r:id="rId9907" display="https://statiz.sporki.com/player/?m=playerinfo&amp;p_no=1718" xr:uid="{56925283-B2F4-4E93-906A-732CEBB846B9}"/>
    <hyperlink ref="B3304" r:id="rId9908" display="https://statiz.sporki.com/add/?m=draft_school01&amp;ps_school=" xr:uid="{BFC1C540-C245-4B84-B7EE-F36AB0AA7DEC}"/>
    <hyperlink ref="C3304" r:id="rId9909" display="https://statiz.sporki.com/add/?m=draft_school02&amp;ps_school=" xr:uid="{7C746026-40EE-40CF-94A3-5C6657E45A9F}"/>
    <hyperlink ref="A3305" r:id="rId9910" display="https://statiz.sporki.com/player/?m=playerinfo&amp;p_no=1741" xr:uid="{965F56FF-61DC-41E6-94C3-DE40E975B701}"/>
    <hyperlink ref="B3305" r:id="rId9911" display="https://statiz.sporki.com/add/?m=draft_school01&amp;ps_school=50115" xr:uid="{AD492DA1-2E5D-46F8-A720-19C79F3B6B02}"/>
    <hyperlink ref="C3305" r:id="rId9912" display="https://statiz.sporki.com/add/?m=draft_school02&amp;ps_school=" xr:uid="{30951B79-ED7E-4686-9583-BD54C88EF47D}"/>
    <hyperlink ref="A3306" r:id="rId9913" display="https://statiz.sporki.com/player/?m=playerinfo&amp;p_no=1666" xr:uid="{1E8CD598-E47D-47A1-A7D8-EC53209316FC}"/>
    <hyperlink ref="B3306" r:id="rId9914" display="https://statiz.sporki.com/add/?m=draft_school01&amp;ps_school=50802" xr:uid="{2B224A62-5808-431D-8140-7EC3E08B08F5}"/>
    <hyperlink ref="C3306" r:id="rId9915" display="https://statiz.sporki.com/add/?m=draft_school02&amp;ps_school=60109" xr:uid="{1E6C4048-D136-48C5-95E3-BAE5DFA6DE8F}"/>
    <hyperlink ref="A3307" r:id="rId9916" display="https://statiz.sporki.com/player/?m=playerinfo&amp;p_no=1708" xr:uid="{B2DB0028-6184-4453-A355-92DEDCB1C865}"/>
    <hyperlink ref="B3307" r:id="rId9917" display="https://statiz.sporki.com/add/?m=draft_school01&amp;ps_school=" xr:uid="{84E73156-D6DC-4090-B408-75B619CD19EB}"/>
    <hyperlink ref="C3307" r:id="rId9918" display="https://statiz.sporki.com/add/?m=draft_school02&amp;ps_school=60203" xr:uid="{63B01A7A-B614-40E1-87FA-80C6E4439B5B}"/>
    <hyperlink ref="A3308" r:id="rId9919" display="https://statiz.sporki.com/player/?m=playerinfo&amp;p_no=1675" xr:uid="{DF1C91AE-5AB8-4A2B-ABA1-A0E431AB3812}"/>
    <hyperlink ref="B3308" r:id="rId9920" display="https://statiz.sporki.com/add/?m=draft_school01&amp;ps_school=50121" xr:uid="{9AAAA806-8158-4897-BF79-E61141F2EDF5}"/>
    <hyperlink ref="C3308" r:id="rId9921" display="https://statiz.sporki.com/add/?m=draft_school02&amp;ps_school=60113" xr:uid="{0A510F51-2BC9-4FD0-9B77-2AE3C7120A66}"/>
    <hyperlink ref="A3309" r:id="rId9922" display="https://statiz.sporki.com/player/?m=playerinfo&amp;p_no=1731" xr:uid="{0FAD86C6-ABED-4B5B-B2FB-5BA6BBBB672A}"/>
    <hyperlink ref="B3309" r:id="rId9923" display="https://statiz.sporki.com/add/?m=draft_school01&amp;ps_school=" xr:uid="{AD3AD009-152D-43A3-8B59-2D98490E4609}"/>
    <hyperlink ref="C3309" r:id="rId9924" display="https://statiz.sporki.com/add/?m=draft_school02&amp;ps_school=" xr:uid="{84210776-6212-4B38-B786-BB4BC6B9C792}"/>
    <hyperlink ref="A3310" r:id="rId9925" display="https://statiz.sporki.com/player/?m=playerinfo&amp;p_no=1649" xr:uid="{E6DA95C3-6879-4E4A-887E-F5B5D7EF0025}"/>
    <hyperlink ref="B3310" r:id="rId9926" display="https://statiz.sporki.com/add/?m=draft_school01&amp;ps_school=50602" xr:uid="{B0C9D977-AE8E-4127-80EA-D4B8C034E6D3}"/>
    <hyperlink ref="C3310" r:id="rId9927" display="https://statiz.sporki.com/add/?m=draft_school02&amp;ps_school=60204" xr:uid="{EA58B3A7-9F56-445B-B833-496F01CD30F7}"/>
    <hyperlink ref="A3311" r:id="rId9928" display="https://statiz.sporki.com/player/?m=playerinfo&amp;p_no=1647" xr:uid="{99062CB0-79CF-47C7-918E-432982340D2B}"/>
    <hyperlink ref="B3311" r:id="rId9929" display="https://statiz.sporki.com/add/?m=draft_school01&amp;ps_school=50604" xr:uid="{FE3767C2-9468-422E-BAF1-E43E9066DCEB}"/>
    <hyperlink ref="C3311" r:id="rId9930" display="https://statiz.sporki.com/add/?m=draft_school02&amp;ps_school=60101" xr:uid="{F97DA0BA-B9CE-41CD-962D-7A818AC99053}"/>
    <hyperlink ref="A3312" r:id="rId9931" display="https://statiz.sporki.com/player/?m=playerinfo&amp;p_no=1668" xr:uid="{4C4737F4-0D2D-4CBA-BA89-2B094B7F03DF}"/>
    <hyperlink ref="B3312" r:id="rId9932" display="https://statiz.sporki.com/add/?m=draft_school01&amp;ps_school=50108" xr:uid="{34E27725-A4B7-46C4-BC67-4163897A2334}"/>
    <hyperlink ref="C3312" r:id="rId9933" display="https://statiz.sporki.com/add/?m=draft_school02&amp;ps_school=" xr:uid="{B3D8E832-1EC8-416D-89A1-6CFACCF707A0}"/>
    <hyperlink ref="A3313" r:id="rId9934" display="https://statiz.sporki.com/player/?m=playerinfo&amp;p_no=1798" xr:uid="{31DD31FC-998F-4AED-8402-D04BFDFDDFD8}"/>
    <hyperlink ref="B3313" r:id="rId9935" display="https://statiz.sporki.com/add/?m=draft_school01&amp;ps_school=50104" xr:uid="{DF518AF6-5C1B-4470-9A8E-96281589F4AB}"/>
    <hyperlink ref="C3313" r:id="rId9936" display="https://statiz.sporki.com/add/?m=draft_school02&amp;ps_school=" xr:uid="{7B7508CE-23A3-4CEC-BDBC-482C1FE59C7A}"/>
    <hyperlink ref="A3314" r:id="rId9937" display="https://statiz.sporki.com/player/?m=playerinfo&amp;p_no=1689" xr:uid="{0943FA1F-C7F2-4E60-9697-13F1DD143E2E}"/>
    <hyperlink ref="B3314" r:id="rId9938" display="https://statiz.sporki.com/add/?m=draft_school01&amp;ps_school=50805" xr:uid="{2D8F22B7-1128-44CA-9D95-8257BBB088D7}"/>
    <hyperlink ref="C3314" r:id="rId9939" display="https://statiz.sporki.com/add/?m=draft_school02&amp;ps_school=" xr:uid="{6D617E22-5BB7-454B-BEBE-786B531DED0F}"/>
    <hyperlink ref="A3315" r:id="rId9940" display="https://statiz.sporki.com/player/?m=playerinfo&amp;p_no=1680" xr:uid="{3359B02C-BD72-4C4E-8966-50FE1E0E8A5D}"/>
    <hyperlink ref="B3315" r:id="rId9941" display="https://statiz.sporki.com/add/?m=draft_school01&amp;ps_school=50802" xr:uid="{56EECDB9-80EC-4F92-A2DD-6DD046C4C7B5}"/>
    <hyperlink ref="C3315" r:id="rId9942" display="https://statiz.sporki.com/add/?m=draft_school02&amp;ps_school=" xr:uid="{5FF386F2-C958-4777-A1E3-858CE42ED6ED}"/>
    <hyperlink ref="A3316" r:id="rId9943" display="https://statiz.sporki.com/player/?m=playerinfo&amp;p_no=10613" xr:uid="{A9452D65-FA0B-458D-96B8-B440ABBEB583}"/>
    <hyperlink ref="B3316" r:id="rId9944" display="https://statiz.sporki.com/add/?m=draft_school01&amp;ps_school=50402" xr:uid="{63FD9F24-12CB-48D5-A291-3781EDAAC72D}"/>
    <hyperlink ref="C3316" r:id="rId9945" display="https://statiz.sporki.com/add/?m=draft_school02&amp;ps_school=" xr:uid="{3628330E-1B92-4924-89F6-7EC82CF2D7C2}"/>
    <hyperlink ref="A3317" r:id="rId9946" display="https://statiz.sporki.com/player/?m=playerinfo&amp;p_no=1816" xr:uid="{ED51F189-E33A-483E-9AD6-C1ECA6930ECB}"/>
    <hyperlink ref="B3317" r:id="rId9947" display="https://statiz.sporki.com/add/?m=draft_school01&amp;ps_school=50703" xr:uid="{09F6EBB8-670F-47D4-90D9-1F1F4A140CB3}"/>
    <hyperlink ref="C3317" r:id="rId9948" display="https://statiz.sporki.com/add/?m=draft_school02&amp;ps_school=" xr:uid="{A9E0D010-7F04-49A4-866D-E5D8401CAAD2}"/>
    <hyperlink ref="A3318" r:id="rId9949" display="https://statiz.sporki.com/player/?m=playerinfo&amp;p_no=1683" xr:uid="{A66BD873-8211-47DA-B7FE-FFB9A5B2B035}"/>
    <hyperlink ref="B3318" r:id="rId9950" display="https://statiz.sporki.com/add/?m=draft_school01&amp;ps_school=50701" xr:uid="{4F6F9416-1286-4688-91D4-CDCE0D6B16B4}"/>
    <hyperlink ref="C3318" r:id="rId9951" display="https://statiz.sporki.com/add/?m=draft_school02&amp;ps_school=" xr:uid="{F0E40EA0-840B-46F3-AEC5-C2BB4E59031A}"/>
    <hyperlink ref="A3319" r:id="rId9952" display="https://statiz.sporki.com/player/?m=playerinfo&amp;p_no=1841" xr:uid="{30305503-9CA1-400B-80BE-DCC93ACE6505}"/>
    <hyperlink ref="B3319" r:id="rId9953" display="https://statiz.sporki.com/add/?m=draft_school01&amp;ps_school=50702" xr:uid="{7D90E344-2A62-4E8E-956B-FCA9A4B4933D}"/>
    <hyperlink ref="C3319" r:id="rId9954" display="https://statiz.sporki.com/add/?m=draft_school02&amp;ps_school=" xr:uid="{BAA143F6-C9E0-46BA-ABB6-C5C9906C441B}"/>
    <hyperlink ref="A3320" r:id="rId9955" display="https://statiz.sporki.com/player/?m=playerinfo&amp;p_no=1747" xr:uid="{8CB756C6-5A71-4610-95DD-3DD406F63C84}"/>
    <hyperlink ref="B3320" r:id="rId9956" display="https://statiz.sporki.com/add/?m=draft_school01&amp;ps_school=50901" xr:uid="{BB961F7A-5BA8-4D6C-807F-49134C945F11}"/>
    <hyperlink ref="C3320" r:id="rId9957" display="https://statiz.sporki.com/add/?m=draft_school02&amp;ps_school=" xr:uid="{3FFE1DDA-F552-46A8-BC4A-7F787AD791F3}"/>
    <hyperlink ref="A3321" r:id="rId9958" display="https://statiz.sporki.com/player/?m=playerinfo&amp;p_no=10020" xr:uid="{EDDE2F2F-29BF-408F-9883-22EF79BE71E0}"/>
    <hyperlink ref="B3321" r:id="rId9959" display="https://statiz.sporki.com/add/?m=draft_school01&amp;ps_school=50901" xr:uid="{370FAC52-7126-43FE-82BD-44F8BE73B823}"/>
    <hyperlink ref="C3321" r:id="rId9960" display="https://statiz.sporki.com/add/?m=draft_school02&amp;ps_school=" xr:uid="{EABC95D3-CEA5-4855-A143-E04437D1C44A}"/>
    <hyperlink ref="A3322" r:id="rId9961" display="https://statiz.sporki.com/player/?m=playerinfo&amp;p_no=1674" xr:uid="{995D7DDF-5988-4807-B4FA-06912D5CE5B5}"/>
    <hyperlink ref="B3322" r:id="rId9962" display="https://statiz.sporki.com/add/?m=draft_school01&amp;ps_school=50210" xr:uid="{3EB5003F-DF44-4E33-88A6-F60F0A5DA547}"/>
    <hyperlink ref="C3322" r:id="rId9963" display="https://statiz.sporki.com/add/?m=draft_school02&amp;ps_school=" xr:uid="{5131FE22-45E1-4E13-8979-D4BB023CDA43}"/>
    <hyperlink ref="A3323" r:id="rId9964" display="https://statiz.sporki.com/player/?m=playerinfo&amp;p_no=1711" xr:uid="{975D1F26-D04F-4EB9-94C6-B4502806B4CF}"/>
    <hyperlink ref="B3323" r:id="rId9965" display="https://statiz.sporki.com/add/?m=draft_school01&amp;ps_school=50903" xr:uid="{439099AA-E442-4AB1-A6BA-32EE29D5CDF9}"/>
    <hyperlink ref="C3323" r:id="rId9966" display="https://statiz.sporki.com/add/?m=draft_school02&amp;ps_school=" xr:uid="{39BAE5FF-E2B9-4531-A94A-63C337D3FE5B}"/>
    <hyperlink ref="A3324" r:id="rId9967" display="https://statiz.sporki.com/player/?m=playerinfo&amp;p_no=1844" xr:uid="{6ECDF1F9-D8F1-4599-AF54-C4E88B72FADF}"/>
    <hyperlink ref="B3324" r:id="rId9968" display="https://statiz.sporki.com/add/?m=draft_school01&amp;ps_school=50901" xr:uid="{DAB51DC5-669C-4750-AF44-5D81669ECC8F}"/>
    <hyperlink ref="C3324" r:id="rId9969" display="https://statiz.sporki.com/add/?m=draft_school02&amp;ps_school=" xr:uid="{46901188-F4CA-4E85-9633-C76566744D5D}"/>
    <hyperlink ref="A3325" r:id="rId9970" display="https://statiz.sporki.com/player/?m=playerinfo&amp;p_no=1688" xr:uid="{DC011B99-958C-4E12-AF21-D3554D3597F6}"/>
    <hyperlink ref="B3325" r:id="rId9971" display="https://statiz.sporki.com/add/?m=draft_school01&amp;ps_school=50210" xr:uid="{6239B6CE-BDBB-47D6-B965-17687ABC63DB}"/>
    <hyperlink ref="C3325" r:id="rId9972" display="https://statiz.sporki.com/add/?m=draft_school02&amp;ps_school=" xr:uid="{530CC5A0-6D9F-4512-AFCB-5B3F36D4FE22}"/>
    <hyperlink ref="A3326" r:id="rId9973" display="https://statiz.sporki.com/player/?m=playerinfo&amp;p_no=1697" xr:uid="{DDD1EACA-FED6-42EA-AFD0-FA0E6E266343}"/>
    <hyperlink ref="B3326" r:id="rId9974" display="https://statiz.sporki.com/add/?m=draft_school01&amp;ps_school=50602" xr:uid="{234D4F18-52C5-415B-9155-6AE6B8F0CE88}"/>
    <hyperlink ref="C3326" r:id="rId9975" display="https://statiz.sporki.com/add/?m=draft_school02&amp;ps_school=" xr:uid="{1BD6545A-BEA7-4D5B-A594-36169DEBE335}"/>
    <hyperlink ref="A3327" r:id="rId9976" display="https://statiz.sporki.com/player/?m=playerinfo&amp;p_no=1692" xr:uid="{592C0FE6-DAB9-47F3-AC56-DF62870CCA08}"/>
    <hyperlink ref="B3327" r:id="rId9977" display="https://statiz.sporki.com/add/?m=draft_school01&amp;ps_school=50604" xr:uid="{15684841-B096-4A29-ACD4-846AE39F8078}"/>
    <hyperlink ref="C3327" r:id="rId9978" display="https://statiz.sporki.com/add/?m=draft_school02&amp;ps_school=" xr:uid="{5272FEA9-A538-4A45-8F68-BD4F0A8E4B66}"/>
    <hyperlink ref="A3328" r:id="rId9979" display="https://statiz.sporki.com/player/?m=playerinfo&amp;p_no=1744" xr:uid="{2675447A-9081-458D-87D8-86A53EFA670F}"/>
    <hyperlink ref="B3328" r:id="rId9980" display="https://statiz.sporki.com/add/?m=draft_school01&amp;ps_school=50608" xr:uid="{4C96923A-611B-4A19-B997-DEFAF1DED4AC}"/>
    <hyperlink ref="C3328" r:id="rId9981" display="https://statiz.sporki.com/add/?m=draft_school02&amp;ps_school=" xr:uid="{CAB9F0B6-020D-49F6-A18A-B844405F7A24}"/>
    <hyperlink ref="A3329" r:id="rId9982" display="https://statiz.sporki.com/player/?m=playerinfo&amp;p_no=1751" xr:uid="{CE1656FC-31C2-4583-A26D-9BFD7968D135}"/>
    <hyperlink ref="B3329" r:id="rId9983" display="https://statiz.sporki.com/add/?m=draft_school01&amp;ps_school=50807" xr:uid="{4F17D7B8-A590-47A7-8973-CEDCE554C26A}"/>
    <hyperlink ref="C3329" r:id="rId9984" display="https://statiz.sporki.com/add/?m=draft_school02&amp;ps_school=" xr:uid="{168C26C9-E7C3-454A-8B57-5A50E76F758E}"/>
    <hyperlink ref="A3330" r:id="rId9985" display="https://statiz.sporki.com/player/?m=playerinfo&amp;p_no=1766" xr:uid="{ACF664F0-AA81-41AD-A23B-BD72D1989DA8}"/>
    <hyperlink ref="B3330" r:id="rId9986" display="https://statiz.sporki.com/add/?m=draft_school01&amp;ps_school=50804" xr:uid="{F88219CB-1073-43D5-85E7-EEDAC990DA11}"/>
    <hyperlink ref="C3330" r:id="rId9987" display="https://statiz.sporki.com/add/?m=draft_school02&amp;ps_school=" xr:uid="{12001212-96B0-470E-BD28-C0C02789732C}"/>
    <hyperlink ref="A3331" r:id="rId9988" display="https://statiz.sporki.com/player/?m=playerinfo&amp;p_no=1838" xr:uid="{4FA71081-FF9B-43D1-9E00-B4F5E19DCFC3}"/>
    <hyperlink ref="B3331" r:id="rId9989" display="https://statiz.sporki.com/add/?m=draft_school01&amp;ps_school=50501" xr:uid="{4F20FC8D-E3AA-4011-B4E3-46E4E6837BD1}"/>
    <hyperlink ref="C3331" r:id="rId9990" display="https://statiz.sporki.com/add/?m=draft_school02&amp;ps_school=" xr:uid="{5569AC4F-0768-4BCE-8C43-EA003F06F2B9}"/>
    <hyperlink ref="A3332" r:id="rId9991" display="https://statiz.sporki.com/player/?m=playerinfo&amp;p_no=1725" xr:uid="{B300AEDB-B950-42FA-9445-9BEFCAA265F6}"/>
    <hyperlink ref="B3332" r:id="rId9992" display="https://statiz.sporki.com/add/?m=draft_school01&amp;ps_school=50501" xr:uid="{9A0FB197-68BB-45C6-BBAD-47C2C528B625}"/>
    <hyperlink ref="C3332" r:id="rId9993" display="https://statiz.sporki.com/add/?m=draft_school02&amp;ps_school=60503" xr:uid="{EE60CF84-2C6B-4E75-AE62-E5F12C89544E}"/>
    <hyperlink ref="A3333" r:id="rId9994" display="https://statiz.sporki.com/player/?m=playerinfo&amp;p_no=1589" xr:uid="{15236302-8884-4C33-83F9-A67B4F508D53}"/>
    <hyperlink ref="B3333" r:id="rId9995" display="https://statiz.sporki.com/add/?m=draft_school01&amp;ps_school=50109" xr:uid="{2C7D1503-A26E-462A-8B6F-CC60B09BD7E9}"/>
    <hyperlink ref="C3333" r:id="rId9996" display="https://statiz.sporki.com/add/?m=draft_school02&amp;ps_school=60101" xr:uid="{A5EFE308-7B39-4F32-8DAD-69CE31E54D82}"/>
    <hyperlink ref="A3334" r:id="rId9997" display="https://statiz.sporki.com/player/?m=playerinfo&amp;p_no=1760" xr:uid="{AE3D07FF-D6CA-4F76-B0C6-176BDBF0FBD1}"/>
    <hyperlink ref="B3334" r:id="rId9998" display="https://statiz.sporki.com/add/?m=draft_school01&amp;ps_school=50103" xr:uid="{22D852FB-1328-4226-B70F-98463FE3EC01}"/>
    <hyperlink ref="C3334" r:id="rId9999" display="https://statiz.sporki.com/add/?m=draft_school02&amp;ps_school=60113" xr:uid="{9FC23594-5EDA-4ED9-A9EE-A54C66128146}"/>
    <hyperlink ref="A3335" r:id="rId10000" display="https://statiz.sporki.com/player/?m=playerinfo&amp;p_no=1561" xr:uid="{F551F8E1-DC85-4696-A0E5-C4C0FD20E179}"/>
    <hyperlink ref="B3335" r:id="rId10001" display="https://statiz.sporki.com/add/?m=draft_school01&amp;ps_school=50813" xr:uid="{EFF281CE-9694-4433-9473-18A2B767F0DA}"/>
    <hyperlink ref="C3335" r:id="rId10002" display="https://statiz.sporki.com/add/?m=draft_school02&amp;ps_school=60802" xr:uid="{D5FD07F6-2101-4B08-BD43-AACB07B1D0BD}"/>
    <hyperlink ref="A3336" r:id="rId10003" display="https://statiz.sporki.com/player/?m=playerinfo&amp;p_no=1563" xr:uid="{9BEB4093-53ED-425D-B05B-AF4A21BB5F33}"/>
    <hyperlink ref="B3336" r:id="rId10004" display="https://statiz.sporki.com/add/?m=draft_school01&amp;ps_school=50403" xr:uid="{7A27DCBA-9753-470B-96D7-FB84FD482ACC}"/>
    <hyperlink ref="C3336" r:id="rId10005" display="https://statiz.sporki.com/add/?m=draft_school02&amp;ps_school=60803" xr:uid="{5FF08B27-F56B-4A0B-8D7F-BAD373693854}"/>
    <hyperlink ref="A3337" r:id="rId10006" display="https://statiz.sporki.com/player/?m=playerinfo&amp;p_no=1608" xr:uid="{BB254474-FCF8-4214-BDB8-386DAF31B5B4}"/>
    <hyperlink ref="B3337" r:id="rId10007" display="https://statiz.sporki.com/add/?m=draft_school01&amp;ps_school=50501" xr:uid="{50676FE6-BB32-419E-9506-03C50F8A4EC8}"/>
    <hyperlink ref="C3337" r:id="rId10008" display="https://statiz.sporki.com/add/?m=draft_school02&amp;ps_school=60109" xr:uid="{11FC524A-6729-4679-9578-4EC1FF0D452E}"/>
    <hyperlink ref="A3338" r:id="rId10009" display="https://statiz.sporki.com/player/?m=playerinfo&amp;p_no=11435" xr:uid="{698CB001-A4A9-4066-AD42-D56E9A1DE534}"/>
    <hyperlink ref="B3338" r:id="rId10010" display="https://statiz.sporki.com/add/?m=draft_school01&amp;ps_school=50208" xr:uid="{D9335185-CD43-4914-A6A5-01FCB2B80F07}"/>
    <hyperlink ref="C3338" r:id="rId10011" display="https://statiz.sporki.com/add/?m=draft_school02&amp;ps_school=60802" xr:uid="{16E09A42-A210-40B6-9C10-FE73DBA9A50C}"/>
    <hyperlink ref="A3339" r:id="rId10012" display="https://statiz.sporki.com/player/?m=playerinfo&amp;p_no=1636" xr:uid="{4162A9C3-C6AA-437B-A853-F031C070472C}"/>
    <hyperlink ref="B3339" r:id="rId10013" display="https://statiz.sporki.com/add/?m=draft_school01&amp;ps_school=50604" xr:uid="{D9390C2E-6175-4E7D-B363-85EADBBABE91}"/>
    <hyperlink ref="C3339" r:id="rId10014" display="https://statiz.sporki.com/add/?m=draft_school02&amp;ps_school=60113" xr:uid="{7BE7CA7F-9889-43DD-9B5A-783CDE7F6974}"/>
    <hyperlink ref="A3340" r:id="rId10015" display="https://statiz.sporki.com/player/?m=playerinfo&amp;p_no=11434" xr:uid="{A1824A5D-B32E-4447-ADE8-B8D10FF5F716}"/>
    <hyperlink ref="B3340" r:id="rId10016" display="https://statiz.sporki.com/add/?m=draft_school01&amp;ps_school=50701" xr:uid="{A4EF392E-D693-491E-9CC5-7BC56342E1E3}"/>
    <hyperlink ref="C3340" r:id="rId10017" display="https://statiz.sporki.com/add/?m=draft_school02&amp;ps_school=60104" xr:uid="{D3B92613-8C63-4966-A24B-7B732ED31E42}"/>
    <hyperlink ref="A3341" r:id="rId10018" display="https://statiz.sporki.com/player/?m=playerinfo&amp;p_no=1639" xr:uid="{8C37DF60-A465-476E-81BA-CDB17068DBFA}"/>
    <hyperlink ref="B3341" r:id="rId10019" display="https://statiz.sporki.com/add/?m=draft_school01&amp;ps_school=50107" xr:uid="{C5C710A6-04A4-4DDA-8426-AB6C67CB9B1A}"/>
    <hyperlink ref="C3341" r:id="rId10020" display="https://statiz.sporki.com/add/?m=draft_school02&amp;ps_school=60101" xr:uid="{B5F0D0A4-105F-474E-8A78-0FAAF964220B}"/>
    <hyperlink ref="A3342" r:id="rId10021" display="https://statiz.sporki.com/player/?m=playerinfo&amp;p_no=1627" xr:uid="{2F8643DD-AFD7-4066-8396-F698108F2B76}"/>
    <hyperlink ref="B3342" r:id="rId10022" display="https://statiz.sporki.com/add/?m=draft_school01&amp;ps_school=50401" xr:uid="{4EDC39C4-63E5-47E0-B817-1BDE587DC27E}"/>
    <hyperlink ref="C3342" r:id="rId10023" display="https://statiz.sporki.com/add/?m=draft_school02&amp;ps_school=60803" xr:uid="{D16D990C-2AC8-43CF-B605-34EB550659A0}"/>
    <hyperlink ref="A3343" r:id="rId10024" display="https://statiz.sporki.com/player/?m=playerinfo&amp;p_no=1628" xr:uid="{331AAEF6-78D1-41DB-9C52-3B6B01D8FBD9}"/>
    <hyperlink ref="B3343" r:id="rId10025" display="https://statiz.sporki.com/add/?m=draft_school01&amp;ps_school=50302" xr:uid="{C627F78B-0916-404B-BA74-FE12BA26938A}"/>
    <hyperlink ref="C3343" r:id="rId10026" display="https://statiz.sporki.com/add/?m=draft_school02&amp;ps_school=60802" xr:uid="{0A419B4A-E913-465A-974F-485867275AC4}"/>
    <hyperlink ref="A3344" r:id="rId10027" display="https://statiz.sporki.com/player/?m=playerinfo&amp;p_no=1609" xr:uid="{751AB11C-5945-4ACC-8665-A27BFD8CA0C5}"/>
    <hyperlink ref="B3344" r:id="rId10028" display="https://statiz.sporki.com/add/?m=draft_school01&amp;ps_school=50604" xr:uid="{CBF75268-7B96-4736-B287-05D459D15E03}"/>
    <hyperlink ref="C3344" r:id="rId10029" display="https://statiz.sporki.com/add/?m=draft_school02&amp;ps_school=60101" xr:uid="{1C39A4B8-CD08-423C-8A3F-38B85DBCD20E}"/>
    <hyperlink ref="A3345" r:id="rId10030" display="https://statiz.sporki.com/player/?m=playerinfo&amp;p_no=1567" xr:uid="{9EAAA16E-1DDE-4724-8172-EAEDB6C2C847}"/>
    <hyperlink ref="B3345" r:id="rId10031" display="https://statiz.sporki.com/add/?m=draft_school01&amp;ps_school=50209" xr:uid="{75905F2C-527D-44CA-8557-AD21BDB40E41}"/>
    <hyperlink ref="C3345" r:id="rId10032" display="https://statiz.sporki.com/add/?m=draft_school02&amp;ps_school=60104" xr:uid="{666658E6-D851-4C2F-9BAE-E4B3CBD0E7DE}"/>
    <hyperlink ref="A3346" r:id="rId10033" display="https://statiz.sporki.com/player/?m=playerinfo&amp;p_no=1617" xr:uid="{CFE30FC5-29E8-4B64-A29F-B9AF2B6F53AA}"/>
    <hyperlink ref="B3346" r:id="rId10034" display="https://statiz.sporki.com/add/?m=draft_school01&amp;ps_school=" xr:uid="{817665DB-BF94-4E9F-96D3-052BCCDEFEA9}"/>
    <hyperlink ref="C3346" r:id="rId10035" display="https://statiz.sporki.com/add/?m=draft_school02&amp;ps_school=60703" xr:uid="{576AE0E8-EECA-4690-ACDE-50298D81A22A}"/>
    <hyperlink ref="A3347" r:id="rId10036" display="https://statiz.sporki.com/player/?m=playerinfo&amp;p_no=11468" xr:uid="{8A7910F4-CAC2-4C0F-ADBB-1A03AAE1D154}"/>
    <hyperlink ref="B3347" r:id="rId10037" display="https://statiz.sporki.com/add/?m=draft_school01&amp;ps_school=50602" xr:uid="{69DB71FA-7AEE-4105-9C3B-8524185D6882}"/>
    <hyperlink ref="C3347" r:id="rId10038" display="https://statiz.sporki.com/add/?m=draft_school02&amp;ps_school=60103" xr:uid="{3D6111A1-556C-42D2-8AFC-21DC6997A783}"/>
    <hyperlink ref="A3348" r:id="rId10039" display="https://statiz.sporki.com/player/?m=playerinfo&amp;p_no=1596" xr:uid="{3FC592FC-283E-41AD-BDA2-C6E11CD87BBC}"/>
    <hyperlink ref="B3348" r:id="rId10040" display="https://statiz.sporki.com/add/?m=draft_school01&amp;ps_school=50805" xr:uid="{E17EFFC8-BAFC-47A3-95FA-2694FB929DA0}"/>
    <hyperlink ref="C3348" r:id="rId10041" display="https://statiz.sporki.com/add/?m=draft_school02&amp;ps_school=60113" xr:uid="{B4600B5C-4504-4B9E-9E7B-198DBF11831F}"/>
    <hyperlink ref="A3349" r:id="rId10042" display="https://statiz.sporki.com/player/?m=playerinfo&amp;p_no=1570" xr:uid="{8CDC9646-F721-40A2-A952-7B034F08AA60}"/>
    <hyperlink ref="B3349" r:id="rId10043" display="https://statiz.sporki.com/add/?m=draft_school01&amp;ps_school=50803" xr:uid="{4C56EE51-6AE1-46AF-820E-D2ECC2860DC8}"/>
    <hyperlink ref="C3349" r:id="rId10044" display="https://statiz.sporki.com/add/?m=draft_school02&amp;ps_school=60109" xr:uid="{5ECEBEAF-C8E1-4B4B-95CE-3E94A791591D}"/>
    <hyperlink ref="A3350" r:id="rId10045" display="https://statiz.sporki.com/player/?m=playerinfo&amp;p_no=1772" xr:uid="{4630E469-363E-4C0A-B65B-73421A253B12}"/>
    <hyperlink ref="B3350" r:id="rId10046" display="https://statiz.sporki.com/add/?m=draft_school01&amp;ps_school=50609" xr:uid="{A1257C32-7DDA-47DC-A780-8D9355AED330}"/>
    <hyperlink ref="C3350" r:id="rId10047" display="https://statiz.sporki.com/add/?m=draft_school02&amp;ps_school=60203" xr:uid="{00AA0F09-8092-42A3-B600-3FF0398E5F97}"/>
    <hyperlink ref="A3351" r:id="rId10048" display="https://statiz.sporki.com/player/?m=playerinfo&amp;p_no=10418" xr:uid="{75C51D3D-8CAA-4DD4-8488-B3791E91A8A6}"/>
    <hyperlink ref="B3351" r:id="rId10049" display="https://statiz.sporki.com/add/?m=draft_school01&amp;ps_school=50803" xr:uid="{2F4A6CF2-C2B3-4B1D-BAB4-E3AD3B4D5D56}"/>
    <hyperlink ref="C3351" r:id="rId10050" display="https://statiz.sporki.com/add/?m=draft_school02&amp;ps_school=60703" xr:uid="{30D262A1-D3BF-41AA-A68A-F0F406F6B417}"/>
    <hyperlink ref="A3352" r:id="rId10051" display="https://statiz.sporki.com/player/?m=playerinfo&amp;p_no=1566" xr:uid="{8702F6FD-9F12-4395-888A-140FE2DC4FFE}"/>
    <hyperlink ref="B3352" r:id="rId10052" display="https://statiz.sporki.com/add/?m=draft_school01&amp;ps_school=50813" xr:uid="{127571BF-CA63-4960-95DF-12C1367D1683}"/>
    <hyperlink ref="C3352" r:id="rId10053" display="https://statiz.sporki.com/add/?m=draft_school02&amp;ps_school=60802" xr:uid="{BD64D9AF-DDAE-4BD2-AA7E-E12045140AC0}"/>
    <hyperlink ref="A3353" r:id="rId10054" display="https://statiz.sporki.com/player/?m=playerinfo&amp;p_no=11436" xr:uid="{CDB3ADB4-63C6-43BE-851C-82807666E5A4}"/>
    <hyperlink ref="B3353" r:id="rId10055" display="https://statiz.sporki.com/add/?m=draft_school01&amp;ps_school=50202" xr:uid="{990EDAE9-ADD3-4E4B-83C3-FEFB58E6BFC4}"/>
    <hyperlink ref="C3353" r:id="rId10056" display="https://statiz.sporki.com/add/?m=draft_school02&amp;ps_school=60204" xr:uid="{153EFECC-48B1-4BBC-8014-9174BED90D47}"/>
    <hyperlink ref="A3354" r:id="rId10057" display="https://statiz.sporki.com/player/?m=playerinfo&amp;p_no=1602" xr:uid="{4372AFA4-FA22-423A-862A-429FE02ADC52}"/>
    <hyperlink ref="B3354" r:id="rId10058" display="https://statiz.sporki.com/add/?m=draft_school01&amp;ps_school=50209" xr:uid="{186EDEAF-3CA0-471B-BCE6-468FE0F0081B}"/>
    <hyperlink ref="C3354" r:id="rId10059" display="https://statiz.sporki.com/add/?m=draft_school02&amp;ps_school=60103" xr:uid="{05AED3A0-BC6F-4724-8315-AC71D6C76AFE}"/>
    <hyperlink ref="A3355" r:id="rId10060" display="https://statiz.sporki.com/player/?m=playerinfo&amp;p_no=1583" xr:uid="{64135792-4016-4E4A-B67B-C6F0DEE71004}"/>
    <hyperlink ref="B3355" r:id="rId10061" display="https://statiz.sporki.com/add/?m=draft_school01&amp;ps_school=50114" xr:uid="{808B16A9-C749-4E97-B7D0-12708548A653}"/>
    <hyperlink ref="C3355" r:id="rId10062" display="https://statiz.sporki.com/add/?m=draft_school02&amp;ps_school=60703" xr:uid="{F94747B3-7034-4A71-8F18-E0DCD1A31A9A}"/>
    <hyperlink ref="A3356" r:id="rId10063" display="https://statiz.sporki.com/player/?m=playerinfo&amp;p_no=1616" xr:uid="{0B3DA092-84D6-4985-98CF-F6F4F35F012B}"/>
    <hyperlink ref="B3356" r:id="rId10064" display="https://statiz.sporki.com/add/?m=draft_school01&amp;ps_school=50805" xr:uid="{BE33EFEC-A270-4D23-B8D2-25092A1DABB9}"/>
    <hyperlink ref="C3356" r:id="rId10065" display="https://statiz.sporki.com/add/?m=draft_school02&amp;ps_school=60111" xr:uid="{7FE1F317-AE8A-4818-8A7F-98A2C612756D}"/>
    <hyperlink ref="A3357" r:id="rId10066" display="https://statiz.sporki.com/player/?m=playerinfo&amp;p_no=1620" xr:uid="{E331E58D-9DD7-456E-8C37-83F91A979B22}"/>
    <hyperlink ref="B3357" r:id="rId10067" display="https://statiz.sporki.com/add/?m=draft_school01&amp;ps_school=" xr:uid="{417FD353-34E1-427A-84E3-D9D6166C4FA3}"/>
    <hyperlink ref="C3357" r:id="rId10068" display="https://statiz.sporki.com/add/?m=draft_school02&amp;ps_school=60104" xr:uid="{8431838E-0290-4A1A-A66E-FE92A396CD48}"/>
    <hyperlink ref="A3358" r:id="rId10069" display="https://statiz.sporki.com/player/?m=playerinfo&amp;p_no=1619" xr:uid="{0758D3EF-73A2-4778-9336-F49B5E9C4B00}"/>
    <hyperlink ref="B3358" r:id="rId10070" display="https://statiz.sporki.com/add/?m=draft_school01&amp;ps_school=50121" xr:uid="{066C35C7-270A-41E6-8638-1B27218AEEE6}"/>
    <hyperlink ref="C3358" r:id="rId10071" display="https://statiz.sporki.com/add/?m=draft_school02&amp;ps_school=60113" xr:uid="{55E8A191-6F29-45AD-B98A-8258E2F58FCB}"/>
    <hyperlink ref="A3359" r:id="rId10072" display="https://statiz.sporki.com/player/?m=playerinfo&amp;p_no=1587" xr:uid="{6D9C5D0A-7E95-4908-815E-F9A0C7B94FC3}"/>
    <hyperlink ref="B3359" r:id="rId10073" display="https://statiz.sporki.com/add/?m=draft_school01&amp;ps_school=50114" xr:uid="{BC4D9115-84FA-463F-8806-01A4304EC29D}"/>
    <hyperlink ref="C3359" r:id="rId10074" display="https://statiz.sporki.com/add/?m=draft_school02&amp;ps_school=60104" xr:uid="{37FA1F86-6C86-49B1-B6D3-71F206FC5F2B}"/>
    <hyperlink ref="A3360" r:id="rId10075" display="https://statiz.sporki.com/player/?m=playerinfo&amp;p_no=1618" xr:uid="{3C25B9DC-F7B4-44E6-9FA3-DD73BA8B2E5A}"/>
    <hyperlink ref="B3360" r:id="rId10076" display="https://statiz.sporki.com/add/?m=draft_school01&amp;ps_school=50703" xr:uid="{AC15CA73-9638-4DB0-B5E1-E2AEE8382EEE}"/>
    <hyperlink ref="C3360" r:id="rId10077" display="https://statiz.sporki.com/add/?m=draft_school02&amp;ps_school=60113" xr:uid="{B6DC7D3F-40E6-4117-89BB-EA9D037B0D8D}"/>
    <hyperlink ref="A3361" r:id="rId10078" display="https://statiz.sporki.com/player/?m=playerinfo&amp;p_no=1562" xr:uid="{ADC70025-DFFA-4D34-B7F8-CF376F47C6A5}"/>
    <hyperlink ref="B3361" r:id="rId10079" display="https://statiz.sporki.com/add/?m=draft_school01&amp;ps_school=50402" xr:uid="{B93BDBF9-1197-4FEC-871A-EEB3422326DA}"/>
    <hyperlink ref="C3361" r:id="rId10080" display="https://statiz.sporki.com/add/?m=draft_school02&amp;ps_school=60803" xr:uid="{86A568EF-9345-4798-9CB1-04838034C583}"/>
    <hyperlink ref="A3362" r:id="rId10081" display="https://statiz.sporki.com/player/?m=playerinfo&amp;p_no=1571" xr:uid="{06D78AD9-A774-4B5E-8460-B3401143D2CB}"/>
    <hyperlink ref="B3362" r:id="rId10082" display="https://statiz.sporki.com/add/?m=draft_school01&amp;ps_school=50110" xr:uid="{47EC07BD-767F-46B0-A169-71C7411F175C}"/>
    <hyperlink ref="C3362" r:id="rId10083" display="https://statiz.sporki.com/add/?m=draft_school02&amp;ps_school=60108" xr:uid="{11987BD8-7E50-4CC7-BC16-3A544A0A284E}"/>
    <hyperlink ref="A3363" r:id="rId10084" display="https://statiz.sporki.com/player/?m=playerinfo&amp;p_no=11429" xr:uid="{D23204A1-211B-400E-B878-FB502CDE37D8}"/>
    <hyperlink ref="B3363" r:id="rId10085" display="https://statiz.sporki.com/add/?m=draft_school01&amp;ps_school=50803" xr:uid="{DCCAF786-C148-481B-8EC3-902D20415476}"/>
    <hyperlink ref="C3363" r:id="rId10086" display="https://statiz.sporki.com/add/?m=draft_school02&amp;ps_school=60803" xr:uid="{F837A48B-30D3-4ED7-B650-DAB4B1714422}"/>
    <hyperlink ref="A3364" r:id="rId10087" display="https://statiz.sporki.com/player/?m=playerinfo&amp;p_no=1576" xr:uid="{7CE07F64-2D5A-430E-84DA-88AEBEAA487B}"/>
    <hyperlink ref="B3364" r:id="rId10088" display="https://statiz.sporki.com/add/?m=draft_school01&amp;ps_school=50701" xr:uid="{884DC59A-B4F3-4A0B-8EC4-7F22B16600D1}"/>
    <hyperlink ref="C3364" r:id="rId10089" display="https://statiz.sporki.com/add/?m=draft_school02&amp;ps_school=60705" xr:uid="{111F256D-21FC-4D81-9854-EE3E26914B3D}"/>
    <hyperlink ref="A3365" r:id="rId10090" display="https://statiz.sporki.com/player/?m=playerinfo&amp;p_no=1588" xr:uid="{C39BB358-BCC8-4E07-95C4-DC67A59C2F2C}"/>
    <hyperlink ref="B3365" r:id="rId10091" display="https://statiz.sporki.com/add/?m=draft_school01&amp;ps_school=50111" xr:uid="{3E8BE16A-61A6-4193-9E43-30BA989D2A63}"/>
    <hyperlink ref="C3365" r:id="rId10092" display="https://statiz.sporki.com/add/?m=draft_school02&amp;ps_school=60104" xr:uid="{949BB95C-B8F3-475A-9B3F-F8DEE62BED42}"/>
    <hyperlink ref="A3366" r:id="rId10093" display="https://statiz.sporki.com/player/?m=playerinfo&amp;p_no=1638" xr:uid="{B20E67CF-090B-43F4-AD49-B5C37E948397}"/>
    <hyperlink ref="B3366" r:id="rId10094" display="https://statiz.sporki.com/add/?m=draft_school01&amp;ps_school=50703" xr:uid="{868D58A3-778B-4D92-873C-149183B26309}"/>
    <hyperlink ref="C3366" r:id="rId10095" display="https://statiz.sporki.com/add/?m=draft_school02&amp;ps_school=" xr:uid="{C15BDA1A-BD20-4F7F-941D-16DB32AFE8DD}"/>
    <hyperlink ref="A3367" r:id="rId10096" display="https://statiz.sporki.com/player/?m=playerinfo&amp;p_no=1606" xr:uid="{F6D0C9AB-F60F-4162-A0D3-F329187276F5}"/>
    <hyperlink ref="B3367" r:id="rId10097" display="https://statiz.sporki.com/add/?m=draft_school01&amp;ps_school=50222" xr:uid="{30BE4A68-A24B-4F36-B7B8-1B7B598110C4}"/>
    <hyperlink ref="C3367" r:id="rId10098" display="https://statiz.sporki.com/add/?m=draft_school02&amp;ps_school=60109" xr:uid="{BB2B6C22-4C82-4C0F-8852-A3EADC1CD5C9}"/>
    <hyperlink ref="A3368" r:id="rId10099" display="https://statiz.sporki.com/player/?m=playerinfo&amp;p_no=1586" xr:uid="{034DF57F-2232-4CDD-9CBB-362E3E924C89}"/>
    <hyperlink ref="B3368" r:id="rId10100" display="https://statiz.sporki.com/add/?m=draft_school01&amp;ps_school=50127" xr:uid="{AA40920D-186D-4C72-83F2-71AD37CDF9F3}"/>
    <hyperlink ref="C3368" r:id="rId10101" display="https://statiz.sporki.com/add/?m=draft_school02&amp;ps_school=60111" xr:uid="{8378400C-DABE-4781-9E8A-85EBF1386045}"/>
    <hyperlink ref="A3369" r:id="rId10102" display="https://statiz.sporki.com/player/?m=playerinfo&amp;p_no=1582" xr:uid="{3DEF4551-4210-420E-89A1-781EACCE3D13}"/>
    <hyperlink ref="B3369" r:id="rId10103" display="https://statiz.sporki.com/add/?m=draft_school01&amp;ps_school=50110" xr:uid="{48F7D6E6-904A-4153-AD87-789D51CAF2B1}"/>
    <hyperlink ref="C3369" r:id="rId10104" display="https://statiz.sporki.com/add/?m=draft_school02&amp;ps_school=60104" xr:uid="{658E3D21-2759-49F4-BC7D-48D05DEF081B}"/>
    <hyperlink ref="A3370" r:id="rId10105" display="https://statiz.sporki.com/player/?m=playerinfo&amp;p_no=1710" xr:uid="{D60DCEC8-9053-4887-AC4A-9D4EF0327028}"/>
    <hyperlink ref="B3370" r:id="rId10106" display="https://statiz.sporki.com/add/?m=draft_school01&amp;ps_school=50601" xr:uid="{9C81303D-45B1-4B5A-8DCC-285D4661D66F}"/>
    <hyperlink ref="C3370" r:id="rId10107" display="https://statiz.sporki.com/add/?m=draft_school02&amp;ps_school=60108" xr:uid="{AF982FDF-1895-4B5B-A192-BB2E415BFA17}"/>
    <hyperlink ref="A3371" r:id="rId10108" display="https://statiz.sporki.com/player/?m=playerinfo&amp;p_no=1569" xr:uid="{1665479F-EEF6-4B4A-BD8F-7F7FCCD59E7B}"/>
    <hyperlink ref="B3371" r:id="rId10109" display="https://statiz.sporki.com/add/?m=draft_school01&amp;ps_school=" xr:uid="{2226C9AA-C5F0-41D4-8D81-A8277BE20BA4}"/>
    <hyperlink ref="C3371" r:id="rId10110" display="https://statiz.sporki.com/add/?m=draft_school02&amp;ps_school=60703" xr:uid="{AF5E10C8-666E-4130-8D5C-A872BCE97454}"/>
    <hyperlink ref="A3372" r:id="rId10111" display="https://statiz.sporki.com/player/?m=playerinfo&amp;p_no=1572" xr:uid="{0485A377-F2DC-4536-B4C2-C2C84F0EDB62}"/>
    <hyperlink ref="B3372" r:id="rId10112" display="https://statiz.sporki.com/add/?m=draft_school01&amp;ps_school=50609" xr:uid="{5AF45B94-22E3-4ABE-9863-B511B34C9363}"/>
    <hyperlink ref="C3372" r:id="rId10113" display="https://statiz.sporki.com/add/?m=draft_school02&amp;ps_school=60703" xr:uid="{868DD7D3-448C-4271-8347-482B41B38A58}"/>
    <hyperlink ref="A3373" r:id="rId10114" display="https://statiz.sporki.com/player/?m=playerinfo&amp;p_no=1574" xr:uid="{FE7F5D2A-D412-4173-97B9-8990822B9314}"/>
    <hyperlink ref="B3373" r:id="rId10115" display="https://statiz.sporki.com/add/?m=draft_school01&amp;ps_school=50110" xr:uid="{C1C2EA9E-1D56-46B9-929B-6BB262CAD84D}"/>
    <hyperlink ref="C3373" r:id="rId10116" display="https://statiz.sporki.com/add/?m=draft_school02&amp;ps_school=60109" xr:uid="{5935E0AC-BDAC-42C5-B915-2D62CB3B341D}"/>
    <hyperlink ref="A3374" r:id="rId10117" display="https://statiz.sporki.com/player/?m=playerinfo&amp;p_no=1655" xr:uid="{F6A50CB9-FC3E-4F26-9CB7-E6B3ACAC1DAF}"/>
    <hyperlink ref="B3374" r:id="rId10118" display="https://statiz.sporki.com/add/?m=draft_school01&amp;ps_school=50812" xr:uid="{FA8E8A9C-DD0D-4D0D-8DE9-66D094C96A94}"/>
    <hyperlink ref="C3374" r:id="rId10119" display="https://statiz.sporki.com/add/?m=draft_school02&amp;ps_school=60803" xr:uid="{B4CFED71-DF75-46B3-919A-12EC4D8886D2}"/>
    <hyperlink ref="A3375" r:id="rId10120" display="https://statiz.sporki.com/player/?m=playerinfo&amp;p_no=1590" xr:uid="{9FF850C9-B87E-4329-96D2-53E5E18C2846}"/>
    <hyperlink ref="B3375" r:id="rId10121" display="https://statiz.sporki.com/add/?m=draft_school01&amp;ps_school=50127" xr:uid="{3A2BF76D-DCAB-4E4B-A58A-F1CDBADE1622}"/>
    <hyperlink ref="C3375" r:id="rId10122" display="https://statiz.sporki.com/add/?m=draft_school02&amp;ps_school=60501" xr:uid="{7F955147-BA1A-4B98-9084-B77C3D5577E5}"/>
    <hyperlink ref="A3376" r:id="rId10123" display="https://statiz.sporki.com/player/?m=playerinfo&amp;p_no=1601" xr:uid="{344F0B28-9991-47AF-95A8-8BF78D5B5BF0}"/>
    <hyperlink ref="B3376" r:id="rId10124" display="https://statiz.sporki.com/add/?m=draft_school01&amp;ps_school=50501" xr:uid="{4EBA8EE8-839F-4035-8B42-4836FA26A9BB}"/>
    <hyperlink ref="C3376" r:id="rId10125" display="https://statiz.sporki.com/add/?m=draft_school02&amp;ps_school=60501" xr:uid="{BF997554-84B2-45EE-B71A-C7BAF2E27D90}"/>
    <hyperlink ref="A3377" r:id="rId10126" display="https://statiz.sporki.com/player/?m=playerinfo&amp;p_no=1622" xr:uid="{5EF7C122-8D55-4A96-98C3-B38ED0340B81}"/>
    <hyperlink ref="B3377" r:id="rId10127" display="https://statiz.sporki.com/add/?m=draft_school01&amp;ps_school=50807" xr:uid="{3F5E3D44-07CA-45A1-AAC9-5C8E86ACE1CD}"/>
    <hyperlink ref="C3377" r:id="rId10128" display="https://statiz.sporki.com/add/?m=draft_school02&amp;ps_school=60802" xr:uid="{68EF4010-773C-4BEB-9341-F0A7C72E7017}"/>
    <hyperlink ref="A3378" r:id="rId10129" display="https://statiz.sporki.com/player/?m=playerinfo&amp;p_no=1629" xr:uid="{E1FD0D76-9487-4FD1-9949-D1A0768F6D92}"/>
    <hyperlink ref="B3378" r:id="rId10130" display="https://statiz.sporki.com/add/?m=draft_school01&amp;ps_school=50502" xr:uid="{7C4961A4-D632-4BF4-8A50-CD3AE708D2D9}"/>
    <hyperlink ref="C3378" r:id="rId10131" display="https://statiz.sporki.com/add/?m=draft_school02&amp;ps_school=60501" xr:uid="{49E6C504-5A36-41A6-8361-7BB1DE8B2659}"/>
    <hyperlink ref="A3379" r:id="rId10132" display="https://statiz.sporki.com/player/?m=playerinfo&amp;p_no=1630" xr:uid="{8ED2FA96-2858-44CB-865C-ECF9C8498BA0}"/>
    <hyperlink ref="B3379" r:id="rId10133" display="https://statiz.sporki.com/add/?m=draft_school01&amp;ps_school=50501" xr:uid="{6446C303-0AD7-46D9-BCDB-49200B686445}"/>
    <hyperlink ref="C3379" r:id="rId10134" display="https://statiz.sporki.com/add/?m=draft_school02&amp;ps_school=60501" xr:uid="{F9BD4333-5C80-4E08-9BB4-5A89A4D2A0A3}"/>
    <hyperlink ref="A3380" r:id="rId10135" display="https://statiz.sporki.com/player/?m=playerinfo&amp;p_no=1612" xr:uid="{CE00D174-B9B2-426A-8BBB-54B05C705B38}"/>
    <hyperlink ref="B3380" r:id="rId10136" display="https://statiz.sporki.com/add/?m=draft_school01&amp;ps_school=50602" xr:uid="{8BF22909-8461-4A78-B164-777302B07D6C}"/>
    <hyperlink ref="C3380" r:id="rId10137" display="https://statiz.sporki.com/add/?m=draft_school02&amp;ps_school=60104" xr:uid="{080AEF2B-DF5E-42A0-B6EB-3CD06B777343}"/>
    <hyperlink ref="A3381" r:id="rId10138" display="https://statiz.sporki.com/player/?m=playerinfo&amp;p_no=1678" xr:uid="{28FEDB4F-ADC1-4107-85AD-41B61B10D048}"/>
    <hyperlink ref="B3381" r:id="rId10139" display="https://statiz.sporki.com/add/?m=draft_school01&amp;ps_school=" xr:uid="{EB25001F-F1DE-4EF4-8C71-DF732EA05786}"/>
    <hyperlink ref="C3381" r:id="rId10140" display="https://statiz.sporki.com/add/?m=draft_school02&amp;ps_school=61133" xr:uid="{EAD364C2-EA5F-4231-A6AC-CD5A24E509BE}"/>
    <hyperlink ref="A3382" r:id="rId10141" display="https://statiz.sporki.com/player/?m=playerinfo&amp;p_no=1598" xr:uid="{BB64833A-09C6-4259-9FCA-5C7D7108096D}"/>
    <hyperlink ref="B3382" r:id="rId10142" display="https://statiz.sporki.com/add/?m=draft_school01&amp;ps_school=51100" xr:uid="{5D9137AD-6510-4508-BA84-E034F6A879C7}"/>
    <hyperlink ref="C3382" r:id="rId10143" display="https://statiz.sporki.com/add/?m=draft_school02&amp;ps_school=" xr:uid="{4720D6E5-178C-446F-93D4-91835C065419}"/>
    <hyperlink ref="A3383" r:id="rId10144" display="https://statiz.sporki.com/player/?m=playerinfo&amp;p_no=1703" xr:uid="{AAB234B7-A03E-432A-9FDC-772438FD1502}"/>
    <hyperlink ref="B3383" r:id="rId10145" display="https://statiz.sporki.com/add/?m=draft_school01&amp;ps_school=" xr:uid="{9225F990-2119-446E-A182-29A86E539BBE}"/>
    <hyperlink ref="C3383" r:id="rId10146" display="https://statiz.sporki.com/add/?m=draft_school02&amp;ps_school=" xr:uid="{DC0344BB-E502-4F2F-9246-518DC95B54C5}"/>
    <hyperlink ref="A3384" r:id="rId10147" display="https://statiz.sporki.com/player/?m=playerinfo&amp;p_no=1585" xr:uid="{6C468F24-FE2F-4C6F-899A-348089CA558F}"/>
    <hyperlink ref="B3384" r:id="rId10148" display="https://statiz.sporki.com/add/?m=draft_school01&amp;ps_school=50107" xr:uid="{5FEB176E-1618-40BE-802C-F18EF0D87926}"/>
    <hyperlink ref="C3384" r:id="rId10149" display="https://statiz.sporki.com/add/?m=draft_school02&amp;ps_school=60101" xr:uid="{14ABF48A-142E-44EE-AEB7-B2D50135E404}"/>
    <hyperlink ref="A3385" r:id="rId10150" display="https://statiz.sporki.com/player/?m=playerinfo&amp;p_no=1635" xr:uid="{427947A3-4DD6-43C1-8B7F-DC1892BA401F}"/>
    <hyperlink ref="B3385" r:id="rId10151" display="https://statiz.sporki.com/add/?m=draft_school01&amp;ps_school=" xr:uid="{75F138B4-D25D-4B2F-B104-24E45EF5B642}"/>
    <hyperlink ref="C3385" r:id="rId10152" display="https://statiz.sporki.com/add/?m=draft_school02&amp;ps_school=60102" xr:uid="{4EE199AC-8493-47E7-B26B-7CC5F080DF7D}"/>
    <hyperlink ref="A3386" r:id="rId10153" display="https://statiz.sporki.com/player/?m=playerinfo&amp;p_no=1575" xr:uid="{5674B23B-A78A-4EDA-BC95-34993AE6AC63}"/>
    <hyperlink ref="B3386" r:id="rId10154" display="https://statiz.sporki.com/add/?m=draft_school01&amp;ps_school=50807" xr:uid="{E617FC6F-E87A-4936-8D48-661F21919A33}"/>
    <hyperlink ref="C3386" r:id="rId10155" display="https://statiz.sporki.com/add/?m=draft_school02&amp;ps_school=" xr:uid="{01CBFF72-BB32-40AD-B118-F5C72FD70A1B}"/>
    <hyperlink ref="A3387" r:id="rId10156" display="https://statiz.sporki.com/player/?m=playerinfo&amp;p_no=1614" xr:uid="{BCE0923E-A47E-4759-B93E-69CFCA195D9D}"/>
    <hyperlink ref="B3387" r:id="rId10157" display="https://statiz.sporki.com/add/?m=draft_school01&amp;ps_school=50703" xr:uid="{DF1C42C3-DE46-4C91-B1B3-7B627A4309FA}"/>
    <hyperlink ref="C3387" r:id="rId10158" display="https://statiz.sporki.com/add/?m=draft_school02&amp;ps_school=60705" xr:uid="{54323773-4AED-4E6E-9787-4A645DFA683D}"/>
    <hyperlink ref="A3388" r:id="rId10159" display="https://statiz.sporki.com/player/?m=playerinfo&amp;p_no=1750" xr:uid="{366DF6EC-9BD2-464D-9E71-BBCC22FCA129}"/>
    <hyperlink ref="B3388" r:id="rId10160" display="https://statiz.sporki.com/add/?m=draft_school01&amp;ps_school=50805" xr:uid="{1E94852C-4FCC-442B-B852-252C7DB3AAEF}"/>
    <hyperlink ref="C3388" r:id="rId10161" display="https://statiz.sporki.com/add/?m=draft_school02&amp;ps_school=60111" xr:uid="{EBD4B57E-01E1-4BCB-B2C4-E6809C75001D}"/>
    <hyperlink ref="A3389" r:id="rId10162" display="https://statiz.sporki.com/player/?m=playerinfo&amp;p_no=1665" xr:uid="{60688309-FC7A-4FD3-BC8D-10473C0EC756}"/>
    <hyperlink ref="B3389" r:id="rId10163" display="https://statiz.sporki.com/add/?m=draft_school01&amp;ps_school=50806" xr:uid="{3B70FB41-F6DC-4207-934B-8484B477CAB5}"/>
    <hyperlink ref="C3389" r:id="rId10164" display="https://statiz.sporki.com/add/?m=draft_school02&amp;ps_school=" xr:uid="{16E136D4-47BD-4227-A1C5-03F12D96B7D2}"/>
    <hyperlink ref="A3390" r:id="rId10165" display="https://statiz.sporki.com/player/?m=playerinfo&amp;p_no=1690" xr:uid="{950A026F-CB5D-42A2-A933-D13783069A94}"/>
    <hyperlink ref="B3390" r:id="rId10166" display="https://statiz.sporki.com/add/?m=draft_school01&amp;ps_school=50802" xr:uid="{F1C29941-C08E-4369-BA3A-2B9C942289BF}"/>
    <hyperlink ref="C3390" r:id="rId10167" display="https://statiz.sporki.com/add/?m=draft_school02&amp;ps_school=60802" xr:uid="{1990FD18-C6C9-4E80-AAE9-45B43FD492FA}"/>
    <hyperlink ref="A3391" r:id="rId10168" display="https://statiz.sporki.com/player/?m=playerinfo&amp;p_no=1578" xr:uid="{AB9A350F-C090-4C3E-9AC4-A172251D7E1E}"/>
    <hyperlink ref="B3391" r:id="rId10169" display="https://statiz.sporki.com/add/?m=draft_school01&amp;ps_school=50901" xr:uid="{5B7383BA-D984-4138-B972-018C16B419C0}"/>
    <hyperlink ref="C3391" r:id="rId10170" display="https://statiz.sporki.com/add/?m=draft_school02&amp;ps_school=" xr:uid="{FFC92DCB-9C08-465B-8E12-464D719C9695}"/>
    <hyperlink ref="A3392" r:id="rId10171" display="https://statiz.sporki.com/player/?m=playerinfo&amp;p_no=1895" xr:uid="{D2C369CA-263E-4135-99CE-B03AE239B225}"/>
    <hyperlink ref="B3392" r:id="rId10172" display="https://statiz.sporki.com/add/?m=draft_school01&amp;ps_school=50901" xr:uid="{24033C52-A5FC-49FB-A253-2F01F8EB0C92}"/>
    <hyperlink ref="C3392" r:id="rId10173" display="https://statiz.sporki.com/add/?m=draft_school02&amp;ps_school=" xr:uid="{53102FA0-D4F4-4000-9ADC-6B50A36EB8DB}"/>
    <hyperlink ref="A3393" r:id="rId10174" display="https://statiz.sporki.com/player/?m=playerinfo&amp;p_no=1565" xr:uid="{0B1F3C9E-6FB4-4FD8-9201-93DA6497DD03}"/>
    <hyperlink ref="B3393" r:id="rId10175" display="https://statiz.sporki.com/add/?m=draft_school01&amp;ps_school=50301" xr:uid="{9394065B-5AEE-46AE-B5DB-001DB3DA0532}"/>
    <hyperlink ref="C3393" r:id="rId10176" display="https://statiz.sporki.com/add/?m=draft_school02&amp;ps_school=60104" xr:uid="{6CE17251-D688-4EA2-9B16-0038C03A0678}"/>
    <hyperlink ref="A3394" r:id="rId10177" display="https://statiz.sporki.com/player/?m=playerinfo&amp;p_no=10080" xr:uid="{48C7FCD7-546C-4781-BC6B-54D5D51E4489}"/>
    <hyperlink ref="B3394" r:id="rId10178" display="https://statiz.sporki.com/add/?m=draft_school01&amp;ps_school=50502" xr:uid="{54F43A45-922E-4437-AA8B-D0B82183BEE9}"/>
    <hyperlink ref="C3394" r:id="rId10179" display="https://statiz.sporki.com/add/?m=draft_school02&amp;ps_school=" xr:uid="{50006317-CDB9-491F-8563-19AF99BC1728}"/>
    <hyperlink ref="A3395" r:id="rId10180" display="https://statiz.sporki.com/player/?m=playerinfo&amp;p_no=10550" xr:uid="{DC00B3DA-5DD3-4353-BCC9-A11DFFFA4A8F}"/>
    <hyperlink ref="B3395" r:id="rId10181" display="https://statiz.sporki.com/add/?m=draft_school01&amp;ps_school=50806" xr:uid="{C594782E-9D55-4A3D-A2A8-14BDD98465ED}"/>
    <hyperlink ref="C3395" r:id="rId10182" display="https://statiz.sporki.com/add/?m=draft_school02&amp;ps_school=" xr:uid="{E76248EC-467D-42F7-8BEE-50E0CBC4F0E0}"/>
    <hyperlink ref="A3396" r:id="rId10183" display="https://statiz.sporki.com/player/?m=playerinfo&amp;p_no=1600" xr:uid="{9E98ADE3-F78E-4577-84D1-6D15C3241AB5}"/>
    <hyperlink ref="B3396" r:id="rId10184" display="https://statiz.sporki.com/add/?m=draft_school01&amp;ps_school=50112" xr:uid="{EFF674B2-D03A-48A2-A848-3E1F39EE38EA}"/>
    <hyperlink ref="C3396" r:id="rId10185" display="https://statiz.sporki.com/add/?m=draft_school02&amp;ps_school=" xr:uid="{8D46A750-409C-4E8F-82F4-E23EC7B65CCA}"/>
    <hyperlink ref="A3397" r:id="rId10186" display="https://statiz.sporki.com/player/?m=playerinfo&amp;p_no=1637" xr:uid="{A86C208F-4973-4A94-8FCC-622F1E42E085}"/>
    <hyperlink ref="B3397" r:id="rId10187" display="https://statiz.sporki.com/add/?m=draft_school01&amp;ps_school=50107" xr:uid="{B9D496B5-63C7-4F57-AB75-84A21188B9BD}"/>
    <hyperlink ref="C3397" r:id="rId10188" display="https://statiz.sporki.com/add/?m=draft_school02&amp;ps_school=" xr:uid="{1EB72E08-198C-4FF9-8D0B-57043D8123BA}"/>
    <hyperlink ref="A3398" r:id="rId10189" display="https://statiz.sporki.com/player/?m=playerinfo&amp;p_no=1594" xr:uid="{BCDB535C-C315-4918-B859-5CD196E02DAF}"/>
    <hyperlink ref="B3398" r:id="rId10190" display="https://statiz.sporki.com/add/?m=draft_school01&amp;ps_school=50113" xr:uid="{1989B453-16CD-4ACC-9792-26DF7988FCF7}"/>
    <hyperlink ref="C3398" r:id="rId10191" display="https://statiz.sporki.com/add/?m=draft_school02&amp;ps_school=" xr:uid="{9A103B8A-B3F3-407B-B562-3A1D659D3ECE}"/>
    <hyperlink ref="A3399" r:id="rId10192" display="https://statiz.sporki.com/player/?m=playerinfo&amp;p_no=1625" xr:uid="{429CBF0D-CBB0-46CF-BCD4-66103CD609BA}"/>
    <hyperlink ref="B3399" r:id="rId10193" display="https://statiz.sporki.com/add/?m=draft_school01&amp;ps_school=50101" xr:uid="{F83EA21A-DE53-4479-BACE-93E278C99152}"/>
    <hyperlink ref="C3399" r:id="rId10194" display="https://statiz.sporki.com/add/?m=draft_school02&amp;ps_school=" xr:uid="{C1A9AF3D-EE82-4F2F-B19B-ED034F17471C}"/>
    <hyperlink ref="A3400" r:id="rId10195" display="https://statiz.sporki.com/player/?m=playerinfo&amp;p_no=1732" xr:uid="{7FF0B4C6-2864-43C7-A731-883B41728A82}"/>
    <hyperlink ref="B3400" r:id="rId10196" display="https://statiz.sporki.com/add/?m=draft_school01&amp;ps_school=50111" xr:uid="{F2A9954B-33EC-43A5-9A78-4609C649B1A6}"/>
    <hyperlink ref="C3400" r:id="rId10197" display="https://statiz.sporki.com/add/?m=draft_school02&amp;ps_school=" xr:uid="{1FDBE575-3C53-4F86-B2F7-C702522503D8}"/>
    <hyperlink ref="A3401" r:id="rId10198" display="https://statiz.sporki.com/player/?m=playerinfo&amp;p_no=10478" xr:uid="{682196FB-3DCD-455F-A4E8-D56A335CA327}"/>
    <hyperlink ref="B3401" r:id="rId10199" display="https://statiz.sporki.com/add/?m=draft_school01&amp;ps_school=50111" xr:uid="{BDC6AC94-DAEF-4EC3-8302-3E01CC72A468}"/>
    <hyperlink ref="C3401" r:id="rId10200" display="https://statiz.sporki.com/add/?m=draft_school02&amp;ps_school=" xr:uid="{B1B90A27-1A4C-49EA-B1E7-83F86CAAA487}"/>
    <hyperlink ref="A3402" r:id="rId10201" display="https://statiz.sporki.com/player/?m=playerinfo&amp;p_no=1613" xr:uid="{7F655D90-0F3B-47BA-ABF5-1EE7492189C1}"/>
    <hyperlink ref="B3402" r:id="rId10202" display="https://statiz.sporki.com/add/?m=draft_school01&amp;ps_school=50108" xr:uid="{1D931926-549A-4807-8E03-C27FFFD3E85A}"/>
    <hyperlink ref="C3402" r:id="rId10203" display="https://statiz.sporki.com/add/?m=draft_school02&amp;ps_school=" xr:uid="{B4409EFF-EF1D-4D31-A43C-D20BAE86DF4D}"/>
    <hyperlink ref="A3403" r:id="rId10204" display="https://statiz.sporki.com/player/?m=playerinfo&amp;p_no=1595" xr:uid="{4E499B34-AEC7-478B-A50C-964B2A99FE7B}"/>
    <hyperlink ref="B3403" r:id="rId10205" display="https://statiz.sporki.com/add/?m=draft_school01&amp;ps_school=50126" xr:uid="{5F51AA88-D94A-4078-BC57-463E25CA205C}"/>
    <hyperlink ref="C3403" r:id="rId10206" display="https://statiz.sporki.com/add/?m=draft_school02&amp;ps_school=" xr:uid="{D249185D-87EC-42BA-A6ED-50EC1DFB28C3}"/>
    <hyperlink ref="A3404" r:id="rId10207" display="https://statiz.sporki.com/player/?m=playerinfo&amp;p_no=1604" xr:uid="{CAA3E049-9672-4349-98B9-8899DBA85AD9}"/>
    <hyperlink ref="B3404" r:id="rId10208" display="https://statiz.sporki.com/add/?m=draft_school01&amp;ps_school=50108" xr:uid="{F37C1E4D-A683-4654-A6DC-6FC7E83F49F3}"/>
    <hyperlink ref="C3404" r:id="rId10209" display="https://statiz.sporki.com/add/?m=draft_school02&amp;ps_school=" xr:uid="{F70EA592-0368-4054-A07D-C3B0FA19025F}"/>
    <hyperlink ref="A3405" r:id="rId10210" display="https://statiz.sporki.com/player/?m=playerinfo&amp;p_no=1679" xr:uid="{9CB3D3CF-1805-42F1-9147-64FA0EEF776B}"/>
    <hyperlink ref="B3405" r:id="rId10211" display="https://statiz.sporki.com/add/?m=draft_school01&amp;ps_school=50115" xr:uid="{9CD881C2-EA53-4515-AA54-BA4B5AB341B9}"/>
    <hyperlink ref="C3405" r:id="rId10212" display="https://statiz.sporki.com/add/?m=draft_school02&amp;ps_school=" xr:uid="{77772F5C-7ED2-4A3B-BABD-355E845FE3F3}"/>
    <hyperlink ref="A3406" r:id="rId10213" display="https://statiz.sporki.com/player/?m=playerinfo&amp;p_no=1717" xr:uid="{03793C76-ED05-436E-BC98-B1529C4E8863}"/>
    <hyperlink ref="B3406" r:id="rId10214" display="https://statiz.sporki.com/add/?m=draft_school01&amp;ps_school=50115" xr:uid="{0FD5F6D6-8A04-4D82-9959-819279C8D201}"/>
    <hyperlink ref="C3406" r:id="rId10215" display="https://statiz.sporki.com/add/?m=draft_school02&amp;ps_school=" xr:uid="{E55AFD38-F0C3-4AA8-805E-6145075D89D3}"/>
    <hyperlink ref="A3407" r:id="rId10216" display="https://statiz.sporki.com/player/?m=playerinfo&amp;p_no=1656" xr:uid="{980F5F02-2AD1-425D-8928-41A917DB555F}"/>
    <hyperlink ref="B3407" r:id="rId10217" display="https://statiz.sporki.com/add/?m=draft_school01&amp;ps_school=50126" xr:uid="{45B008A2-A5C3-4FDA-A729-7CE83BAC02E3}"/>
    <hyperlink ref="C3407" r:id="rId10218" display="https://statiz.sporki.com/add/?m=draft_school02&amp;ps_school=" xr:uid="{D5333AF6-F9CA-4E71-803C-07CF7A70F19A}"/>
    <hyperlink ref="A3408" r:id="rId10219" display="https://statiz.sporki.com/player/?m=playerinfo&amp;p_no=1610" xr:uid="{7AFB04C6-1E98-4891-BD3D-3BFB674AB6A0}"/>
    <hyperlink ref="B3408" r:id="rId10220" display="https://statiz.sporki.com/add/?m=draft_school01&amp;ps_school=50805" xr:uid="{FF701BAE-BE68-49F7-A4B6-19114E86B362}"/>
    <hyperlink ref="C3408" r:id="rId10221" display="https://statiz.sporki.com/add/?m=draft_school02&amp;ps_school=" xr:uid="{6F4A0FBD-A2B7-4518-9668-9BD6B8D68DDA}"/>
    <hyperlink ref="A3409" r:id="rId10222" display="https://statiz.sporki.com/player/?m=playerinfo&amp;p_no=1822" xr:uid="{BEA87F32-BB0E-49B6-ABB4-511277DCB196}"/>
    <hyperlink ref="B3409" r:id="rId10223" display="https://statiz.sporki.com/add/?m=draft_school01&amp;ps_school=50402" xr:uid="{4D119BEB-DD0E-4C70-B343-8415044BEEA0}"/>
    <hyperlink ref="C3409" r:id="rId10224" display="https://statiz.sporki.com/add/?m=draft_school02&amp;ps_school=" xr:uid="{2AA11739-409A-4EEF-900B-62D69C4A6759}"/>
    <hyperlink ref="A3410" r:id="rId10225" display="https://statiz.sporki.com/player/?m=playerinfo&amp;p_no=1672" xr:uid="{C65BB701-959B-44FF-AD0C-4AD6DA651CBC}"/>
    <hyperlink ref="B3410" r:id="rId10226" display="https://statiz.sporki.com/add/?m=draft_school01&amp;ps_school=50706" xr:uid="{C2D7EC8B-E647-4C8A-8836-FA12769A8F12}"/>
    <hyperlink ref="C3410" r:id="rId10227" display="https://statiz.sporki.com/add/?m=draft_school02&amp;ps_school=" xr:uid="{414A69CB-0617-44C3-86F8-91B05399765A}"/>
    <hyperlink ref="A3411" r:id="rId10228" display="https://statiz.sporki.com/player/?m=playerinfo&amp;p_no=1633" xr:uid="{FA5CB4F1-38CC-4E47-A0D9-75B12E56F125}"/>
    <hyperlink ref="B3411" r:id="rId10229" display="https://statiz.sporki.com/add/?m=draft_school01&amp;ps_school=50702" xr:uid="{E9568F0D-592F-4308-B805-713F3EE6B0B3}"/>
    <hyperlink ref="C3411" r:id="rId10230" display="https://statiz.sporki.com/add/?m=draft_school02&amp;ps_school=" xr:uid="{651FDEB3-6585-4E37-8C3D-22225DC404D8}"/>
    <hyperlink ref="A3412" r:id="rId10231" display="https://statiz.sporki.com/player/?m=playerinfo&amp;p_no=10194" xr:uid="{64F1CE78-A9E8-45A3-B1E5-FE7061CD9451}"/>
    <hyperlink ref="B3412" r:id="rId10232" display="https://statiz.sporki.com/add/?m=draft_school01&amp;ps_school=50711" xr:uid="{5F563988-6382-41AD-A566-CAAB89050DCC}"/>
    <hyperlink ref="C3412" r:id="rId10233" display="https://statiz.sporki.com/add/?m=draft_school02&amp;ps_school=" xr:uid="{FAB0B69C-59EC-40B7-BD6C-7B4BCCFFCA7E}"/>
    <hyperlink ref="A3413" r:id="rId10234" display="https://statiz.sporki.com/player/?m=playerinfo&amp;p_no=1830" xr:uid="{F3FE0480-476E-439A-B400-C94CA19340E1}"/>
    <hyperlink ref="B3413" r:id="rId10235" display="https://statiz.sporki.com/add/?m=draft_school01&amp;ps_school=50706" xr:uid="{09D3C0BE-FD77-4E42-98C2-078F33D58B53}"/>
    <hyperlink ref="C3413" r:id="rId10236" display="https://statiz.sporki.com/add/?m=draft_school02&amp;ps_school=" xr:uid="{7B4ECB56-334D-4AB3-8E82-DE54A8AC57E3}"/>
    <hyperlink ref="A3414" r:id="rId10237" display="https://statiz.sporki.com/player/?m=playerinfo&amp;p_no=1591" xr:uid="{71E125C9-DAB5-4D61-B53C-78E1D2DC71C8}"/>
    <hyperlink ref="B3414" r:id="rId10238" display="https://statiz.sporki.com/add/?m=draft_school01&amp;ps_school=50502" xr:uid="{51F1A74D-C492-49F4-93E6-264B4B317AE4}"/>
    <hyperlink ref="C3414" r:id="rId10239" display="https://statiz.sporki.com/add/?m=draft_school02&amp;ps_school=" xr:uid="{D99A291A-78FE-4497-A26C-C2AA9A7793F4}"/>
    <hyperlink ref="A3415" r:id="rId10240" display="https://statiz.sporki.com/player/?m=playerinfo&amp;p_no=14890" xr:uid="{BF9FA388-94F7-44C6-8761-B77A2B348378}"/>
    <hyperlink ref="B3415" r:id="rId10241" display="https://statiz.sporki.com/add/?m=draft_school01&amp;ps_school=50502" xr:uid="{B8E84ED8-C57A-489C-A9A6-B199BDEF4A7E}"/>
    <hyperlink ref="C3415" r:id="rId10242" display="https://statiz.sporki.com/add/?m=draft_school02&amp;ps_school=" xr:uid="{8EE0CBB0-B28E-4777-86E3-EBF4D102E01A}"/>
    <hyperlink ref="A3416" r:id="rId10243" display="https://statiz.sporki.com/player/?m=playerinfo&amp;p_no=1593" xr:uid="{64A7437E-F992-4BD0-9C62-3AA4D92E53B4}"/>
    <hyperlink ref="B3416" r:id="rId10244" display="https://statiz.sporki.com/add/?m=draft_school01&amp;ps_school=50209" xr:uid="{79CFBD9B-D223-4390-9544-50B36BFDB62C}"/>
    <hyperlink ref="C3416" r:id="rId10245" display="https://statiz.sporki.com/add/?m=draft_school02&amp;ps_school=" xr:uid="{0ABF864E-3C52-4DF3-B014-8DDECC3AE1E7}"/>
    <hyperlink ref="A3417" r:id="rId10246" display="https://statiz.sporki.com/player/?m=playerinfo&amp;p_no=1704" xr:uid="{ED5E86F5-88AA-483D-938F-A39153C3ABEE}"/>
    <hyperlink ref="B3417" r:id="rId10247" display="https://statiz.sporki.com/add/?m=draft_school01&amp;ps_school=50203" xr:uid="{273EE8B7-497D-4463-8F66-014655BA5656}"/>
    <hyperlink ref="C3417" r:id="rId10248" display="https://statiz.sporki.com/add/?m=draft_school02&amp;ps_school=" xr:uid="{A07E9A4C-C2D5-400C-9E19-05493C25C35B}"/>
    <hyperlink ref="A3418" r:id="rId10249" display="https://statiz.sporki.com/player/?m=playerinfo&amp;p_no=1634" xr:uid="{52F195A8-0ED5-4643-9922-F83A9EBCEC1A}"/>
    <hyperlink ref="B3418" r:id="rId10250" display="https://statiz.sporki.com/add/?m=draft_school01&amp;ps_school=50203" xr:uid="{1A185276-D40A-4E73-97E1-F0CA211C62C3}"/>
    <hyperlink ref="C3418" r:id="rId10251" display="https://statiz.sporki.com/add/?m=draft_school02&amp;ps_school=" xr:uid="{D57A8643-F404-48CD-B830-D6473F421DDA}"/>
    <hyperlink ref="A3419" r:id="rId10252" display="https://statiz.sporki.com/player/?m=playerinfo&amp;p_no=1714" xr:uid="{D6185A39-5333-4653-A68E-0A97A2C50FEA}"/>
    <hyperlink ref="B3419" r:id="rId10253" display="https://statiz.sporki.com/add/?m=draft_school01&amp;ps_school=50203" xr:uid="{4FEEBCAC-014C-41D0-A5BF-2F3DF380270E}"/>
    <hyperlink ref="C3419" r:id="rId10254" display="https://statiz.sporki.com/add/?m=draft_school02&amp;ps_school=" xr:uid="{51F9B3D5-5C19-40BF-8A7A-EF26E6C1462A}"/>
    <hyperlink ref="A3420" r:id="rId10255" display="https://statiz.sporki.com/player/?m=playerinfo&amp;p_no=1706" xr:uid="{919E1498-20AD-4028-AE31-739ECA751BEA}"/>
    <hyperlink ref="B3420" r:id="rId10256" display="https://statiz.sporki.com/add/?m=draft_school01&amp;ps_school=50609" xr:uid="{B21CFC69-75DB-4260-B5FB-2430E74CBDD3}"/>
    <hyperlink ref="C3420" r:id="rId10257" display="https://statiz.sporki.com/add/?m=draft_school02&amp;ps_school=" xr:uid="{4BA3AFB9-731E-4FF2-933B-FE76F5691FF8}"/>
    <hyperlink ref="A3421" r:id="rId10258" display="https://statiz.sporki.com/player/?m=playerinfo&amp;p_no=1626" xr:uid="{1042E3FB-A9A1-4B21-9471-97FD207C689F}"/>
    <hyperlink ref="B3421" r:id="rId10259" display="https://statiz.sporki.com/add/?m=draft_school01&amp;ps_school=50604" xr:uid="{75B6679C-2616-477C-A32C-4DE9793A9712}"/>
    <hyperlink ref="C3421" r:id="rId10260" display="https://statiz.sporki.com/add/?m=draft_school02&amp;ps_school=" xr:uid="{9BA9D8D3-6D2F-4763-8176-A538C6EB1ECE}"/>
    <hyperlink ref="A3422" r:id="rId10261" display="https://statiz.sporki.com/player/?m=playerinfo&amp;p_no=1579" xr:uid="{FFBB8766-566A-46D9-AF3C-AAD77967A346}"/>
    <hyperlink ref="B3422" r:id="rId10262" display="https://statiz.sporki.com/add/?m=draft_school01&amp;ps_school=50608" xr:uid="{3ECCC429-A574-4932-9CC7-8B19BBBDA431}"/>
    <hyperlink ref="C3422" r:id="rId10263" display="https://statiz.sporki.com/add/?m=draft_school02&amp;ps_school=" xr:uid="{D8E6EA63-03B7-4B0E-BCFE-C2235DA48240}"/>
    <hyperlink ref="A3423" r:id="rId10264" display="https://statiz.sporki.com/player/?m=playerinfo&amp;p_no=15650" xr:uid="{A20F2D59-9A0D-4325-8139-A91289B8C020}"/>
    <hyperlink ref="B3423" r:id="rId10265" display="https://statiz.sporki.com/add/?m=draft_school01&amp;ps_school=" xr:uid="{178E1A65-BED0-4094-A6FE-D0E28981490F}"/>
    <hyperlink ref="C3423" r:id="rId10266" display="https://statiz.sporki.com/add/?m=draft_school02&amp;ps_school=" xr:uid="{B206552D-4BFF-411B-8A4E-015516A62D73}"/>
    <hyperlink ref="A3424" r:id="rId10267" display="https://statiz.sporki.com/player/?m=playerinfo&amp;p_no=14565" xr:uid="{CED69FD2-83DD-4361-804B-3BF1514EB25E}"/>
    <hyperlink ref="B3424" r:id="rId10268" display="https://statiz.sporki.com/add/?m=draft_school01&amp;ps_school=50711" xr:uid="{BD718D92-1189-4E56-A99F-06A125048B08}"/>
    <hyperlink ref="C3424" r:id="rId10269" display="https://statiz.sporki.com/add/?m=draft_school02&amp;ps_school=" xr:uid="{07660772-977D-40BA-8B3B-4612CFDC706A}"/>
    <hyperlink ref="A3425" r:id="rId10270" display="https://statiz.sporki.com/player/?m=playerinfo&amp;p_no=1735" xr:uid="{37790448-D439-4DDD-A654-8BFF990FF4C3}"/>
    <hyperlink ref="B3425" r:id="rId10271" display="https://statiz.sporki.com/add/?m=draft_school01&amp;ps_school=50502" xr:uid="{B844744D-216E-42CA-8DC9-4302A00D7243}"/>
    <hyperlink ref="C3425" r:id="rId10272" display="https://statiz.sporki.com/add/?m=draft_school02&amp;ps_school=" xr:uid="{959E16DE-47FE-4CB2-9920-A8F69E34AB63}"/>
    <hyperlink ref="A3426" r:id="rId10273" display="https://statiz.sporki.com/player/?m=playerinfo&amp;p_no=1498" xr:uid="{C879EB43-CB29-4766-B866-6C38E66C5F79}"/>
    <hyperlink ref="B3426" r:id="rId10274" display="https://statiz.sporki.com/add/?m=draft_school01&amp;ps_school=" xr:uid="{3AC44D69-DCCE-4054-A17B-AAD0815AF060}"/>
    <hyperlink ref="C3426" r:id="rId10275" display="https://statiz.sporki.com/add/?m=draft_school02&amp;ps_school=60103" xr:uid="{A2262BD9-2CD2-4665-8C32-A960BE7B4E54}"/>
    <hyperlink ref="A3427" r:id="rId10276" display="https://statiz.sporki.com/player/?m=playerinfo&amp;p_no=10386" xr:uid="{09D9BF95-7798-44EB-A996-F55E16280F15}"/>
    <hyperlink ref="B3427" r:id="rId10277" display="https://statiz.sporki.com/add/?m=draft_school01&amp;ps_school=50107" xr:uid="{CF2444FA-FDF0-49E5-8BF1-E1177885C192}"/>
    <hyperlink ref="C3427" r:id="rId10278" display="https://statiz.sporki.com/add/?m=draft_school02&amp;ps_school=60113" xr:uid="{95852221-151D-4B14-B9FF-39E3F85D69A8}"/>
    <hyperlink ref="A3428" r:id="rId10279" display="https://statiz.sporki.com/player/?m=playerinfo&amp;p_no=1524" xr:uid="{4701A658-06AA-4D80-B560-FFE5EF78203F}"/>
    <hyperlink ref="B3428" r:id="rId10280" display="https://statiz.sporki.com/add/?m=draft_school01&amp;ps_school=50107" xr:uid="{73D4B174-0417-4411-96A0-D1BB6B92CFB2}"/>
    <hyperlink ref="C3428" r:id="rId10281" display="https://statiz.sporki.com/add/?m=draft_school02&amp;ps_school=60113" xr:uid="{330A6C84-D638-4500-82B6-F8F4E29028EE}"/>
    <hyperlink ref="A3429" r:id="rId10282" display="https://statiz.sporki.com/player/?m=playerinfo&amp;p_no=1761" xr:uid="{C39B56B8-30A3-4BA0-B3D4-3C0A8D0F43F2}"/>
    <hyperlink ref="B3429" r:id="rId10283" display="https://statiz.sporki.com/add/?m=draft_school01&amp;ps_school=50121" xr:uid="{9588B8C4-F2B1-45EC-AE92-9B0950B69EA2}"/>
    <hyperlink ref="C3429" r:id="rId10284" display="https://statiz.sporki.com/add/?m=draft_school02&amp;ps_school=60111" xr:uid="{817C6D50-B129-4E8B-9A06-509353A81734}"/>
    <hyperlink ref="A3430" r:id="rId10285" display="https://statiz.sporki.com/player/?m=playerinfo&amp;p_no=1503" xr:uid="{D7C91091-505E-4316-8AFD-6B8D3BCDE498}"/>
    <hyperlink ref="B3430" r:id="rId10286" display="https://statiz.sporki.com/add/?m=draft_school01&amp;ps_school=50807" xr:uid="{F957A545-7A6E-40DA-8613-7981BF8D69D4}"/>
    <hyperlink ref="C3430" r:id="rId10287" display="https://statiz.sporki.com/add/?m=draft_school02&amp;ps_school=60802" xr:uid="{384F1255-02FC-4D1B-A2A1-D7793CF6EC20}"/>
    <hyperlink ref="A3431" r:id="rId10288" display="https://statiz.sporki.com/player/?m=playerinfo&amp;p_no=1544" xr:uid="{16FD7A76-EBAE-4BD3-AC49-6589FE88BA03}"/>
    <hyperlink ref="B3431" r:id="rId10289" display="https://statiz.sporki.com/add/?m=draft_school01&amp;ps_school=50807" xr:uid="{81DFF05E-79E5-43F6-AFB4-E2D427BE6385}"/>
    <hyperlink ref="C3431" r:id="rId10290" display="https://statiz.sporki.com/add/?m=draft_school02&amp;ps_school=60802" xr:uid="{72BA5E1E-B452-430C-861E-A60C9AF36BA2}"/>
    <hyperlink ref="A3432" r:id="rId10291" display="https://statiz.sporki.com/player/?m=playerinfo&amp;p_no=1533" xr:uid="{F85C6FE2-AEB9-4521-A4BD-0E08FB76B6B9}"/>
    <hyperlink ref="B3432" r:id="rId10292" display="https://statiz.sporki.com/add/?m=draft_school01&amp;ps_school=50403" xr:uid="{4A9B80A5-05DF-4566-8F0B-B700E7B418C2}"/>
    <hyperlink ref="C3432" r:id="rId10293" display="https://statiz.sporki.com/add/?m=draft_school02&amp;ps_school=60104" xr:uid="{3300E7AA-D0B5-41E8-8190-2F5E61451316}"/>
    <hyperlink ref="A3433" r:id="rId10294" display="https://statiz.sporki.com/player/?m=playerinfo&amp;p_no=1560" xr:uid="{F522E1A5-1E1F-4DC0-8237-105E8EFC2F59}"/>
    <hyperlink ref="B3433" r:id="rId10295" display="https://statiz.sporki.com/add/?m=draft_school01&amp;ps_school=" xr:uid="{4752033B-B926-449C-A77D-070E39E111F7}"/>
    <hyperlink ref="C3433" r:id="rId10296" display="https://statiz.sporki.com/add/?m=draft_school02&amp;ps_school=60113" xr:uid="{186C86A0-9578-4D89-AAA3-5D1755D31418}"/>
    <hyperlink ref="A3434" r:id="rId10297" display="https://statiz.sporki.com/player/?m=playerinfo&amp;p_no=1540" xr:uid="{56EFE83B-1351-4EBC-AB84-899154A9E172}"/>
    <hyperlink ref="B3434" r:id="rId10298" display="https://statiz.sporki.com/add/?m=draft_school01&amp;ps_school=" xr:uid="{C2E13C2D-7EAE-4414-8751-2E9FE3A7D49B}"/>
    <hyperlink ref="C3434" r:id="rId10299" display="https://statiz.sporki.com/add/?m=draft_school02&amp;ps_school=60703" xr:uid="{CF500DAD-EB51-4FD5-B4CF-694A4E9D000C}"/>
    <hyperlink ref="A3435" r:id="rId10300" display="https://statiz.sporki.com/player/?m=playerinfo&amp;p_no=1607" xr:uid="{71F44FE0-1798-45EB-9320-57596256D70A}"/>
    <hyperlink ref="B3435" r:id="rId10301" display="https://statiz.sporki.com/add/?m=draft_school01&amp;ps_school=50501" xr:uid="{CD58F324-2AE8-4968-A599-3DBD71B86002}"/>
    <hyperlink ref="C3435" r:id="rId10302" display="https://statiz.sporki.com/add/?m=draft_school02&amp;ps_school=60101" xr:uid="{9E40BD30-E261-4F22-8F7B-13CB88ADF254}"/>
    <hyperlink ref="A3436" r:id="rId10303" display="https://statiz.sporki.com/player/?m=playerinfo&amp;p_no=1535" xr:uid="{AC4E226E-EB49-4DB7-8DD1-DA9C75E97156}"/>
    <hyperlink ref="B3436" r:id="rId10304" display="https://statiz.sporki.com/add/?m=draft_school01&amp;ps_school=50209" xr:uid="{A5B1F8D8-202D-4B5D-8B7D-80052CCE1048}"/>
    <hyperlink ref="C3436" r:id="rId10305" display="https://statiz.sporki.com/add/?m=draft_school02&amp;ps_school=60501" xr:uid="{B31C023A-C7D3-4CD8-8040-934DB29972AF}"/>
    <hyperlink ref="A3437" r:id="rId10306" display="https://statiz.sporki.com/player/?m=playerinfo&amp;p_no=1505" xr:uid="{D3D9E28C-D400-491C-957E-F3DC51245193}"/>
    <hyperlink ref="B3437" r:id="rId10307" display="https://statiz.sporki.com/add/?m=draft_school01&amp;ps_school=50209" xr:uid="{21486529-0090-4BA2-831B-B252DD7CDB67}"/>
    <hyperlink ref="C3437" r:id="rId10308" display="https://statiz.sporki.com/add/?m=draft_school02&amp;ps_school=60103" xr:uid="{8A9008FE-094E-48EC-83A5-156A9C898C46}"/>
    <hyperlink ref="A3438" r:id="rId10309" display="https://statiz.sporki.com/player/?m=playerinfo&amp;p_no=1500" xr:uid="{C2D790BD-2D4F-4D78-9225-21FE91C11300}"/>
    <hyperlink ref="B3438" r:id="rId10310" display="https://statiz.sporki.com/add/?m=draft_school01&amp;ps_school=50602" xr:uid="{A7CC20F5-6C4F-4A12-ADD4-393534049814}"/>
    <hyperlink ref="C3438" r:id="rId10311" display="https://statiz.sporki.com/add/?m=draft_school02&amp;ps_school=60109" xr:uid="{3C4FCD6F-88DD-459F-ACEF-6511A512AE57}"/>
    <hyperlink ref="A3439" r:id="rId10312" display="https://statiz.sporki.com/player/?m=playerinfo&amp;p_no=1496" xr:uid="{35F0E481-3F3F-4040-9FE1-50E2FDDB1B88}"/>
    <hyperlink ref="B3439" r:id="rId10313" display="https://statiz.sporki.com/add/?m=draft_school01&amp;ps_school=50602" xr:uid="{F4933EE9-697C-4EB4-ABB3-C5ECAAFC3E14}"/>
    <hyperlink ref="C3439" r:id="rId10314" display="https://statiz.sporki.com/add/?m=draft_school02&amp;ps_school=60109" xr:uid="{9F3777F5-C70B-41EB-AD8F-AB3E160F7534}"/>
    <hyperlink ref="A3440" r:id="rId10315" display="https://statiz.sporki.com/player/?m=playerinfo&amp;p_no=1835" xr:uid="{ABEAAC3B-AE47-4E55-A089-2E94E4E97132}"/>
    <hyperlink ref="B3440" r:id="rId10316" display="https://statiz.sporki.com/add/?m=draft_school01&amp;ps_school=50403" xr:uid="{D9CEF4D7-B9BE-4A2D-BB64-040429FB181C}"/>
    <hyperlink ref="C3440" r:id="rId10317" display="https://statiz.sporki.com/add/?m=draft_school02&amp;ps_school=60803" xr:uid="{3070D360-BE58-428A-8874-AB6EDB2ABAE5}"/>
    <hyperlink ref="A3441" r:id="rId10318" display="https://statiz.sporki.com/player/?m=playerinfo&amp;p_no=1644" xr:uid="{C39045E0-3C84-4992-83C1-1E1D39966C98}"/>
    <hyperlink ref="B3441" r:id="rId10319" display="https://statiz.sporki.com/add/?m=draft_school01&amp;ps_school=50110" xr:uid="{D89CA1F6-DAE3-4CAC-AA9C-E34912D67CD8}"/>
    <hyperlink ref="C3441" r:id="rId10320" display="https://statiz.sporki.com/add/?m=draft_school02&amp;ps_school=60111" xr:uid="{A75DCCB7-2081-442C-B866-141B8BEC73B8}"/>
    <hyperlink ref="A3442" r:id="rId10321" display="https://statiz.sporki.com/player/?m=playerinfo&amp;p_no=1515" xr:uid="{6B4E5B02-B614-4882-B34E-F02766CF93F2}"/>
    <hyperlink ref="B3442" r:id="rId10322" display="https://statiz.sporki.com/add/?m=draft_school01&amp;ps_school=50601" xr:uid="{C4EC2C1E-9960-47B9-A1CA-6548FCE18A56}"/>
    <hyperlink ref="C3442" r:id="rId10323" display="https://statiz.sporki.com/add/?m=draft_school02&amp;ps_school=60108" xr:uid="{43A7111C-3D6D-4D4D-8067-904BFB8BD096}"/>
    <hyperlink ref="A3443" r:id="rId10324" display="https://statiz.sporki.com/player/?m=playerinfo&amp;p_no=1516" xr:uid="{87B0555F-3CF9-4FC6-94A5-8CEB350EF8F0}"/>
    <hyperlink ref="B3443" r:id="rId10325" display="https://statiz.sporki.com/add/?m=draft_school01&amp;ps_school=50706" xr:uid="{0C721123-5F52-424B-990E-D8DC4824E477}"/>
    <hyperlink ref="C3443" r:id="rId10326" display="https://statiz.sporki.com/add/?m=draft_school02&amp;ps_school=60108" xr:uid="{3A9192A9-AE56-43FB-B4EF-07DAE2F09BBB}"/>
    <hyperlink ref="A3444" r:id="rId10327" display="https://statiz.sporki.com/player/?m=playerinfo&amp;p_no=1518" xr:uid="{A88AC32B-E84D-4F4B-A1EC-BAA2260D7E25}"/>
    <hyperlink ref="B3444" r:id="rId10328" display="https://statiz.sporki.com/add/?m=draft_school01&amp;ps_school=50604" xr:uid="{A500DDE8-1118-4512-A0D8-4D4F48712AAA}"/>
    <hyperlink ref="C3444" r:id="rId10329" display="https://statiz.sporki.com/add/?m=draft_school02&amp;ps_school=60108" xr:uid="{5EE4F50C-34D9-49DF-A111-709B0E1D5607}"/>
    <hyperlink ref="A3445" r:id="rId10330" display="https://statiz.sporki.com/player/?m=playerinfo&amp;p_no=1534" xr:uid="{1F7ECE53-FC6A-4CFE-A417-41C5847123DA}"/>
    <hyperlink ref="B3445" r:id="rId10331" display="https://statiz.sporki.com/add/?m=draft_school01&amp;ps_school=50803" xr:uid="{B9DF5021-055C-4F53-A1EC-4FE64481AC3F}"/>
    <hyperlink ref="C3445" r:id="rId10332" display="https://statiz.sporki.com/add/?m=draft_school02&amp;ps_school=60801" xr:uid="{D55171CA-E3F7-4D1E-8FCA-325FBE3726BE}"/>
    <hyperlink ref="A3446" r:id="rId10333" display="https://statiz.sporki.com/player/?m=playerinfo&amp;p_no=1643" xr:uid="{BC2A7447-71E5-4998-8943-4ABC94DFA708}"/>
    <hyperlink ref="B3446" r:id="rId10334" display="https://statiz.sporki.com/add/?m=draft_school01&amp;ps_school=50608" xr:uid="{F5A88243-D0D9-4CD1-91E3-6545A766AF5B}"/>
    <hyperlink ref="C3446" r:id="rId10335" display="https://statiz.sporki.com/add/?m=draft_school02&amp;ps_school=60101" xr:uid="{4F52B979-4618-49C9-9892-B2D8509B5E1E}"/>
    <hyperlink ref="A3447" r:id="rId10336" display="https://statiz.sporki.com/player/?m=playerinfo&amp;p_no=1641" xr:uid="{F1F04072-73AC-4EC0-AA51-C30C167B6DD5}"/>
    <hyperlink ref="B3447" r:id="rId10337" display="https://statiz.sporki.com/add/?m=draft_school01&amp;ps_school=" xr:uid="{1F8266D5-112D-4F91-B8D0-D848A0F33DF9}"/>
    <hyperlink ref="C3447" r:id="rId10338" display="https://statiz.sporki.com/add/?m=draft_school02&amp;ps_school=60101" xr:uid="{D6BE57B0-3C6C-4D08-BCEC-7FE09236A820}"/>
    <hyperlink ref="A3448" r:id="rId10339" display="https://statiz.sporki.com/player/?m=playerinfo&amp;p_no=1573" xr:uid="{C993F71E-1787-4560-8E43-98B4AD130BDA}"/>
    <hyperlink ref="B3448" r:id="rId10340" display="https://statiz.sporki.com/add/?m=draft_school01&amp;ps_school=50114" xr:uid="{7A142901-72FF-4C38-AA81-78ECDAB3E91A}"/>
    <hyperlink ref="C3448" r:id="rId10341" display="https://statiz.sporki.com/add/?m=draft_school02&amp;ps_school=" xr:uid="{2845EB38-6E2D-4946-8987-AF986E01AEFB}"/>
    <hyperlink ref="A3449" r:id="rId10342" display="https://statiz.sporki.com/player/?m=playerinfo&amp;p_no=1558" xr:uid="{7A9895F5-1332-41BA-91D7-3C1AC333EEAA}"/>
    <hyperlink ref="B3449" r:id="rId10343" display="https://statiz.sporki.com/add/?m=draft_school01&amp;ps_school=50602" xr:uid="{294F3791-035C-48D6-AA1B-470AF19D581D}"/>
    <hyperlink ref="C3449" r:id="rId10344" display="https://statiz.sporki.com/add/?m=draft_school02&amp;ps_school=60104" xr:uid="{75CBEDBE-480F-4E03-B809-263C944A7CEA}"/>
    <hyperlink ref="A3450" r:id="rId10345" display="https://statiz.sporki.com/player/?m=playerinfo&amp;p_no=1511" xr:uid="{AFAC38D7-5B1F-4834-9363-556FEDAE3B95}"/>
    <hyperlink ref="B3450" r:id="rId10346" display="https://statiz.sporki.com/add/?m=draft_school01&amp;ps_school=50702" xr:uid="{B20AE08B-DD60-489D-BC83-159F3EE281D7}"/>
    <hyperlink ref="C3450" r:id="rId10347" display="https://statiz.sporki.com/add/?m=draft_school02&amp;ps_school=60802" xr:uid="{5F7E57A8-8FC3-43DF-9E57-38FB1FB38EA5}"/>
    <hyperlink ref="A3451" r:id="rId10348" display="https://statiz.sporki.com/player/?m=playerinfo&amp;p_no=11433" xr:uid="{B4F49945-7F34-48C3-909E-5A5239045BD8}"/>
    <hyperlink ref="B3451" r:id="rId10349" display="https://statiz.sporki.com/add/?m=draft_school01&amp;ps_school=50210" xr:uid="{C57EC88E-AA30-43D3-A10D-A1E88B67DDB9}"/>
    <hyperlink ref="C3451" r:id="rId10350" display="https://statiz.sporki.com/add/?m=draft_school02&amp;ps_school=60101" xr:uid="{06F86B2A-73E2-4F2B-83C2-921F84416883}"/>
    <hyperlink ref="A3452" r:id="rId10351" display="https://statiz.sporki.com/player/?m=playerinfo&amp;p_no=1497" xr:uid="{BB8C24DD-063F-499D-BF32-414324410AE4}"/>
    <hyperlink ref="B3452" r:id="rId10352" display="https://statiz.sporki.com/add/?m=draft_school01&amp;ps_school=50602" xr:uid="{97602B19-44DE-4235-8EA5-2B614CF0263B}"/>
    <hyperlink ref="C3452" r:id="rId10353" display="https://statiz.sporki.com/add/?m=draft_school02&amp;ps_school=60109" xr:uid="{D7B34BF2-C7E7-4CD7-BAFA-E48C58D099E9}"/>
    <hyperlink ref="A3453" r:id="rId10354" display="https://statiz.sporki.com/player/?m=playerinfo&amp;p_no=1624" xr:uid="{CFE14549-07EF-44AB-B5E3-A98AAF4D4310}"/>
    <hyperlink ref="B3453" r:id="rId10355" display="https://statiz.sporki.com/add/?m=draft_school01&amp;ps_school=50815" xr:uid="{3A74FD12-E3B3-40CA-871E-70530F7F45FE}"/>
    <hyperlink ref="C3453" r:id="rId10356" display="https://statiz.sporki.com/add/?m=draft_school02&amp;ps_school=" xr:uid="{D9EB0F7B-2B6B-440E-A31A-E2BE534B414C}"/>
    <hyperlink ref="A3454" r:id="rId10357" display="https://statiz.sporki.com/player/?m=playerinfo&amp;p_no=1526" xr:uid="{978DA10E-07F8-42E1-8D08-6771F01921FC}"/>
    <hyperlink ref="B3454" r:id="rId10358" display="https://statiz.sporki.com/add/?m=draft_school01&amp;ps_school=50807" xr:uid="{BF1441AC-1779-4893-92C2-A1353F45D05C}"/>
    <hyperlink ref="C3454" r:id="rId10359" display="https://statiz.sporki.com/add/?m=draft_school02&amp;ps_school=60802" xr:uid="{976BBEBD-8563-4E78-A0AC-461A9D4B56D7}"/>
    <hyperlink ref="A3455" r:id="rId10360" display="https://statiz.sporki.com/player/?m=playerinfo&amp;p_no=1537" xr:uid="{FAF3DE38-4650-449C-95B9-10EE813D6B69}"/>
    <hyperlink ref="B3455" r:id="rId10361" display="https://statiz.sporki.com/add/?m=draft_school01&amp;ps_school=50209" xr:uid="{34F38420-B8A6-4041-BAA3-2EC01E906D2C}"/>
    <hyperlink ref="C3455" r:id="rId10362" display="https://statiz.sporki.com/add/?m=draft_school02&amp;ps_school=60109" xr:uid="{DD8DB457-4D17-48C2-A7F7-C5965DFE76DF}"/>
    <hyperlink ref="A3456" r:id="rId10363" display="https://statiz.sporki.com/player/?m=playerinfo&amp;p_no=1509" xr:uid="{AF9AEEFB-B000-47B5-9EC3-B7AA3E3F61D8}"/>
    <hyperlink ref="B3456" r:id="rId10364" display="https://statiz.sporki.com/add/?m=draft_school01&amp;ps_school=50711" xr:uid="{ED2BD7D8-160A-4731-BD07-5B7AB95793E2}"/>
    <hyperlink ref="C3456" r:id="rId10365" display="https://statiz.sporki.com/add/?m=draft_school02&amp;ps_school=60703" xr:uid="{6FE55C27-EFE5-49F4-8C67-C4ED6A60015F}"/>
    <hyperlink ref="A3457" r:id="rId10366" display="https://statiz.sporki.com/player/?m=playerinfo&amp;p_no=1514" xr:uid="{77C466DA-76ED-41F3-82E7-59E3FC96A9BC}"/>
    <hyperlink ref="B3457" r:id="rId10367" display="https://statiz.sporki.com/add/?m=draft_school01&amp;ps_school=" xr:uid="{77A91869-3F12-4B39-A3DF-6AC525E8DD1B}"/>
    <hyperlink ref="C3457" r:id="rId10368" display="https://statiz.sporki.com/add/?m=draft_school02&amp;ps_school=60111" xr:uid="{26D53B76-6DE5-4530-86E8-0C7B35304A74}"/>
    <hyperlink ref="A3458" r:id="rId10369" display="https://statiz.sporki.com/player/?m=playerinfo&amp;p_no=1696" xr:uid="{3E298A28-F215-46B6-8F12-AABBE10B3471}"/>
    <hyperlink ref="B3458" r:id="rId10370" display="https://statiz.sporki.com/add/?m=draft_school01&amp;ps_school=50807" xr:uid="{9076B4EA-878C-4A51-AF55-11418F738FD4}"/>
    <hyperlink ref="C3458" r:id="rId10371" display="https://statiz.sporki.com/add/?m=draft_school02&amp;ps_school=" xr:uid="{B03C26A1-CF14-4460-86F2-3D8BA591A623}"/>
    <hyperlink ref="A3459" r:id="rId10372" display="https://statiz.sporki.com/player/?m=playerinfo&amp;p_no=1510" xr:uid="{8012E0A7-A487-49C4-91D0-922FF535B708}"/>
    <hyperlink ref="B3459" r:id="rId10373" display="https://statiz.sporki.com/add/?m=draft_school01&amp;ps_school=" xr:uid="{6FC1B4D2-2971-4435-90A4-C4A2CD6E2075}"/>
    <hyperlink ref="C3459" r:id="rId10374" display="https://statiz.sporki.com/add/?m=draft_school02&amp;ps_school=60108" xr:uid="{32B90242-330B-4FCF-85B8-9B313477F8F1}"/>
    <hyperlink ref="A3460" r:id="rId10375" display="https://statiz.sporki.com/player/?m=playerinfo&amp;p_no=1545" xr:uid="{CD1E14D9-E548-4C6A-9440-149115BF1804}"/>
    <hyperlink ref="B3460" r:id="rId10376" display="https://statiz.sporki.com/add/?m=draft_school01&amp;ps_school=50804" xr:uid="{7F32519A-504A-42D6-8FBA-FFD820368EF3}"/>
    <hyperlink ref="C3460" r:id="rId10377" display="https://statiz.sporki.com/add/?m=draft_school02&amp;ps_school=60803" xr:uid="{E1C8165B-7008-40DB-85F1-D2C235D77923}"/>
    <hyperlink ref="A3461" r:id="rId10378" display="https://statiz.sporki.com/player/?m=playerinfo&amp;p_no=10158" xr:uid="{6049E39B-1574-482C-90CE-5E758D519170}"/>
    <hyperlink ref="B3461" r:id="rId10379" display="https://statiz.sporki.com/add/?m=draft_school01&amp;ps_school=50607" xr:uid="{2D7EBA0A-95F6-4D13-9FD7-FEB4807F2BED}"/>
    <hyperlink ref="C3461" r:id="rId10380" display="https://statiz.sporki.com/add/?m=draft_school02&amp;ps_school=" xr:uid="{B615CACA-F4B2-4B6F-81AE-B7A4AD751FD6}"/>
    <hyperlink ref="A3462" r:id="rId10381" display="https://statiz.sporki.com/player/?m=playerinfo&amp;p_no=1501" xr:uid="{6DDA141E-199E-438F-A804-D476B0B41F78}"/>
    <hyperlink ref="B3462" r:id="rId10382" display="https://statiz.sporki.com/add/?m=draft_school01&amp;ps_school=50116" xr:uid="{F6CD95D4-FBBC-4292-98FD-F50328E70D81}"/>
    <hyperlink ref="C3462" r:id="rId10383" display="https://statiz.sporki.com/add/?m=draft_school02&amp;ps_school=60101" xr:uid="{604983EE-4AED-4262-AA3D-217280E7FCEB}"/>
    <hyperlink ref="A3463" r:id="rId10384" display="https://statiz.sporki.com/player/?m=playerinfo&amp;p_no=1557" xr:uid="{1FC63017-A9DD-44EE-8C99-D045C2AA5F06}"/>
    <hyperlink ref="B3463" r:id="rId10385" display="https://statiz.sporki.com/add/?m=draft_school01&amp;ps_school=50209" xr:uid="{383A12F3-8721-4510-A67B-27CF9D71BF32}"/>
    <hyperlink ref="C3463" r:id="rId10386" display="https://statiz.sporki.com/add/?m=draft_school02&amp;ps_school=" xr:uid="{04D0A84D-2374-483C-9C14-7E28D99C6F43}"/>
    <hyperlink ref="A3464" r:id="rId10387" display="https://statiz.sporki.com/player/?m=playerinfo&amp;p_no=1548" xr:uid="{3284D532-0B73-4ABD-B73C-598F885CA929}"/>
    <hyperlink ref="B3464" r:id="rId10388" display="https://statiz.sporki.com/add/?m=draft_school01&amp;ps_school=50501" xr:uid="{02BC971C-E493-473E-A3B5-7DDAEF32841D}"/>
    <hyperlink ref="C3464" r:id="rId10389" display="https://statiz.sporki.com/add/?m=draft_school02&amp;ps_school=" xr:uid="{2B7CD0DC-FF34-48BE-9058-18FB0F007D78}"/>
    <hyperlink ref="A3465" r:id="rId10390" display="https://statiz.sporki.com/player/?m=playerinfo&amp;p_no=1508" xr:uid="{60F99B05-A49E-4E8F-ACA3-08FE7786CBCB}"/>
    <hyperlink ref="B3465" r:id="rId10391" display="https://statiz.sporki.com/add/?m=draft_school01&amp;ps_school=50107" xr:uid="{58100E55-3BBD-41E6-A1D1-00FD4C70A136}"/>
    <hyperlink ref="C3465" r:id="rId10392" display="https://statiz.sporki.com/add/?m=draft_school02&amp;ps_school=60113" xr:uid="{6E29438A-5710-40A8-987F-3981BD71B2B2}"/>
    <hyperlink ref="A3466" r:id="rId10393" display="https://statiz.sporki.com/player/?m=playerinfo&amp;p_no=1592" xr:uid="{BB5CC6D0-F94D-44EA-B335-D26201580DC9}"/>
    <hyperlink ref="B3466" r:id="rId10394" display="https://statiz.sporki.com/add/?m=draft_school01&amp;ps_school=50106" xr:uid="{B2601BDD-BEE3-4BBB-9380-EA09F173B41B}"/>
    <hyperlink ref="C3466" r:id="rId10395" display="https://statiz.sporki.com/add/?m=draft_school02&amp;ps_school=60103" xr:uid="{01F6933A-D77B-4553-8AED-1969E4E35EEA}"/>
    <hyperlink ref="A3467" r:id="rId10396" display="https://statiz.sporki.com/player/?m=playerinfo&amp;p_no=1581" xr:uid="{EA5CE1EA-4432-44D2-8BF5-D1BDA3988E09}"/>
    <hyperlink ref="B3467" r:id="rId10397" display="https://statiz.sporki.com/add/?m=draft_school01&amp;ps_school=50803" xr:uid="{766147AD-F779-4D1F-8ED6-EB90D44A40AD}"/>
    <hyperlink ref="C3467" r:id="rId10398" display="https://statiz.sporki.com/add/?m=draft_school02&amp;ps_school=60802" xr:uid="{7DB57BF1-20E2-4583-BF8A-41B8CF539903}"/>
    <hyperlink ref="A3468" r:id="rId10399" display="https://statiz.sporki.com/player/?m=playerinfo&amp;p_no=1621" xr:uid="{49F5C57E-DE45-465B-BE05-7AC269D00D91}"/>
    <hyperlink ref="B3468" r:id="rId10400" display="https://statiz.sporki.com/add/?m=draft_school01&amp;ps_school=50113" xr:uid="{F511947A-839F-4F92-948F-D926ED26400A}"/>
    <hyperlink ref="C3468" r:id="rId10401" display="https://statiz.sporki.com/add/?m=draft_school02&amp;ps_school=60113" xr:uid="{5BCC0FCE-A494-4A2D-9192-EE70BA2836D2}"/>
    <hyperlink ref="A3469" r:id="rId10402" display="https://statiz.sporki.com/player/?m=playerinfo&amp;p_no=1698" xr:uid="{A71834AE-7D04-4B63-9B61-406B1DF4C303}"/>
    <hyperlink ref="B3469" r:id="rId10403" display="https://statiz.sporki.com/add/?m=draft_school01&amp;ps_school=50602" xr:uid="{D6BB34A2-973F-4B54-88BF-CFCCEA3F5B05}"/>
    <hyperlink ref="C3469" r:id="rId10404" display="https://statiz.sporki.com/add/?m=draft_school02&amp;ps_school=60109" xr:uid="{DE856216-8B84-4D7D-ABA4-B04182802402}"/>
    <hyperlink ref="A3470" r:id="rId10405" display="https://statiz.sporki.com/player/?m=playerinfo&amp;p_no=1615" xr:uid="{5316893B-2132-409F-89F2-D996A46F29BE}"/>
    <hyperlink ref="B3470" r:id="rId10406" display="https://statiz.sporki.com/add/?m=draft_school01&amp;ps_school=50402" xr:uid="{0BBDC93E-8AD9-49F3-82F3-B96563BF7529}"/>
    <hyperlink ref="C3470" r:id="rId10407" display="https://statiz.sporki.com/add/?m=draft_school02&amp;ps_school=60801" xr:uid="{20AEF098-C483-44FC-AB26-B0B7589DCC42}"/>
    <hyperlink ref="A3471" r:id="rId10408" display="https://statiz.sporki.com/player/?m=playerinfo&amp;p_no=1530" xr:uid="{AB2BAD90-A879-4A66-A008-04A5E761067D}"/>
    <hyperlink ref="B3471" r:id="rId10409" display="https://statiz.sporki.com/add/?m=draft_school01&amp;ps_school=" xr:uid="{9A17F4E3-C20A-4CB2-AAB3-F0731A001D05}"/>
    <hyperlink ref="C3471" r:id="rId10410" display="https://statiz.sporki.com/add/?m=draft_school02&amp;ps_school=" xr:uid="{57FB8DA5-2CD3-4239-8F48-058CF6287A48}"/>
    <hyperlink ref="A3472" r:id="rId10411" display="https://statiz.sporki.com/player/?m=playerinfo&amp;p_no=1507" xr:uid="{85764D95-EC3F-43A2-A979-9665D20335A8}"/>
    <hyperlink ref="B3472" r:id="rId10412" display="https://statiz.sporki.com/add/?m=draft_school01&amp;ps_school=51100" xr:uid="{2F0C19B2-2A39-400F-A166-0CB2462948F6}"/>
    <hyperlink ref="C3472" r:id="rId10413" display="https://statiz.sporki.com/add/?m=draft_school02&amp;ps_school=" xr:uid="{66391870-4A43-4E50-96E2-FB16AED7978D}"/>
    <hyperlink ref="A3473" r:id="rId10414" display="https://statiz.sporki.com/player/?m=playerinfo&amp;p_no=1525" xr:uid="{F197867E-6FD3-485E-A01D-3CE768873CBD}"/>
    <hyperlink ref="B3473" r:id="rId10415" display="https://statiz.sporki.com/add/?m=draft_school01&amp;ps_school=50904" xr:uid="{A55E5632-350D-4322-BB0F-1B9C3A74F1E2}"/>
    <hyperlink ref="C3473" r:id="rId10416" display="https://statiz.sporki.com/add/?m=draft_school02&amp;ps_school=" xr:uid="{33E9ACCF-50A9-4231-8F74-E23ADA22ADDD}"/>
    <hyperlink ref="A3474" r:id="rId10417" display="https://statiz.sporki.com/player/?m=playerinfo&amp;p_no=1605" xr:uid="{631D0F84-8ADA-4776-A9AE-4147DCC90937}"/>
    <hyperlink ref="B3474" r:id="rId10418" display="https://statiz.sporki.com/add/?m=draft_school01&amp;ps_school=50802" xr:uid="{0163953A-B6A7-4133-B807-720379422328}"/>
    <hyperlink ref="C3474" r:id="rId10419" display="https://statiz.sporki.com/add/?m=draft_school02&amp;ps_school=60802" xr:uid="{C9D34772-9E21-4837-9155-46B764B40BE5}"/>
    <hyperlink ref="A3475" r:id="rId10420" display="https://statiz.sporki.com/player/?m=playerinfo&amp;p_no=1522" xr:uid="{9AFC4ADA-FB9F-41AE-A4E2-74F7ABF635BD}"/>
    <hyperlink ref="B3475" r:id="rId10421" display="https://statiz.sporki.com/add/?m=draft_school01&amp;ps_school=50814" xr:uid="{721C2197-5166-4DBA-8979-D59C45BF118E}"/>
    <hyperlink ref="C3475" r:id="rId10422" display="https://statiz.sporki.com/add/?m=draft_school02&amp;ps_school=" xr:uid="{85614111-50CF-468F-A782-FAB1197DD801}"/>
    <hyperlink ref="A3476" r:id="rId10423" display="https://statiz.sporki.com/player/?m=playerinfo&amp;p_no=1542" xr:uid="{A0251EFC-C87E-4C5B-B11B-C5CE37429514}"/>
    <hyperlink ref="B3476" r:id="rId10424" display="https://statiz.sporki.com/add/?m=draft_school01&amp;ps_school=50814" xr:uid="{7292DE9B-0FF3-44B0-9199-7575ED253757}"/>
    <hyperlink ref="C3476" r:id="rId10425" display="https://statiz.sporki.com/add/?m=draft_school02&amp;ps_school=" xr:uid="{BAFA6CBA-4D49-408F-AF58-9F34A9551492}"/>
    <hyperlink ref="A3477" r:id="rId10426" display="https://statiz.sporki.com/player/?m=playerinfo&amp;p_no=1568" xr:uid="{85132807-46C7-4636-8659-59C5B9E33B0E}"/>
    <hyperlink ref="B3477" r:id="rId10427" display="https://statiz.sporki.com/add/?m=draft_school01&amp;ps_school=50806" xr:uid="{C7F2EF32-8319-41D5-9376-FC52FB33346B}"/>
    <hyperlink ref="C3477" r:id="rId10428" display="https://statiz.sporki.com/add/?m=draft_school02&amp;ps_school=" xr:uid="{33806EBD-5FC6-4DCE-832D-91F46D23F632}"/>
    <hyperlink ref="A3478" r:id="rId10429" display="https://statiz.sporki.com/player/?m=playerinfo&amp;p_no=1519" xr:uid="{FB7ABBE0-46CA-475D-8972-1DA8B08FF05A}"/>
    <hyperlink ref="B3478" r:id="rId10430" display="https://statiz.sporki.com/add/?m=draft_school01&amp;ps_school=50403" xr:uid="{87D6A406-99BE-4014-8D62-6CB10DD1C72A}"/>
    <hyperlink ref="C3478" r:id="rId10431" display="https://statiz.sporki.com/add/?m=draft_school02&amp;ps_school=" xr:uid="{4C2CF886-E78F-42F6-9F3C-836E4EDCCD29}"/>
    <hyperlink ref="A3479" r:id="rId10432" display="https://statiz.sporki.com/player/?m=playerinfo&amp;p_no=1577" xr:uid="{4B8DEFFC-31A1-4CD4-B427-79C9BA87D813}"/>
    <hyperlink ref="B3479" r:id="rId10433" display="https://statiz.sporki.com/add/?m=draft_school01&amp;ps_school=50209" xr:uid="{D6AA0B90-BC3E-41B7-A83F-E48C5532F359}"/>
    <hyperlink ref="C3479" r:id="rId10434" display="https://statiz.sporki.com/add/?m=draft_school02&amp;ps_school=60204" xr:uid="{D8DA22EE-4F69-44A7-AAA1-A59C3F5F4985}"/>
    <hyperlink ref="A3480" r:id="rId10435" display="https://statiz.sporki.com/player/?m=playerinfo&amp;p_no=1597" xr:uid="{40675D43-17D6-4B1D-8252-9E6BE8C4F1B3}"/>
    <hyperlink ref="B3480" r:id="rId10436" display="https://statiz.sporki.com/add/?m=draft_school01&amp;ps_school=50115" xr:uid="{36DC85D8-A975-423E-8223-43C6953E0B6D}"/>
    <hyperlink ref="C3480" r:id="rId10437" display="https://statiz.sporki.com/add/?m=draft_school02&amp;ps_school=" xr:uid="{82FC01D6-EC1F-4E6D-9F9D-6A86AC4F79CA}"/>
    <hyperlink ref="A3481" r:id="rId10438" display="https://statiz.sporki.com/player/?m=playerinfo&amp;p_no=1504" xr:uid="{36E0C296-23B1-463D-8F13-1361E947E084}"/>
    <hyperlink ref="B3481" r:id="rId10439" display="https://statiz.sporki.com/add/?m=draft_school01&amp;ps_school=50126" xr:uid="{5F11A261-BB73-43AB-8060-0E51ED124AC3}"/>
    <hyperlink ref="C3481" r:id="rId10440" display="https://statiz.sporki.com/add/?m=draft_school02&amp;ps_school=" xr:uid="{679FA997-1F23-4C92-B6EC-640A828FEB0D}"/>
    <hyperlink ref="A3482" r:id="rId10441" display="https://statiz.sporki.com/player/?m=playerinfo&amp;p_no=1564" xr:uid="{52373DA4-EFE7-4A80-AA72-CEFAE9420464}"/>
    <hyperlink ref="B3482" r:id="rId10442" display="https://statiz.sporki.com/add/?m=draft_school01&amp;ps_school=50115" xr:uid="{3A326709-2880-44F2-B941-D14BAB10965A}"/>
    <hyperlink ref="C3482" r:id="rId10443" display="https://statiz.sporki.com/add/?m=draft_school02&amp;ps_school=" xr:uid="{63146830-002F-430D-AB8D-190AC6141281}"/>
    <hyperlink ref="A3483" r:id="rId10444" display="https://statiz.sporki.com/player/?m=playerinfo&amp;p_no=1699" xr:uid="{BFD4BBAA-D1E5-4507-B51D-89E6AEF34870}"/>
    <hyperlink ref="B3483" r:id="rId10445" display="https://statiz.sporki.com/add/?m=draft_school01&amp;ps_school=50102" xr:uid="{7C7EBB9C-E007-4ACB-8C56-EFD9FE6E401E}"/>
    <hyperlink ref="C3483" r:id="rId10446" display="https://statiz.sporki.com/add/?m=draft_school02&amp;ps_school=" xr:uid="{7E854E2E-3A9E-49B7-8D95-6643F0280CF0}"/>
    <hyperlink ref="A3484" r:id="rId10447" display="https://statiz.sporki.com/player/?m=playerinfo&amp;p_no=1538" xr:uid="{20214122-EC8A-4A2A-AED2-D5C57DB075CB}"/>
    <hyperlink ref="B3484" r:id="rId10448" display="https://statiz.sporki.com/add/?m=draft_school01&amp;ps_school=50105" xr:uid="{BB82A3FA-D8CF-48E4-A724-44502C41F37E}"/>
    <hyperlink ref="C3484" r:id="rId10449" display="https://statiz.sporki.com/add/?m=draft_school02&amp;ps_school=60705" xr:uid="{E457730E-06E8-43E4-9838-C93B91FA02C1}"/>
    <hyperlink ref="A3485" r:id="rId10450" display="https://statiz.sporki.com/player/?m=playerinfo&amp;p_no=1551" xr:uid="{3578C0A5-12F8-4E00-8C43-9C599F862C2E}"/>
    <hyperlink ref="B3485" r:id="rId10451" display="https://statiz.sporki.com/add/?m=draft_school01&amp;ps_school=50121" xr:uid="{990A8681-50B3-48F9-8F57-273F752884AA}"/>
    <hyperlink ref="C3485" r:id="rId10452" display="https://statiz.sporki.com/add/?m=draft_school02&amp;ps_school=" xr:uid="{7BD9B2D7-8D4C-4A90-A241-E166226015DE}"/>
    <hyperlink ref="A3486" r:id="rId10453" display="https://statiz.sporki.com/player/?m=playerinfo&amp;p_no=1543" xr:uid="{E302CD21-EDC0-45C6-9CAE-6E18ADBA8E5B}"/>
    <hyperlink ref="B3486" r:id="rId10454" display="https://statiz.sporki.com/add/?m=draft_school01&amp;ps_school=50121" xr:uid="{DC671767-73B0-46A0-B76E-8CF910C6A602}"/>
    <hyperlink ref="C3486" r:id="rId10455" display="https://statiz.sporki.com/add/?m=draft_school02&amp;ps_school=" xr:uid="{68E41A5B-A5C0-4915-8917-B264A078A5F0}"/>
    <hyperlink ref="A3487" r:id="rId10456" display="https://statiz.sporki.com/player/?m=playerinfo&amp;p_no=1705" xr:uid="{CCE07082-9000-48BD-B8AD-98E3FAA245C2}"/>
    <hyperlink ref="B3487" r:id="rId10457" display="https://statiz.sporki.com/add/?m=draft_school01&amp;ps_school=50119" xr:uid="{27EB0F2E-9182-477A-A106-73E45180736D}"/>
    <hyperlink ref="C3487" r:id="rId10458" display="https://statiz.sporki.com/add/?m=draft_school02&amp;ps_school=" xr:uid="{48EBA652-3BC0-4B27-BB44-75B48F7A5637}"/>
    <hyperlink ref="A3488" r:id="rId10459" display="https://statiz.sporki.com/player/?m=playerinfo&amp;p_no=1603" xr:uid="{9A00CD5D-FEE0-4E26-A6EB-9BEFC2604E70}"/>
    <hyperlink ref="B3488" r:id="rId10460" display="https://statiz.sporki.com/add/?m=draft_school01&amp;ps_school=50119" xr:uid="{1F1E99E4-37D4-4F22-90C1-B38FEC338218}"/>
    <hyperlink ref="C3488" r:id="rId10461" display="https://statiz.sporki.com/add/?m=draft_school02&amp;ps_school=" xr:uid="{C3C3D00E-35B3-49D1-9B70-6AD0288BA6D3}"/>
    <hyperlink ref="A3489" r:id="rId10462" display="https://statiz.sporki.com/player/?m=playerinfo&amp;p_no=1549" xr:uid="{FB99BD82-B99C-44D8-A7FA-6B037853097A}"/>
    <hyperlink ref="B3489" r:id="rId10463" display="https://statiz.sporki.com/add/?m=draft_school01&amp;ps_school=50805" xr:uid="{E9E774CB-77F1-45D0-BD50-7504C301963B}"/>
    <hyperlink ref="C3489" r:id="rId10464" display="https://statiz.sporki.com/add/?m=draft_school02&amp;ps_school=60802" xr:uid="{2D9D19B4-233C-4F53-B3DF-AEDE65E412A2}"/>
    <hyperlink ref="A3490" r:id="rId10465" display="https://statiz.sporki.com/player/?m=playerinfo&amp;p_no=1555" xr:uid="{A9133C74-618C-4A67-A71B-415E74313EC9}"/>
    <hyperlink ref="B3490" r:id="rId10466" display="https://statiz.sporki.com/add/?m=draft_school01&amp;ps_school=50804" xr:uid="{3D165C8A-5E26-415C-A4FF-86128B2090F9}"/>
    <hyperlink ref="C3490" r:id="rId10467" display="https://statiz.sporki.com/add/?m=draft_school02&amp;ps_school=" xr:uid="{41B73509-7702-4350-A40C-08BF6D3B0B21}"/>
    <hyperlink ref="A3491" r:id="rId10468" display="https://statiz.sporki.com/player/?m=playerinfo&amp;p_no=1512" xr:uid="{EA42257F-615B-475E-AA6A-92D601E01331}"/>
    <hyperlink ref="B3491" r:id="rId10469" display="https://statiz.sporki.com/add/?m=draft_school01&amp;ps_school=50702" xr:uid="{42A40A23-F0CE-4EF3-A450-25D8F3DEC64E}"/>
    <hyperlink ref="C3491" r:id="rId10470" display="https://statiz.sporki.com/add/?m=draft_school02&amp;ps_school=" xr:uid="{533C7468-A063-4EA7-A1EF-17B1FB1B39A1}"/>
    <hyperlink ref="A3492" r:id="rId10471" display="https://statiz.sporki.com/player/?m=playerinfo&amp;p_no=1584" xr:uid="{60DAD0CA-673F-4E70-84BC-8562B6627211}"/>
    <hyperlink ref="B3492" r:id="rId10472" display="https://statiz.sporki.com/add/?m=draft_school01&amp;ps_school=50800" xr:uid="{F2635CD6-7A56-4046-AFDE-81D90B5FB51E}"/>
    <hyperlink ref="C3492" r:id="rId10473" display="https://statiz.sporki.com/add/?m=draft_school02&amp;ps_school=" xr:uid="{428C48F0-59D5-4859-A53B-0D2FC5C77AEB}"/>
    <hyperlink ref="A3493" r:id="rId10474" display="https://statiz.sporki.com/player/?m=playerinfo&amp;p_no=1521" xr:uid="{CAC871CB-7ED4-4DD3-8DEE-3E63118B605D}"/>
    <hyperlink ref="B3493" r:id="rId10475" display="https://statiz.sporki.com/add/?m=draft_school01&amp;ps_school=50703" xr:uid="{A129A792-0D13-434B-978B-A40C42133D14}"/>
    <hyperlink ref="C3493" r:id="rId10476" display="https://statiz.sporki.com/add/?m=draft_school02&amp;ps_school=" xr:uid="{8A84054C-23E7-4AA3-97BA-74F037979F27}"/>
    <hyperlink ref="A3494" r:id="rId10477" display="https://statiz.sporki.com/player/?m=playerinfo&amp;p_no=1554" xr:uid="{A971056A-F0A6-489D-8576-421E01C3C811}"/>
    <hyperlink ref="B3494" r:id="rId10478" display="https://statiz.sporki.com/add/?m=draft_school01&amp;ps_school=50701" xr:uid="{6886ECDF-9C27-43E6-AD7C-91D5C9C685A7}"/>
    <hyperlink ref="C3494" r:id="rId10479" display="https://statiz.sporki.com/add/?m=draft_school02&amp;ps_school=" xr:uid="{A086994A-4E90-4397-BA8A-9C9633F07E40}"/>
    <hyperlink ref="A3495" r:id="rId10480" display="https://statiz.sporki.com/player/?m=playerinfo&amp;p_no=1527" xr:uid="{AFA51F76-AD52-4586-A1E9-6AA4FE95E302}"/>
    <hyperlink ref="B3495" r:id="rId10481" display="https://statiz.sporki.com/add/?m=draft_school01&amp;ps_school=50702" xr:uid="{D301D824-85BE-41E3-BE46-DAC7DF99BC75}"/>
    <hyperlink ref="C3495" r:id="rId10482" display="https://statiz.sporki.com/add/?m=draft_school02&amp;ps_school=" xr:uid="{E589976F-0BDA-43B4-8C2A-7C7DCB075C6B}"/>
    <hyperlink ref="A3496" r:id="rId10483" display="https://statiz.sporki.com/player/?m=playerinfo&amp;p_no=1553" xr:uid="{B488740A-960A-4241-B58F-63CD4CCBB3DE}"/>
    <hyperlink ref="B3496" r:id="rId10484" display="https://statiz.sporki.com/add/?m=draft_school01&amp;ps_school=" xr:uid="{7265EA6C-6D3C-456A-BEB9-E2F2CD24FF23}"/>
    <hyperlink ref="C3496" r:id="rId10485" display="https://statiz.sporki.com/add/?m=draft_school02&amp;ps_school=" xr:uid="{598A1CD3-1C85-4EA2-89F8-EBA1D9EE67FF}"/>
    <hyperlink ref="A3497" r:id="rId10486" display="https://statiz.sporki.com/player/?m=playerinfo&amp;p_no=1547" xr:uid="{4925B662-D467-4E59-9E09-99E073F654ED}"/>
    <hyperlink ref="B3497" r:id="rId10487" display="https://statiz.sporki.com/add/?m=draft_school01&amp;ps_school=50706" xr:uid="{0192080D-BD5F-4021-B662-32EBE2CD5F49}"/>
    <hyperlink ref="C3497" r:id="rId10488" display="https://statiz.sporki.com/add/?m=draft_school02&amp;ps_school=" xr:uid="{55C67D81-42E0-4407-9A02-1F571BFF94A1}"/>
    <hyperlink ref="A3498" r:id="rId10489" display="https://statiz.sporki.com/player/?m=playerinfo&amp;p_no=11440" xr:uid="{ED542D9B-491C-4BB5-B957-5225AA64704F}"/>
    <hyperlink ref="B3498" r:id="rId10490" display="https://statiz.sporki.com/add/?m=draft_school01&amp;ps_school=50501" xr:uid="{D13EAFF1-DCB9-46A6-B30D-B25F93043783}"/>
    <hyperlink ref="C3498" r:id="rId10491" display="https://statiz.sporki.com/add/?m=draft_school02&amp;ps_school=" xr:uid="{E981F98B-F4D3-42ED-B5F2-0AD803BEEAB4}"/>
    <hyperlink ref="A3499" r:id="rId10492" display="https://statiz.sporki.com/player/?m=playerinfo&amp;p_no=1623" xr:uid="{5EBE3B9D-E886-40B1-B08F-01B924C14C66}"/>
    <hyperlink ref="B3499" r:id="rId10493" display="https://statiz.sporki.com/add/?m=draft_school01&amp;ps_school=50208" xr:uid="{C893E02B-5F15-47C8-9D83-A0006ACA2EDC}"/>
    <hyperlink ref="C3499" r:id="rId10494" display="https://statiz.sporki.com/add/?m=draft_school02&amp;ps_school=" xr:uid="{BB4979F5-C7A8-4C4F-82F0-A41BD2DE2120}"/>
    <hyperlink ref="A3500" r:id="rId10495" display="https://statiz.sporki.com/player/?m=playerinfo&amp;p_no=1523" xr:uid="{9AA4D519-528D-41B9-8CFA-ADF00999E66E}"/>
    <hyperlink ref="B3500" r:id="rId10496" display="https://statiz.sporki.com/add/?m=draft_school01&amp;ps_school=50209" xr:uid="{B43BF232-9B23-49FD-B3F2-0ED2598837BF}"/>
    <hyperlink ref="C3500" r:id="rId10497" display="https://statiz.sporki.com/add/?m=draft_school02&amp;ps_school=" xr:uid="{02239443-0649-4771-B9EE-177F9AB3DCB1}"/>
    <hyperlink ref="A3501" r:id="rId10498" display="https://statiz.sporki.com/player/?m=playerinfo&amp;p_no=1611" xr:uid="{F3F2ADAD-B2AC-49BB-9B5D-4AE1E3D8D0A2}"/>
    <hyperlink ref="B3501" r:id="rId10499" display="https://statiz.sporki.com/add/?m=draft_school01&amp;ps_school=50210" xr:uid="{E812C677-AFB8-4CF6-8867-97BD5DA626B0}"/>
    <hyperlink ref="C3501" r:id="rId10500" display="https://statiz.sporki.com/add/?m=draft_school02&amp;ps_school=" xr:uid="{AFC58087-5559-492D-819A-AB53B604F46C}"/>
    <hyperlink ref="A3502" r:id="rId10501" display="https://statiz.sporki.com/player/?m=playerinfo&amp;p_no=1499" xr:uid="{39E3A0A3-F5A0-415C-8849-4BD0BF5AD54F}"/>
    <hyperlink ref="B3502" r:id="rId10502" display="https://statiz.sporki.com/add/?m=draft_school01&amp;ps_school=50608" xr:uid="{F2C62BF3-F47A-49DA-8988-DCF47BF64D78}"/>
    <hyperlink ref="C3502" r:id="rId10503" display="https://statiz.sporki.com/add/?m=draft_school02&amp;ps_school=" xr:uid="{E7B2AFAB-3D77-4D40-881D-7ACE8C2359EB}"/>
    <hyperlink ref="A3503" r:id="rId10504" display="https://statiz.sporki.com/player/?m=playerinfo&amp;p_no=10743" xr:uid="{437B969A-3CF1-427A-BE9D-8756415AEC0C}"/>
    <hyperlink ref="B3503" r:id="rId10505" display="https://statiz.sporki.com/add/?m=draft_school01&amp;ps_school=50609" xr:uid="{F39B1278-790E-459C-A930-C9688889CC7A}"/>
    <hyperlink ref="C3503" r:id="rId10506" display="https://statiz.sporki.com/add/?m=draft_school02&amp;ps_school=" xr:uid="{A4DDCCD6-41F5-4F93-837E-B1F235493A7A}"/>
    <hyperlink ref="A3504" r:id="rId10507" display="https://statiz.sporki.com/player/?m=playerinfo&amp;p_no=1517" xr:uid="{6761FC8B-6754-4979-9FA2-CAF80289C085}"/>
    <hyperlink ref="B3504" r:id="rId10508" display="https://statiz.sporki.com/add/?m=draft_school01&amp;ps_school=50602" xr:uid="{38B2EBE8-1C3E-4A52-A6E1-4B224FEC2F9E}"/>
    <hyperlink ref="C3504" r:id="rId10509" display="https://statiz.sporki.com/add/?m=draft_school02&amp;ps_school=" xr:uid="{C48541A8-B0D5-4BBC-B553-C7CF307AE373}"/>
    <hyperlink ref="A3505" r:id="rId10510" display="https://statiz.sporki.com/player/?m=playerinfo&amp;p_no=1550" xr:uid="{76E74F0A-B99C-4A5B-8479-CA0CFA62AA9D}"/>
    <hyperlink ref="B3505" r:id="rId10511" display="https://statiz.sporki.com/add/?m=draft_school01&amp;ps_school=50602" xr:uid="{32E683CF-25A6-4395-9D63-31D1F2419976}"/>
    <hyperlink ref="C3505" r:id="rId10512" display="https://statiz.sporki.com/add/?m=draft_school02&amp;ps_school=" xr:uid="{EB5FEA77-B2C6-46DC-AB59-EF701FD38F2B}"/>
    <hyperlink ref="A3506" r:id="rId10513" display="https://statiz.sporki.com/player/?m=playerinfo&amp;p_no=1506" xr:uid="{3E48B3EF-9482-4E7D-95BD-6E20480F17DA}"/>
    <hyperlink ref="B3506" r:id="rId10514" display="https://statiz.sporki.com/add/?m=draft_school01&amp;ps_school=50604" xr:uid="{80A05F3B-CDCD-4EC8-8600-8F9024CD5579}"/>
    <hyperlink ref="C3506" r:id="rId10515" display="https://statiz.sporki.com/add/?m=draft_school02&amp;ps_school=" xr:uid="{0F7C546E-2516-49AA-BF60-28C629542679}"/>
    <hyperlink ref="A3507" r:id="rId10516" display="https://statiz.sporki.com/player/?m=playerinfo&amp;p_no=1513" xr:uid="{7BC4E2A4-E26F-49CA-BF53-13E61D354640}"/>
    <hyperlink ref="B3507" r:id="rId10517" display="https://statiz.sporki.com/add/?m=draft_school01&amp;ps_school=50604" xr:uid="{076CC12D-3968-417C-9038-AA8FE821E1D9}"/>
    <hyperlink ref="C3507" r:id="rId10518" display="https://statiz.sporki.com/add/?m=draft_school02&amp;ps_school=" xr:uid="{DE0518B9-3B78-4CDF-B858-3D9C30C0E5B0}"/>
    <hyperlink ref="A3508" r:id="rId10519" display="https://statiz.sporki.com/player/?m=playerinfo&amp;p_no=1529" xr:uid="{52D8ED3A-86B3-4B17-9517-EBBF0DDF6DB9}"/>
    <hyperlink ref="B3508" r:id="rId10520" display="https://statiz.sporki.com/add/?m=draft_school01&amp;ps_school=50609" xr:uid="{CD62707C-3CC7-4980-A438-6C5C0222B86E}"/>
    <hyperlink ref="C3508" r:id="rId10521" display="https://statiz.sporki.com/add/?m=draft_school02&amp;ps_school=" xr:uid="{77FB195F-884D-45C8-A6AC-F79DF1C626FC}"/>
    <hyperlink ref="A3509" r:id="rId10522" display="https://statiz.sporki.com/player/?m=playerinfo&amp;p_no=1702" xr:uid="{CA66C71A-8E69-429C-A2B2-1F13691B57E9}"/>
    <hyperlink ref="B3509" r:id="rId10523" display="https://statiz.sporki.com/add/?m=draft_school01&amp;ps_school=50602" xr:uid="{1F0092D9-E0F8-4C0B-9C62-1274132B2B5D}"/>
    <hyperlink ref="C3509" r:id="rId10524" display="https://statiz.sporki.com/add/?m=draft_school02&amp;ps_school=" xr:uid="{7F136664-D7C8-403D-9400-0A02C7F533A4}"/>
    <hyperlink ref="A3510" r:id="rId10525" display="https://statiz.sporki.com/player/?m=playerinfo&amp;p_no=1559" xr:uid="{07E1D899-AE05-4D0B-B487-6370BF0F79E2}"/>
    <hyperlink ref="B3510" r:id="rId10526" display="https://statiz.sporki.com/add/?m=draft_school01&amp;ps_school=50608" xr:uid="{52584701-6FDA-496B-A4DF-40226169E165}"/>
    <hyperlink ref="C3510" r:id="rId10527" display="https://statiz.sporki.com/add/?m=draft_school02&amp;ps_school=" xr:uid="{2E50CE30-6C4D-4288-BBDB-C357A5BB7660}"/>
    <hyperlink ref="A3511" r:id="rId10528" display="https://statiz.sporki.com/player/?m=playerinfo&amp;p_no=1541" xr:uid="{533C3D94-02E5-4679-AFB1-06DB6DB26D0F}"/>
    <hyperlink ref="B3511" r:id="rId10529" display="https://statiz.sporki.com/add/?m=draft_school01&amp;ps_school=50608" xr:uid="{08942ED1-9BEE-4180-B592-9EC1CBF5AFB6}"/>
    <hyperlink ref="C3511" r:id="rId10530" display="https://statiz.sporki.com/add/?m=draft_school02&amp;ps_school=" xr:uid="{362B75AF-63E0-4BA9-8BDB-073F8BCC0B16}"/>
    <hyperlink ref="A3512" r:id="rId10531" display="https://statiz.sporki.com/player/?m=playerinfo&amp;p_no=1532" xr:uid="{D64C7FDA-6645-480F-8711-C265F2B4CD86}"/>
    <hyperlink ref="B3512" r:id="rId10532" display="https://statiz.sporki.com/add/?m=draft_school01&amp;ps_school=50107" xr:uid="{1F01862B-DDC2-4348-BAEA-5805E1D5F4DB}"/>
    <hyperlink ref="C3512" r:id="rId10533" display="https://statiz.sporki.com/add/?m=draft_school02&amp;ps_school=" xr:uid="{D30C2DF8-999B-4A28-8412-263320419902}"/>
    <hyperlink ref="A3513" r:id="rId10534" display="https://statiz.sporki.com/player/?m=playerinfo&amp;p_no=1645" xr:uid="{E5034BDB-DE2C-4E0D-A8BE-52864789756E}"/>
    <hyperlink ref="B3513" r:id="rId10535" display="https://statiz.sporki.com/add/?m=draft_school01&amp;ps_school=50502" xr:uid="{FE389419-4533-4221-A3EF-885C5DB5DAF0}"/>
    <hyperlink ref="C3513" r:id="rId10536" display="https://statiz.sporki.com/add/?m=draft_school02&amp;ps_school=" xr:uid="{64AA2BF2-7302-4B33-BBB7-A800259A0E3D}"/>
    <hyperlink ref="A3514" r:id="rId10537" display="https://statiz.sporki.com/player/?m=playerinfo&amp;p_no=1469" xr:uid="{5F4C6599-CA47-4BC7-BD8D-F1CBC17942CC}"/>
    <hyperlink ref="B3514" r:id="rId10538" display="https://statiz.sporki.com/add/?m=draft_school01&amp;ps_school=50114" xr:uid="{C964EF8A-9410-4F6B-B08B-682C4E2C589D}"/>
    <hyperlink ref="C3514" r:id="rId10539" display="https://statiz.sporki.com/add/?m=draft_school02&amp;ps_school=60101" xr:uid="{CF4C2776-B590-4D5A-974E-09BE92FCA4DC}"/>
    <hyperlink ref="A3515" r:id="rId10540" display="https://statiz.sporki.com/player/?m=playerinfo&amp;p_no=1457" xr:uid="{B612A8BC-F674-4A36-BB02-C21A2EC255A8}"/>
    <hyperlink ref="B3515" r:id="rId10541" display="https://statiz.sporki.com/add/?m=draft_school01&amp;ps_school=50112" xr:uid="{AE7E1661-D1AF-421D-ABC2-E6FA800DAC83}"/>
    <hyperlink ref="C3515" r:id="rId10542" display="https://statiz.sporki.com/add/?m=draft_school02&amp;ps_school=60203" xr:uid="{2C62EE04-F4D9-47D8-86FA-66932B6201B6}"/>
    <hyperlink ref="A3516" r:id="rId10543" display="https://statiz.sporki.com/player/?m=playerinfo&amp;p_no=1438" xr:uid="{46F3D2CA-4471-4D64-B625-76F7A3629703}"/>
    <hyperlink ref="B3516" r:id="rId10544" display="https://statiz.sporki.com/add/?m=draft_school01&amp;ps_school=50109" xr:uid="{6FA0C5A1-7BFB-4548-962F-3B11F1E96BFC}"/>
    <hyperlink ref="C3516" r:id="rId10545" display="https://statiz.sporki.com/add/?m=draft_school02&amp;ps_school=60113" xr:uid="{C10BBBB5-6ED9-4092-91A6-5E717C46927F}"/>
    <hyperlink ref="A3517" r:id="rId10546" display="https://statiz.sporki.com/player/?m=playerinfo&amp;p_no=1461" xr:uid="{73AD44B8-C146-40EF-B715-0CCB9E31E928}"/>
    <hyperlink ref="B3517" r:id="rId10547" display="https://statiz.sporki.com/add/?m=draft_school01&amp;ps_school=50105" xr:uid="{5A4E04BB-1B30-4390-B20A-D10B2CCC484A}"/>
    <hyperlink ref="C3517" r:id="rId10548" display="https://statiz.sporki.com/add/?m=draft_school02&amp;ps_school=60108" xr:uid="{18888ED4-2830-4F71-833C-CBFD234B983E}"/>
    <hyperlink ref="A3518" r:id="rId10549" display="https://statiz.sporki.com/player/?m=playerinfo&amp;p_no=1471" xr:uid="{84675737-B390-43A7-BA10-7362D0FAE104}"/>
    <hyperlink ref="B3518" r:id="rId10550" display="https://statiz.sporki.com/add/?m=draft_school01&amp;ps_school=50105" xr:uid="{E972E992-F89F-46BC-892E-F4B18595B4EE}"/>
    <hyperlink ref="C3518" r:id="rId10551" display="https://statiz.sporki.com/add/?m=draft_school02&amp;ps_school=60104" xr:uid="{865D8D07-4044-405F-B5FD-43671A42EB02}"/>
    <hyperlink ref="A3519" r:id="rId10552" display="https://statiz.sporki.com/player/?m=playerinfo&amp;p_no=1546" xr:uid="{B9199C0F-F2A4-4446-8765-33521799E533}"/>
    <hyperlink ref="B3519" r:id="rId10553" display="https://statiz.sporki.com/add/?m=draft_school01&amp;ps_school=50114" xr:uid="{1267A39A-27A5-4A1E-8674-34905635C72F}"/>
    <hyperlink ref="C3519" r:id="rId10554" display="https://statiz.sporki.com/add/?m=draft_school02&amp;ps_school=60113" xr:uid="{64C45390-BF43-407B-8737-F8A0F433112E}"/>
    <hyperlink ref="A3520" r:id="rId10555" display="https://statiz.sporki.com/player/?m=playerinfo&amp;p_no=1425" xr:uid="{807FDD89-6CB6-48C5-A01A-62E885C62D98}"/>
    <hyperlink ref="B3520" r:id="rId10556" display="https://statiz.sporki.com/add/?m=draft_school01&amp;ps_school=50402" xr:uid="{BB7AC583-C431-47AF-BC2C-64C484508E75}"/>
    <hyperlink ref="C3520" r:id="rId10557" display="https://statiz.sporki.com/add/?m=draft_school02&amp;ps_school=60103" xr:uid="{446C8329-9C66-4BB1-9088-00A40340C96A}"/>
    <hyperlink ref="A3521" r:id="rId10558" display="https://statiz.sporki.com/player/?m=playerinfo&amp;p_no=1491" xr:uid="{5AFECEFD-5F1E-41D3-ABC6-5F52DAA36FAF}"/>
    <hyperlink ref="B3521" r:id="rId10559" display="https://statiz.sporki.com/add/?m=draft_school01&amp;ps_school=50403" xr:uid="{E1AB13B9-7C34-4E7B-B7F1-6D822B92EFA3}"/>
    <hyperlink ref="C3521" r:id="rId10560" display="https://statiz.sporki.com/add/?m=draft_school02&amp;ps_school=60103" xr:uid="{EE466A94-78C8-4695-95C3-C290A45DF286}"/>
    <hyperlink ref="A3522" r:id="rId10561" display="https://statiz.sporki.com/player/?m=playerinfo&amp;p_no=1421" xr:uid="{16DFE722-2E57-4EF6-BF5F-FABCBC044631}"/>
    <hyperlink ref="B3522" r:id="rId10562" display="https://statiz.sporki.com/add/?m=draft_school01&amp;ps_school=50402" xr:uid="{56579A58-5AEB-4060-A3AB-1EFB295DAA51}"/>
    <hyperlink ref="C3522" r:id="rId10563" display="https://statiz.sporki.com/add/?m=draft_school02&amp;ps_school=60204" xr:uid="{C1B631CF-5D86-4692-A1B2-247F370CBFC5}"/>
    <hyperlink ref="A3523" r:id="rId10564" display="https://statiz.sporki.com/player/?m=playerinfo&amp;p_no=1459" xr:uid="{89741A2A-E0C1-4855-8C47-659AD2022DCA}"/>
    <hyperlink ref="B3523" r:id="rId10565" display="https://statiz.sporki.com/add/?m=draft_school01&amp;ps_school=50701" xr:uid="{F6AAA0B5-ED67-4836-A372-261D4EEF0D65}"/>
    <hyperlink ref="C3523" r:id="rId10566" display="https://statiz.sporki.com/add/?m=draft_school02&amp;ps_school=60113" xr:uid="{F49B1633-BD74-43FC-9645-E023DB02FF6F}"/>
    <hyperlink ref="A3524" r:id="rId10567" display="https://statiz.sporki.com/player/?m=playerinfo&amp;p_no=1428" xr:uid="{22BB9E04-3C71-42CD-9F90-8597B32ED510}"/>
    <hyperlink ref="B3524" r:id="rId10568" display="https://statiz.sporki.com/add/?m=draft_school01&amp;ps_school=50711" xr:uid="{0ECBB6E1-32E1-4557-AAED-580AE2953728}"/>
    <hyperlink ref="C3524" r:id="rId10569" display="https://statiz.sporki.com/add/?m=draft_school02&amp;ps_school=60113" xr:uid="{1539F373-523C-4CA2-978C-74AD93EBD18C}"/>
    <hyperlink ref="A3525" r:id="rId10570" display="https://statiz.sporki.com/player/?m=playerinfo&amp;p_no=1427" xr:uid="{3CF7F3E6-69D5-4F89-8A86-4889ECAD0556}"/>
    <hyperlink ref="B3525" r:id="rId10571" display="https://statiz.sporki.com/add/?m=draft_school01&amp;ps_school=50706" xr:uid="{69338084-8EE3-431A-9EDA-A9C97BFB9250}"/>
    <hyperlink ref="C3525" r:id="rId10572" display="https://statiz.sporki.com/add/?m=draft_school02&amp;ps_school=60109" xr:uid="{012369C2-5FBC-43CC-A4BA-B83E2AB165B1}"/>
    <hyperlink ref="A3526" r:id="rId10573" display="https://statiz.sporki.com/player/?m=playerinfo&amp;p_no=1494" xr:uid="{7E34E012-364A-46A0-B0E1-539C4D36E9F5}"/>
    <hyperlink ref="B3526" r:id="rId10574" display="https://statiz.sporki.com/add/?m=draft_school01&amp;ps_school=50210" xr:uid="{E30043D0-4700-4516-BD70-8E8E3A6DF8BB}"/>
    <hyperlink ref="C3526" r:id="rId10575" display="https://statiz.sporki.com/add/?m=draft_school02&amp;ps_school=60103" xr:uid="{DEF65E4C-0EB7-44F9-B218-5A785885AB90}"/>
    <hyperlink ref="A3527" r:id="rId10576" display="https://statiz.sporki.com/player/?m=playerinfo&amp;p_no=1424" xr:uid="{E63B56BD-9592-4C12-8D2A-47EAC41A2C12}"/>
    <hyperlink ref="B3527" r:id="rId10577" display="https://statiz.sporki.com/add/?m=draft_school01&amp;ps_school=50501" xr:uid="{5FBC3D1A-4581-4E95-9CFB-1B6ED2081A93}"/>
    <hyperlink ref="C3527" r:id="rId10578" display="https://statiz.sporki.com/add/?m=draft_school02&amp;ps_school=60109" xr:uid="{208E6C5F-2456-4991-9703-97AEF7B1C23E}"/>
    <hyperlink ref="A3528" r:id="rId10579" display="https://statiz.sporki.com/player/?m=playerinfo&amp;p_no=1426" xr:uid="{6541B7A5-D615-48EA-88CB-9C2D0F342F3F}"/>
    <hyperlink ref="B3528" r:id="rId10580" display="https://statiz.sporki.com/add/?m=draft_school01&amp;ps_school=50501" xr:uid="{0458C135-21C1-4C57-8466-33451727B2BD}"/>
    <hyperlink ref="C3528" r:id="rId10581" display="https://statiz.sporki.com/add/?m=draft_school02&amp;ps_school=60501" xr:uid="{3A54895B-C844-4ACD-A8DD-3A47E87E712B}"/>
    <hyperlink ref="A3529" r:id="rId10582" display="https://statiz.sporki.com/player/?m=playerinfo&amp;p_no=13923" xr:uid="{0499902A-E381-40F8-A98A-9BA979F6E223}"/>
    <hyperlink ref="B3529" r:id="rId10583" display="https://statiz.sporki.com/add/?m=draft_school01&amp;ps_school=50602" xr:uid="{6F1F55DB-7F0C-49EB-9C13-9AA6FFB756DB}"/>
    <hyperlink ref="C3529" r:id="rId10584" display="https://statiz.sporki.com/add/?m=draft_school02&amp;ps_school=60104" xr:uid="{5223B4A2-F4B7-4C5D-BEB3-95F9C081C2A1}"/>
    <hyperlink ref="A3530" r:id="rId10585" display="https://statiz.sporki.com/player/?m=playerinfo&amp;p_no=1473" xr:uid="{E1221A5C-3396-4A81-B08B-0B59AC3C4E8E}"/>
    <hyperlink ref="B3530" r:id="rId10586" display="https://statiz.sporki.com/add/?m=draft_school01&amp;ps_school=50807" xr:uid="{76DCB5E7-25FB-4210-87BE-CBDBD85005D4}"/>
    <hyperlink ref="C3530" r:id="rId10587" display="https://statiz.sporki.com/add/?m=draft_school02&amp;ps_school=60803" xr:uid="{9CF26997-87E6-4270-939A-8F3B9AFF5FC2}"/>
    <hyperlink ref="A3531" r:id="rId10588" display="https://statiz.sporki.com/player/?m=playerinfo&amp;p_no=1478" xr:uid="{FE7586D6-FAFC-4795-BBE9-81A148D86EB0}"/>
    <hyperlink ref="B3531" r:id="rId10589" display="https://statiz.sporki.com/add/?m=draft_school01&amp;ps_school=50813" xr:uid="{86B76080-D0B2-4DDC-8811-391F715B94D5}"/>
    <hyperlink ref="C3531" r:id="rId10590" display="https://statiz.sporki.com/add/?m=draft_school02&amp;ps_school=60802" xr:uid="{3BB2AE67-CD40-4EAF-BD08-216A9B768769}"/>
    <hyperlink ref="A3532" r:id="rId10591" display="https://statiz.sporki.com/player/?m=playerinfo&amp;p_no=1433" xr:uid="{7B0330CA-C019-440C-BE68-59544FC8F839}"/>
    <hyperlink ref="B3532" r:id="rId10592" display="https://statiz.sporki.com/add/?m=draft_school01&amp;ps_school=50802" xr:uid="{736915C0-466C-4543-A208-C1544DFFA071}"/>
    <hyperlink ref="C3532" r:id="rId10593" display="https://statiz.sporki.com/add/?m=draft_school02&amp;ps_school=60803" xr:uid="{050B7F67-932A-41BC-A672-74AAD473178F}"/>
    <hyperlink ref="A3533" r:id="rId10594" display="https://statiz.sporki.com/player/?m=playerinfo&amp;p_no=1441" xr:uid="{10E967C0-0BD4-456E-A6A2-F07B3BC80DD8}"/>
    <hyperlink ref="B3533" r:id="rId10595" display="https://statiz.sporki.com/add/?m=draft_school01&amp;ps_school=" xr:uid="{C247EC21-DA33-42BC-B9AC-AF54F882D258}"/>
    <hyperlink ref="C3533" r:id="rId10596" display="https://statiz.sporki.com/add/?m=draft_school02&amp;ps_school=60102" xr:uid="{356DD825-F202-493C-8BF7-98C3DCE2D155}"/>
    <hyperlink ref="A3534" r:id="rId10597" display="https://statiz.sporki.com/player/?m=playerinfo&amp;p_no=1470" xr:uid="{CBD67462-3E97-4AFD-9761-7D408D341241}"/>
    <hyperlink ref="B3534" r:id="rId10598" display="https://statiz.sporki.com/add/?m=draft_school01&amp;ps_school=50701" xr:uid="{D9E28F2B-EA92-426A-A971-D5D67013A0AB}"/>
    <hyperlink ref="C3534" r:id="rId10599" display="https://statiz.sporki.com/add/?m=draft_school02&amp;ps_school=60109" xr:uid="{A5C036B7-632E-4394-80B0-C82C1C1CB761}"/>
    <hyperlink ref="A3535" r:id="rId10600" display="https://statiz.sporki.com/player/?m=playerinfo&amp;p_no=1493" xr:uid="{D232C7D9-3E30-4003-8FBA-BF785D131491}"/>
    <hyperlink ref="B3535" r:id="rId10601" display="https://statiz.sporki.com/add/?m=draft_school01&amp;ps_school=50127" xr:uid="{348265FE-99CA-4833-B50C-C57B0A071CC0}"/>
    <hyperlink ref="C3535" r:id="rId10602" display="https://statiz.sporki.com/add/?m=draft_school02&amp;ps_school=60104" xr:uid="{C1F60028-20F5-4037-B43E-77796D6943BC}"/>
    <hyperlink ref="A3536" r:id="rId10603" display="https://statiz.sporki.com/player/?m=playerinfo&amp;p_no=1468" xr:uid="{7BE411DC-92CF-4800-B4F2-1B060EC26BF8}"/>
    <hyperlink ref="B3536" r:id="rId10604" display="https://statiz.sporki.com/add/?m=draft_school01&amp;ps_school=50403" xr:uid="{0104172F-2C83-4581-B515-3F698C974331}"/>
    <hyperlink ref="C3536" r:id="rId10605" display="https://statiz.sporki.com/add/?m=draft_school02&amp;ps_school=60803" xr:uid="{ABB610AD-5493-4FDB-BB22-F8DC1C83357E}"/>
    <hyperlink ref="A3537" r:id="rId10606" display="https://statiz.sporki.com/player/?m=playerinfo&amp;p_no=1435" xr:uid="{BA1A194D-B577-4138-AF2C-C971D8842C57}"/>
    <hyperlink ref="B3537" r:id="rId10607" display="https://statiz.sporki.com/add/?m=draft_school01&amp;ps_school=50604" xr:uid="{1964D821-01A6-48F6-9CE4-A649797CE482}"/>
    <hyperlink ref="C3537" r:id="rId10608" display="https://statiz.sporki.com/add/?m=draft_school02&amp;ps_school=60108" xr:uid="{D71877B2-0BE3-416F-BA51-6EA1D1760843}"/>
    <hyperlink ref="A3538" r:id="rId10609" display="https://statiz.sporki.com/player/?m=playerinfo&amp;p_no=1462" xr:uid="{AD15B285-85C3-4002-9376-98BBD7CF279D}"/>
    <hyperlink ref="B3538" r:id="rId10610" display="https://statiz.sporki.com/add/?m=draft_school01&amp;ps_school=50813" xr:uid="{80314D9A-612E-49A7-92E9-ADDE57DB4DD1}"/>
    <hyperlink ref="C3538" r:id="rId10611" display="https://statiz.sporki.com/add/?m=draft_school02&amp;ps_school=60803" xr:uid="{A5D08653-E1DD-4FB7-8DB9-702D061D005A}"/>
    <hyperlink ref="A3539" r:id="rId10612" display="https://statiz.sporki.com/player/?m=playerinfo&amp;p_no=1476" xr:uid="{2816CB11-AC8B-4F42-9613-353A7970338E}"/>
    <hyperlink ref="B3539" r:id="rId10613" display="https://statiz.sporki.com/add/?m=draft_school01&amp;ps_school=50602" xr:uid="{16850292-5445-40E5-B0BC-BA4570D646F4}"/>
    <hyperlink ref="C3539" r:id="rId10614" display="https://statiz.sporki.com/add/?m=draft_school02&amp;ps_school=" xr:uid="{7B2C1CE5-3F04-4D44-838C-A3F04E587C0B}"/>
    <hyperlink ref="A3540" r:id="rId10615" display="https://statiz.sporki.com/player/?m=playerinfo&amp;p_no=1443" xr:uid="{10D6F74D-03F3-416A-8B32-00F8796A0E74}"/>
    <hyperlink ref="B3540" r:id="rId10616" display="https://statiz.sporki.com/add/?m=draft_school01&amp;ps_school=50602" xr:uid="{36B78DE6-332F-464A-AAA3-386946FD5F83}"/>
    <hyperlink ref="C3540" r:id="rId10617" display="https://statiz.sporki.com/add/?m=draft_school02&amp;ps_school=60104" xr:uid="{4772D2A9-F6A6-44B5-954A-80BCAB6E6FB9}"/>
    <hyperlink ref="A3541" r:id="rId10618" display="https://statiz.sporki.com/player/?m=playerinfo&amp;p_no=1488" xr:uid="{C1135003-2FBF-4AC8-B6EC-193EE9CF1A7C}"/>
    <hyperlink ref="B3541" r:id="rId10619" display="https://statiz.sporki.com/add/?m=draft_school01&amp;ps_school=50807" xr:uid="{56846C93-39B3-4C4B-965D-F69192740FAC}"/>
    <hyperlink ref="C3541" r:id="rId10620" display="https://statiz.sporki.com/add/?m=draft_school02&amp;ps_school=60802" xr:uid="{6C3C8DD6-EEA9-48BD-A54B-0E51F19056AC}"/>
    <hyperlink ref="A3542" r:id="rId10621" display="https://statiz.sporki.com/player/?m=playerinfo&amp;p_no=1448" xr:uid="{5B41AC8F-CA1A-4DE7-BDCC-97C8651CCA1B}"/>
    <hyperlink ref="B3542" r:id="rId10622" display="https://statiz.sporki.com/add/?m=draft_school01&amp;ps_school=50121" xr:uid="{9F6EC652-4938-4EA3-8813-69A3B1EF8480}"/>
    <hyperlink ref="C3542" r:id="rId10623" display="https://statiz.sporki.com/add/?m=draft_school02&amp;ps_school=60104" xr:uid="{14F3FFAB-667B-40D0-AF10-5B376045615E}"/>
    <hyperlink ref="A3543" r:id="rId10624" display="https://statiz.sporki.com/player/?m=playerinfo&amp;p_no=1442" xr:uid="{A747B770-6D55-4269-86B4-147CF89D7DB2}"/>
    <hyperlink ref="B3543" r:id="rId10625" display="https://statiz.sporki.com/add/?m=draft_school01&amp;ps_school=50805" xr:uid="{866D1022-1204-43A7-A3FC-554B2A0D15BF}"/>
    <hyperlink ref="C3543" r:id="rId10626" display="https://statiz.sporki.com/add/?m=draft_school02&amp;ps_school=60802" xr:uid="{B7FEA279-6B3A-46BD-A741-9CC7EF105A66}"/>
    <hyperlink ref="A3544" r:id="rId10627" display="https://statiz.sporki.com/player/?m=playerinfo&amp;p_no=1450" xr:uid="{FF17F1F2-06B4-43F3-824D-882EF1658876}"/>
    <hyperlink ref="B3544" r:id="rId10628" display="https://statiz.sporki.com/add/?m=draft_school01&amp;ps_school=50116" xr:uid="{213D68A2-317C-4457-A5FA-E987842137D9}"/>
    <hyperlink ref="C3544" r:id="rId10629" display="https://statiz.sporki.com/add/?m=draft_school02&amp;ps_school=60103" xr:uid="{0C23A4B9-F0FD-4403-966D-2095A5973C5F}"/>
    <hyperlink ref="A3545" r:id="rId10630" display="https://statiz.sporki.com/player/?m=playerinfo&amp;p_no=11473" xr:uid="{870F4084-D822-4BAE-8068-54C24A32CD95}"/>
    <hyperlink ref="B3545" r:id="rId10631" display="https://statiz.sporki.com/add/?m=draft_school01&amp;ps_school=50802" xr:uid="{702E2B84-A52F-400C-B566-ED2E46E74ED8}"/>
    <hyperlink ref="C3545" r:id="rId10632" display="https://statiz.sporki.com/add/?m=draft_school02&amp;ps_school=60803" xr:uid="{1FF0244D-118F-42C6-910E-3DFB1D3A62F5}"/>
    <hyperlink ref="A3546" r:id="rId10633" display="https://statiz.sporki.com/player/?m=playerinfo&amp;p_no=1423" xr:uid="{996AE011-8E2C-42B4-AF28-1A7DCBEC2DEA}"/>
    <hyperlink ref="B3546" r:id="rId10634" display="https://statiz.sporki.com/add/?m=draft_school01&amp;ps_school=50403" xr:uid="{72945AC9-D5B6-43D9-8FC6-E4E79D8FD1A2}"/>
    <hyperlink ref="C3546" r:id="rId10635" display="https://statiz.sporki.com/add/?m=draft_school02&amp;ps_school=60803" xr:uid="{1BEAD04F-46CC-4D51-A08D-F9C55D4F6EE8}"/>
    <hyperlink ref="A3547" r:id="rId10636" display="https://statiz.sporki.com/player/?m=playerinfo&amp;p_no=1454" xr:uid="{637C684E-B5EB-4345-8699-5040DEA58A99}"/>
    <hyperlink ref="B3547" r:id="rId10637" display="https://statiz.sporki.com/add/?m=draft_school01&amp;ps_school=50702" xr:uid="{44269547-224C-4E78-BE89-47665BF1F5C8}"/>
    <hyperlink ref="C3547" r:id="rId10638" display="https://statiz.sporki.com/add/?m=draft_school02&amp;ps_school=60101" xr:uid="{25092D11-FD65-454D-8F37-87CBEB7088AE}"/>
    <hyperlink ref="A3548" r:id="rId10639" display="https://statiz.sporki.com/player/?m=playerinfo&amp;p_no=1464" xr:uid="{539486E9-605D-43F6-91A3-89DE9C31400C}"/>
    <hyperlink ref="B3548" r:id="rId10640" display="https://statiz.sporki.com/add/?m=draft_school01&amp;ps_school=50501" xr:uid="{530BDF8F-C964-4918-9ED4-BA0763FB19B0}"/>
    <hyperlink ref="C3548" r:id="rId10641" display="https://statiz.sporki.com/add/?m=draft_school02&amp;ps_school=60501" xr:uid="{5811B313-4EDE-42D8-905D-0A5A484E28BB}"/>
    <hyperlink ref="A3549" r:id="rId10642" display="https://statiz.sporki.com/player/?m=playerinfo&amp;p_no=1422" xr:uid="{89F303DA-3D61-4161-B170-8393F0D62130}"/>
    <hyperlink ref="B3549" r:id="rId10643" display="https://statiz.sporki.com/add/?m=draft_school01&amp;ps_school=50403" xr:uid="{FBA63B8D-DEAC-4B08-9AE8-85F02D6D2423}"/>
    <hyperlink ref="C3549" r:id="rId10644" display="https://statiz.sporki.com/add/?m=draft_school02&amp;ps_school=60803" xr:uid="{EB8B5AB8-D2DA-47A5-9BFB-370B9F9269F0}"/>
    <hyperlink ref="A3550" r:id="rId10645" display="https://statiz.sporki.com/player/?m=playerinfo&amp;p_no=1452" xr:uid="{9B69EA05-4374-462E-AC35-D1920E07B951}"/>
    <hyperlink ref="B3550" r:id="rId10646" display="https://statiz.sporki.com/add/?m=draft_school01&amp;ps_school=50121" xr:uid="{3D7003A3-9E9F-4AFD-939F-4DD10B560B8F}"/>
    <hyperlink ref="C3550" r:id="rId10647" display="https://statiz.sporki.com/add/?m=draft_school02&amp;ps_school=" xr:uid="{3559F9AB-A5F5-40FE-BBB4-48993C871343}"/>
    <hyperlink ref="A3551" r:id="rId10648" display="https://statiz.sporki.com/player/?m=playerinfo&amp;p_no=1482" xr:uid="{26C6B893-F608-4AA9-8DDF-FB377225EBFE}"/>
    <hyperlink ref="B3551" r:id="rId10649" display="https://statiz.sporki.com/add/?m=draft_school01&amp;ps_school=50802" xr:uid="{547D5CE4-EDB8-4FD7-A8D6-2B7FB702DE1E}"/>
    <hyperlink ref="C3551" r:id="rId10650" display="https://statiz.sporki.com/add/?m=draft_school02&amp;ps_school=60803" xr:uid="{4074CCA7-1C38-4686-842F-B012E6912C42}"/>
    <hyperlink ref="A3552" r:id="rId10651" display="https://statiz.sporki.com/player/?m=playerinfo&amp;p_no=1451" xr:uid="{5F2300C7-495E-4CAC-AECA-A6FBD55C5C1C}"/>
    <hyperlink ref="B3552" r:id="rId10652" display="https://statiz.sporki.com/add/?m=draft_school01&amp;ps_school=50706" xr:uid="{FB1AB1DD-A6E1-423C-A8B4-9ECAB236B828}"/>
    <hyperlink ref="C3552" r:id="rId10653" display="https://statiz.sporki.com/add/?m=draft_school02&amp;ps_school=60108" xr:uid="{671C4365-B39A-40CC-AA6A-2B59AE3123E7}"/>
    <hyperlink ref="A3553" r:id="rId10654" display="https://statiz.sporki.com/player/?m=playerinfo&amp;p_no=11428" xr:uid="{F3BD3A3B-02A9-4EE4-B559-7CD3D980DDCE}"/>
    <hyperlink ref="B3553" r:id="rId10655" display="https://statiz.sporki.com/add/?m=draft_school01&amp;ps_school=50609" xr:uid="{F2295120-DF9D-4AB5-B2E4-C597C5D1D431}"/>
    <hyperlink ref="C3553" r:id="rId10656" display="https://statiz.sporki.com/add/?m=draft_school02&amp;ps_school=60705" xr:uid="{253410EA-1F1C-4D4B-A292-2651220D19C3}"/>
    <hyperlink ref="A3554" r:id="rId10657" display="https://statiz.sporki.com/player/?m=playerinfo&amp;p_no=1492" xr:uid="{AF13274E-99D0-4BE6-A29F-90383839C2E5}"/>
    <hyperlink ref="B3554" r:id="rId10658" display="https://statiz.sporki.com/add/?m=draft_school01&amp;ps_school=50222" xr:uid="{856D3C38-8915-47F5-B8AA-012835393FB5}"/>
    <hyperlink ref="C3554" r:id="rId10659" display="https://statiz.sporki.com/add/?m=draft_school02&amp;ps_school=60109" xr:uid="{1BA5D32A-E2A7-4E4C-8CFE-EB9F77EBE915}"/>
    <hyperlink ref="A3555" r:id="rId10660" display="https://statiz.sporki.com/player/?m=playerinfo&amp;p_no=1432" xr:uid="{A8238228-DFB9-41DF-9D88-E677302A8E8C}"/>
    <hyperlink ref="B3555" r:id="rId10661" display="https://statiz.sporki.com/add/?m=draft_school01&amp;ps_school=50813" xr:uid="{B6478271-72D5-4F1C-A4CC-7DFFB06DD475}"/>
    <hyperlink ref="C3555" r:id="rId10662" display="https://statiz.sporki.com/add/?m=draft_school02&amp;ps_school=60802" xr:uid="{C5877132-0B50-42B8-B634-12AA88433728}"/>
    <hyperlink ref="A3556" r:id="rId10663" display="https://statiz.sporki.com/player/?m=playerinfo&amp;p_no=1444" xr:uid="{6C00C0BC-6F64-45F5-AD9F-8C934C3A3550}"/>
    <hyperlink ref="B3556" r:id="rId10664" display="https://statiz.sporki.com/add/?m=draft_school01&amp;ps_school=50602" xr:uid="{E497F1A6-165E-4AFA-840C-208CAC253914}"/>
    <hyperlink ref="C3556" r:id="rId10665" display="https://statiz.sporki.com/add/?m=draft_school02&amp;ps_school=60208" xr:uid="{E8D85765-3840-4289-B173-8F8BDBDBFE05}"/>
    <hyperlink ref="A3557" r:id="rId10666" display="https://statiz.sporki.com/player/?m=playerinfo&amp;p_no=11427" xr:uid="{C1715F2A-6FAE-4452-8B86-EE9557CDA7D3}"/>
    <hyperlink ref="B3557" r:id="rId10667" display="https://statiz.sporki.com/add/?m=draft_school01&amp;ps_school=50604" xr:uid="{E2077DFD-027B-4BA2-8E00-662B2735193E}"/>
    <hyperlink ref="C3557" r:id="rId10668" display="https://statiz.sporki.com/add/?m=draft_school02&amp;ps_school=60203" xr:uid="{6DC57E51-7EA5-49D7-8ABE-3E691B294A4C}"/>
    <hyperlink ref="A3558" r:id="rId10669" display="https://statiz.sporki.com/player/?m=playerinfo&amp;p_no=1445" xr:uid="{58090273-6376-4BE8-9159-E80F1FE55C01}"/>
    <hyperlink ref="B3558" r:id="rId10670" display="https://statiz.sporki.com/add/?m=draft_school01&amp;ps_school=50703" xr:uid="{F7990728-6CFF-48C5-9DD4-F74867550375}"/>
    <hyperlink ref="C3558" r:id="rId10671" display="https://statiz.sporki.com/add/?m=draft_school02&amp;ps_school=60705" xr:uid="{8ED0ACE1-DF3D-4637-A62A-3B18EEA606DE}"/>
    <hyperlink ref="A3559" r:id="rId10672" display="https://statiz.sporki.com/player/?m=playerinfo&amp;p_no=1437" xr:uid="{0202D482-9582-4E74-A8CA-F20431A01D09}"/>
    <hyperlink ref="B3559" r:id="rId10673" display="https://statiz.sporki.com/add/?m=draft_school01&amp;ps_school=" xr:uid="{4D5F5DDB-87A9-423E-9D3B-4E6812D49222}"/>
    <hyperlink ref="C3559" r:id="rId10674" display="https://statiz.sporki.com/add/?m=draft_school02&amp;ps_school=60204" xr:uid="{FBFA6996-5F6F-47B7-A973-B7F7EF1D2AD6}"/>
    <hyperlink ref="A3560" r:id="rId10675" display="https://statiz.sporki.com/player/?m=playerinfo&amp;p_no=1480" xr:uid="{A5473D36-7CEC-4483-B52C-205903262455}"/>
    <hyperlink ref="B3560" r:id="rId10676" display="https://statiz.sporki.com/add/?m=draft_school01&amp;ps_school=" xr:uid="{54623FE5-653B-4846-9E82-AFB97C3CBED0}"/>
    <hyperlink ref="C3560" r:id="rId10677" display="https://statiz.sporki.com/add/?m=draft_school02&amp;ps_school=61100" xr:uid="{2F80B642-6E82-445A-A3FD-B8A06BF60016}"/>
    <hyperlink ref="A3561" r:id="rId10678" display="https://statiz.sporki.com/player/?m=playerinfo&amp;p_no=1520" xr:uid="{476F970A-B76F-4EE5-80F0-E22563003FA7}"/>
    <hyperlink ref="B3561" r:id="rId10679" display="https://statiz.sporki.com/add/?m=draft_school01&amp;ps_school=50103" xr:uid="{5F7F7EA1-2FDF-4531-8C30-2C85B1F1D2BD}"/>
    <hyperlink ref="C3561" r:id="rId10680" display="https://statiz.sporki.com/add/?m=draft_school02&amp;ps_school=60104" xr:uid="{31EF0452-19BE-4323-BC28-5C4B442BD555}"/>
    <hyperlink ref="A3562" r:id="rId10681" display="https://statiz.sporki.com/player/?m=playerinfo&amp;p_no=1460" xr:uid="{58E3D006-FB6F-47F5-AC25-BDEBD696AA2D}"/>
    <hyperlink ref="B3562" r:id="rId10682" display="https://statiz.sporki.com/add/?m=draft_school01&amp;ps_school=50805" xr:uid="{99B9A31F-75C0-4B7A-A674-59180CDBA154}"/>
    <hyperlink ref="C3562" r:id="rId10683" display="https://statiz.sporki.com/add/?m=draft_school02&amp;ps_school=60111" xr:uid="{E94169AD-BE5A-46A6-8355-14DB71B40FB4}"/>
    <hyperlink ref="A3563" r:id="rId10684" display="https://statiz.sporki.com/player/?m=playerinfo&amp;p_no=1489" xr:uid="{6EA75175-CA6A-4AEB-971F-4CEE677C9FFC}"/>
    <hyperlink ref="B3563" r:id="rId10685" display="https://statiz.sporki.com/add/?m=draft_school01&amp;ps_school=50804" xr:uid="{0A5A35E3-DCC7-4EAC-9837-6DBE617C42DB}"/>
    <hyperlink ref="C3563" r:id="rId10686" display="https://statiz.sporki.com/add/?m=draft_school02&amp;ps_school=" xr:uid="{074556CD-B740-4DE7-9AF1-F663A8792463}"/>
    <hyperlink ref="A3564" r:id="rId10687" display="https://statiz.sporki.com/player/?m=playerinfo&amp;p_no=1490" xr:uid="{08366FCA-E791-4952-A790-A22877E11F01}"/>
    <hyperlink ref="B3564" r:id="rId10688" display="https://statiz.sporki.com/add/?m=draft_school01&amp;ps_school=50105" xr:uid="{E88E5676-BD93-4E57-AE04-7AFD8EC0F822}"/>
    <hyperlink ref="C3564" r:id="rId10689" display="https://statiz.sporki.com/add/?m=draft_school02&amp;ps_school=" xr:uid="{21A9D2F1-242C-4D71-A822-D31B263461B3}"/>
    <hyperlink ref="A3565" r:id="rId10690" display="https://statiz.sporki.com/player/?m=playerinfo&amp;p_no=1552" xr:uid="{48137A12-8EB5-4411-9B32-10469CA2BB4E}"/>
    <hyperlink ref="B3565" r:id="rId10691" display="https://statiz.sporki.com/add/?m=draft_school01&amp;ps_school=50301" xr:uid="{12ED7F94-959E-4DAC-A3EE-516F6D1DFDA1}"/>
    <hyperlink ref="C3565" r:id="rId10692" display="https://statiz.sporki.com/add/?m=draft_school02&amp;ps_school=" xr:uid="{87E9078E-5375-4928-8D91-B514C22A90CB}"/>
    <hyperlink ref="A3566" r:id="rId10693" display="https://statiz.sporki.com/player/?m=playerinfo&amp;p_no=1456" xr:uid="{AEB8DAEE-3106-46E9-9FAC-571D11E3403B}"/>
    <hyperlink ref="B3566" r:id="rId10694" display="https://statiz.sporki.com/add/?m=draft_school01&amp;ps_school=50101" xr:uid="{6EB0C8E7-EA3A-4B2A-B0CA-DE3209EB7C09}"/>
    <hyperlink ref="C3566" r:id="rId10695" display="https://statiz.sporki.com/add/?m=draft_school02&amp;ps_school=" xr:uid="{48A77CC4-2DD9-4B97-BEAC-28415E930AC7}"/>
    <hyperlink ref="A3567" r:id="rId10696" display="https://statiz.sporki.com/player/?m=playerinfo&amp;p_no=1447" xr:uid="{F4FB656F-B636-450D-A903-744F52727A11}"/>
    <hyperlink ref="B3567" r:id="rId10697" display="https://statiz.sporki.com/add/?m=draft_school01&amp;ps_school=" xr:uid="{8C3F6818-B1C3-4811-885A-6F4C0DBB415F}"/>
    <hyperlink ref="C3567" r:id="rId10698" display="https://statiz.sporki.com/add/?m=draft_school02&amp;ps_school=60703" xr:uid="{CCC730C5-D17B-4FA2-8A53-98BAB08BA05D}"/>
    <hyperlink ref="A3568" r:id="rId10699" display="https://statiz.sporki.com/player/?m=playerinfo&amp;p_no=1455" xr:uid="{A9DA70CE-D5C0-49AF-89D6-CF3864C7A4BE}"/>
    <hyperlink ref="B3568" r:id="rId10700" display="https://statiz.sporki.com/add/?m=draft_school01&amp;ps_school=" xr:uid="{E9A47DB3-99A3-499D-A472-C96A3C695E82}"/>
    <hyperlink ref="C3568" r:id="rId10701" display="https://statiz.sporki.com/add/?m=draft_school02&amp;ps_school=60501" xr:uid="{CBC32C5C-75E9-4E69-9D2C-FC4209F30AEA}"/>
    <hyperlink ref="A3569" r:id="rId10702" display="https://statiz.sporki.com/player/?m=playerinfo&amp;p_no=1475" xr:uid="{E817B638-C3D7-4826-83DD-81B5D4AA151A}"/>
    <hyperlink ref="B3569" r:id="rId10703" display="https://statiz.sporki.com/add/?m=draft_school01&amp;ps_school=50109" xr:uid="{C181353E-6B46-417B-A554-B6FCBBDE842C}"/>
    <hyperlink ref="C3569" r:id="rId10704" display="https://statiz.sporki.com/add/?m=draft_school02&amp;ps_school=60113" xr:uid="{DAD6AB58-025C-476F-9A12-6BA3F7FA5598}"/>
    <hyperlink ref="A3570" r:id="rId10705" display="https://statiz.sporki.com/player/?m=playerinfo&amp;p_no=1453" xr:uid="{3EE934A4-4E18-4272-B032-54B9BBB4BBEC}"/>
    <hyperlink ref="B3570" r:id="rId10706" display="https://statiz.sporki.com/add/?m=draft_school01&amp;ps_school=50805" xr:uid="{A53AC41C-BD46-4BC1-AF88-F7A07CB43B26}"/>
    <hyperlink ref="C3570" r:id="rId10707" display="https://statiz.sporki.com/add/?m=draft_school02&amp;ps_school=60802" xr:uid="{16A8932C-4604-433B-87E0-A54DDD886B79}"/>
    <hyperlink ref="A3571" r:id="rId10708" display="https://statiz.sporki.com/player/?m=playerinfo&amp;p_no=1429" xr:uid="{BEA538F0-84A8-4078-84D1-F0C98754F521}"/>
    <hyperlink ref="B3571" r:id="rId10709" display="https://statiz.sporki.com/add/?m=draft_school01&amp;ps_school=50711" xr:uid="{C77CA4DF-499E-453A-82F3-309E89BDB3CE}"/>
    <hyperlink ref="C3571" r:id="rId10710" display="https://statiz.sporki.com/add/?m=draft_school02&amp;ps_school=60705" xr:uid="{2FDCC784-C442-4B11-8718-787A5634E6E7}"/>
    <hyperlink ref="A3572" r:id="rId10711" display="https://statiz.sporki.com/player/?m=playerinfo&amp;p_no=12707" xr:uid="{C0D7A45A-1C73-48CF-B493-F093DDB277ED}"/>
    <hyperlink ref="B3572" r:id="rId10712" display="https://statiz.sporki.com/add/?m=draft_school01&amp;ps_school=50903" xr:uid="{0B24A8C6-5A04-4A90-B950-74495A3652F2}"/>
    <hyperlink ref="C3572" r:id="rId10713" display="https://statiz.sporki.com/add/?m=draft_school02&amp;ps_school=" xr:uid="{D79551F0-AF21-455C-8799-9DB2AE04B422}"/>
    <hyperlink ref="A3573" r:id="rId10714" display="https://statiz.sporki.com/player/?m=playerinfo&amp;p_no=11430" xr:uid="{13CF9462-CC29-4059-85B2-5926A8A0A703}"/>
    <hyperlink ref="B3573" r:id="rId10715" display="https://statiz.sporki.com/add/?m=draft_school01&amp;ps_school=50107" xr:uid="{9A8B1C25-2BCB-4B52-956A-39159353A1DF}"/>
    <hyperlink ref="C3573" r:id="rId10716" display="https://statiz.sporki.com/add/?m=draft_school02&amp;ps_school=60109" xr:uid="{6BE101A5-0E0D-4A4D-99A9-DA4B2090C82B}"/>
    <hyperlink ref="A3574" r:id="rId10717" display="https://statiz.sporki.com/player/?m=playerinfo&amp;p_no=1449" xr:uid="{E8135D0A-4919-4EF3-A253-E3A329D9CA31}"/>
    <hyperlink ref="B3574" r:id="rId10718" display="https://statiz.sporki.com/add/?m=draft_school01&amp;ps_school=50607" xr:uid="{F1495471-B3A3-408F-9E4A-0AF1FE28AC3E}"/>
    <hyperlink ref="C3574" r:id="rId10719" display="https://statiz.sporki.com/add/?m=draft_school02&amp;ps_school=" xr:uid="{EC5D2526-0865-4F0C-BB40-29049E8EE949}"/>
    <hyperlink ref="A3575" r:id="rId10720" display="https://statiz.sporki.com/player/?m=playerinfo&amp;p_no=1631" xr:uid="{736ED21E-8826-41F5-A3D1-3068779AEC31}"/>
    <hyperlink ref="B3575" r:id="rId10721" display="https://statiz.sporki.com/add/?m=draft_school01&amp;ps_school=50105" xr:uid="{8C0DDD39-DEAB-4DED-B816-557BC0D03FD2}"/>
    <hyperlink ref="C3575" r:id="rId10722" display="https://statiz.sporki.com/add/?m=draft_school02&amp;ps_school=" xr:uid="{B56C0B5B-0F94-4AA5-A12A-82B7A7150F53}"/>
    <hyperlink ref="A3576" r:id="rId10723" display="https://statiz.sporki.com/player/?m=playerinfo&amp;p_no=1642" xr:uid="{9DDC56F5-DFAE-4C79-944E-06DFC5548F73}"/>
    <hyperlink ref="B3576" r:id="rId10724" display="https://statiz.sporki.com/add/?m=draft_school01&amp;ps_school=50127" xr:uid="{4BC1B875-FCED-42BA-BFA0-158B1592AA7A}"/>
    <hyperlink ref="C3576" r:id="rId10725" display="https://statiz.sporki.com/add/?m=draft_school02&amp;ps_school=" xr:uid="{62E95317-99EA-4328-A793-76550897B505}"/>
    <hyperlink ref="A3577" r:id="rId10726" display="https://statiz.sporki.com/player/?m=playerinfo&amp;p_no=1495" xr:uid="{A1206440-1666-4EF0-8AB6-402EAF5A4909}"/>
    <hyperlink ref="B3577" r:id="rId10727" display="https://statiz.sporki.com/add/?m=draft_school01&amp;ps_school=50127" xr:uid="{6EC15C18-BFB2-4D83-A6A2-73B317552A1C}"/>
    <hyperlink ref="C3577" r:id="rId10728" display="https://statiz.sporki.com/add/?m=draft_school02&amp;ps_school=" xr:uid="{4B24C8F1-4A32-4918-B226-E0086AF0D0ED}"/>
    <hyperlink ref="A3578" r:id="rId10729" display="https://statiz.sporki.com/player/?m=playerinfo&amp;p_no=1436" xr:uid="{969C0BF7-EDE5-4B86-94A6-2E67C36347CD}"/>
    <hyperlink ref="B3578" r:id="rId10730" display="https://statiz.sporki.com/add/?m=draft_school01&amp;ps_school=50127" xr:uid="{590B5B07-3209-4E53-8A5A-ABD97F2CEFF8}"/>
    <hyperlink ref="C3578" r:id="rId10731" display="https://statiz.sporki.com/add/?m=draft_school02&amp;ps_school=" xr:uid="{3D1A7174-FC99-4231-873B-A40D24F308D9}"/>
    <hyperlink ref="A3579" r:id="rId10732" display="https://statiz.sporki.com/player/?m=playerinfo&amp;p_no=1446" xr:uid="{0F0EC0B9-FD03-4296-9EF3-6550B62716D7}"/>
    <hyperlink ref="B3579" r:id="rId10733" display="https://statiz.sporki.com/add/?m=draft_school01&amp;ps_school=50103" xr:uid="{F59C1FDE-0DB4-48E9-A9A1-10F4B90CCB42}"/>
    <hyperlink ref="C3579" r:id="rId10734" display="https://statiz.sporki.com/add/?m=draft_school02&amp;ps_school=" xr:uid="{9D675410-598B-45FA-9978-1E07F550ACD5}"/>
    <hyperlink ref="A3580" r:id="rId10735" display="https://statiz.sporki.com/player/?m=playerinfo&amp;p_no=1483" xr:uid="{7A9081F8-DA88-4D9F-A74D-229CC51D4BAB}"/>
    <hyperlink ref="B3580" r:id="rId10736" display="https://statiz.sporki.com/add/?m=draft_school01&amp;ps_school=50814" xr:uid="{AB2FED61-5237-495D-A202-1AF2B1BDD308}"/>
    <hyperlink ref="C3580" r:id="rId10737" display="https://statiz.sporki.com/add/?m=draft_school02&amp;ps_school=" xr:uid="{668A02D6-62BF-4ADE-A9E0-4B79C42A3260}"/>
    <hyperlink ref="A3581" r:id="rId10738" display="https://statiz.sporki.com/player/?m=playerinfo&amp;p_no=1458" xr:uid="{4A75E98F-BA06-415F-BCCE-46FEF698D7F2}"/>
    <hyperlink ref="B3581" r:id="rId10739" display="https://statiz.sporki.com/add/?m=draft_school01&amp;ps_school=50813" xr:uid="{E1DB1BA1-F6DB-4750-9DF6-679CB1D88490}"/>
    <hyperlink ref="C3581" r:id="rId10740" display="https://statiz.sporki.com/add/?m=draft_school02&amp;ps_school=" xr:uid="{3DD97DB7-45D2-425D-A4DB-FA6CC88FBBD2}"/>
    <hyperlink ref="A3582" r:id="rId10741" display="https://statiz.sporki.com/player/?m=playerinfo&amp;p_no=1479" xr:uid="{8F6013AF-4037-423D-B823-B12444F157CF}"/>
    <hyperlink ref="B3582" r:id="rId10742" display="https://statiz.sporki.com/add/?m=draft_school01&amp;ps_school=50302" xr:uid="{BE759DF4-3B87-4D53-9D7E-5F735C2B7563}"/>
    <hyperlink ref="C3582" r:id="rId10743" display="https://statiz.sporki.com/add/?m=draft_school02&amp;ps_school=" xr:uid="{70BD35D9-93C8-4665-8592-85A121F90751}"/>
    <hyperlink ref="A3583" r:id="rId10744" display="https://statiz.sporki.com/player/?m=playerinfo&amp;p_no=1484" xr:uid="{6A40361B-C701-4170-8166-A0F7C6D91D9C}"/>
    <hyperlink ref="B3583" r:id="rId10745" display="https://statiz.sporki.com/add/?m=draft_school01&amp;ps_school=50401" xr:uid="{D86942E6-B631-404D-9270-868B2D82F2E0}"/>
    <hyperlink ref="C3583" r:id="rId10746" display="https://statiz.sporki.com/add/?m=draft_school02&amp;ps_school=" xr:uid="{36145CCA-03E3-4530-B246-32D6423AE8A0}"/>
    <hyperlink ref="A3584" r:id="rId10747" display="https://statiz.sporki.com/player/?m=playerinfo&amp;p_no=1434" xr:uid="{7519E303-1645-4E3B-80F4-9CE5ACE9E191}"/>
    <hyperlink ref="B3584" r:id="rId10748" display="https://statiz.sporki.com/add/?m=draft_school01&amp;ps_school=50301" xr:uid="{E8397C0E-CBC0-4FDA-BEDD-C93D26975094}"/>
    <hyperlink ref="C3584" r:id="rId10749" display="https://statiz.sporki.com/add/?m=draft_school02&amp;ps_school=" xr:uid="{CF6FBF4A-309C-4A6E-AEF4-2CCFBE491395}"/>
    <hyperlink ref="A3585" r:id="rId10750" display="https://statiz.sporki.com/player/?m=playerinfo&amp;p_no=1472" xr:uid="{AD8E6784-00E9-455E-AF26-9DC728843E44}"/>
    <hyperlink ref="B3585" r:id="rId10751" display="https://statiz.sporki.com/add/?m=draft_school01&amp;ps_school=50703" xr:uid="{E768CB05-BDCE-44EA-AF35-87D223536047}"/>
    <hyperlink ref="C3585" r:id="rId10752" display="https://statiz.sporki.com/add/?m=draft_school02&amp;ps_school=" xr:uid="{A3CEA34A-CCB8-4D8D-BAE4-FA7D20936A83}"/>
    <hyperlink ref="A3586" r:id="rId10753" display="https://statiz.sporki.com/player/?m=playerinfo&amp;p_no=1477" xr:uid="{10A05DC0-2AF1-415D-BFCE-E986886A977A}"/>
    <hyperlink ref="B3586" r:id="rId10754" display="https://statiz.sporki.com/add/?m=draft_school01&amp;ps_school=" xr:uid="{3BB46CBC-39DC-4E95-989D-3070C0997C7D}"/>
    <hyperlink ref="C3586" r:id="rId10755" display="https://statiz.sporki.com/add/?m=draft_school02&amp;ps_school=" xr:uid="{5964FA60-E897-4637-AE88-78C9D4C134C7}"/>
    <hyperlink ref="A3587" r:id="rId10756" display="https://statiz.sporki.com/player/?m=playerinfo&amp;p_no=1502" xr:uid="{BAFBBBF1-F569-4433-9EA0-6C85F0B08FBB}"/>
    <hyperlink ref="B3587" r:id="rId10757" display="https://statiz.sporki.com/add/?m=draft_school01&amp;ps_school=50901" xr:uid="{026AA3A6-21DF-4C9E-BCC9-A0E0559E01B1}"/>
    <hyperlink ref="C3587" r:id="rId10758" display="https://statiz.sporki.com/add/?m=draft_school02&amp;ps_school=" xr:uid="{F05A48C5-E5C9-4BBB-A9C7-BE1D0BB43772}"/>
    <hyperlink ref="A3588" r:id="rId10759" display="https://statiz.sporki.com/player/?m=playerinfo&amp;p_no=1467" xr:uid="{CC7919A6-BD22-4F15-B478-4DB3D82210C4}"/>
    <hyperlink ref="B3588" r:id="rId10760" display="https://statiz.sporki.com/add/?m=draft_school01&amp;ps_school=50607" xr:uid="{56DC752E-AED8-43FD-A053-C8C8CD9A7C11}"/>
    <hyperlink ref="C3588" r:id="rId10761" display="https://statiz.sporki.com/add/?m=draft_school02&amp;ps_school=" xr:uid="{55442CD3-6C7C-4CAC-AC52-57CAE5E3CB92}"/>
    <hyperlink ref="A3589" r:id="rId10762" display="https://statiz.sporki.com/player/?m=playerinfo&amp;p_no=1487" xr:uid="{E6523B0B-9F00-48DE-895B-9A3FC869564A}"/>
    <hyperlink ref="B3589" r:id="rId10763" display="https://statiz.sporki.com/add/?m=draft_school01&amp;ps_school=50604" xr:uid="{71AA9A47-596A-4B89-82A9-02E6CD038C62}"/>
    <hyperlink ref="C3589" r:id="rId10764" display="https://statiz.sporki.com/add/?m=draft_school02&amp;ps_school=" xr:uid="{23C18830-D994-44E2-8A34-B11168DDDCBF}"/>
    <hyperlink ref="A3590" r:id="rId10765" display="https://statiz.sporki.com/player/?m=playerinfo&amp;p_no=1580" xr:uid="{9C6DE465-A3F6-416F-B457-222AC9294CFC}"/>
    <hyperlink ref="B3590" r:id="rId10766" display="https://statiz.sporki.com/add/?m=draft_school01&amp;ps_school=50607" xr:uid="{193365AA-581C-46B2-8F25-EFC343470A97}"/>
    <hyperlink ref="C3590" r:id="rId10767" display="https://statiz.sporki.com/add/?m=draft_school02&amp;ps_school=" xr:uid="{E00FE892-49F2-41D8-AFF9-99588B2E5A74}"/>
    <hyperlink ref="A3591" r:id="rId10768" display="https://statiz.sporki.com/player/?m=playerinfo&amp;p_no=1440" xr:uid="{176130C0-100C-463D-9485-015CEBF40042}"/>
    <hyperlink ref="B3591" r:id="rId10769" display="https://statiz.sporki.com/add/?m=draft_school01&amp;ps_school=50604" xr:uid="{CA427015-59DA-4572-8E41-290006CE9172}"/>
    <hyperlink ref="C3591" r:id="rId10770" display="https://statiz.sporki.com/add/?m=draft_school02&amp;ps_school=" xr:uid="{D2D4A2FE-7498-457B-BED2-E7AA5D23A8A1}"/>
    <hyperlink ref="A3592" r:id="rId10771" display="https://statiz.sporki.com/player/?m=playerinfo&amp;p_no=1481" xr:uid="{AD5F3753-DF33-4B73-82F6-B3F328B51BCE}"/>
    <hyperlink ref="B3592" r:id="rId10772" display="https://statiz.sporki.com/add/?m=draft_school01&amp;ps_school=50609" xr:uid="{020E4A87-5FB8-45F0-8C9C-D4B5598FF27C}"/>
    <hyperlink ref="C3592" r:id="rId10773" display="https://statiz.sporki.com/add/?m=draft_school02&amp;ps_school=" xr:uid="{CA8A71AD-FDA5-4B9F-807D-76F867A81595}"/>
    <hyperlink ref="A3593" r:id="rId10774" display="https://statiz.sporki.com/player/?m=playerinfo&amp;p_no=1412" xr:uid="{3BB0E771-EE1F-4ECC-90B3-FB596524D144}"/>
    <hyperlink ref="B3593" r:id="rId10775" display="https://statiz.sporki.com/add/?m=draft_school01&amp;ps_school=50108" xr:uid="{504F6809-4362-4654-AA9F-5603BBF4ED0E}"/>
    <hyperlink ref="C3593" r:id="rId10776" display="https://statiz.sporki.com/add/?m=draft_school02&amp;ps_school=60102" xr:uid="{ABE35B36-3240-4AF8-AADD-92630DF2534B}"/>
    <hyperlink ref="A3594" r:id="rId10777" display="https://statiz.sporki.com/player/?m=playerinfo&amp;p_no=1414" xr:uid="{2C9F5586-D68E-4648-819F-B72B496C2B25}"/>
    <hyperlink ref="B3594" r:id="rId10778" display="https://statiz.sporki.com/add/?m=draft_school01&amp;ps_school=50119" xr:uid="{705622D8-55D4-4230-8F0C-C8EDEBD4B89E}"/>
    <hyperlink ref="C3594" r:id="rId10779" display="https://statiz.sporki.com/add/?m=draft_school02&amp;ps_school=60203" xr:uid="{2C1D2C8A-FF6F-452A-9A5B-D8A7CA2BDEB1}"/>
    <hyperlink ref="A3595" r:id="rId10780" display="https://statiz.sporki.com/player/?m=playerinfo&amp;p_no=1380" xr:uid="{CE7E3BF2-67E0-41FE-A091-D526CA574D20}"/>
    <hyperlink ref="B3595" r:id="rId10781" display="https://statiz.sporki.com/add/?m=draft_school01&amp;ps_school=50109" xr:uid="{0B3EC53E-B537-49B7-B989-771B501434D5}"/>
    <hyperlink ref="C3595" r:id="rId10782" display="https://statiz.sporki.com/add/?m=draft_school02&amp;ps_school=60705" xr:uid="{D612460E-DDE0-4FBA-B798-C3600F05976A}"/>
    <hyperlink ref="A3596" r:id="rId10783" display="https://statiz.sporki.com/player/?m=playerinfo&amp;p_no=1384" xr:uid="{2504C307-F257-4C87-B222-D869866D5F37}"/>
    <hyperlink ref="B3596" r:id="rId10784" display="https://statiz.sporki.com/add/?m=draft_school01&amp;ps_school=50114" xr:uid="{E1ADDE02-3D71-4A32-A50E-340BA1C8118E}"/>
    <hyperlink ref="C3596" r:id="rId10785" display="https://statiz.sporki.com/add/?m=draft_school02&amp;ps_school=60104" xr:uid="{04AD5A75-84AE-4813-9587-94625B63C3E9}"/>
    <hyperlink ref="A3597" r:id="rId10786" display="https://statiz.sporki.com/player/?m=playerinfo&amp;p_no=1528" xr:uid="{F873FE63-D68A-4D68-967B-8E7595D61C19}"/>
    <hyperlink ref="B3597" r:id="rId10787" display="https://statiz.sporki.com/add/?m=draft_school01&amp;ps_school=50103" xr:uid="{9458111A-D18B-41C9-AF79-63F2FC98BEBC}"/>
    <hyperlink ref="C3597" r:id="rId10788" display="https://statiz.sporki.com/add/?m=draft_school02&amp;ps_school=60204" xr:uid="{B3BF9A47-52C3-4D07-906D-785EBCF71DC3}"/>
    <hyperlink ref="A3598" r:id="rId10789" display="https://statiz.sporki.com/player/?m=playerinfo&amp;p_no=1403" xr:uid="{559D5E4F-BF58-4FA1-9733-2D66F3287528}"/>
    <hyperlink ref="B3598" r:id="rId10790" display="https://statiz.sporki.com/add/?m=draft_school01&amp;ps_school=50804" xr:uid="{577DF609-AB12-4838-953F-131B3D1BEA38}"/>
    <hyperlink ref="C3598" r:id="rId10791" display="https://statiz.sporki.com/add/?m=draft_school02&amp;ps_school=60801" xr:uid="{92B90F8A-A441-46FF-87B1-D8DAD9FC4941}"/>
    <hyperlink ref="A3599" r:id="rId10792" display="https://statiz.sporki.com/player/?m=playerinfo&amp;p_no=1415" xr:uid="{F4CEEA5B-0103-4F51-9EBF-9D52D1B88E1C}"/>
    <hyperlink ref="B3599" r:id="rId10793" display="https://statiz.sporki.com/add/?m=draft_school01&amp;ps_school=50302" xr:uid="{5104065D-0A3F-49D4-A417-B7C1C5939115}"/>
    <hyperlink ref="C3599" r:id="rId10794" display="https://statiz.sporki.com/add/?m=draft_school02&amp;ps_school=60802" xr:uid="{BF9BAC66-9F37-407F-8C69-C0D69DCA72BC}"/>
    <hyperlink ref="A3600" r:id="rId10795" display="https://statiz.sporki.com/player/?m=playerinfo&amp;p_no=1402" xr:uid="{FD259F4A-D9D3-4525-A887-FFE98846B4F9}"/>
    <hyperlink ref="B3600" r:id="rId10796" display="https://statiz.sporki.com/add/?m=draft_school01&amp;ps_school=50703" xr:uid="{8EB2DCE0-4E81-4919-B2DF-BB395AD1B232}"/>
    <hyperlink ref="C3600" r:id="rId10797" display="https://statiz.sporki.com/add/?m=draft_school02&amp;ps_school=60103" xr:uid="{CEFD90AB-FCFD-4EB9-BE69-7253A07061D0}"/>
    <hyperlink ref="A3601" r:id="rId10798" display="https://statiz.sporki.com/player/?m=playerinfo&amp;p_no=1417" xr:uid="{08EC5E7B-D8B2-4185-A7CE-4FFDE6645F66}"/>
    <hyperlink ref="B3601" r:id="rId10799" display="https://statiz.sporki.com/add/?m=draft_school01&amp;ps_school=50706" xr:uid="{3F66EDEB-01A6-47E4-922E-5EC48F855738}"/>
    <hyperlink ref="C3601" r:id="rId10800" display="https://statiz.sporki.com/add/?m=draft_school02&amp;ps_school=60703" xr:uid="{B93A197F-E8B4-4B49-9B8A-3395FED505F3}"/>
    <hyperlink ref="A3602" r:id="rId10801" display="https://statiz.sporki.com/player/?m=playerinfo&amp;p_no=1465" xr:uid="{F03CFEF5-ECC9-42DE-80CF-8525E847A263}"/>
    <hyperlink ref="B3602" r:id="rId10802" display="https://statiz.sporki.com/add/?m=draft_school01&amp;ps_school=50706" xr:uid="{38F53C38-C1FE-4644-9636-B6752C33759A}"/>
    <hyperlink ref="C3602" r:id="rId10803" display="https://statiz.sporki.com/add/?m=draft_school02&amp;ps_school=60705" xr:uid="{85E22A3B-98A6-4746-B136-FB7F255EBF89}"/>
    <hyperlink ref="A3603" r:id="rId10804" display="https://statiz.sporki.com/player/?m=playerinfo&amp;p_no=1393" xr:uid="{D54C37E0-C369-4E32-BDA6-46C5ED2F5C31}"/>
    <hyperlink ref="B3603" r:id="rId10805" display="https://statiz.sporki.com/add/?m=draft_school01&amp;ps_school=50202" xr:uid="{BFB2378C-D73C-468A-968A-4D22588B4D2F}"/>
    <hyperlink ref="C3603" r:id="rId10806" display="https://statiz.sporki.com/add/?m=draft_school02&amp;ps_school=60204" xr:uid="{78E9F372-7C80-4D0A-A41B-115F7420DD02}"/>
    <hyperlink ref="A3604" r:id="rId10807" display="https://statiz.sporki.com/player/?m=playerinfo&amp;p_no=1463" xr:uid="{66522BA8-D209-4CB9-9A27-44B87FE1310B}"/>
    <hyperlink ref="B3604" r:id="rId10808" display="https://statiz.sporki.com/add/?m=draft_school01&amp;ps_school=50202" xr:uid="{55EA079B-F62D-4971-A292-E582699B9F89}"/>
    <hyperlink ref="C3604" r:id="rId10809" display="https://statiz.sporki.com/add/?m=draft_school02&amp;ps_school=" xr:uid="{7FC25A56-56E3-488B-9309-C40A618D648F}"/>
    <hyperlink ref="A3605" r:id="rId10810" display="https://statiz.sporki.com/player/?m=playerinfo&amp;p_no=1407" xr:uid="{F7DCD646-44BE-417A-97C2-1BE926D35F4B}"/>
    <hyperlink ref="B3605" r:id="rId10811" display="https://statiz.sporki.com/add/?m=draft_school01&amp;ps_school=50209" xr:uid="{1AB3C512-19D3-4C4E-8B69-C79D001D35CC}"/>
    <hyperlink ref="C3605" r:id="rId10812" display="https://statiz.sporki.com/add/?m=draft_school02&amp;ps_school=60204" xr:uid="{FBED5D5A-8B1A-4CD1-826A-44E6AEEDA41A}"/>
    <hyperlink ref="A3606" r:id="rId10813" display="https://statiz.sporki.com/player/?m=playerinfo&amp;p_no=12724" xr:uid="{475C0C65-42F8-4F70-94DD-25C9D8AA9EC2}"/>
    <hyperlink ref="B3606" r:id="rId10814" display="https://statiz.sporki.com/add/?m=draft_school01&amp;ps_school=50501" xr:uid="{FC7F9710-E1EB-4C6C-98E7-66448DE7EAE6}"/>
    <hyperlink ref="C3606" r:id="rId10815" display="https://statiz.sporki.com/add/?m=draft_school02&amp;ps_school=60109" xr:uid="{728E90F3-3D42-4A4A-BBA1-CBBCC4BB09C3}"/>
    <hyperlink ref="A3607" r:id="rId10816" display="https://statiz.sporki.com/player/?m=playerinfo&amp;p_no=1373" xr:uid="{B0E69CA9-DDD6-4D16-9333-C62ED30E7C3D}"/>
    <hyperlink ref="B3607" r:id="rId10817" display="https://statiz.sporki.com/add/?m=draft_school01&amp;ps_school=50403" xr:uid="{3390B4AE-537E-4C7F-8CAA-FA904C94CFE8}"/>
    <hyperlink ref="C3607" r:id="rId10818" display="https://statiz.sporki.com/add/?m=draft_school02&amp;ps_school=60103" xr:uid="{87DE66BF-3C60-414D-BCBD-12284BC94B70}"/>
    <hyperlink ref="A3608" r:id="rId10819" display="https://statiz.sporki.com/player/?m=playerinfo&amp;p_no=10597" xr:uid="{42605388-6291-4B38-BB1B-C981159A3524}"/>
    <hyperlink ref="B3608" r:id="rId10820" display="https://statiz.sporki.com/add/?m=draft_school01&amp;ps_school=50301" xr:uid="{15AC175C-91D3-4B6E-BCBD-FC3A5391EC6B}"/>
    <hyperlink ref="C3608" r:id="rId10821" display="https://statiz.sporki.com/add/?m=draft_school02&amp;ps_school=60104" xr:uid="{F5E45DDA-81AE-42D0-9781-FD200DD54351}"/>
    <hyperlink ref="A3609" r:id="rId10822" display="https://statiz.sporki.com/player/?m=playerinfo&amp;p_no=1386" xr:uid="{2B0453C5-ED17-4CFE-9B3A-5440406E3F17}"/>
    <hyperlink ref="B3609" r:id="rId10823" display="https://statiz.sporki.com/add/?m=draft_school01&amp;ps_school=50802" xr:uid="{7A63BE57-37FB-49F8-A050-22FE38B68FC6}"/>
    <hyperlink ref="C3609" r:id="rId10824" display="https://statiz.sporki.com/add/?m=draft_school02&amp;ps_school=60102" xr:uid="{499A1FD0-F960-4291-B3D5-FF52EE5A082B}"/>
    <hyperlink ref="A3610" r:id="rId10825" display="https://statiz.sporki.com/player/?m=playerinfo&amp;p_no=1396" xr:uid="{C3D2CE2F-94DA-4C18-A3A9-3A0F223336C7}"/>
    <hyperlink ref="B3610" r:id="rId10826" display="https://statiz.sporki.com/add/?m=draft_school01&amp;ps_school=50701" xr:uid="{D9E2162A-57C7-4273-98FD-EBCEA01F3477}"/>
    <hyperlink ref="C3610" r:id="rId10827" display="https://statiz.sporki.com/add/?m=draft_school02&amp;ps_school=60109" xr:uid="{70F0D529-C35E-4111-A500-AC823AD521CB}"/>
    <hyperlink ref="A3611" r:id="rId10828" display="https://statiz.sporki.com/player/?m=playerinfo&amp;p_no=1376" xr:uid="{4746E84C-FFE9-46C1-9504-0F84AC6B4D9A}"/>
    <hyperlink ref="B3611" r:id="rId10829" display="https://statiz.sporki.com/add/?m=draft_school01&amp;ps_school=50107" xr:uid="{BCB4AAD8-E128-4956-BAC9-B346A00A49E5}"/>
    <hyperlink ref="C3611" r:id="rId10830" display="https://statiz.sporki.com/add/?m=draft_school02&amp;ps_school=60111" xr:uid="{F094A1D5-872A-4103-9820-64913D56576E}"/>
    <hyperlink ref="A3612" r:id="rId10831" display="https://statiz.sporki.com/player/?m=playerinfo&amp;p_no=1371" xr:uid="{29AFA1DC-56C8-4AF1-8B4A-2CB1A1ED05C1}"/>
    <hyperlink ref="B3612" r:id="rId10832" display="https://statiz.sporki.com/add/?m=draft_school01&amp;ps_school=50802" xr:uid="{3209AC81-57B0-4807-9AE5-C66BBFCA5194}"/>
    <hyperlink ref="C3612" r:id="rId10833" display="https://statiz.sporki.com/add/?m=draft_school02&amp;ps_school=60803" xr:uid="{174D4191-4488-4C2D-A46B-E90B134D18FF}"/>
    <hyperlink ref="A3613" r:id="rId10834" display="https://statiz.sporki.com/player/?m=playerinfo&amp;p_no=1385" xr:uid="{4FC22DA4-0F9F-4D96-8D75-EB27A0C879F3}"/>
    <hyperlink ref="B3613" r:id="rId10835" display="https://statiz.sporki.com/add/?m=draft_school01&amp;ps_school=50302" xr:uid="{1CFAB1EF-39BE-4565-B63D-1D8A5EA7855C}"/>
    <hyperlink ref="C3613" r:id="rId10836" display="https://statiz.sporki.com/add/?m=draft_school02&amp;ps_school=60703" xr:uid="{1F3D5EF2-04FD-4E49-A7AF-BC6E38073A04}"/>
    <hyperlink ref="A3614" r:id="rId10837" display="https://statiz.sporki.com/player/?m=playerinfo&amp;p_no=1410" xr:uid="{0354F7E9-3FD8-40A3-90B4-399F0981E721}"/>
    <hyperlink ref="B3614" r:id="rId10838" display="https://statiz.sporki.com/add/?m=draft_school01&amp;ps_school=50502" xr:uid="{5F2AB4F7-8B8D-4F69-9563-9EBDE7974762}"/>
    <hyperlink ref="C3614" r:id="rId10839" display="https://statiz.sporki.com/add/?m=draft_school02&amp;ps_school=60501" xr:uid="{DA5851AB-FC39-4B00-9690-1E61CF732733}"/>
    <hyperlink ref="A3615" r:id="rId10840" display="https://statiz.sporki.com/player/?m=playerinfo&amp;p_no=1377" xr:uid="{38769162-EEB3-415F-AA2F-D5DD24E4E358}"/>
    <hyperlink ref="B3615" r:id="rId10841" display="https://statiz.sporki.com/add/?m=draft_school01&amp;ps_school=50608" xr:uid="{36051192-EC20-4912-961C-6C15A55A0BF7}"/>
    <hyperlink ref="C3615" r:id="rId10842" display="https://statiz.sporki.com/add/?m=draft_school02&amp;ps_school=60102" xr:uid="{B83DBB02-B802-497E-B66B-93A069B13EF3}"/>
    <hyperlink ref="A3616" r:id="rId10843" display="https://statiz.sporki.com/player/?m=playerinfo&amp;p_no=15156" xr:uid="{46E74AF8-8F61-4955-83C2-2E5EB815AA14}"/>
    <hyperlink ref="B3616" r:id="rId10844" display="https://statiz.sporki.com/add/?m=draft_school01&amp;ps_school=50403" xr:uid="{49E76E94-7CEF-4ADA-8EC3-705A7E96CA53}"/>
    <hyperlink ref="C3616" r:id="rId10845" display="https://statiz.sporki.com/add/?m=draft_school02&amp;ps_school=60803" xr:uid="{78E0D321-D62B-448D-96D6-BC87D1C99D0F}"/>
    <hyperlink ref="A3617" r:id="rId10846" display="https://statiz.sporki.com/player/?m=playerinfo&amp;p_no=1372" xr:uid="{7496317B-9038-451C-9F8F-F79D69C5E5B3}"/>
    <hyperlink ref="B3617" r:id="rId10847" display="https://statiz.sporki.com/add/?m=draft_school01&amp;ps_school=50602" xr:uid="{8B80DB97-8207-4219-BC6E-77B0F6513FEA}"/>
    <hyperlink ref="C3617" r:id="rId10848" display="https://statiz.sporki.com/add/?m=draft_school02&amp;ps_school=60109" xr:uid="{E7EDDBBF-4613-4C49-81A2-6C5F31151C8B}"/>
    <hyperlink ref="A3618" r:id="rId10849" display="https://statiz.sporki.com/player/?m=playerinfo&amp;p_no=1406" xr:uid="{522E8F3F-52D9-4CC8-8BF2-AE16618E0AF6}"/>
    <hyperlink ref="B3618" r:id="rId10850" display="https://statiz.sporki.com/add/?m=draft_school01&amp;ps_school=50701" xr:uid="{B539BB79-F705-471A-92BD-1035A05B0A6C}"/>
    <hyperlink ref="C3618" r:id="rId10851" display="https://statiz.sporki.com/add/?m=draft_school02&amp;ps_school=60109" xr:uid="{AA2B9E5B-E89A-456B-A943-FC5464C2BA93}"/>
    <hyperlink ref="A3619" r:id="rId10852" display="https://statiz.sporki.com/player/?m=playerinfo&amp;p_no=1383" xr:uid="{5505D2F1-D931-4FB8-8EA3-F8CFF3C8035B}"/>
    <hyperlink ref="B3619" r:id="rId10853" display="https://statiz.sporki.com/add/?m=draft_school01&amp;ps_school=50701" xr:uid="{8A46E276-7E76-4E5E-B35C-738CABB639C3}"/>
    <hyperlink ref="C3619" r:id="rId10854" display="https://statiz.sporki.com/add/?m=draft_school02&amp;ps_school=60109" xr:uid="{4B97BB13-7637-4B46-ACDA-89BC05BE2C4E}"/>
    <hyperlink ref="A3620" r:id="rId10855" display="https://statiz.sporki.com/player/?m=playerinfo&amp;p_no=1404" xr:uid="{FC257FE5-F944-440E-BD58-BF3D841D1C62}"/>
    <hyperlink ref="B3620" r:id="rId10856" display="https://statiz.sporki.com/add/?m=draft_school01&amp;ps_school=50121" xr:uid="{CC342963-925E-4CAA-8B55-2EF5277EEE84}"/>
    <hyperlink ref="C3620" r:id="rId10857" display="https://statiz.sporki.com/add/?m=draft_school02&amp;ps_school=60103" xr:uid="{094D55E4-CB75-487A-82EB-4A9A9F4E2EC2}"/>
    <hyperlink ref="A3621" r:id="rId10858" display="https://statiz.sporki.com/player/?m=playerinfo&amp;p_no=1394" xr:uid="{050D61D8-9E4E-4DD6-B3E6-B174873F8583}"/>
    <hyperlink ref="B3621" r:id="rId10859" display="https://statiz.sporki.com/add/?m=draft_school01&amp;ps_school=50403" xr:uid="{916E5EF1-9F25-41A9-8DEA-59715DD2EDC5}"/>
    <hyperlink ref="C3621" r:id="rId10860" display="https://statiz.sporki.com/add/?m=draft_school02&amp;ps_school=60803" xr:uid="{98FFC434-1CCC-4987-9D00-CAA9C716A579}"/>
    <hyperlink ref="A3622" r:id="rId10861" display="https://statiz.sporki.com/player/?m=playerinfo&amp;p_no=1395" xr:uid="{AE493059-2076-4E31-BFEB-7845C350781C}"/>
    <hyperlink ref="B3622" r:id="rId10862" display="https://statiz.sporki.com/add/?m=draft_school01&amp;ps_school=50114" xr:uid="{3DCF0332-90C2-421C-988E-3CB538EDD477}"/>
    <hyperlink ref="C3622" r:id="rId10863" display="https://statiz.sporki.com/add/?m=draft_school02&amp;ps_school=60102" xr:uid="{B338A76E-EB0E-4A17-B92B-1A1D38D66205}"/>
    <hyperlink ref="A3623" r:id="rId10864" display="https://statiz.sporki.com/player/?m=playerinfo&amp;p_no=1389" xr:uid="{2F25B588-6022-41F2-8F2D-A9802FF7B846}"/>
    <hyperlink ref="B3623" r:id="rId10865" display="https://statiz.sporki.com/add/?m=draft_school01&amp;ps_school=50602" xr:uid="{D0AAE1AD-5414-4B14-89A1-C3EF98C39FEF}"/>
    <hyperlink ref="C3623" r:id="rId10866" display="https://statiz.sporki.com/add/?m=draft_school02&amp;ps_school=60108" xr:uid="{DC14CF8D-2B37-4D1B-BC0E-99B5F04B3773}"/>
    <hyperlink ref="A3624" r:id="rId10867" display="https://statiz.sporki.com/player/?m=playerinfo&amp;p_no=1392" xr:uid="{29A0F0E5-E3A1-4ACC-A117-81C7653EC9B9}"/>
    <hyperlink ref="B3624" r:id="rId10868" display="https://statiz.sporki.com/add/?m=draft_school01&amp;ps_school=50601" xr:uid="{2C767E21-8EA9-4039-9D51-4AD22F027AF1}"/>
    <hyperlink ref="C3624" r:id="rId10869" display="https://statiz.sporki.com/add/?m=draft_school02&amp;ps_school=60203" xr:uid="{8EDA6A59-4D2C-4EA7-B121-755DE85F8297}"/>
    <hyperlink ref="A3625" r:id="rId10870" display="https://statiz.sporki.com/player/?m=playerinfo&amp;p_no=1378" xr:uid="{F7B6DD9B-6C7D-45C2-8FC8-927835F89700}"/>
    <hyperlink ref="B3625" r:id="rId10871" display="https://statiz.sporki.com/add/?m=draft_school01&amp;ps_school=50110" xr:uid="{A47DD7FF-6827-48F8-A2CE-3842E8009F38}"/>
    <hyperlink ref="C3625" r:id="rId10872" display="https://statiz.sporki.com/add/?m=draft_school02&amp;ps_school=60103" xr:uid="{4D58E499-7998-4A11-8B0B-C6E2B8AEC4A9}"/>
    <hyperlink ref="A3626" r:id="rId10873" display="https://statiz.sporki.com/player/?m=playerinfo&amp;p_no=1374" xr:uid="{2B77B2A4-393B-487A-BB1F-6DD8666B1852}"/>
    <hyperlink ref="B3626" r:id="rId10874" display="https://statiz.sporki.com/add/?m=draft_school01&amp;ps_school=50701" xr:uid="{B76A7F9B-BF22-4237-B6E4-27A23D900E24}"/>
    <hyperlink ref="C3626" r:id="rId10875" display="https://statiz.sporki.com/add/?m=draft_school02&amp;ps_school=60703" xr:uid="{20138760-53B1-4AE4-B01D-5E833851318C}"/>
    <hyperlink ref="A3627" r:id="rId10876" display="https://statiz.sporki.com/player/?m=playerinfo&amp;p_no=1379" xr:uid="{527B5A79-75AD-42B1-88A4-AA1554DEFEC0}"/>
    <hyperlink ref="B3627" r:id="rId10877" display="https://statiz.sporki.com/add/?m=draft_school01&amp;ps_school=50403" xr:uid="{33B6317B-9429-41F2-BBBD-A2649589D339}"/>
    <hyperlink ref="C3627" r:id="rId10878" display="https://statiz.sporki.com/add/?m=draft_school02&amp;ps_school=60101" xr:uid="{E5C9D3AA-A9C8-4C38-A065-60C46C8BA6BA}"/>
    <hyperlink ref="A3628" r:id="rId10879" display="https://statiz.sporki.com/player/?m=playerinfo&amp;p_no=1397" xr:uid="{B9C00406-8929-4C33-9965-AB4FEB649C0F}"/>
    <hyperlink ref="B3628" r:id="rId10880" display="https://statiz.sporki.com/add/?m=draft_school01&amp;ps_school=50805" xr:uid="{2D9171E3-A502-4EC4-8825-61A8DC5224A4}"/>
    <hyperlink ref="C3628" r:id="rId10881" display="https://statiz.sporki.com/add/?m=draft_school02&amp;ps_school=60803" xr:uid="{DF6FF90F-A6B6-4CEF-85D7-198177F7B5F6}"/>
    <hyperlink ref="A3629" r:id="rId10882" display="https://statiz.sporki.com/player/?m=playerinfo&amp;p_no=1676" xr:uid="{BC9DBE23-DD33-43B7-9CFC-C57DE7CB2185}"/>
    <hyperlink ref="B3629" r:id="rId10883" display="https://statiz.sporki.com/add/?m=draft_school01&amp;ps_school=50301" xr:uid="{B8B7ECE5-BAAF-46DD-9812-EAB16E8D3CCF}"/>
    <hyperlink ref="C3629" r:id="rId10884" display="https://statiz.sporki.com/add/?m=draft_school02&amp;ps_school=60801" xr:uid="{9441D289-E09B-4705-8167-260C1B2C8B0C}"/>
    <hyperlink ref="A3630" r:id="rId10885" display="https://statiz.sporki.com/player/?m=playerinfo&amp;p_no=1399" xr:uid="{B8418AA1-15EC-439B-805D-7FE7FADB143B}"/>
    <hyperlink ref="B3630" r:id="rId10886" display="https://statiz.sporki.com/add/?m=draft_school01&amp;ps_school=" xr:uid="{23960C94-8AF5-4C54-9288-D7C9F598312D}"/>
    <hyperlink ref="C3630" r:id="rId10887" display="https://statiz.sporki.com/add/?m=draft_school02&amp;ps_school=60101" xr:uid="{3A1FE7D3-2A91-4DEE-9C27-A7D550698769}"/>
    <hyperlink ref="A3631" r:id="rId10888" display="https://statiz.sporki.com/player/?m=playerinfo&amp;p_no=11472" xr:uid="{B04400BF-F8E5-4F51-9202-85FC607810FE}"/>
    <hyperlink ref="B3631" r:id="rId10889" display="https://statiz.sporki.com/add/?m=draft_school01&amp;ps_school=50110" xr:uid="{9C470A01-5067-4145-8E29-AF6215AC26AD}"/>
    <hyperlink ref="C3631" r:id="rId10890" display="https://statiz.sporki.com/add/?m=draft_school02&amp;ps_school=60203" xr:uid="{3AE63CB5-0777-44DD-B127-F5A2E6BC118E}"/>
    <hyperlink ref="A3632" r:id="rId10891" display="https://statiz.sporki.com/player/?m=playerinfo&amp;p_no=1391" xr:uid="{FE8C86D3-5BBF-46A0-AB38-3499B2FF21F8}"/>
    <hyperlink ref="B3632" r:id="rId10892" display="https://statiz.sporki.com/add/?m=draft_school01&amp;ps_school=50608" xr:uid="{26082ACD-515E-45FA-BA89-E5DE8840EEEB}"/>
    <hyperlink ref="C3632" r:id="rId10893" display="https://statiz.sporki.com/add/?m=draft_school02&amp;ps_school=60203" xr:uid="{67E508A3-0C4A-46D3-B88D-439C7E86782B}"/>
    <hyperlink ref="A3633" r:id="rId10894" display="https://statiz.sporki.com/player/?m=playerinfo&amp;p_no=1599" xr:uid="{A0B72259-EC46-4E0B-B42E-4CEF97631B11}"/>
    <hyperlink ref="B3633" r:id="rId10895" display="https://statiz.sporki.com/add/?m=draft_school01&amp;ps_school=50602" xr:uid="{3D0E0E91-B58B-46F5-86E2-DE6390F2CB0D}"/>
    <hyperlink ref="C3633" r:id="rId10896" display="https://statiz.sporki.com/add/?m=draft_school02&amp;ps_school=60103" xr:uid="{E8A75771-C86E-4685-BDCB-5227318D423E}"/>
    <hyperlink ref="A3634" r:id="rId10897" display="https://statiz.sporki.com/player/?m=playerinfo&amp;p_no=1413" xr:uid="{39856012-E23B-4CD5-B6A9-893089270E2E}"/>
    <hyperlink ref="B3634" r:id="rId10898" display="https://statiz.sporki.com/add/?m=draft_school01&amp;ps_school=50502" xr:uid="{5B101430-CA1F-4450-83D4-4606C50CA6F3}"/>
    <hyperlink ref="C3634" r:id="rId10899" display="https://statiz.sporki.com/add/?m=draft_school02&amp;ps_school=" xr:uid="{7BB727FA-EFE1-404F-AC21-B26BBD69F080}"/>
    <hyperlink ref="A3635" r:id="rId10900" display="https://statiz.sporki.com/player/?m=playerinfo&amp;p_no=1388" xr:uid="{47A62A54-2286-4EB6-9A10-AF5793373D41}"/>
    <hyperlink ref="B3635" r:id="rId10901" display="https://statiz.sporki.com/add/?m=draft_school01&amp;ps_school=" xr:uid="{090914D7-E4B2-44D0-B9A7-D22103597772}"/>
    <hyperlink ref="C3635" r:id="rId10902" display="https://statiz.sporki.com/add/?m=draft_school02&amp;ps_school=" xr:uid="{FF387B0A-B1B8-4D04-AF86-091EEAF62B76}"/>
    <hyperlink ref="A3636" r:id="rId10903" display="https://statiz.sporki.com/player/?m=playerinfo&amp;p_no=1390" xr:uid="{4900B4CD-0A5D-4DA5-BDE9-541C6793AAB6}"/>
    <hyperlink ref="B3636" r:id="rId10904" display="https://statiz.sporki.com/add/?m=draft_school01&amp;ps_school=" xr:uid="{DF53F074-DF3E-4BC7-B88F-A568A94C5CC6}"/>
    <hyperlink ref="C3636" r:id="rId10905" display="https://statiz.sporki.com/add/?m=draft_school02&amp;ps_school=" xr:uid="{70AE5611-00A1-4642-AEA1-81E57F70DAC2}"/>
    <hyperlink ref="A3637" r:id="rId10906" display="https://statiz.sporki.com/player/?m=playerinfo&amp;p_no=1401" xr:uid="{7DA2E4AF-4B4F-4C49-8A5F-BBD352264093}"/>
    <hyperlink ref="B3637" r:id="rId10907" display="https://statiz.sporki.com/add/?m=draft_school01&amp;ps_school=" xr:uid="{258BB060-0D81-4015-9ADF-1EFC48F852E7}"/>
    <hyperlink ref="C3637" r:id="rId10908" display="https://statiz.sporki.com/add/?m=draft_school02&amp;ps_school=" xr:uid="{B082983A-6254-462E-8AFD-E538FE92C009}"/>
    <hyperlink ref="A3638" r:id="rId10909" display="https://statiz.sporki.com/player/?m=playerinfo&amp;p_no=1416" xr:uid="{9B264C90-005F-4866-B123-55E3D6C1FF4F}"/>
    <hyperlink ref="B3638" r:id="rId10910" display="https://statiz.sporki.com/add/?m=draft_school01&amp;ps_school=51100" xr:uid="{D1CB1C4C-C018-4C4C-93D9-4154908CDEFE}"/>
    <hyperlink ref="C3638" r:id="rId10911" display="https://statiz.sporki.com/add/?m=draft_school02&amp;ps_school=" xr:uid="{0CCFC451-2435-4ECC-8C55-8562761A91BD}"/>
    <hyperlink ref="A3639" r:id="rId10912" display="https://statiz.sporki.com/player/?m=playerinfo&amp;p_no=1405" xr:uid="{B15471B5-E5D9-4759-94D2-31F5A657B482}"/>
    <hyperlink ref="B3639" r:id="rId10913" display="https://statiz.sporki.com/add/?m=draft_school01&amp;ps_school=" xr:uid="{40FBD31A-3C0E-4EE2-AE6A-932F5A23E3C6}"/>
    <hyperlink ref="C3639" r:id="rId10914" display="https://statiz.sporki.com/add/?m=draft_school02&amp;ps_school=" xr:uid="{E7643B26-8A8A-4EFB-A167-CF4E5914FC3F}"/>
    <hyperlink ref="A3640" r:id="rId10915" display="https://statiz.sporki.com/player/?m=playerinfo&amp;p_no=1375" xr:uid="{23BBFC20-4A18-4E13-BF7A-84A30A8C306E}"/>
    <hyperlink ref="B3640" r:id="rId10916" display="https://statiz.sporki.com/add/?m=draft_school01&amp;ps_school=50108" xr:uid="{81AE24DF-2EE8-4723-810D-34E91C17E71E}"/>
    <hyperlink ref="C3640" r:id="rId10917" display="https://statiz.sporki.com/add/?m=draft_school02&amp;ps_school=60102" xr:uid="{D0FD4E19-9C9B-4126-A1C6-18A1A5FF1324}"/>
    <hyperlink ref="A3641" r:id="rId10918" display="https://statiz.sporki.com/player/?m=playerinfo&amp;p_no=1409" xr:uid="{D64581DB-85D7-42CB-A4F4-AD630DF06114}"/>
    <hyperlink ref="B3641" r:id="rId10919" display="https://statiz.sporki.com/add/?m=draft_school01&amp;ps_school=50815" xr:uid="{552D0A75-8BB7-4439-841A-BB1538D0103D}"/>
    <hyperlink ref="C3641" r:id="rId10920" display="https://statiz.sporki.com/add/?m=draft_school02&amp;ps_school=" xr:uid="{B743F73C-A677-4BA1-8302-F6E6295BFBCE}"/>
    <hyperlink ref="A3642" r:id="rId10921" display="https://statiz.sporki.com/player/?m=playerinfo&amp;p_no=1400" xr:uid="{D17ED932-94D2-4CEA-BFD3-25381B38030C}"/>
    <hyperlink ref="B3642" r:id="rId10922" display="https://statiz.sporki.com/add/?m=draft_school01&amp;ps_school=50604" xr:uid="{8209B73B-07C4-4879-903C-7D11455B296D}"/>
    <hyperlink ref="C3642" r:id="rId10923" display="https://statiz.sporki.com/add/?m=draft_school02&amp;ps_school=60113" xr:uid="{F4B0E7FF-6092-4EFA-B8DC-09C4DFABF2D7}"/>
    <hyperlink ref="A3643" r:id="rId10924" display="https://statiz.sporki.com/player/?m=playerinfo&amp;p_no=1381" xr:uid="{953C1000-2F94-4C4E-A525-24BCEFEC779D}"/>
    <hyperlink ref="B3643" r:id="rId10925" display="https://statiz.sporki.com/add/?m=draft_school01&amp;ps_school=50904" xr:uid="{D26899CA-C0F1-4DBA-9308-571B11B67562}"/>
    <hyperlink ref="C3643" r:id="rId10926" display="https://statiz.sporki.com/add/?m=draft_school02&amp;ps_school=" xr:uid="{1CBD591C-771F-4806-B3B1-2FE533E5EA77}"/>
    <hyperlink ref="A3644" r:id="rId10927" display="https://statiz.sporki.com/player/?m=playerinfo&amp;p_no=1474" xr:uid="{EDB89C91-C713-4B45-A2D0-E20CDE9FF5E2}"/>
    <hyperlink ref="B3644" r:id="rId10928" display="https://statiz.sporki.com/add/?m=draft_school01&amp;ps_school=50103" xr:uid="{4B5E82A9-DE99-411A-944D-C25A1AE48A59}"/>
    <hyperlink ref="C3644" r:id="rId10929" display="https://statiz.sporki.com/add/?m=draft_school02&amp;ps_school=" xr:uid="{D3D4AD72-9E18-4AA5-B9E4-E81E5BFF8F47}"/>
    <hyperlink ref="A3645" r:id="rId10930" display="https://statiz.sporki.com/player/?m=playerinfo&amp;p_no=1382" xr:uid="{57AAC9B3-29E5-4B64-8369-C6BE27082AE9}"/>
    <hyperlink ref="B3645" r:id="rId10931" display="https://statiz.sporki.com/add/?m=draft_school01&amp;ps_school=50114" xr:uid="{3511E3A9-463E-44AF-9FC7-D18555E14940}"/>
    <hyperlink ref="C3645" r:id="rId10932" display="https://statiz.sporki.com/add/?m=draft_school02&amp;ps_school=" xr:uid="{402BEF8C-6480-42A2-9FDF-A3686DB15564}"/>
    <hyperlink ref="A3646" r:id="rId10933" display="https://statiz.sporki.com/player/?m=playerinfo&amp;p_no=13921" xr:uid="{40D02BB5-246A-4903-A57A-3A6CEAB92CFD}"/>
    <hyperlink ref="B3646" r:id="rId10934" display="https://statiz.sporki.com/add/?m=draft_school01&amp;ps_school=50116" xr:uid="{805FE7F3-346A-4273-93C7-0C92A7A9F4B9}"/>
    <hyperlink ref="C3646" r:id="rId10935" display="https://statiz.sporki.com/add/?m=draft_school02&amp;ps_school=" xr:uid="{5D3CB571-1AED-458E-866A-C8ED3A26CF66}"/>
    <hyperlink ref="A3647" r:id="rId10936" display="https://statiz.sporki.com/player/?m=playerinfo&amp;p_no=1431" xr:uid="{42D5A360-9572-45CF-9351-5243B4B5792E}"/>
    <hyperlink ref="B3647" r:id="rId10937" display="https://statiz.sporki.com/add/?m=draft_school01&amp;ps_school=50103" xr:uid="{E8F30280-8588-40A6-8456-7859FD8152C7}"/>
    <hyperlink ref="C3647" r:id="rId10938" display="https://statiz.sporki.com/add/?m=draft_school02&amp;ps_school=" xr:uid="{8A8D13F5-A225-4F51-A77E-CDFAFC43D7DF}"/>
    <hyperlink ref="A3648" r:id="rId10939" display="https://statiz.sporki.com/player/?m=playerinfo&amp;p_no=1536" xr:uid="{FFA16CE7-D5D1-4326-A92F-DF35E3621865}"/>
    <hyperlink ref="B3648" r:id="rId10940" display="https://statiz.sporki.com/add/?m=draft_school01&amp;ps_school=50110" xr:uid="{8FE14F48-C7E7-4FEC-83EA-0E2E3B7D33EB}"/>
    <hyperlink ref="C3648" r:id="rId10941" display="https://statiz.sporki.com/add/?m=draft_school02&amp;ps_school=" xr:uid="{C353C075-29BE-4B7C-9CD7-F118FA21F08A}"/>
    <hyperlink ref="A3649" r:id="rId10942" display="https://statiz.sporki.com/player/?m=playerinfo&amp;p_no=1419" xr:uid="{798CF7F9-A320-46CA-87A1-11A0C17A314A}"/>
    <hyperlink ref="B3649" r:id="rId10943" display="https://statiz.sporki.com/add/?m=draft_school01&amp;ps_school=50114" xr:uid="{8E4E6BFA-CB5B-4DEE-B040-A07C0AB6A6D7}"/>
    <hyperlink ref="C3649" r:id="rId10944" display="https://statiz.sporki.com/add/?m=draft_school02&amp;ps_school=" xr:uid="{045EACF0-1586-4E28-965A-2566AAB4BB1C}"/>
    <hyperlink ref="A3650" r:id="rId10945" display="https://statiz.sporki.com/player/?m=playerinfo&amp;p_no=1466" xr:uid="{AF0FDF7D-EFBF-4E65-9BE3-AABCCABC7781}"/>
    <hyperlink ref="B3650" r:id="rId10946" display="https://statiz.sporki.com/add/?m=draft_school01&amp;ps_school=50121" xr:uid="{7EB45DAF-6A91-4C63-BC37-072D79304416}"/>
    <hyperlink ref="C3650" r:id="rId10947" display="https://statiz.sporki.com/add/?m=draft_school02&amp;ps_school=" xr:uid="{33228569-7E15-4E34-AB9C-8177A4764190}"/>
    <hyperlink ref="A3651" r:id="rId10948" display="https://statiz.sporki.com/player/?m=playerinfo&amp;p_no=1418" xr:uid="{90185D48-5DF9-41C2-9968-DAC633880B4F}"/>
    <hyperlink ref="B3651" r:id="rId10949" display="https://statiz.sporki.com/add/?m=draft_school01&amp;ps_school=" xr:uid="{AA168A68-82AC-4D36-A030-CBA5C76B524A}"/>
    <hyperlink ref="C3651" r:id="rId10950" display="https://statiz.sporki.com/add/?m=draft_school02&amp;ps_school=" xr:uid="{D6FFCA82-0F37-4E8E-B179-05F330EDF48A}"/>
    <hyperlink ref="A3652" r:id="rId10951" display="https://statiz.sporki.com/player/?m=playerinfo&amp;p_no=1486" xr:uid="{8F2931CE-53ED-4A11-9976-037F593EB6E2}"/>
    <hyperlink ref="B3652" r:id="rId10952" display="https://statiz.sporki.com/add/?m=draft_school01&amp;ps_school=50701" xr:uid="{D61E9CD1-613C-4404-BC88-2C923C8744BD}"/>
    <hyperlink ref="C3652" r:id="rId10953" display="https://statiz.sporki.com/add/?m=draft_school02&amp;ps_school=" xr:uid="{F7932A88-95CD-4590-B2BD-2DA28120119E}"/>
    <hyperlink ref="A3653" r:id="rId10954" display="https://statiz.sporki.com/player/?m=playerinfo&amp;p_no=1408" xr:uid="{664F7DD1-D820-4061-BE81-2E5337BEE2B7}"/>
    <hyperlink ref="B3653" r:id="rId10955" display="https://statiz.sporki.com/add/?m=draft_school01&amp;ps_school=50208" xr:uid="{C9E21E11-6318-473A-9F72-2D2C869D1F04}"/>
    <hyperlink ref="C3653" r:id="rId10956" display="https://statiz.sporki.com/add/?m=draft_school02&amp;ps_school=" xr:uid="{11B8DFEF-D840-47B5-914F-6E0D016E7D60}"/>
    <hyperlink ref="A3654" r:id="rId10957" display="https://statiz.sporki.com/player/?m=playerinfo&amp;p_no=1364" xr:uid="{FBB30AA9-1BB4-4757-BE5A-EC95C37AF747}"/>
    <hyperlink ref="B3654" r:id="rId10958" display="https://statiz.sporki.com/add/?m=draft_school01&amp;ps_school=50805" xr:uid="{68E83377-1AB1-4C5F-BE21-4D5488B78787}"/>
    <hyperlink ref="C3654" r:id="rId10959" display="https://statiz.sporki.com/add/?m=draft_school02&amp;ps_school=60113" xr:uid="{780BAD48-E7F9-41A4-8EE8-976A5661049A}"/>
    <hyperlink ref="A3655" r:id="rId10960" display="https://statiz.sporki.com/player/?m=playerinfo&amp;p_no=1357" xr:uid="{C5A32285-4D6B-4DA9-B3DB-307A3C6A8E42}"/>
    <hyperlink ref="B3655" r:id="rId10961" display="https://statiz.sporki.com/add/?m=draft_school01&amp;ps_school=50122" xr:uid="{E9E69D77-CC78-4923-9F01-B24FE66F547C}"/>
    <hyperlink ref="C3655" r:id="rId10962" display="https://statiz.sporki.com/add/?m=draft_school02&amp;ps_school=60208" xr:uid="{A3E2F592-7916-4D49-AA73-1EE47C776480}"/>
    <hyperlink ref="A3656" r:id="rId10963" display="https://statiz.sporki.com/player/?m=playerinfo&amp;p_no=1439" xr:uid="{F525B1FB-DCBC-407B-9065-BF3B09EBF6E8}"/>
    <hyperlink ref="B3656" r:id="rId10964" display="https://statiz.sporki.com/add/?m=draft_school01&amp;ps_school=50106" xr:uid="{EE09F2BA-B676-4373-A756-BA18E61CF041}"/>
    <hyperlink ref="C3656" r:id="rId10965" display="https://statiz.sporki.com/add/?m=draft_school02&amp;ps_school=60103" xr:uid="{5381521D-C89E-4B8F-BF67-DFE88E67C35B}"/>
    <hyperlink ref="A3657" r:id="rId10966" display="https://statiz.sporki.com/player/?m=playerinfo&amp;p_no=1342" xr:uid="{5515573A-13CE-492D-91C6-99640D944261}"/>
    <hyperlink ref="B3657" r:id="rId10967" display="https://statiz.sporki.com/add/?m=draft_school01&amp;ps_school=50116" xr:uid="{3E77085B-B26F-4487-955D-45F77B614377}"/>
    <hyperlink ref="C3657" r:id="rId10968" display="https://statiz.sporki.com/add/?m=draft_school02&amp;ps_school=60703" xr:uid="{35820E45-7465-4588-9FBC-C02A6CA38810}"/>
    <hyperlink ref="A3658" r:id="rId10969" display="https://statiz.sporki.com/player/?m=playerinfo&amp;p_no=1362" xr:uid="{758203BC-8D56-453D-A838-F02C6DF8FE4B}"/>
    <hyperlink ref="B3658" r:id="rId10970" display="https://statiz.sporki.com/add/?m=draft_school01&amp;ps_school=" xr:uid="{0B720CFD-5142-4DAA-B079-23EEEBC25193}"/>
    <hyperlink ref="C3658" r:id="rId10971" display="https://statiz.sporki.com/add/?m=draft_school02&amp;ps_school=60208" xr:uid="{09FA5353-BB85-4A6D-B9F9-35F01E09C7CE}"/>
    <hyperlink ref="A3659" r:id="rId10972" display="https://statiz.sporki.com/player/?m=playerinfo&amp;p_no=1340" xr:uid="{39BB5277-9A5F-4C3F-A7B9-4049BE16E082}"/>
    <hyperlink ref="B3659" r:id="rId10973" display="https://statiz.sporki.com/add/?m=draft_school01&amp;ps_school=50112" xr:uid="{E122B38A-0FBB-4DD6-A20F-75ED5C6DCB39}"/>
    <hyperlink ref="C3659" r:id="rId10974" display="https://statiz.sporki.com/add/?m=draft_school02&amp;ps_school=60501" xr:uid="{FEAA9CF9-0B09-45BC-9A56-B91A55232CD2}"/>
    <hyperlink ref="A3660" r:id="rId10975" display="https://statiz.sporki.com/player/?m=playerinfo&amp;p_no=1355" xr:uid="{9764CAB3-C1D3-4927-BC86-C197854B8A7E}"/>
    <hyperlink ref="B3660" r:id="rId10976" display="https://statiz.sporki.com/add/?m=draft_school01&amp;ps_school=50803" xr:uid="{815C410C-F9A9-446B-B099-D0E4AB5B9F5B}"/>
    <hyperlink ref="C3660" r:id="rId10977" display="https://statiz.sporki.com/add/?m=draft_school02&amp;ps_school=60111" xr:uid="{2D737732-C641-4583-8D16-1FBDE01F0106}"/>
    <hyperlink ref="A3661" r:id="rId10978" display="https://statiz.sporki.com/player/?m=playerinfo&amp;p_no=1411" xr:uid="{7348757C-608F-4ACD-A8B8-B9F5AFB5D506}"/>
    <hyperlink ref="B3661" r:id="rId10979" display="https://statiz.sporki.com/add/?m=draft_school01&amp;ps_school=50403" xr:uid="{0B990331-CCEB-4BE0-AB20-4C8218D4BFE9}"/>
    <hyperlink ref="C3661" r:id="rId10980" display="https://statiz.sporki.com/add/?m=draft_school02&amp;ps_school=60113" xr:uid="{A62195AB-7A55-4898-B198-FBA3824AFDC0}"/>
    <hyperlink ref="A3662" r:id="rId10981" display="https://statiz.sporki.com/player/?m=playerinfo&amp;p_no=1363" xr:uid="{E32455D5-EDDC-4422-93D0-BDC4F20A797C}"/>
    <hyperlink ref="B3662" r:id="rId10982" display="https://statiz.sporki.com/add/?m=draft_school01&amp;ps_school=50403" xr:uid="{0BD8E067-10A9-4681-BCD1-B998E09A99AD}"/>
    <hyperlink ref="C3662" r:id="rId10983" display="https://statiz.sporki.com/add/?m=draft_school02&amp;ps_school=60803" xr:uid="{F1E0472F-CF5C-4014-B60E-A3A8E9EFE919}"/>
    <hyperlink ref="A3663" r:id="rId10984" display="https://statiz.sporki.com/player/?m=playerinfo&amp;p_no=1353" xr:uid="{78D5E178-9280-429A-85E4-C40900554C9A}"/>
    <hyperlink ref="B3663" r:id="rId10985" display="https://statiz.sporki.com/add/?m=draft_school01&amp;ps_school=50302" xr:uid="{15B20710-007E-4AA2-9584-4D5F3369CDFF}"/>
    <hyperlink ref="C3663" r:id="rId10986" display="https://statiz.sporki.com/add/?m=draft_school02&amp;ps_school=60104" xr:uid="{4E61A979-290D-4F64-ACA4-8473AF2080B2}"/>
    <hyperlink ref="A3664" r:id="rId10987" display="https://statiz.sporki.com/player/?m=playerinfo&amp;p_no=1358" xr:uid="{B61FBF20-E2A5-47CC-8675-D704B4AFEE63}"/>
    <hyperlink ref="B3664" r:id="rId10988" display="https://statiz.sporki.com/add/?m=draft_school01&amp;ps_school=50403" xr:uid="{E1EAB025-ED9C-44E2-9208-B0D9D7F5D03E}"/>
    <hyperlink ref="C3664" r:id="rId10989" display="https://statiz.sporki.com/add/?m=draft_school02&amp;ps_school=60113" xr:uid="{48E6B7C3-F6E3-41D0-BE3C-5E030EA455D8}"/>
    <hyperlink ref="A3665" r:id="rId10990" display="https://statiz.sporki.com/player/?m=playerinfo&amp;p_no=11467" xr:uid="{8684F163-601D-4139-BCC5-33BE2E2C530C}"/>
    <hyperlink ref="B3665" r:id="rId10991" display="https://statiz.sporki.com/add/?m=draft_school01&amp;ps_school=50701" xr:uid="{2A929B56-C77C-44C1-906E-2EF59AD3BA0F}"/>
    <hyperlink ref="C3665" r:id="rId10992" display="https://statiz.sporki.com/add/?m=draft_school02&amp;ps_school=60113" xr:uid="{39A373BE-3B38-40B6-811F-B345F8162C8E}"/>
    <hyperlink ref="A3666" r:id="rId10993" display="https://statiz.sporki.com/player/?m=playerinfo&amp;p_no=1368" xr:uid="{41683C60-EF10-4033-87E4-4B8EE50B86E0}"/>
    <hyperlink ref="B3666" r:id="rId10994" display="https://statiz.sporki.com/add/?m=draft_school01&amp;ps_school=50703" xr:uid="{FB904F0A-79AD-4DDE-BC5A-8BB66AF8F17F}"/>
    <hyperlink ref="C3666" r:id="rId10995" display="https://statiz.sporki.com/add/?m=draft_school02&amp;ps_school=60113" xr:uid="{158DFB19-0691-46F2-AAC8-4AB556ADCAD9}"/>
    <hyperlink ref="A3667" r:id="rId10996" display="https://statiz.sporki.com/player/?m=playerinfo&amp;p_no=1420" xr:uid="{006A1071-46C1-4E1B-AE9E-D5AC6D3AA3DC}"/>
    <hyperlink ref="B3667" r:id="rId10997" display="https://statiz.sporki.com/add/?m=draft_school01&amp;ps_school=50703" xr:uid="{5902FCFA-79B8-48BC-AB41-346DE338168C}"/>
    <hyperlink ref="C3667" r:id="rId10998" display="https://statiz.sporki.com/add/?m=draft_school02&amp;ps_school=60703" xr:uid="{3B4E496F-9E92-419A-BA3E-69C086114CE3}"/>
    <hyperlink ref="A3668" r:id="rId10999" display="https://statiz.sporki.com/player/?m=playerinfo&amp;p_no=1818" xr:uid="{74363BD7-CD7B-4E01-9532-4202AB4D7FD0}"/>
    <hyperlink ref="B3668" r:id="rId11000" display="https://statiz.sporki.com/add/?m=draft_school01&amp;ps_school=50209" xr:uid="{284511E7-78C3-4850-8209-A0B6C50BBD92}"/>
    <hyperlink ref="C3668" r:id="rId11001" display="https://statiz.sporki.com/add/?m=draft_school02&amp;ps_school=60102" xr:uid="{A76802F9-EDC2-489A-B42C-93ED8F6DDEFF}"/>
    <hyperlink ref="A3669" r:id="rId11002" display="https://statiz.sporki.com/player/?m=playerinfo&amp;p_no=1338" xr:uid="{14EE9A68-5972-4B5E-8BB7-8A5CCA579282}"/>
    <hyperlink ref="B3669" r:id="rId11003" display="https://statiz.sporki.com/add/?m=draft_school01&amp;ps_school=50501" xr:uid="{AE81A874-18BF-4FD5-947A-D44A8A53C100}"/>
    <hyperlink ref="C3669" r:id="rId11004" display="https://statiz.sporki.com/add/?m=draft_school02&amp;ps_school=60104" xr:uid="{B08A0596-3A45-4851-B59E-0BA78C254C40}"/>
    <hyperlink ref="A3670" r:id="rId11005" display="https://statiz.sporki.com/player/?m=playerinfo&amp;p_no=1341" xr:uid="{3BAFDE6A-77C4-4D81-97D2-0A0355513C08}"/>
    <hyperlink ref="B3670" r:id="rId11006" display="https://statiz.sporki.com/add/?m=draft_school01&amp;ps_school=50502" xr:uid="{BDB70FEA-595C-4ABC-864F-A12011F685A2}"/>
    <hyperlink ref="C3670" r:id="rId11007" display="https://statiz.sporki.com/add/?m=draft_school02&amp;ps_school=60501" xr:uid="{ED581550-ED8D-48DC-855A-19607A116930}"/>
    <hyperlink ref="A3671" r:id="rId11008" display="https://statiz.sporki.com/player/?m=playerinfo&amp;p_no=1337" xr:uid="{FA4AF0C1-4643-421D-8856-5CDD960C1226}"/>
    <hyperlink ref="B3671" r:id="rId11009" display="https://statiz.sporki.com/add/?m=draft_school01&amp;ps_school=50602" xr:uid="{244C49A3-EFE4-4A9B-BF70-D4EA2801CB65}"/>
    <hyperlink ref="C3671" r:id="rId11010" display="https://statiz.sporki.com/add/?m=draft_school02&amp;ps_school=60104" xr:uid="{2D0343AB-E728-4850-9D77-D8B76F2105A5}"/>
    <hyperlink ref="A3672" r:id="rId11011" display="https://statiz.sporki.com/player/?m=playerinfo&amp;p_no=1359" xr:uid="{D1DAF0AC-4F30-4B22-BD17-6F799F070230}"/>
    <hyperlink ref="B3672" r:id="rId11012" display="https://statiz.sporki.com/add/?m=draft_school01&amp;ps_school=50805" xr:uid="{8B896587-BC75-45C7-B464-B017636BD60C}"/>
    <hyperlink ref="C3672" r:id="rId11013" display="https://statiz.sporki.com/add/?m=draft_school02&amp;ps_school=60803" xr:uid="{D3296353-37BE-4828-B88A-483B540D462B}"/>
    <hyperlink ref="A3673" r:id="rId11014" display="https://statiz.sporki.com/player/?m=playerinfo&amp;p_no=1346" xr:uid="{927D7108-07AA-4967-AC59-620909804068}"/>
    <hyperlink ref="B3673" r:id="rId11015" display="https://statiz.sporki.com/add/?m=draft_school01&amp;ps_school=50703" xr:uid="{AFD81E04-52F4-410D-BB72-CE37485061FD}"/>
    <hyperlink ref="C3673" r:id="rId11016" display="https://statiz.sporki.com/add/?m=draft_school02&amp;ps_school=60703" xr:uid="{02AA7BFA-D708-4BF3-A062-F51FD0E1DD39}"/>
    <hyperlink ref="A3674" r:id="rId11017" display="https://statiz.sporki.com/player/?m=playerinfo&amp;p_no=1366" xr:uid="{3FCC8544-4FED-49B4-9A61-A1601AF61ACD}"/>
    <hyperlink ref="B3674" r:id="rId11018" display="https://statiz.sporki.com/add/?m=draft_school01&amp;ps_school=50501" xr:uid="{01642707-843B-427A-AE7F-92FC8C015B46}"/>
    <hyperlink ref="C3674" r:id="rId11019" display="https://statiz.sporki.com/add/?m=draft_school02&amp;ps_school=60104" xr:uid="{705F181F-BBE2-4A6C-9E60-D15337CF013F}"/>
    <hyperlink ref="A3675" r:id="rId11020" display="https://statiz.sporki.com/player/?m=playerinfo&amp;p_no=1352" xr:uid="{F1A7B55C-877A-4E14-84F9-EE09E7C1841B}"/>
    <hyperlink ref="B3675" r:id="rId11021" display="https://statiz.sporki.com/add/?m=draft_school01&amp;ps_school=50705" xr:uid="{8F7CADB9-851B-42A8-A3C2-0073032D0A38}"/>
    <hyperlink ref="C3675" r:id="rId11022" display="https://statiz.sporki.com/add/?m=draft_school02&amp;ps_school=60803" xr:uid="{397AD1C0-2981-4C0F-BA65-4CB773A5FDD4}"/>
    <hyperlink ref="A3676" r:id="rId11023" display="https://statiz.sporki.com/player/?m=playerinfo&amp;p_no=1398" xr:uid="{DAC70455-B8F3-4748-82B7-1B93EF8A2021}"/>
    <hyperlink ref="B3676" r:id="rId11024" display="https://statiz.sporki.com/add/?m=draft_school01&amp;ps_school=50812" xr:uid="{2A138E3D-B4CF-42B3-91E8-B27A3FD95FE1}"/>
    <hyperlink ref="C3676" r:id="rId11025" display="https://statiz.sporki.com/add/?m=draft_school02&amp;ps_school=60803" xr:uid="{9E84846B-D014-4839-BC26-8A2A89C3E778}"/>
    <hyperlink ref="A3677" r:id="rId11026" display="https://statiz.sporki.com/player/?m=playerinfo&amp;p_no=1349" xr:uid="{7AE99ED6-E9AC-46A2-AFA7-8FD7D75BC502}"/>
    <hyperlink ref="B3677" r:id="rId11027" display="https://statiz.sporki.com/add/?m=draft_school01&amp;ps_school=50701" xr:uid="{18C901C9-9E1E-44D7-8668-29B94214A1BF}"/>
    <hyperlink ref="C3677" r:id="rId11028" display="https://statiz.sporki.com/add/?m=draft_school02&amp;ps_school=60109" xr:uid="{A663A15C-6F35-47F2-A968-E80E1EE23D54}"/>
    <hyperlink ref="A3678" r:id="rId11029" display="https://statiz.sporki.com/player/?m=playerinfo&amp;p_no=1369" xr:uid="{4FA2EF99-C192-494C-A07D-86AB0829039D}"/>
    <hyperlink ref="B3678" r:id="rId11030" display="https://statiz.sporki.com/add/?m=draft_school01&amp;ps_school=50711" xr:uid="{E031C416-B7CD-4BBA-8AE9-A818F33EE9A9}"/>
    <hyperlink ref="C3678" r:id="rId11031" display="https://statiz.sporki.com/add/?m=draft_school02&amp;ps_school=60703" xr:uid="{432F2D2D-827E-4592-82A9-48D5774E03C2}"/>
    <hyperlink ref="A3679" r:id="rId11032" display="https://statiz.sporki.com/player/?m=playerinfo&amp;p_no=1534" xr:uid="{E8D96DAD-4BCB-49BE-8019-7EFCF2B817C3}"/>
    <hyperlink ref="B3679" r:id="rId11033" display="https://statiz.sporki.com/add/?m=draft_school01&amp;ps_school=50803" xr:uid="{A61AAB7A-34FC-4CF4-AD1C-12512D18F083}"/>
    <hyperlink ref="C3679" r:id="rId11034" display="https://statiz.sporki.com/add/?m=draft_school02&amp;ps_school=60801" xr:uid="{17FF7F4D-5C45-42B3-9CCC-33845CCC85F3}"/>
    <hyperlink ref="A3680" r:id="rId11035" display="https://statiz.sporki.com/player/?m=playerinfo&amp;p_no=12713" xr:uid="{6174ADB8-624E-4A3B-9C46-97B00E228313}"/>
    <hyperlink ref="B3680" r:id="rId11036" display="https://statiz.sporki.com/add/?m=draft_school01&amp;ps_school=50703" xr:uid="{2AE6B053-6222-4883-9431-F5E52720C133}"/>
    <hyperlink ref="C3680" r:id="rId11037" display="https://statiz.sporki.com/add/?m=draft_school02&amp;ps_school=60703" xr:uid="{B4189703-F87D-486F-9A0A-9EA67E4B0A9D}"/>
    <hyperlink ref="A3681" r:id="rId11038" display="https://statiz.sporki.com/player/?m=playerinfo&amp;p_no=1356" xr:uid="{E1E7576B-AEE7-4576-B67F-A69C7442482F}"/>
    <hyperlink ref="B3681" r:id="rId11039" display="https://statiz.sporki.com/add/?m=draft_school01&amp;ps_school=50804" xr:uid="{E4443CCE-B98E-49BE-BFD4-F08927A87B5E}"/>
    <hyperlink ref="C3681" r:id="rId11040" display="https://statiz.sporki.com/add/?m=draft_school02&amp;ps_school=60803" xr:uid="{52423C2A-032C-403E-B450-70445F6651F8}"/>
    <hyperlink ref="A3682" r:id="rId11041" display="https://statiz.sporki.com/player/?m=playerinfo&amp;p_no=1387" xr:uid="{07BACF60-2D0A-43C6-978C-0169B8398940}"/>
    <hyperlink ref="B3682" r:id="rId11042" display="https://statiz.sporki.com/add/?m=draft_school01&amp;ps_school=50601" xr:uid="{354B342F-5BC1-4347-B595-4DC5567502AA}"/>
    <hyperlink ref="C3682" r:id="rId11043" display="https://statiz.sporki.com/add/?m=draft_school02&amp;ps_school=60501" xr:uid="{76E6D2D9-9C35-4AEC-97EB-9E4AD911A524}"/>
    <hyperlink ref="A3683" r:id="rId11044" display="https://statiz.sporki.com/player/?m=playerinfo&amp;p_no=1345" xr:uid="{35DED55B-8555-48C7-85E0-ACDE03B59966}"/>
    <hyperlink ref="B3683" r:id="rId11045" display="https://statiz.sporki.com/add/?m=draft_school01&amp;ps_school=" xr:uid="{555DC681-5B5D-4546-815D-44A35CC472EA}"/>
    <hyperlink ref="C3683" r:id="rId11046" display="https://statiz.sporki.com/add/?m=draft_school02&amp;ps_school=60703" xr:uid="{6166FB9A-495B-4839-8291-D69D83872E19}"/>
    <hyperlink ref="A3684" r:id="rId11047" display="https://statiz.sporki.com/player/?m=playerinfo&amp;p_no=1370" xr:uid="{447013F2-C089-4D6B-81A7-2DA45B8F0BED}"/>
    <hyperlink ref="B3684" r:id="rId11048" display="https://statiz.sporki.com/add/?m=draft_school01&amp;ps_school=50701" xr:uid="{E1242CC7-3B43-4E6F-BA37-F0458ECE3935}"/>
    <hyperlink ref="C3684" r:id="rId11049" display="https://statiz.sporki.com/add/?m=draft_school02&amp;ps_school=" xr:uid="{30425426-257F-47C3-9219-355E384BBC88}"/>
    <hyperlink ref="A3685" r:id="rId11050" display="https://statiz.sporki.com/player/?m=playerinfo&amp;p_no=1344" xr:uid="{1A7C403D-B332-4B3B-AFEB-05D1385D173A}"/>
    <hyperlink ref="B3685" r:id="rId11051" display="https://statiz.sporki.com/add/?m=draft_school01&amp;ps_school=50711" xr:uid="{0D6E80F8-DDE1-4C05-968E-E2C339D2A9A2}"/>
    <hyperlink ref="C3685" r:id="rId11052" display="https://statiz.sporki.com/add/?m=draft_school02&amp;ps_school=60703" xr:uid="{E57A9CF4-3CAB-449E-A71A-49C38DF4B188}"/>
    <hyperlink ref="A3686" r:id="rId11053" display="https://statiz.sporki.com/player/?m=playerinfo&amp;p_no=1360" xr:uid="{163907EB-E211-4B0F-BA36-8233CE44DE62}"/>
    <hyperlink ref="B3686" r:id="rId11054" display="https://statiz.sporki.com/add/?m=draft_school01&amp;ps_school=51100" xr:uid="{5BFCEA38-A2E0-4CA0-AB96-C487FAD26F25}"/>
    <hyperlink ref="C3686" r:id="rId11055" display="https://statiz.sporki.com/add/?m=draft_school02&amp;ps_school=" xr:uid="{5FA596EE-A6F7-4198-B231-0D7446EA0AB1}"/>
    <hyperlink ref="A3687" r:id="rId11056" display="https://statiz.sporki.com/player/?m=playerinfo&amp;p_no=1348" xr:uid="{14A8E452-DF0B-4625-95C7-130EB7762CBC}"/>
    <hyperlink ref="B3687" r:id="rId11057" display="https://statiz.sporki.com/add/?m=draft_school01&amp;ps_school=50904" xr:uid="{F690B2C7-4EE5-407C-AFB9-034B3F790E55}"/>
    <hyperlink ref="C3687" r:id="rId11058" display="https://statiz.sporki.com/add/?m=draft_school02&amp;ps_school=" xr:uid="{E1441D03-3D60-4C0F-A827-F88D5117A01A}"/>
    <hyperlink ref="A3688" r:id="rId11059" display="https://statiz.sporki.com/player/?m=playerinfo&amp;p_no=1339" xr:uid="{82D00B78-2F3E-45BD-9F61-50163D8E22D4}"/>
    <hyperlink ref="B3688" r:id="rId11060" display="https://statiz.sporki.com/add/?m=draft_school01&amp;ps_school=50701" xr:uid="{3DFE89C5-D1DC-4D6B-80E5-B2077571A225}"/>
    <hyperlink ref="C3688" r:id="rId11061" display="https://statiz.sporki.com/add/?m=draft_school02&amp;ps_school=60703" xr:uid="{F5BBC052-5B69-4821-9E43-ADC1BA73725D}"/>
    <hyperlink ref="A3689" r:id="rId11062" display="https://statiz.sporki.com/player/?m=playerinfo&amp;p_no=13282" xr:uid="{69470546-E06B-4CDF-BC5B-CE32CDE8C2BE}"/>
    <hyperlink ref="B3689" r:id="rId11063" display="https://statiz.sporki.com/add/?m=draft_school01&amp;ps_school=50403" xr:uid="{0D34B5C4-802C-4127-AE6D-9FDC1A4FA7CF}"/>
    <hyperlink ref="C3689" r:id="rId11064" display="https://statiz.sporki.com/add/?m=draft_school02&amp;ps_school=60803" xr:uid="{0FC91C52-B38D-4203-918A-24C4E7BA9C19}"/>
    <hyperlink ref="A3690" r:id="rId11065" display="https://statiz.sporki.com/player/?m=playerinfo&amp;p_no=1347" xr:uid="{6DF49D93-94D9-4F8B-BE3C-095AAE4F181B}"/>
    <hyperlink ref="B3690" r:id="rId11066" display="https://statiz.sporki.com/add/?m=draft_school01&amp;ps_school=50116" xr:uid="{26D48F20-C2B4-4BE4-A6BD-BB0F21E06ABE}"/>
    <hyperlink ref="C3690" r:id="rId11067" display="https://statiz.sporki.com/add/?m=draft_school02&amp;ps_school=" xr:uid="{0363A4D1-1D7F-49B9-A435-97A7F8B4549A}"/>
    <hyperlink ref="A3691" r:id="rId11068" display="https://statiz.sporki.com/player/?m=playerinfo&amp;p_no=1309" xr:uid="{4A31E9D5-8275-413A-924F-68BBDEE6D7CA}"/>
    <hyperlink ref="B3691" r:id="rId11069" display="https://statiz.sporki.com/add/?m=draft_school01&amp;ps_school=50805" xr:uid="{BE41B7DE-5807-468F-9632-A2C461C0D687}"/>
    <hyperlink ref="C3691" r:id="rId11070" display="https://statiz.sporki.com/add/?m=draft_school02&amp;ps_school=60101" xr:uid="{0B8BA572-D303-4A1F-B4A5-9765596AE041}"/>
    <hyperlink ref="A3692" r:id="rId11071" display="https://statiz.sporki.com/player/?m=playerinfo&amp;p_no=1485" xr:uid="{92E43995-6B26-446B-8C06-9A2C9327845F}"/>
    <hyperlink ref="B3692" r:id="rId11072" display="https://statiz.sporki.com/add/?m=draft_school01&amp;ps_school=50110" xr:uid="{61A83386-AB5E-4A5E-A681-DB26AA8A0C27}"/>
    <hyperlink ref="C3692" r:id="rId11073" display="https://statiz.sporki.com/add/?m=draft_school02&amp;ps_school=60101" xr:uid="{443237B0-BC69-4133-9FEB-CB843A87E1D1}"/>
    <hyperlink ref="A3693" r:id="rId11074" display="https://statiz.sporki.com/player/?m=playerinfo&amp;p_no=1319" xr:uid="{83CAFCC5-82C9-4265-B174-52A83C93E4E1}"/>
    <hyperlink ref="B3693" r:id="rId11075" display="https://statiz.sporki.com/add/?m=draft_school01&amp;ps_school=50109" xr:uid="{8DA0172A-B315-40BF-A137-0568CC39A0F8}"/>
    <hyperlink ref="C3693" r:id="rId11076" display="https://statiz.sporki.com/add/?m=draft_school02&amp;ps_school=60113" xr:uid="{5108289C-08C0-458A-AE53-771AF096AB23}"/>
    <hyperlink ref="A3694" r:id="rId11077" display="https://statiz.sporki.com/player/?m=playerinfo&amp;p_no=1289" xr:uid="{4BC5E954-5F6A-47FF-B257-8227EFD65B25}"/>
    <hyperlink ref="B3694" r:id="rId11078" display="https://statiz.sporki.com/add/?m=draft_school01&amp;ps_school=50106" xr:uid="{8EE039B0-E9A6-47D0-AF0E-F80CA5297077}"/>
    <hyperlink ref="C3694" r:id="rId11079" display="https://statiz.sporki.com/add/?m=draft_school02&amp;ps_school=60108" xr:uid="{CD795E2B-7D8F-46D5-9E66-2E402150953F}"/>
    <hyperlink ref="A3695" r:id="rId11080" display="https://statiz.sporki.com/player/?m=playerinfo&amp;p_no=1293" xr:uid="{CDD87275-FE81-47E2-8553-F6C9B56AD5C1}"/>
    <hyperlink ref="B3695" r:id="rId11081" display="https://statiz.sporki.com/add/?m=draft_school01&amp;ps_school=50110" xr:uid="{DC0C7E9E-3C44-49F6-BAC5-A6D0B3806D79}"/>
    <hyperlink ref="C3695" r:id="rId11082" display="https://statiz.sporki.com/add/?m=draft_school02&amp;ps_school=60103" xr:uid="{3EF2ABCB-B964-4320-8569-634F204137F5}"/>
    <hyperlink ref="A3696" r:id="rId11083" display="https://statiz.sporki.com/player/?m=playerinfo&amp;p_no=1291" xr:uid="{562DEF32-194C-4D0A-A871-546C4FE4CF32}"/>
    <hyperlink ref="B3696" r:id="rId11084" display="https://statiz.sporki.com/add/?m=draft_school01&amp;ps_school=50110" xr:uid="{A343AE1E-05BE-4D1B-9945-F1DB2CFEA6B3}"/>
    <hyperlink ref="C3696" r:id="rId11085" display="https://statiz.sporki.com/add/?m=draft_school02&amp;ps_school=60103" xr:uid="{6DFC535C-7A9F-41B2-80DC-7EDE6866BBE8}"/>
    <hyperlink ref="A3697" r:id="rId11086" display="https://statiz.sporki.com/player/?m=playerinfo&amp;p_no=1275" xr:uid="{860F8989-424E-4C09-8BF6-CD5DEB62174C}"/>
    <hyperlink ref="B3697" r:id="rId11087" display="https://statiz.sporki.com/add/?m=draft_school01&amp;ps_school=50114" xr:uid="{8E3A3CE7-D571-4208-8399-AF297E29C337}"/>
    <hyperlink ref="C3697" r:id="rId11088" display="https://statiz.sporki.com/add/?m=draft_school02&amp;ps_school=60102" xr:uid="{D4CDEF81-5BA8-41E6-91A5-3107B38EC1EA}"/>
    <hyperlink ref="A3698" r:id="rId11089" display="https://statiz.sporki.com/player/?m=playerinfo&amp;p_no=1292" xr:uid="{EF2E7CC9-F216-4D8A-93C2-F76DBF998D8D}"/>
    <hyperlink ref="B3698" r:id="rId11090" display="https://statiz.sporki.com/add/?m=draft_school01&amp;ps_school=50109" xr:uid="{34773EBE-EC6B-4536-9615-84FC2CB47513}"/>
    <hyperlink ref="C3698" r:id="rId11091" display="https://statiz.sporki.com/add/?m=draft_school02&amp;ps_school=60103" xr:uid="{45645935-F2B7-436B-884E-22A0FC403081}"/>
    <hyperlink ref="A3699" r:id="rId11092" display="https://statiz.sporki.com/player/?m=playerinfo&amp;p_no=1325" xr:uid="{AA3EF4A4-9807-40AD-9063-4C16A3DE07BF}"/>
    <hyperlink ref="B3699" r:id="rId11093" display="https://statiz.sporki.com/add/?m=draft_school01&amp;ps_school=50107" xr:uid="{D334C895-FD3E-4839-8698-74B4CA986D07}"/>
    <hyperlink ref="C3699" r:id="rId11094" display="https://statiz.sporki.com/add/?m=draft_school02&amp;ps_school=" xr:uid="{67510B5F-19E7-4493-9CBE-2B1F902F536D}"/>
    <hyperlink ref="A3700" r:id="rId11095" display="https://statiz.sporki.com/player/?m=playerinfo&amp;p_no=11432" xr:uid="{7E3C8BBB-B9A9-4170-BC95-D68C014ECDED}"/>
    <hyperlink ref="B3700" r:id="rId11096" display="https://statiz.sporki.com/add/?m=draft_school01&amp;ps_school=50116" xr:uid="{8FE5DE93-53AE-4FB5-9162-0869A14E81D8}"/>
    <hyperlink ref="C3700" r:id="rId11097" display="https://statiz.sporki.com/add/?m=draft_school02&amp;ps_school=60101" xr:uid="{DA1E5D2B-FBBB-4BDA-B7AA-B8995598E9A0}"/>
    <hyperlink ref="A3701" r:id="rId11098" display="https://statiz.sporki.com/player/?m=playerinfo&amp;p_no=1305" xr:uid="{977C09BD-2E24-45E5-856C-2C55ED14F7A3}"/>
    <hyperlink ref="B3701" r:id="rId11099" display="https://statiz.sporki.com/add/?m=draft_school01&amp;ps_school=" xr:uid="{A54F7CB7-6CE8-4434-9AF6-7CB2121ABF64}"/>
    <hyperlink ref="C3701" r:id="rId11100" display="https://statiz.sporki.com/add/?m=draft_school02&amp;ps_school=60101" xr:uid="{EFAE19E8-4759-44F7-B4DB-4FF38A4870E2}"/>
    <hyperlink ref="A3702" r:id="rId11101" display="https://statiz.sporki.com/player/?m=playerinfo&amp;p_no=1306" xr:uid="{802856FB-DC4E-4D42-BA87-F55E28A54F8D}"/>
    <hyperlink ref="B3702" r:id="rId11102" display="https://statiz.sporki.com/add/?m=draft_school01&amp;ps_school=50803" xr:uid="{CD368CC9-D093-49BC-9D11-F5F647F81BEA}"/>
    <hyperlink ref="C3702" r:id="rId11103" display="https://statiz.sporki.com/add/?m=draft_school02&amp;ps_school=60113" xr:uid="{9799C05B-1FA6-4A34-B9FC-3480F93E8F37}"/>
    <hyperlink ref="A3703" r:id="rId11104" display="https://statiz.sporki.com/player/?m=playerinfo&amp;p_no=1284" xr:uid="{F5895089-53C5-40F2-8048-EADF2AF42BD2}"/>
    <hyperlink ref="B3703" r:id="rId11105" display="https://statiz.sporki.com/add/?m=draft_school01&amp;ps_school=50805" xr:uid="{4845E284-AC76-4F96-8F91-7E70A74DAE1D}"/>
    <hyperlink ref="C3703" r:id="rId11106" display="https://statiz.sporki.com/add/?m=draft_school02&amp;ps_school=60109" xr:uid="{4FF7E4B4-E448-4063-8778-7D6FA381FADC}"/>
    <hyperlink ref="A3704" r:id="rId11107" display="https://statiz.sporki.com/player/?m=playerinfo&amp;p_no=1330" xr:uid="{D9575C56-2CCB-4B48-95B8-0FDF625F3D9F}"/>
    <hyperlink ref="B3704" r:id="rId11108" display="https://statiz.sporki.com/add/?m=draft_school01&amp;ps_school=50812" xr:uid="{91C5B46F-021E-4255-B5A7-BA1FE379D6A7}"/>
    <hyperlink ref="C3704" r:id="rId11109" display="https://statiz.sporki.com/add/?m=draft_school02&amp;ps_school=60109" xr:uid="{F939A9F5-9119-4419-8309-CC78153C60F8}"/>
    <hyperlink ref="A3705" r:id="rId11110" display="https://statiz.sporki.com/player/?m=playerinfo&amp;p_no=1556" xr:uid="{A2E8B126-A21A-422A-A004-ABF74598A55A}"/>
    <hyperlink ref="B3705" r:id="rId11111" display="https://statiz.sporki.com/add/?m=draft_school01&amp;ps_school=50402" xr:uid="{B79248EE-6C99-49C7-8892-078C6D1827E3}"/>
    <hyperlink ref="C3705" r:id="rId11112" display="https://statiz.sporki.com/add/?m=draft_school02&amp;ps_school=60103" xr:uid="{E23E0050-4A67-41AC-80BC-E31BD0E6E7D8}"/>
    <hyperlink ref="A3706" r:id="rId11113" display="https://statiz.sporki.com/player/?m=playerinfo&amp;p_no=1285" xr:uid="{496DD2D0-4CBA-43EB-92C5-699B4F8AF671}"/>
    <hyperlink ref="B3706" r:id="rId11114" display="https://statiz.sporki.com/add/?m=draft_school01&amp;ps_school=50402" xr:uid="{86DDF86C-2FE6-4447-9287-9F3166F35D69}"/>
    <hyperlink ref="C3706" r:id="rId11115" display="https://statiz.sporki.com/add/?m=draft_school02&amp;ps_school=60113" xr:uid="{F5E07DFE-BE00-4D8E-86BB-9EDAA715801B}"/>
    <hyperlink ref="A3707" r:id="rId11116" display="https://statiz.sporki.com/player/?m=playerinfo&amp;p_no=1297" xr:uid="{A0E072A9-F123-4EA5-ADC7-C895F104F0D7}"/>
    <hyperlink ref="B3707" r:id="rId11117" display="https://statiz.sporki.com/add/?m=draft_school01&amp;ps_school=50402" xr:uid="{AAB9D662-30A7-4E5E-B07A-D305577A94BE}"/>
    <hyperlink ref="C3707" r:id="rId11118" display="https://statiz.sporki.com/add/?m=draft_school02&amp;ps_school=60103" xr:uid="{CCF78910-F14E-4635-ADD5-E3252D484C4E}"/>
    <hyperlink ref="A3708" r:id="rId11119" display="https://statiz.sporki.com/player/?m=playerinfo&amp;p_no=1298" xr:uid="{B8822241-45CA-4ECC-ACEC-A7FACDF9A40B}"/>
    <hyperlink ref="B3708" r:id="rId11120" display="https://statiz.sporki.com/add/?m=draft_school01&amp;ps_school=50403" xr:uid="{26567E88-FA1B-469B-BA8A-490824921CEE}"/>
    <hyperlink ref="C3708" r:id="rId11121" display="https://statiz.sporki.com/add/?m=draft_school02&amp;ps_school=60204" xr:uid="{A3819B15-386A-4C75-A530-DC6EE4E7566A}"/>
    <hyperlink ref="A3709" r:id="rId11122" display="https://statiz.sporki.com/player/?m=playerinfo&amp;p_no=1290" xr:uid="{93376942-5441-416B-80ED-A160674C928B}"/>
    <hyperlink ref="B3709" r:id="rId11123" display="https://statiz.sporki.com/add/?m=draft_school01&amp;ps_school=50403" xr:uid="{536AC45E-1E38-49B6-B97F-A138100AC9D8}"/>
    <hyperlink ref="C3709" r:id="rId11124" display="https://statiz.sporki.com/add/?m=draft_school02&amp;ps_school=60803" xr:uid="{073F0B0E-0FF0-4069-A43D-FFA965A806BD}"/>
    <hyperlink ref="A3710" r:id="rId11125" display="https://statiz.sporki.com/player/?m=playerinfo&amp;p_no=1336" xr:uid="{97225612-AD8E-407D-8995-7899F0BDFD86}"/>
    <hyperlink ref="B3710" r:id="rId11126" display="https://statiz.sporki.com/add/?m=draft_school01&amp;ps_school=50301" xr:uid="{7138504F-A406-45EC-8446-8B6900373464}"/>
    <hyperlink ref="C3710" r:id="rId11127" display="https://statiz.sporki.com/add/?m=draft_school02&amp;ps_school=60108" xr:uid="{0E804A2D-909A-4248-992F-1EF566327692}"/>
    <hyperlink ref="A3711" r:id="rId11128" display="https://statiz.sporki.com/player/?m=playerinfo&amp;p_no=1282" xr:uid="{E09D876E-D5DA-429E-8713-C833780C6143}"/>
    <hyperlink ref="B3711" r:id="rId11129" display="https://statiz.sporki.com/add/?m=draft_school01&amp;ps_school=50403" xr:uid="{1047DB4B-BF1C-427F-9C6E-5DEF1C263E92}"/>
    <hyperlink ref="C3711" r:id="rId11130" display="https://statiz.sporki.com/add/?m=draft_school02&amp;ps_school=60113" xr:uid="{90874329-2A4B-4C76-AFF0-9AD73B36FC77}"/>
    <hyperlink ref="A3712" r:id="rId11131" display="https://statiz.sporki.com/player/?m=playerinfo&amp;p_no=1367" xr:uid="{3EBA4B90-0832-4CCE-8733-8913C45D76D6}"/>
    <hyperlink ref="B3712" r:id="rId11132" display="https://statiz.sporki.com/add/?m=draft_school01&amp;ps_school=50711" xr:uid="{EA17DCE0-2261-4365-8536-3389F26BBE33}"/>
    <hyperlink ref="C3712" r:id="rId11133" display="https://statiz.sporki.com/add/?m=draft_school02&amp;ps_school=60111" xr:uid="{7AB4E966-BC23-4EAB-916A-3FE0BED35B89}"/>
    <hyperlink ref="A3713" r:id="rId11134" display="https://statiz.sporki.com/player/?m=playerinfo&amp;p_no=1312" xr:uid="{34F38A5E-A35B-4157-AE9C-8F6002F83448}"/>
    <hyperlink ref="B3713" r:id="rId11135" display="https://statiz.sporki.com/add/?m=draft_school01&amp;ps_school=" xr:uid="{629B6410-9092-4130-95F8-55E6A1CF2FAE}"/>
    <hyperlink ref="C3713" r:id="rId11136" display="https://statiz.sporki.com/add/?m=draft_school02&amp;ps_school=60103" xr:uid="{903E0D79-8049-4EE4-BC0D-D0A28B416E7D}"/>
    <hyperlink ref="A3714" r:id="rId11137" display="https://statiz.sporki.com/player/?m=playerinfo&amp;p_no=1303" xr:uid="{D8AF83CF-1F88-4E96-8909-3DCBBD83C6AA}"/>
    <hyperlink ref="B3714" r:id="rId11138" display="https://statiz.sporki.com/add/?m=draft_school01&amp;ps_school=50703" xr:uid="{19D6BC84-AC98-42A2-92E3-56D4268D3808}"/>
    <hyperlink ref="C3714" r:id="rId11139" display="https://statiz.sporki.com/add/?m=draft_school02&amp;ps_school=60113" xr:uid="{74E57E05-E945-4F81-ADF6-C7C1AE166B59}"/>
    <hyperlink ref="A3715" r:id="rId11140" display="https://statiz.sporki.com/player/?m=playerinfo&amp;p_no=1307" xr:uid="{0942B56B-7E9D-4192-98B6-D99861B4C2ED}"/>
    <hyperlink ref="B3715" r:id="rId11141" display="https://statiz.sporki.com/add/?m=draft_school01&amp;ps_school=50703" xr:uid="{0CFE563A-8981-430F-8F1A-EEF1AA2FFD1D}"/>
    <hyperlink ref="C3715" r:id="rId11142" display="https://statiz.sporki.com/add/?m=draft_school02&amp;ps_school=60703" xr:uid="{ADB54C78-8CB9-4FD6-BE37-248059C72FC7}"/>
    <hyperlink ref="A3716" r:id="rId11143" display="https://statiz.sporki.com/player/?m=playerinfo&amp;p_no=1272" xr:uid="{6E90766C-6BDB-45C4-924E-8A0E01B59E5E}"/>
    <hyperlink ref="B3716" r:id="rId11144" display="https://statiz.sporki.com/add/?m=draft_school01&amp;ps_school=50701" xr:uid="{421CC117-040B-4043-82C4-C1C7CA46B22F}"/>
    <hyperlink ref="C3716" r:id="rId11145" display="https://statiz.sporki.com/add/?m=draft_school02&amp;ps_school=60111" xr:uid="{5C5E0A41-DA14-4A58-BE9D-71EDA4ADC7EC}"/>
    <hyperlink ref="A3717" r:id="rId11146" display="https://statiz.sporki.com/player/?m=playerinfo&amp;p_no=1310" xr:uid="{6E8CA780-41FB-495F-8754-4C676BD68FC2}"/>
    <hyperlink ref="B3717" r:id="rId11147" display="https://statiz.sporki.com/add/?m=draft_school01&amp;ps_school=50209" xr:uid="{C5E8CF4D-9DAB-445B-B211-45105B0ED1FC}"/>
    <hyperlink ref="C3717" r:id="rId11148" display="https://statiz.sporki.com/add/?m=draft_school02&amp;ps_school=60204" xr:uid="{D2928B95-1005-47A0-9162-A734A5FB94F4}"/>
    <hyperlink ref="A3718" r:id="rId11149" display="https://statiz.sporki.com/player/?m=playerinfo&amp;p_no=1301" xr:uid="{284696BC-B7DF-49C0-988D-21F52B875D51}"/>
    <hyperlink ref="B3718" r:id="rId11150" display="https://statiz.sporki.com/add/?m=draft_school01&amp;ps_school=50202" xr:uid="{503F083B-F08B-4C2B-A2C7-013BA2451A40}"/>
    <hyperlink ref="C3718" r:id="rId11151" display="https://statiz.sporki.com/add/?m=draft_school02&amp;ps_school=60111" xr:uid="{14657202-69E5-4D97-B8C7-0706E40B7711}"/>
    <hyperlink ref="A3719" r:id="rId11152" display="https://statiz.sporki.com/player/?m=playerinfo&amp;p_no=1281" xr:uid="{A30FC004-B37C-44EF-BCAA-15B9ACC5E02A}"/>
    <hyperlink ref="B3719" r:id="rId11153" display="https://statiz.sporki.com/add/?m=draft_school01&amp;ps_school=50209" xr:uid="{56A0446C-4317-4BAB-BB19-9D1FB952D68D}"/>
    <hyperlink ref="C3719" r:id="rId11154" display="https://statiz.sporki.com/add/?m=draft_school02&amp;ps_school=60204" xr:uid="{BE177FE0-6882-4A6F-8FF6-75544C8118B5}"/>
    <hyperlink ref="A3720" r:id="rId11155" display="https://statiz.sporki.com/player/?m=playerinfo&amp;p_no=1316" xr:uid="{FEFB8BB3-2413-4FE6-8F8F-9D228DBD6832}"/>
    <hyperlink ref="B3720" r:id="rId11156" display="https://statiz.sporki.com/add/?m=draft_school01&amp;ps_school=50602" xr:uid="{17B5B1A5-FBBC-4910-B488-1F038205F2A1}"/>
    <hyperlink ref="C3720" r:id="rId11157" display="https://statiz.sporki.com/add/?m=draft_school02&amp;ps_school=60101" xr:uid="{9FC77B0C-F362-4521-91C9-68171C802B37}"/>
    <hyperlink ref="A3721" r:id="rId11158" display="https://statiz.sporki.com/player/?m=playerinfo&amp;p_no=1317" xr:uid="{6FE23B7B-7481-42D9-9E8E-C8FCE347DBE7}"/>
    <hyperlink ref="B3721" r:id="rId11159" display="https://statiz.sporki.com/add/?m=draft_school01&amp;ps_school=50502" xr:uid="{D0FAA5CB-843C-44DA-A5F4-75DE623FC979}"/>
    <hyperlink ref="C3721" r:id="rId11160" display="https://statiz.sporki.com/add/?m=draft_school02&amp;ps_school=60103" xr:uid="{7AE28C01-140B-4BC8-87DC-94950F301BA5}"/>
    <hyperlink ref="A3722" r:id="rId11161" display="https://statiz.sporki.com/player/?m=playerinfo&amp;p_no=1327" xr:uid="{02FB47F1-0291-4C76-B29A-FAF29B90C343}"/>
    <hyperlink ref="B3722" r:id="rId11162" display="https://statiz.sporki.com/add/?m=draft_school01&amp;ps_school=50608" xr:uid="{D2F47653-E3B6-42A7-A380-5DD9052BE010}"/>
    <hyperlink ref="C3722" r:id="rId11163" display="https://statiz.sporki.com/add/?m=draft_school02&amp;ps_school=" xr:uid="{B72A3BE7-93A6-4DAA-BC2A-34797801B1C0}"/>
    <hyperlink ref="A3723" r:id="rId11164" display="https://statiz.sporki.com/player/?m=playerinfo&amp;p_no=1313" xr:uid="{40FF3468-040E-4AA3-8DBC-448145CB8A32}"/>
    <hyperlink ref="B3723" r:id="rId11165" display="https://statiz.sporki.com/add/?m=draft_school01&amp;ps_school=50502" xr:uid="{29E6F5F7-8CB2-452D-9F91-142EA3FD1BDD}"/>
    <hyperlink ref="C3723" r:id="rId11166" display="https://statiz.sporki.com/add/?m=draft_school02&amp;ps_school=60501" xr:uid="{0BFCAE52-8D9B-4894-AB2E-67792AEA6F11}"/>
    <hyperlink ref="A3724" r:id="rId11167" display="https://statiz.sporki.com/player/?m=playerinfo&amp;p_no=1300" xr:uid="{FB9FD0A2-72B8-420A-96D1-18FCF43F92E2}"/>
    <hyperlink ref="B3724" r:id="rId11168" display="https://statiz.sporki.com/add/?m=draft_school01&amp;ps_school=50501" xr:uid="{E2E995BF-C80B-4DB7-A301-D2AD16B845DB}"/>
    <hyperlink ref="C3724" r:id="rId11169" display="https://statiz.sporki.com/add/?m=draft_school02&amp;ps_school=60104" xr:uid="{62A5E1E7-362E-469B-8182-ED3335DF4F15}"/>
    <hyperlink ref="A3725" r:id="rId11170" display="https://statiz.sporki.com/player/?m=playerinfo&amp;p_no=1270" xr:uid="{3F4EE6DA-7678-4631-86EB-B042EEF0F65E}"/>
    <hyperlink ref="B3725" r:id="rId11171" display="https://statiz.sporki.com/add/?m=draft_school01&amp;ps_school=50501" xr:uid="{F31A188D-4E12-45D0-AC83-8DEB39B094AA}"/>
    <hyperlink ref="C3725" r:id="rId11172" display="https://statiz.sporki.com/add/?m=draft_school02&amp;ps_school=60104" xr:uid="{7CF2710A-0717-4C43-B091-55BD4400C794}"/>
    <hyperlink ref="A3726" r:id="rId11173" display="https://statiz.sporki.com/player/?m=playerinfo&amp;p_no=1271" xr:uid="{A8981EBC-FC2C-4E0F-96C7-FC57723A8667}"/>
    <hyperlink ref="B3726" r:id="rId11174" display="https://statiz.sporki.com/add/?m=draft_school01&amp;ps_school=50608" xr:uid="{84D5592D-67F9-4B65-9357-A240836D5C6D}"/>
    <hyperlink ref="C3726" r:id="rId11175" display="https://statiz.sporki.com/add/?m=draft_school02&amp;ps_school=60108" xr:uid="{8B6A9600-DC04-4E47-9545-860A96165A20}"/>
    <hyperlink ref="A3727" r:id="rId11176" display="https://statiz.sporki.com/player/?m=playerinfo&amp;p_no=1314" xr:uid="{1EABBC6C-478C-4A3A-B4E6-EA3EBAE80F22}"/>
    <hyperlink ref="B3727" r:id="rId11177" display="https://statiz.sporki.com/add/?m=draft_school01&amp;ps_school=50604" xr:uid="{B0185DF9-B00B-409C-A576-55DCB7501F6B}"/>
    <hyperlink ref="C3727" r:id="rId11178" display="https://statiz.sporki.com/add/?m=draft_school02&amp;ps_school=60109" xr:uid="{03161784-396A-4B5B-83DD-1929405212E4}"/>
    <hyperlink ref="A3728" r:id="rId11179" display="https://statiz.sporki.com/player/?m=playerinfo&amp;p_no=1280" xr:uid="{42E56AFD-2806-4A3F-A6E3-F40ADC7344FC}"/>
    <hyperlink ref="B3728" r:id="rId11180" display="https://statiz.sporki.com/add/?m=draft_school01&amp;ps_school=" xr:uid="{EE9DBC72-0EF7-4422-8F08-666ADA6CDDFD}"/>
    <hyperlink ref="C3728" r:id="rId11181" display="https://statiz.sporki.com/add/?m=draft_school02&amp;ps_school=60204" xr:uid="{E08EBBFF-82B0-4AA0-867C-E81D1423D4E6}"/>
    <hyperlink ref="A3729" r:id="rId11182" display="https://statiz.sporki.com/player/?m=playerinfo&amp;p_no=1329" xr:uid="{AEB7436D-BA7B-4461-A1B4-6D470625877A}"/>
    <hyperlink ref="B3729" r:id="rId11183" display="https://statiz.sporki.com/add/?m=draft_school01&amp;ps_school=50804" xr:uid="{DAFB8DD5-1BDE-4533-8963-EAD6D88311A6}"/>
    <hyperlink ref="C3729" r:id="rId11184" display="https://statiz.sporki.com/add/?m=draft_school02&amp;ps_school=60803" xr:uid="{F0E0A496-9029-4A09-A60B-7AC77DB43D01}"/>
    <hyperlink ref="A3730" r:id="rId11185" display="https://statiz.sporki.com/player/?m=playerinfo&amp;p_no=1539" xr:uid="{4D840E41-94BA-4683-86F1-3747CD4DBC2B}"/>
    <hyperlink ref="B3730" r:id="rId11186" display="https://statiz.sporki.com/add/?m=draft_school01&amp;ps_school=50805" xr:uid="{F032F495-F734-4C51-9224-D7488F7475DB}"/>
    <hyperlink ref="C3730" r:id="rId11187" display="https://statiz.sporki.com/add/?m=draft_school02&amp;ps_school=60103" xr:uid="{931994F6-3719-47AD-8754-3135EB1C1A73}"/>
    <hyperlink ref="A3731" r:id="rId11188" display="https://statiz.sporki.com/player/?m=playerinfo&amp;p_no=1315" xr:uid="{74F94BEF-3DAB-415E-AF3C-990C5FFA72A3}"/>
    <hyperlink ref="B3731" r:id="rId11189" display="https://statiz.sporki.com/add/?m=draft_school01&amp;ps_school=50701" xr:uid="{0F747DA3-BF6E-491C-929F-D2EFDD5CBFF0}"/>
    <hyperlink ref="C3731" r:id="rId11190" display="https://statiz.sporki.com/add/?m=draft_school02&amp;ps_school=60113" xr:uid="{B99EBE74-E8AA-470E-BA82-22166B6BD872}"/>
    <hyperlink ref="A3732" r:id="rId11191" display="https://statiz.sporki.com/player/?m=playerinfo&amp;p_no=1323" xr:uid="{ADA38BE7-28CC-4110-9DA4-F9B791AE23FC}"/>
    <hyperlink ref="B3732" r:id="rId11192" display="https://statiz.sporki.com/add/?m=draft_school01&amp;ps_school=50711" xr:uid="{DE1614A6-550E-4F55-8926-53F6E49F8BFC}"/>
    <hyperlink ref="C3732" r:id="rId11193" display="https://statiz.sporki.com/add/?m=draft_school02&amp;ps_school=60703" xr:uid="{C3E740CA-218B-4309-8A34-6716ADD325A5}"/>
    <hyperlink ref="A3733" r:id="rId11194" display="https://statiz.sporki.com/player/?m=playerinfo&amp;p_no=1288" xr:uid="{92860254-EE04-4E7F-994B-1A3CD654BB27}"/>
    <hyperlink ref="B3733" r:id="rId11195" display="https://statiz.sporki.com/add/?m=draft_school01&amp;ps_school=50112" xr:uid="{730842B3-7CA4-4EA3-9FB4-30A123F4F21E}"/>
    <hyperlink ref="C3733" r:id="rId11196" display="https://statiz.sporki.com/add/?m=draft_school02&amp;ps_school=60103" xr:uid="{BD0DB7A6-8C46-43BB-8980-C007D052A3B0}"/>
    <hyperlink ref="A3734" r:id="rId11197" display="https://statiz.sporki.com/player/?m=playerinfo&amp;p_no=1286" xr:uid="{2F6CD075-3DC5-497C-95F3-95DF79B93169}"/>
    <hyperlink ref="B3734" r:id="rId11198" display="https://statiz.sporki.com/add/?m=draft_school01&amp;ps_school=" xr:uid="{BCF4C7C4-57D8-4CC7-8F2B-B2D80E2983D8}"/>
    <hyperlink ref="C3734" r:id="rId11199" display="https://statiz.sporki.com/add/?m=draft_school02&amp;ps_school=60101" xr:uid="{E4AEC88C-8AF7-4442-8660-9D68183A96D1}"/>
    <hyperlink ref="A3735" r:id="rId11200" display="https://statiz.sporki.com/player/?m=playerinfo&amp;p_no=1283" xr:uid="{34746897-4E83-4D6D-9551-FBFF3BE7DE17}"/>
    <hyperlink ref="B3735" r:id="rId11201" display="https://statiz.sporki.com/add/?m=draft_school01&amp;ps_school=" xr:uid="{85D8BFBD-849A-4E24-A04D-A471CABB5C34}"/>
    <hyperlink ref="C3735" r:id="rId11202" display="https://statiz.sporki.com/add/?m=draft_school02&amp;ps_school=60207" xr:uid="{32D45E9E-EA19-467B-B9C6-CE5ED1A387ED}"/>
    <hyperlink ref="A3736" r:id="rId11203" display="https://statiz.sporki.com/player/?m=playerinfo&amp;p_no=1361" xr:uid="{11B1E6F5-8213-40FB-8624-DF1A1A95F564}"/>
    <hyperlink ref="B3736" r:id="rId11204" display="https://statiz.sporki.com/add/?m=draft_school01&amp;ps_school=50703" xr:uid="{8A032CF1-F4A8-40F6-BFEB-373A54EA9732}"/>
    <hyperlink ref="C3736" r:id="rId11205" display="https://statiz.sporki.com/add/?m=draft_school02&amp;ps_school=60111" xr:uid="{61F41425-0439-42E7-B6FC-0CCD07C46917}"/>
    <hyperlink ref="A3737" r:id="rId11206" display="https://statiz.sporki.com/player/?m=playerinfo&amp;p_no=1302" xr:uid="{62891BCF-99C8-432F-9566-BEB2667C6884}"/>
    <hyperlink ref="B3737" r:id="rId11207" display="https://statiz.sporki.com/add/?m=draft_school01&amp;ps_school=50608" xr:uid="{02E4B878-8112-4421-A1A7-9E799ABCD61C}"/>
    <hyperlink ref="C3737" r:id="rId11208" display="https://statiz.sporki.com/add/?m=draft_school02&amp;ps_school=60108" xr:uid="{F698CFAE-8282-45CF-ABCE-29F8E46D0ACC}"/>
    <hyperlink ref="A3738" r:id="rId11209" display="https://statiz.sporki.com/player/?m=playerinfo&amp;p_no=1322" xr:uid="{4CA5BB0E-A866-4965-AEE5-6C6659EB4A66}"/>
    <hyperlink ref="B3738" r:id="rId11210" display="https://statiz.sporki.com/add/?m=draft_school01&amp;ps_school=" xr:uid="{18431541-48AB-4B1B-8657-624253AA2C92}"/>
    <hyperlink ref="C3738" r:id="rId11211" display="https://statiz.sporki.com/add/?m=draft_school02&amp;ps_school=60104" xr:uid="{72D96D77-0CF4-4089-B1C0-89F97A55CDD0}"/>
    <hyperlink ref="A3739" r:id="rId11212" display="https://statiz.sporki.com/player/?m=playerinfo&amp;p_no=1350" xr:uid="{57F35015-B668-45B7-8614-AB740D96AC6E}"/>
    <hyperlink ref="B3739" r:id="rId11213" display="https://statiz.sporki.com/add/?m=draft_school01&amp;ps_school=50602" xr:uid="{97A4CE2C-DCC5-4FB2-9DB8-279C74F572EB}"/>
    <hyperlink ref="C3739" r:id="rId11214" display="https://statiz.sporki.com/add/?m=draft_school02&amp;ps_school=60108" xr:uid="{F5623C29-44FE-4B1C-951F-807EC4E64417}"/>
    <hyperlink ref="A3740" r:id="rId11215" display="https://statiz.sporki.com/player/?m=playerinfo&amp;p_no=1296" xr:uid="{577F1737-4E11-4D04-AD93-5D753152DB62}"/>
    <hyperlink ref="B3740" r:id="rId11216" display="https://statiz.sporki.com/add/?m=draft_school01&amp;ps_school=50301" xr:uid="{3BB32F2B-28CA-41CB-9AEE-C3CA70F99C6D}"/>
    <hyperlink ref="C3740" r:id="rId11217" display="https://statiz.sporki.com/add/?m=draft_school02&amp;ps_school=" xr:uid="{BCD60876-50FD-4D70-8CF7-0800ED652ABF}"/>
    <hyperlink ref="A3741" r:id="rId11218" display="https://statiz.sporki.com/player/?m=playerinfo&amp;p_no=1331" xr:uid="{768B3225-43A9-4577-BCCD-D394C7F9D6DE}"/>
    <hyperlink ref="B3741" r:id="rId11219" display="https://statiz.sporki.com/add/?m=draft_school01&amp;ps_school=50802" xr:uid="{516CEB84-FC26-4DE9-BE63-0A8ACA82C1DD}"/>
    <hyperlink ref="C3741" r:id="rId11220" display="https://statiz.sporki.com/add/?m=draft_school02&amp;ps_school=60109" xr:uid="{B2CD185F-8468-4247-BB64-B6023E1324F5}"/>
    <hyperlink ref="A3742" r:id="rId11221" display="https://statiz.sporki.com/player/?m=playerinfo&amp;p_no=1333" xr:uid="{A947FFB6-8D59-4A4C-B014-FCE2A3153548}"/>
    <hyperlink ref="B3742" r:id="rId11222" display="https://statiz.sporki.com/add/?m=draft_school01&amp;ps_school=" xr:uid="{CF968902-62CB-431D-ACD6-8CAB252D2CB9}"/>
    <hyperlink ref="C3742" r:id="rId11223" display="https://statiz.sporki.com/add/?m=draft_school02&amp;ps_school=" xr:uid="{DAD84147-0754-4175-B014-D787029C2475}"/>
    <hyperlink ref="A3743" r:id="rId11224" display="https://statiz.sporki.com/player/?m=playerinfo&amp;p_no=1279" xr:uid="{C8BCFD1B-0E1B-4527-B2AF-654F8872D13C}"/>
    <hyperlink ref="B3743" r:id="rId11225" display="https://statiz.sporki.com/add/?m=draft_school01&amp;ps_school=50114" xr:uid="{FAFEA4AB-7F60-4C59-BFC4-EE0E2A6C98AC}"/>
    <hyperlink ref="C3743" r:id="rId11226" display="https://statiz.sporki.com/add/?m=draft_school02&amp;ps_school=60703" xr:uid="{C855B438-BE0C-4CA3-B555-E341276969F5}"/>
    <hyperlink ref="A3744" r:id="rId11227" display="https://statiz.sporki.com/player/?m=playerinfo&amp;p_no=1335" xr:uid="{495B7BB6-EA9B-4C80-965F-BE70E894B426}"/>
    <hyperlink ref="B3744" r:id="rId11228" display="https://statiz.sporki.com/add/?m=draft_school01&amp;ps_school=50125" xr:uid="{AE3C1254-88B0-41EF-B832-62E6F04CE3D5}"/>
    <hyperlink ref="C3744" r:id="rId11229" display="https://statiz.sporki.com/add/?m=draft_school02&amp;ps_school=60104" xr:uid="{1C64B97E-200E-44CF-B334-4C1EC0C1EF66}"/>
    <hyperlink ref="A3745" r:id="rId11230" display="https://statiz.sporki.com/player/?m=playerinfo&amp;p_no=1295" xr:uid="{8AB7FDE3-0077-4788-8686-517C4CC8A314}"/>
    <hyperlink ref="B3745" r:id="rId11231" display="https://statiz.sporki.com/add/?m=draft_school01&amp;ps_school=50701" xr:uid="{035767CD-D879-4D29-A848-EAC57177D872}"/>
    <hyperlink ref="C3745" r:id="rId11232" display="https://statiz.sporki.com/add/?m=draft_school02&amp;ps_school=60703" xr:uid="{64119231-5A3E-431E-ADDA-8974F181A311}"/>
    <hyperlink ref="A3746" r:id="rId11233" display="https://statiz.sporki.com/player/?m=playerinfo&amp;p_no=1274" xr:uid="{C2FDFD34-368C-4CE2-B46A-D79359297060}"/>
    <hyperlink ref="B3746" r:id="rId11234" display="https://statiz.sporki.com/add/?m=draft_school01&amp;ps_school=" xr:uid="{C7546DD5-9C59-427E-AF0D-19C593603DAB}"/>
    <hyperlink ref="C3746" r:id="rId11235" display="https://statiz.sporki.com/add/?m=draft_school02&amp;ps_school=" xr:uid="{7CB30FB8-AB80-46EC-A620-34B6BF93AE52}"/>
    <hyperlink ref="A3747" r:id="rId11236" display="https://statiz.sporki.com/player/?m=playerinfo&amp;p_no=1278" xr:uid="{28AA7B38-7D53-4ED8-A39A-FBB768614308}"/>
    <hyperlink ref="B3747" r:id="rId11237" display="https://statiz.sporki.com/add/?m=draft_school01&amp;ps_school=" xr:uid="{0583CBE0-0657-44C1-AA59-FDE5CC396879}"/>
    <hyperlink ref="C3747" r:id="rId11238" display="https://statiz.sporki.com/add/?m=draft_school02&amp;ps_school=" xr:uid="{613FC153-356C-4907-9CB7-D7376534E266}"/>
    <hyperlink ref="A3748" r:id="rId11239" display="https://statiz.sporki.com/player/?m=playerinfo&amp;p_no=1320" xr:uid="{ED1760ED-724C-4A92-8341-99A78F87CBB6}"/>
    <hyperlink ref="B3748" r:id="rId11240" display="https://statiz.sporki.com/add/?m=draft_school01&amp;ps_school=" xr:uid="{2CFD4B41-2FD1-409D-B9B2-3D04426D915C}"/>
    <hyperlink ref="C3748" r:id="rId11241" display="https://statiz.sporki.com/add/?m=draft_school02&amp;ps_school=" xr:uid="{4BEDA8DC-A719-4109-B067-2ABDC2F01AB4}"/>
    <hyperlink ref="A3749" r:id="rId11242" display="https://statiz.sporki.com/player/?m=playerinfo&amp;p_no=1321" xr:uid="{32801EDB-8F54-46AD-BF2C-E0A475AFB26B}"/>
    <hyperlink ref="B3749" r:id="rId11243" display="https://statiz.sporki.com/add/?m=draft_school01&amp;ps_school=" xr:uid="{5A628604-035B-45EC-9038-DBA2D6EF526E}"/>
    <hyperlink ref="C3749" r:id="rId11244" display="https://statiz.sporki.com/add/?m=draft_school02&amp;ps_school=" xr:uid="{54601B6C-07C8-438F-AE36-2B0CA56B3E46}"/>
    <hyperlink ref="A3750" r:id="rId11245" display="https://statiz.sporki.com/player/?m=playerinfo&amp;p_no=1277" xr:uid="{F1E2DC8B-EA8A-43CF-82B5-700F898F297F}"/>
    <hyperlink ref="B3750" r:id="rId11246" display="https://statiz.sporki.com/add/?m=draft_school01&amp;ps_school=" xr:uid="{B8D29123-7526-4556-B026-D629B3B4343A}"/>
    <hyperlink ref="C3750" r:id="rId11247" display="https://statiz.sporki.com/add/?m=draft_school02&amp;ps_school=" xr:uid="{873E7169-70B1-4F59-91F6-4E34EAC1A414}"/>
    <hyperlink ref="A3751" r:id="rId11248" display="https://statiz.sporki.com/player/?m=playerinfo&amp;p_no=1326" xr:uid="{E6AE9B12-9993-468D-9F5C-09C402980040}"/>
    <hyperlink ref="B3751" r:id="rId11249" display="https://statiz.sporki.com/add/?m=draft_school01&amp;ps_school=50608" xr:uid="{9D246FFD-3CF4-411E-9FEF-B44E8195D532}"/>
    <hyperlink ref="C3751" r:id="rId11250" display="https://statiz.sporki.com/add/?m=draft_school02&amp;ps_school=" xr:uid="{4464F39F-122B-4DED-9A1A-1ABC3E9EBFFB}"/>
    <hyperlink ref="A3752" r:id="rId11251" display="https://statiz.sporki.com/player/?m=playerinfo&amp;p_no=1354" xr:uid="{FF081D22-0D10-492E-9F1B-69946675A56A}"/>
    <hyperlink ref="B3752" r:id="rId11252" display="https://statiz.sporki.com/add/?m=draft_school01&amp;ps_school=50301" xr:uid="{60D1218F-A504-4638-AAD0-E0BC907F5972}"/>
    <hyperlink ref="C3752" r:id="rId11253" display="https://statiz.sporki.com/add/?m=draft_school02&amp;ps_school=" xr:uid="{2E789BD3-A9F9-4E4B-98BC-4C43DCDEC840}"/>
    <hyperlink ref="A3753" r:id="rId11254" display="https://statiz.sporki.com/player/?m=playerinfo&amp;p_no=1287" xr:uid="{2AA5C7A4-68DB-4AE2-B6A3-34CFFA038119}"/>
    <hyperlink ref="B3753" r:id="rId11255" display="https://statiz.sporki.com/add/?m=draft_school01&amp;ps_school=50202" xr:uid="{5622477E-0C70-4DB8-9CBE-FF1316FDB839}"/>
    <hyperlink ref="C3753" r:id="rId11256" display="https://statiz.sporki.com/add/?m=draft_school02&amp;ps_school=" xr:uid="{E7715A6B-1708-44E3-928D-5750326B613D}"/>
    <hyperlink ref="A3754" r:id="rId11257" display="https://statiz.sporki.com/player/?m=playerinfo&amp;p_no=1531" xr:uid="{5736158D-A3FF-48E9-8561-EFAF2A387A54}"/>
    <hyperlink ref="B3754" r:id="rId11258" display="https://statiz.sporki.com/add/?m=draft_school01&amp;ps_school=50609" xr:uid="{037D41F6-EA87-4BBA-8377-BABB414F3862}"/>
    <hyperlink ref="C3754" r:id="rId11259" display="https://statiz.sporki.com/add/?m=draft_school02&amp;ps_school=" xr:uid="{A0014D85-0367-4E2B-8499-0E417C5F02AD}"/>
    <hyperlink ref="A3755" r:id="rId11260" display="https://statiz.sporki.com/player/?m=playerinfo&amp;p_no=1251" xr:uid="{321D15A8-2C61-4C82-B2EC-AB4CAB4AA2AA}"/>
    <hyperlink ref="B3755" r:id="rId11261" display="https://statiz.sporki.com/add/?m=draft_school01&amp;ps_school=50107" xr:uid="{F3C94CE6-4611-4E2E-AC62-F8FAB843EEF7}"/>
    <hyperlink ref="C3755" r:id="rId11262" display="https://statiz.sporki.com/add/?m=draft_school02&amp;ps_school=60113" xr:uid="{1B1FEA69-0A7D-42E6-8F79-45DEF8A8B6B9}"/>
    <hyperlink ref="A3756" r:id="rId11263" display="https://statiz.sporki.com/player/?m=playerinfo&amp;p_no=1252" xr:uid="{028AD229-B0C1-4908-8EC5-18D3CCBCE014}"/>
    <hyperlink ref="B3756" r:id="rId11264" display="https://statiz.sporki.com/add/?m=draft_school01&amp;ps_school=50711" xr:uid="{C25F3409-7D4C-4F10-902D-B18C67784F06}"/>
    <hyperlink ref="C3756" r:id="rId11265" display="https://statiz.sporki.com/add/?m=draft_school02&amp;ps_school=60113" xr:uid="{2DA74D39-0C31-4405-9D89-45C10BBA8C1C}"/>
    <hyperlink ref="A3757" r:id="rId11266" display="https://statiz.sporki.com/player/?m=playerinfo&amp;p_no=1328" xr:uid="{AF4B34C6-E551-4B22-BAD7-36CC2FE0B9F5}"/>
    <hyperlink ref="B3757" r:id="rId11267" display="https://statiz.sporki.com/add/?m=draft_school01&amp;ps_school=50121" xr:uid="{BB79F719-7D17-4498-B1EB-326428D65A8D}"/>
    <hyperlink ref="C3757" r:id="rId11268" display="https://statiz.sporki.com/add/?m=draft_school02&amp;ps_school=" xr:uid="{CF870A9E-7EEE-4762-823E-99ED6F2C8489}"/>
    <hyperlink ref="A3758" r:id="rId11269" display="https://statiz.sporki.com/player/?m=playerinfo&amp;p_no=1259" xr:uid="{A1D2AD7F-8D9D-474F-A780-A54C3FE8DE3C}"/>
    <hyperlink ref="B3758" r:id="rId11270" display="https://statiz.sporki.com/add/?m=draft_school01&amp;ps_school=50121" xr:uid="{2AB11C06-7329-4244-9742-419732D4847E}"/>
    <hyperlink ref="C3758" r:id="rId11271" display="https://statiz.sporki.com/add/?m=draft_school02&amp;ps_school=60111" xr:uid="{F036B405-F15C-493B-A8E4-8A3442C13A05}"/>
    <hyperlink ref="A3759" r:id="rId11272" display="https://statiz.sporki.com/player/?m=playerinfo&amp;p_no=1258" xr:uid="{96AAAA1E-3E31-4FA4-A694-B66C1413B763}"/>
    <hyperlink ref="B3759" r:id="rId11273" display="https://statiz.sporki.com/add/?m=draft_school01&amp;ps_school=50125" xr:uid="{E29577E2-EBD9-48CC-91F5-81D61283477B}"/>
    <hyperlink ref="C3759" r:id="rId11274" display="https://statiz.sporki.com/add/?m=draft_school02&amp;ps_school=60103" xr:uid="{CEEFCC89-2400-4ACA-8250-B3A93603BAC6}"/>
    <hyperlink ref="A3760" r:id="rId11275" display="https://statiz.sporki.com/player/?m=playerinfo&amp;p_no=1247" xr:uid="{6FD0E7CA-8B18-4BD4-BBDB-7407B9B5BA0B}"/>
    <hyperlink ref="B3760" r:id="rId11276" display="https://statiz.sporki.com/add/?m=draft_school01&amp;ps_school=50122" xr:uid="{8BE47D64-EF00-4EE0-AA67-F28EBBD17DE7}"/>
    <hyperlink ref="C3760" r:id="rId11277" display="https://statiz.sporki.com/add/?m=draft_school02&amp;ps_school=" xr:uid="{CC845613-8F91-4265-8D1A-6DE0759B748B}"/>
    <hyperlink ref="A3761" r:id="rId11278" display="https://statiz.sporki.com/player/?m=playerinfo&amp;p_no=1246" xr:uid="{EDBE93E5-FCF3-4FC0-8C59-05A0B56AEEC4}"/>
    <hyperlink ref="B3761" r:id="rId11279" display="https://statiz.sporki.com/add/?m=draft_school01&amp;ps_school=50109" xr:uid="{2DC9B843-BDC6-4137-8073-2BE091C03141}"/>
    <hyperlink ref="C3761" r:id="rId11280" display="https://statiz.sporki.com/add/?m=draft_school02&amp;ps_school=60103" xr:uid="{7871662D-824B-4FC6-AB60-884D7556D739}"/>
    <hyperlink ref="A3762" r:id="rId11281" display="https://statiz.sporki.com/player/?m=playerinfo&amp;p_no=1239" xr:uid="{6FAB0399-280A-46CB-83C0-3772CAC3F704}"/>
    <hyperlink ref="B3762" r:id="rId11282" display="https://statiz.sporki.com/add/?m=draft_school01&amp;ps_school=50110" xr:uid="{19B53351-417B-4F66-B2D7-E4130F1734C1}"/>
    <hyperlink ref="C3762" r:id="rId11283" display="https://statiz.sporki.com/add/?m=draft_school02&amp;ps_school=60111" xr:uid="{19265003-2FFD-497C-B703-A4C4DE2C1623}"/>
    <hyperlink ref="A3763" r:id="rId11284" display="https://statiz.sporki.com/player/?m=playerinfo&amp;p_no=1236" xr:uid="{635CE5D7-7C68-435F-A4BD-A5EEC056ECF2}"/>
    <hyperlink ref="B3763" r:id="rId11285" display="https://statiz.sporki.com/add/?m=draft_school01&amp;ps_school=" xr:uid="{B541DD10-5FCF-461A-BECA-F0F4BE99081E}"/>
    <hyperlink ref="C3763" r:id="rId11286" display="https://statiz.sporki.com/add/?m=draft_school02&amp;ps_school=60104" xr:uid="{FD617FB8-9632-433D-A6D4-C68EF3B4BACA}"/>
    <hyperlink ref="A3764" r:id="rId11287" display="https://statiz.sporki.com/player/?m=playerinfo&amp;p_no=1273" xr:uid="{7917FC3B-162A-4257-829E-DC93626D2B97}"/>
    <hyperlink ref="B3764" r:id="rId11288" display="https://statiz.sporki.com/add/?m=draft_school01&amp;ps_school=50703" xr:uid="{12B45141-D85E-4809-9523-CBDD78096A3F}"/>
    <hyperlink ref="C3764" r:id="rId11289" display="https://statiz.sporki.com/add/?m=draft_school02&amp;ps_school=60703" xr:uid="{29962939-60D5-4468-A156-6B70DF0D39DC}"/>
    <hyperlink ref="A3765" r:id="rId11290" display="https://statiz.sporki.com/player/?m=playerinfo&amp;p_no=1242" xr:uid="{0C1AA75A-232D-4367-9887-E409D12F45DC}"/>
    <hyperlink ref="B3765" r:id="rId11291" display="https://statiz.sporki.com/add/?m=draft_school01&amp;ps_school=50802" xr:uid="{9A50EF65-E8E1-402F-A67B-28528F200118}"/>
    <hyperlink ref="C3765" r:id="rId11292" display="https://statiz.sporki.com/add/?m=draft_school02&amp;ps_school=60803" xr:uid="{26A03082-613B-432E-9DD4-4E360E1C07C4}"/>
    <hyperlink ref="A3766" r:id="rId11293" display="https://statiz.sporki.com/player/?m=playerinfo&amp;p_no=1248" xr:uid="{CED4A20C-A6C3-45CB-AD07-F824CE90EE0D}"/>
    <hyperlink ref="B3766" r:id="rId11294" display="https://statiz.sporki.com/add/?m=draft_school01&amp;ps_school=50812" xr:uid="{00DACF38-813B-40EA-99E4-5E73233619DE}"/>
    <hyperlink ref="C3766" r:id="rId11295" display="https://statiz.sporki.com/add/?m=draft_school02&amp;ps_school=60803" xr:uid="{F8868A21-E1AB-491D-B234-CCED9977F887}"/>
    <hyperlink ref="A3767" r:id="rId11296" display="https://statiz.sporki.com/player/?m=playerinfo&amp;p_no=1256" xr:uid="{F5E59F52-7CE7-4D16-BCF6-6E8EB8049501}"/>
    <hyperlink ref="B3767" r:id="rId11297" display="https://statiz.sporki.com/add/?m=draft_school01&amp;ps_school=50805" xr:uid="{A7DA7EBF-0AA2-4323-9723-CC192385A7B8}"/>
    <hyperlink ref="C3767" r:id="rId11298" display="https://statiz.sporki.com/add/?m=draft_school02&amp;ps_school=60103" xr:uid="{7BB37B08-AAE6-49DB-B038-7ECD6FA7B6DB}"/>
    <hyperlink ref="A3768" r:id="rId11299" display="https://statiz.sporki.com/player/?m=playerinfo&amp;p_no=1262" xr:uid="{EFF902F5-4D9B-45C3-8008-E10E16BCA1CE}"/>
    <hyperlink ref="B3768" r:id="rId11300" display="https://statiz.sporki.com/add/?m=draft_school01&amp;ps_school=50807" xr:uid="{F0BF43FB-20CF-4826-989F-8BA4FCDC9E71}"/>
    <hyperlink ref="C3768" r:id="rId11301" display="https://statiz.sporki.com/add/?m=draft_school02&amp;ps_school=60803" xr:uid="{D7204330-013D-44FD-8D09-37FB226EF484}"/>
    <hyperlink ref="A3769" r:id="rId11302" display="https://statiz.sporki.com/player/?m=playerinfo&amp;p_no=1265" xr:uid="{ACEA7305-D4E8-4BAE-B9DB-565861A54034}"/>
    <hyperlink ref="B3769" r:id="rId11303" display="https://statiz.sporki.com/add/?m=draft_school01&amp;ps_school=50807" xr:uid="{92B857B2-6563-4E0F-8439-2458BCA3A11D}"/>
    <hyperlink ref="C3769" r:id="rId11304" display="https://statiz.sporki.com/add/?m=draft_school02&amp;ps_school=" xr:uid="{B431E853-7B1F-4869-84B6-DF8F1B23E336}"/>
    <hyperlink ref="A3770" r:id="rId11305" display="https://statiz.sporki.com/player/?m=playerinfo&amp;p_no=1351" xr:uid="{C296D336-D64A-428C-BF72-662E97D51C47}"/>
    <hyperlink ref="B3770" r:id="rId11306" display="https://statiz.sporki.com/add/?m=draft_school01&amp;ps_school=50805" xr:uid="{F5F4F4AC-091D-4B6B-A96D-0A776D5572CE}"/>
    <hyperlink ref="C3770" r:id="rId11307" display="https://statiz.sporki.com/add/?m=draft_school02&amp;ps_school=60101" xr:uid="{FF0CC9A6-A253-454A-9779-7A133835BA5A}"/>
    <hyperlink ref="A3771" r:id="rId11308" display="https://statiz.sporki.com/player/?m=playerinfo&amp;p_no=1269" xr:uid="{87ED91DF-B551-4458-A75E-07B2BB357658}"/>
    <hyperlink ref="B3771" r:id="rId11309" display="https://statiz.sporki.com/add/?m=draft_school01&amp;ps_school=50403" xr:uid="{99695FA7-D22D-4624-9848-8BAF4B1899A9}"/>
    <hyperlink ref="C3771" r:id="rId11310" display="https://statiz.sporki.com/add/?m=draft_school02&amp;ps_school=60803" xr:uid="{65B1EE64-9DE6-42C5-A563-0D2D67659EC3}"/>
    <hyperlink ref="A3772" r:id="rId11311" display="https://statiz.sporki.com/player/?m=playerinfo&amp;p_no=12994" xr:uid="{C09DC059-9E0C-4DE5-B7B3-18133632166B}"/>
    <hyperlink ref="B3772" r:id="rId11312" display="https://statiz.sporki.com/add/?m=draft_school01&amp;ps_school=50403" xr:uid="{AF8298F9-F201-4F74-AB37-3B818946844E}"/>
    <hyperlink ref="C3772" r:id="rId11313" display="https://statiz.sporki.com/add/?m=draft_school02&amp;ps_school=60113" xr:uid="{D4F97179-3EB4-48C0-AE30-F742DA284EC5}"/>
    <hyperlink ref="A3773" r:id="rId11314" display="https://statiz.sporki.com/player/?m=playerinfo&amp;p_no=1266" xr:uid="{67CE265A-6EAE-4037-BAB7-166CE69ADDD5}"/>
    <hyperlink ref="B3773" r:id="rId11315" display="https://statiz.sporki.com/add/?m=draft_school01&amp;ps_school=50209" xr:uid="{6554D790-83AF-450F-A6D2-2D407B42BB84}"/>
    <hyperlink ref="C3773" r:id="rId11316" display="https://statiz.sporki.com/add/?m=draft_school02&amp;ps_school=60102" xr:uid="{BB72085C-87DB-4260-AE9E-D0A4B15FDB03}"/>
    <hyperlink ref="A3774" r:id="rId11317" display="https://statiz.sporki.com/player/?m=playerinfo&amp;p_no=1254" xr:uid="{A788DEEF-D40E-481F-954C-5A816EE8B091}"/>
    <hyperlink ref="B3774" r:id="rId11318" display="https://statiz.sporki.com/add/?m=draft_school01&amp;ps_school=50121" xr:uid="{8F52EB18-DD19-463C-9636-39126A8521CB}"/>
    <hyperlink ref="C3774" r:id="rId11319" display="https://statiz.sporki.com/add/?m=draft_school02&amp;ps_school=" xr:uid="{70EA03B8-E1FF-4CE6-945E-5AABA9F1240A}"/>
    <hyperlink ref="A3775" r:id="rId11320" display="https://statiz.sporki.com/player/?m=playerinfo&amp;p_no=1254" xr:uid="{86677A70-B9F7-4A4B-8072-71455A0E9172}"/>
    <hyperlink ref="B3775" r:id="rId11321" display="https://statiz.sporki.com/add/?m=draft_school01&amp;ps_school=50121" xr:uid="{3F94FF66-6E3B-4538-B5FF-D82DFA4496E5}"/>
    <hyperlink ref="C3775" r:id="rId11322" display="https://statiz.sporki.com/add/?m=draft_school02&amp;ps_school=" xr:uid="{4DE8B927-F144-4196-B85D-BBD49247263F}"/>
    <hyperlink ref="A3776" r:id="rId11323" display="https://statiz.sporki.com/player/?m=playerinfo&amp;p_no=1249" xr:uid="{F1A3A0D5-AC76-452C-BBCD-0B9F0786A623}"/>
    <hyperlink ref="B3776" r:id="rId11324" display="https://statiz.sporki.com/add/?m=draft_school01&amp;ps_school=50209" xr:uid="{CDEACAFC-1A9D-4F15-8D4F-DE50E376A59A}"/>
    <hyperlink ref="C3776" r:id="rId11325" display="https://statiz.sporki.com/add/?m=draft_school02&amp;ps_school=60109" xr:uid="{DCC581BB-3742-4D7F-BF67-E2E0A20DBEF7}"/>
    <hyperlink ref="A3777" r:id="rId11326" display="https://statiz.sporki.com/player/?m=playerinfo&amp;p_no=1234" xr:uid="{049F9F49-C4AE-46C4-90DE-1BC37D28FF1B}"/>
    <hyperlink ref="B3777" r:id="rId11327" display="https://statiz.sporki.com/add/?m=draft_school01&amp;ps_school=50209" xr:uid="{AC461F1F-7D21-41A8-A9C3-7C1DF08936EB}"/>
    <hyperlink ref="C3777" r:id="rId11328" display="https://statiz.sporki.com/add/?m=draft_school02&amp;ps_school=60204" xr:uid="{DB82CC07-E214-4821-8533-2F0779263721}"/>
    <hyperlink ref="A3778" r:id="rId11329" display="https://statiz.sporki.com/player/?m=playerinfo&amp;p_no=1244" xr:uid="{70A266EB-87F9-4B88-A60A-A3414BCF1D27}"/>
    <hyperlink ref="B3778" r:id="rId11330" display="https://statiz.sporki.com/add/?m=draft_school01&amp;ps_school=50209" xr:uid="{017ED61D-85AC-47D8-8C8D-7930C0326D26}"/>
    <hyperlink ref="C3778" r:id="rId11331" display="https://statiz.sporki.com/add/?m=draft_school02&amp;ps_school=60204" xr:uid="{750742BA-AFEF-4793-B458-EE33D7443067}"/>
    <hyperlink ref="A3779" r:id="rId11332" display="https://statiz.sporki.com/player/?m=playerinfo&amp;p_no=1235" xr:uid="{6F16EAC6-EA46-434E-A88F-FE8DD0E522AB}"/>
    <hyperlink ref="B3779" r:id="rId11333" display="https://statiz.sporki.com/add/?m=draft_school01&amp;ps_school=50711" xr:uid="{4E5F5109-790B-4315-8100-CD9751933BC9}"/>
    <hyperlink ref="C3779" r:id="rId11334" display="https://statiz.sporki.com/add/?m=draft_school02&amp;ps_school=60101" xr:uid="{410F6202-B6DE-4CA9-8148-A2039A5AD94E}"/>
    <hyperlink ref="A3780" r:id="rId11335" display="https://statiz.sporki.com/player/?m=playerinfo&amp;p_no=1257" xr:uid="{F6DF762F-3A91-40D4-A770-1CF67BE85259}"/>
    <hyperlink ref="B3780" r:id="rId11336" display="https://statiz.sporki.com/add/?m=draft_school01&amp;ps_school=50701" xr:uid="{20C0A746-2B00-4D1C-B9E4-11671E4ABC9F}"/>
    <hyperlink ref="C3780" r:id="rId11337" display="https://statiz.sporki.com/add/?m=draft_school02&amp;ps_school=" xr:uid="{1962391A-A64A-45CD-B0DB-BC8F550EC6BA}"/>
    <hyperlink ref="A3781" r:id="rId11338" display="https://statiz.sporki.com/player/?m=playerinfo&amp;p_no=1294" xr:uid="{78B39E1F-1306-4EF5-8DD9-8BC40B9144E6}"/>
    <hyperlink ref="B3781" r:id="rId11339" display="https://statiz.sporki.com/add/?m=draft_school01&amp;ps_school=" xr:uid="{4F713797-A41E-45C1-ACED-0331DAB6C325}"/>
    <hyperlink ref="C3781" r:id="rId11340" display="https://statiz.sporki.com/add/?m=draft_school02&amp;ps_school=60703" xr:uid="{A2E54246-7ADC-4951-82C7-52E62933EA72}"/>
    <hyperlink ref="A3782" r:id="rId11341" display="https://statiz.sporki.com/player/?m=playerinfo&amp;p_no=1237" xr:uid="{B5F6BEB9-B861-4C1D-99B0-A150B8E11C22}"/>
    <hyperlink ref="B3782" r:id="rId11342" display="https://statiz.sporki.com/add/?m=draft_school01&amp;ps_school=50711" xr:uid="{78AB8E90-759F-4DAA-89F3-38555FD76F86}"/>
    <hyperlink ref="C3782" r:id="rId11343" display="https://statiz.sporki.com/add/?m=draft_school02&amp;ps_school=60113" xr:uid="{311A0384-0438-45E6-8D7B-335CFEF6F1F8}"/>
    <hyperlink ref="A3783" r:id="rId11344" display="https://statiz.sporki.com/player/?m=playerinfo&amp;p_no=1276" xr:uid="{DBAA1167-0295-43E2-8440-7D7367957A8C}"/>
    <hyperlink ref="B3783" r:id="rId11345" display="https://statiz.sporki.com/add/?m=draft_school01&amp;ps_school=50701" xr:uid="{25485FC4-28E6-4A05-B7EE-7AA9C3E845D1}"/>
    <hyperlink ref="C3783" r:id="rId11346" display="https://statiz.sporki.com/add/?m=draft_school02&amp;ps_school=60703" xr:uid="{3CE7D74C-BEC2-4123-9F70-22E34BA7277F}"/>
    <hyperlink ref="A3784" r:id="rId11347" display="https://statiz.sporki.com/player/?m=playerinfo&amp;p_no=1233" xr:uid="{ACB07B22-70B9-4B48-84E0-FD37D1D26FE3}"/>
    <hyperlink ref="B3784" r:id="rId11348" display="https://statiz.sporki.com/add/?m=draft_school01&amp;ps_school=50608" xr:uid="{9ADA0DDA-8668-41D8-9773-77A88A23D342}"/>
    <hyperlink ref="C3784" r:id="rId11349" display="https://statiz.sporki.com/add/?m=draft_school02&amp;ps_school=60501" xr:uid="{6083D626-4536-498B-8557-569F7F72EFA7}"/>
    <hyperlink ref="A3785" r:id="rId11350" display="https://statiz.sporki.com/player/?m=playerinfo&amp;p_no=1238" xr:uid="{A04109B9-CECF-494B-8952-C4D45A80F01F}"/>
    <hyperlink ref="B3785" r:id="rId11351" display="https://statiz.sporki.com/add/?m=draft_school01&amp;ps_school=50608" xr:uid="{B7EA8D39-77EA-457F-B139-6878AB1409AE}"/>
    <hyperlink ref="C3785" r:id="rId11352" display="https://statiz.sporki.com/add/?m=draft_school02&amp;ps_school=60109" xr:uid="{9D4F30E7-F595-428B-93BF-29AA64B105CA}"/>
    <hyperlink ref="A3786" r:id="rId11353" display="https://statiz.sporki.com/player/?m=playerinfo&amp;p_no=1263" xr:uid="{CC482D39-903E-4E71-B7BE-1D006D9E6DA3}"/>
    <hyperlink ref="B3786" r:id="rId11354" display="https://statiz.sporki.com/add/?m=draft_school01&amp;ps_school=50602" xr:uid="{412B3535-CF9D-4469-A8B0-0375AE7C550D}"/>
    <hyperlink ref="C3786" r:id="rId11355" display="https://statiz.sporki.com/add/?m=draft_school02&amp;ps_school=60103" xr:uid="{85067FA5-C537-4ED6-9489-112A8A8034CA}"/>
    <hyperlink ref="A3787" r:id="rId11356" display="https://statiz.sporki.com/player/?m=playerinfo&amp;p_no=1250" xr:uid="{A79C71B1-8C54-4CF1-9F8F-5D4FC0C48CFA}"/>
    <hyperlink ref="B3787" r:id="rId11357" display="https://statiz.sporki.com/add/?m=draft_school01&amp;ps_school=50608" xr:uid="{ABE427A8-0DC8-4532-8F23-892F8D11BCEA}"/>
    <hyperlink ref="C3787" r:id="rId11358" display="https://statiz.sporki.com/add/?m=draft_school02&amp;ps_school=60109" xr:uid="{06883266-8022-4801-9D1B-ECA90CB60624}"/>
    <hyperlink ref="A3788" r:id="rId11359" display="https://statiz.sporki.com/player/?m=playerinfo&amp;p_no=1264" xr:uid="{48E8AFC4-995C-489F-AEC9-AA05BD97833A}"/>
    <hyperlink ref="B3788" r:id="rId11360" display="https://statiz.sporki.com/add/?m=draft_school01&amp;ps_school=50608" xr:uid="{1552BE48-B080-4AB4-BA5D-4F101CBEA6A6}"/>
    <hyperlink ref="C3788" r:id="rId11361" display="https://statiz.sporki.com/add/?m=draft_school02&amp;ps_school=60203" xr:uid="{E4A54206-22B4-4095-BE5D-49093B5B2A08}"/>
    <hyperlink ref="A3789" r:id="rId11362" display="https://statiz.sporki.com/player/?m=playerinfo&amp;p_no=1267" xr:uid="{7CDB6783-5FC9-49E1-A6F9-9890CFC9DE2B}"/>
    <hyperlink ref="B3789" r:id="rId11363" display="https://statiz.sporki.com/add/?m=draft_school01&amp;ps_school=50602" xr:uid="{7289A9FF-B791-4743-902D-5F74BB8AB5C9}"/>
    <hyperlink ref="C3789" r:id="rId11364" display="https://statiz.sporki.com/add/?m=draft_school02&amp;ps_school=60204" xr:uid="{59EA60B3-D4A9-4096-9321-5713C6AFE7E0}"/>
    <hyperlink ref="A3790" r:id="rId11365" display="https://statiz.sporki.com/player/?m=playerinfo&amp;p_no=14223" xr:uid="{5C9D297D-4906-4397-B205-68D60FE7EEE9}"/>
    <hyperlink ref="B3790" r:id="rId11366" display="https://statiz.sporki.com/add/?m=draft_school01&amp;ps_school=50110" xr:uid="{5562DC0E-6538-4871-AB3F-6F4E3025F8A1}"/>
    <hyperlink ref="C3790" r:id="rId11367" display="https://statiz.sporki.com/add/?m=draft_school02&amp;ps_school=60113" xr:uid="{87A07DF9-4F72-4DEE-80CB-B69444B1B22C}"/>
    <hyperlink ref="A3791" r:id="rId11368" display="https://statiz.sporki.com/player/?m=playerinfo&amp;p_no=1243" xr:uid="{06A7696C-2EF6-43F5-8CE9-2DA89F01FCAD}"/>
    <hyperlink ref="B3791" r:id="rId11369" display="https://statiz.sporki.com/add/?m=draft_school01&amp;ps_school=50112" xr:uid="{6E3A6194-BBB3-4917-9770-307B2949CAAE}"/>
    <hyperlink ref="C3791" r:id="rId11370" display="https://statiz.sporki.com/add/?m=draft_school02&amp;ps_school=60103" xr:uid="{BBD8E025-22A0-4E88-AFF1-988349D90276}"/>
    <hyperlink ref="A3792" r:id="rId11371" display="https://statiz.sporki.com/player/?m=playerinfo&amp;p_no=11470" xr:uid="{960DA318-2F9B-4FA7-A234-D01596AA4A96}"/>
    <hyperlink ref="B3792" r:id="rId11372" display="https://statiz.sporki.com/add/?m=draft_school01&amp;ps_school=50805" xr:uid="{76DB172A-2840-401C-A54F-4A494AD0C7F4}"/>
    <hyperlink ref="C3792" r:id="rId11373" display="https://statiz.sporki.com/add/?m=draft_school02&amp;ps_school=60103" xr:uid="{E15E4B09-50E8-4F0D-A270-2B74FA7BB4F6}"/>
    <hyperlink ref="A3793" r:id="rId11374" display="https://statiz.sporki.com/player/?m=playerinfo&amp;p_no=1324" xr:uid="{F620A5F3-8C35-4A8F-931E-41EF735F2D01}"/>
    <hyperlink ref="B3793" r:id="rId11375" display="https://statiz.sporki.com/add/?m=draft_school01&amp;ps_school=50301" xr:uid="{76808CEB-0C20-4230-B773-95ECDC1C5498}"/>
    <hyperlink ref="C3793" r:id="rId11376" display="https://statiz.sporki.com/add/?m=draft_school02&amp;ps_school=60104" xr:uid="{D5B24DED-E39F-47BF-B438-1FE29C2CC7DA}"/>
    <hyperlink ref="A3794" r:id="rId11377" display="https://statiz.sporki.com/player/?m=playerinfo&amp;p_no=1240" xr:uid="{489F3634-05E2-4FB6-A4AA-731DD9FCEEA7}"/>
    <hyperlink ref="B3794" r:id="rId11378" display="https://statiz.sporki.com/add/?m=draft_school01&amp;ps_school=50501" xr:uid="{4741163C-796E-48AE-85E3-456F8D175CCD}"/>
    <hyperlink ref="C3794" r:id="rId11379" display="https://statiz.sporki.com/add/?m=draft_school02&amp;ps_school=60501" xr:uid="{F3A26A20-9AE9-495D-9ED3-59AF41E23D2D}"/>
    <hyperlink ref="A3795" r:id="rId11380" display="https://statiz.sporki.com/player/?m=playerinfo&amp;p_no=1255" xr:uid="{B19A6844-9BB2-410F-82E4-8B3F84ECF059}"/>
    <hyperlink ref="B3795" r:id="rId11381" display="https://statiz.sporki.com/add/?m=draft_school01&amp;ps_school=50114" xr:uid="{9D0C1826-4BA9-42C4-AC72-F0B2CB96B444}"/>
    <hyperlink ref="C3795" r:id="rId11382" display="https://statiz.sporki.com/add/?m=draft_school02&amp;ps_school=60111" xr:uid="{BBC5237F-294C-465D-84C2-B81C6241D88B}"/>
    <hyperlink ref="A3796" r:id="rId11383" display="https://statiz.sporki.com/player/?m=playerinfo&amp;p_no=1430" xr:uid="{3F69AD8F-94E2-48AF-A9DF-2C365B4462FB}"/>
    <hyperlink ref="B3796" r:id="rId11384" display="https://statiz.sporki.com/add/?m=draft_school01&amp;ps_school=" xr:uid="{4CBD562C-4956-4181-AB87-F1A4375715B9}"/>
    <hyperlink ref="C3796" r:id="rId11385" display="https://statiz.sporki.com/add/?m=draft_school02&amp;ps_school=60104" xr:uid="{064313F8-2FE4-48AB-BCE0-4C3569519CA9}"/>
    <hyperlink ref="A3797" r:id="rId11386" display="https://statiz.sporki.com/player/?m=playerinfo&amp;p_no=1245" xr:uid="{E0A834D5-76E6-4674-9929-343F28B043A5}"/>
    <hyperlink ref="B3797" r:id="rId11387" display="https://statiz.sporki.com/add/?m=draft_school01&amp;ps_school=" xr:uid="{8339A9F3-1B05-4B5D-9AC5-4C6FB2D555A9}"/>
    <hyperlink ref="C3797" r:id="rId11388" display="https://statiz.sporki.com/add/?m=draft_school02&amp;ps_school=" xr:uid="{CA244BA1-23C6-4229-935C-2656AC8D9D07}"/>
    <hyperlink ref="A3798" r:id="rId11389" display="https://statiz.sporki.com/player/?m=playerinfo&amp;p_no=1334" xr:uid="{8E36A277-A2A7-45F1-8546-34CE4D550681}"/>
    <hyperlink ref="B3798" r:id="rId11390" display="https://statiz.sporki.com/add/?m=draft_school01&amp;ps_school=50123" xr:uid="{9AF1AA5A-CCFC-4276-8281-8FA6CD96BBA0}"/>
    <hyperlink ref="C3798" r:id="rId11391" display="https://statiz.sporki.com/add/?m=draft_school02&amp;ps_school=" xr:uid="{0F136004-4A5F-49FB-89F5-CBE489C09CA3}"/>
    <hyperlink ref="A3799" r:id="rId11392" display="https://statiz.sporki.com/player/?m=playerinfo&amp;p_no=1253" xr:uid="{FB69B4C4-F9A2-4B37-8E71-ACDAE6CD6C27}"/>
    <hyperlink ref="B3799" r:id="rId11393" display="https://statiz.sporki.com/add/?m=draft_school01&amp;ps_school=50602" xr:uid="{57ECDC72-2BA7-4F86-8294-FA554AFA7450}"/>
    <hyperlink ref="C3799" r:id="rId11394" display="https://statiz.sporki.com/add/?m=draft_school02&amp;ps_school=60101" xr:uid="{99C4FDB6-1984-44AE-8879-32479FC5873B}"/>
    <hyperlink ref="A3800" r:id="rId11395" display="https://statiz.sporki.com/player/?m=playerinfo&amp;p_no=1365" xr:uid="{C13B7340-F309-41CE-99E3-E1661624C546}"/>
    <hyperlink ref="B3800" r:id="rId11396" display="https://statiz.sporki.com/add/?m=draft_school01&amp;ps_school=50604" xr:uid="{96D9D2CD-1781-4D78-8F16-A63E07307E9A}"/>
    <hyperlink ref="C3800" r:id="rId11397" display="https://statiz.sporki.com/add/?m=draft_school02&amp;ps_school=" xr:uid="{51DDDF7C-C788-462B-81A7-B2F5AF778781}"/>
    <hyperlink ref="A3801" r:id="rId11398" display="https://statiz.sporki.com/player/?m=playerinfo&amp;p_no=1224" xr:uid="{AF5A43AF-1AB6-4897-8AD4-631D273DA4F4}"/>
    <hyperlink ref="B3801" r:id="rId11399" display="https://statiz.sporki.com/add/?m=draft_school01&amp;ps_school=50805" xr:uid="{9D1C69EF-E7DA-4A4B-B833-90A371208A8E}"/>
    <hyperlink ref="C3801" r:id="rId11400" display="https://statiz.sporki.com/add/?m=draft_school02&amp;ps_school=60803" xr:uid="{36A93C3D-FF18-4786-A006-020B35AD6FE8}"/>
    <hyperlink ref="A3802" r:id="rId11401" display="https://statiz.sporki.com/player/?m=playerinfo&amp;p_no=1206" xr:uid="{DDAA2492-8EDB-4E1E-BDAE-4DE9BCD2B472}"/>
    <hyperlink ref="B3802" r:id="rId11402" display="https://statiz.sporki.com/add/?m=draft_school01&amp;ps_school=50107" xr:uid="{CFC766DB-84C5-4380-8080-41EB3527A627}"/>
    <hyperlink ref="C3802" r:id="rId11403" display="https://statiz.sporki.com/add/?m=draft_school02&amp;ps_school=60109" xr:uid="{CBC8CB0C-A649-4838-BA96-8CD846A1B0C1}"/>
    <hyperlink ref="A3803" r:id="rId11404" display="https://statiz.sporki.com/player/?m=playerinfo&amp;p_no=1223" xr:uid="{33B4068A-1B7E-4EB5-98EB-AA9E1A92E8B7}"/>
    <hyperlink ref="B3803" r:id="rId11405" display="https://statiz.sporki.com/add/?m=draft_school01&amp;ps_school=" xr:uid="{394FBF08-B56B-489A-8D0B-0728D339F0E3}"/>
    <hyperlink ref="C3803" r:id="rId11406" display="https://statiz.sporki.com/add/?m=draft_school02&amp;ps_school=60103" xr:uid="{A2EC7C96-FFFA-4798-A530-CE5C100A7E88}"/>
    <hyperlink ref="A3804" r:id="rId11407" display="https://statiz.sporki.com/player/?m=playerinfo&amp;p_no=1193" xr:uid="{6580F3DF-AA00-46CC-A17A-DAEA08E4FA68}"/>
    <hyperlink ref="B3804" r:id="rId11408" display="https://statiz.sporki.com/add/?m=draft_school01&amp;ps_school=50121" xr:uid="{0C790428-E381-4396-92F8-792A05DB20A3}"/>
    <hyperlink ref="C3804" r:id="rId11409" display="https://statiz.sporki.com/add/?m=draft_school02&amp;ps_school=60803" xr:uid="{E962C292-B7F6-472F-B447-709DBFD312F5}"/>
    <hyperlink ref="A3805" r:id="rId11410" display="https://statiz.sporki.com/player/?m=playerinfo&amp;p_no=1202" xr:uid="{D544EEA8-0656-46DE-8068-753948B4BEF8}"/>
    <hyperlink ref="B3805" r:id="rId11411" display="https://statiz.sporki.com/add/?m=draft_school01&amp;ps_school=50110" xr:uid="{E4689951-97E7-434A-9E4E-5D0274697623}"/>
    <hyperlink ref="C3805" r:id="rId11412" display="https://statiz.sporki.com/add/?m=draft_school02&amp;ps_school=60113" xr:uid="{8FC71E09-E33F-4D08-BA52-FDB33164500F}"/>
    <hyperlink ref="A3806" r:id="rId11413" display="https://statiz.sporki.com/player/?m=playerinfo&amp;p_no=1211" xr:uid="{BC73A4C4-5AEB-4154-83B0-F1BF475599AF}"/>
    <hyperlink ref="B3806" r:id="rId11414" display="https://statiz.sporki.com/add/?m=draft_school01&amp;ps_school=50116" xr:uid="{0B3A0E63-C861-42F6-9832-26347CA7B0AD}"/>
    <hyperlink ref="C3806" r:id="rId11415" display="https://statiz.sporki.com/add/?m=draft_school02&amp;ps_school=" xr:uid="{CD967992-8BF3-4028-80E6-95B3D14313AA}"/>
    <hyperlink ref="A3807" r:id="rId11416" display="https://statiz.sporki.com/player/?m=playerinfo&amp;p_no=1203" xr:uid="{A919BA78-D911-402A-8520-A3F8E6D989AA}"/>
    <hyperlink ref="B3807" r:id="rId11417" display="https://statiz.sporki.com/add/?m=draft_school01&amp;ps_school=50401" xr:uid="{90F843CB-483B-4C8A-8EA3-108585C8DF2F}"/>
    <hyperlink ref="C3807" r:id="rId11418" display="https://statiz.sporki.com/add/?m=draft_school02&amp;ps_school=60103" xr:uid="{035318C5-12A5-4E56-8891-9FB03A3CDB92}"/>
    <hyperlink ref="A3808" r:id="rId11419" display="https://statiz.sporki.com/player/?m=playerinfo&amp;p_no=1204" xr:uid="{68E65FBC-E5A2-4105-BF9B-67B20214EAFC}"/>
    <hyperlink ref="B3808" r:id="rId11420" display="https://statiz.sporki.com/add/?m=draft_school01&amp;ps_school=50401" xr:uid="{E6666B40-7FBB-4FE0-BCDD-4152E3F9DF9E}"/>
    <hyperlink ref="C3808" r:id="rId11421" display="https://statiz.sporki.com/add/?m=draft_school02&amp;ps_school=" xr:uid="{1FA17F44-7EC4-4BD7-B2E1-11138EB8B608}"/>
    <hyperlink ref="A3809" r:id="rId11422" display="https://statiz.sporki.com/player/?m=playerinfo&amp;p_no=12962" xr:uid="{0BDFD278-9310-4186-B8AF-3AC9DA0D9074}"/>
    <hyperlink ref="B3809" r:id="rId11423" display="https://statiz.sporki.com/add/?m=draft_school01&amp;ps_school=50403" xr:uid="{B8466E07-5B70-4C45-83E7-32C019F71586}"/>
    <hyperlink ref="C3809" r:id="rId11424" display="https://statiz.sporki.com/add/?m=draft_school02&amp;ps_school=60803" xr:uid="{81D4EA38-BAE4-4B97-AE36-82693C00F721}"/>
    <hyperlink ref="A3810" r:id="rId11425" display="https://statiz.sporki.com/player/?m=playerinfo&amp;p_no=1268" xr:uid="{1A038486-CBA1-4E82-96D8-30A3B9824C9D}"/>
    <hyperlink ref="B3810" r:id="rId11426" display="https://statiz.sporki.com/add/?m=draft_school01&amp;ps_school=50121" xr:uid="{2026BEC0-1C62-4010-9EBA-7ECE915E45B3}"/>
    <hyperlink ref="C3810" r:id="rId11427" display="https://statiz.sporki.com/add/?m=draft_school02&amp;ps_school=60113" xr:uid="{BE66FB4D-B2D8-4AB6-8163-311AF83F08C6}"/>
    <hyperlink ref="A3811" r:id="rId11428" display="https://statiz.sporki.com/player/?m=playerinfo&amp;p_no=1209" xr:uid="{7039644C-2F1F-43E9-A382-8DE2D3BB9140}"/>
    <hyperlink ref="B3811" r:id="rId11429" display="https://statiz.sporki.com/add/?m=draft_school01&amp;ps_school=50301" xr:uid="{F14F9C86-075E-46EA-9BCD-70FF877EB22A}"/>
    <hyperlink ref="C3811" r:id="rId11430" display="https://statiz.sporki.com/add/?m=draft_school02&amp;ps_school=60101" xr:uid="{E9035BBB-1BB3-42F0-9610-F36AB7137074}"/>
    <hyperlink ref="A3812" r:id="rId11431" display="https://statiz.sporki.com/player/?m=playerinfo&amp;p_no=1308" xr:uid="{97891AFB-F540-49AA-9412-9EA5E262BD22}"/>
    <hyperlink ref="B3812" r:id="rId11432" display="https://statiz.sporki.com/add/?m=draft_school01&amp;ps_school=" xr:uid="{FC598899-5D54-4421-82B6-9AA902955ED7}"/>
    <hyperlink ref="C3812" r:id="rId11433" display="https://statiz.sporki.com/add/?m=draft_school02&amp;ps_school=60109" xr:uid="{9B9023B7-7D9D-49E1-81EE-2E7CCF6B0215}"/>
    <hyperlink ref="A3813" r:id="rId11434" display="https://statiz.sporki.com/player/?m=playerinfo&amp;p_no=1205" xr:uid="{BE44776F-01D4-49A1-8A0D-040176643F40}"/>
    <hyperlink ref="B3813" r:id="rId11435" display="https://statiz.sporki.com/add/?m=draft_school01&amp;ps_school=" xr:uid="{33C30341-6AF5-45AE-ABF3-0959AE670774}"/>
    <hyperlink ref="C3813" r:id="rId11436" display="https://statiz.sporki.com/add/?m=draft_school02&amp;ps_school=60703" xr:uid="{B1970EDB-229F-4559-B844-DE59E95C9CB6}"/>
    <hyperlink ref="A3814" r:id="rId11437" display="https://statiz.sporki.com/player/?m=playerinfo&amp;p_no=1332" xr:uid="{BA2292C8-10F0-4E30-A9C9-B4B1C02E4496}"/>
    <hyperlink ref="B3814" r:id="rId11438" display="https://statiz.sporki.com/add/?m=draft_school01&amp;ps_school=50401" xr:uid="{C02E3CFB-DB7C-4D47-9950-E8E624E4BC01}"/>
    <hyperlink ref="C3814" r:id="rId11439" display="https://statiz.sporki.com/add/?m=draft_school02&amp;ps_school=60101" xr:uid="{B11DBE60-65E2-44F3-B444-76227C1F8141}"/>
    <hyperlink ref="A3815" r:id="rId11440" display="https://statiz.sporki.com/player/?m=playerinfo&amp;p_no=1227" xr:uid="{CA7D01F5-D165-40D4-9CB2-9AB91A8A9719}"/>
    <hyperlink ref="B3815" r:id="rId11441" display="https://statiz.sporki.com/add/?m=draft_school01&amp;ps_school=50109" xr:uid="{FD2215FB-FA06-4703-962C-51E1AB3C0527}"/>
    <hyperlink ref="C3815" r:id="rId11442" display="https://statiz.sporki.com/add/?m=draft_school02&amp;ps_school=60108" xr:uid="{2D1CBDB2-AC4B-4266-B920-0EC5BC55B077}"/>
    <hyperlink ref="A3816" r:id="rId11443" display="https://statiz.sporki.com/player/?m=playerinfo&amp;p_no=1318" xr:uid="{9EBBF477-C460-4381-81BB-67B1B202BBDC}"/>
    <hyperlink ref="B3816" r:id="rId11444" display="https://statiz.sporki.com/add/?m=draft_school01&amp;ps_school=50114" xr:uid="{448FC759-1C98-44A4-A421-7A9D5C7850B3}"/>
    <hyperlink ref="C3816" r:id="rId11445" display="https://statiz.sporki.com/add/?m=draft_school02&amp;ps_school=" xr:uid="{4B7CCC50-90D6-4CC0-B2FA-73C3E0003660}"/>
    <hyperlink ref="A3817" r:id="rId11446" display="https://statiz.sporki.com/player/?m=playerinfo&amp;p_no=1217" xr:uid="{3D795A7C-1BBE-4FC2-98C2-85763A686926}"/>
    <hyperlink ref="B3817" r:id="rId11447" display="https://statiz.sporki.com/add/?m=draft_school01&amp;ps_school=50112" xr:uid="{5A4E8D04-2339-4A01-9354-D0E01E3F8E00}"/>
    <hyperlink ref="C3817" r:id="rId11448" display="https://statiz.sporki.com/add/?m=draft_school02&amp;ps_school=60108" xr:uid="{81A54235-75C5-4E18-B0FA-BC36A986ABF9}"/>
    <hyperlink ref="A3818" r:id="rId11449" display="https://statiz.sporki.com/player/?m=playerinfo&amp;p_no=1311" xr:uid="{73B13EA8-A00E-4AA2-A0A7-539BC9B705FD}"/>
    <hyperlink ref="B3818" r:id="rId11450" display="https://statiz.sporki.com/add/?m=draft_school01&amp;ps_school=50301" xr:uid="{41EF0665-F5B7-44CD-A5A9-966FC2EB6111}"/>
    <hyperlink ref="C3818" r:id="rId11451" display="https://statiz.sporki.com/add/?m=draft_school02&amp;ps_school=60108" xr:uid="{954CBF90-2F52-4F3D-962D-B2C4AB0FE7FD}"/>
    <hyperlink ref="A3819" r:id="rId11452" display="https://statiz.sporki.com/player/?m=playerinfo&amp;p_no=1207" xr:uid="{440880E1-90C7-4EA2-8BD9-1C737251090C}"/>
    <hyperlink ref="B3819" r:id="rId11453" display="https://statiz.sporki.com/add/?m=draft_school01&amp;ps_school=" xr:uid="{63F8D1D1-0961-4EAB-A11B-31D5EDD76B0E}"/>
    <hyperlink ref="C3819" r:id="rId11454" display="https://statiz.sporki.com/add/?m=draft_school02&amp;ps_school=60108" xr:uid="{247C1A0F-8DB0-4330-890C-BBC51E3D85B3}"/>
    <hyperlink ref="A3820" r:id="rId11455" display="https://statiz.sporki.com/player/?m=playerinfo&amp;p_no=1220" xr:uid="{6B6B466D-0AB2-414F-A470-547F46381911}"/>
    <hyperlink ref="B3820" r:id="rId11456" display="https://statiz.sporki.com/add/?m=draft_school01&amp;ps_school=50805" xr:uid="{18B123BD-D4B9-4488-9E1C-59024528E2C1}"/>
    <hyperlink ref="C3820" r:id="rId11457" display="https://statiz.sporki.com/add/?m=draft_school02&amp;ps_school=60101" xr:uid="{AF94E1C9-0F00-402E-ABAE-7CCE94617509}"/>
    <hyperlink ref="A3821" r:id="rId11458" display="https://statiz.sporki.com/player/?m=playerinfo&amp;p_no=1198" xr:uid="{397FB212-7A07-4459-9741-E2D670FED5FB}"/>
    <hyperlink ref="B3821" r:id="rId11459" display="https://statiz.sporki.com/add/?m=draft_school01&amp;ps_school=50802" xr:uid="{1A240F63-4A9B-4833-A21A-3BC868229AB8}"/>
    <hyperlink ref="C3821" r:id="rId11460" display="https://statiz.sporki.com/add/?m=draft_school02&amp;ps_school=60803" xr:uid="{45070064-0C23-4BD4-A814-CACED8006AE8}"/>
    <hyperlink ref="A3822" r:id="rId11461" display="https://statiz.sporki.com/player/?m=playerinfo&amp;p_no=1195" xr:uid="{F25B3BA4-9524-43FC-9706-960859D31D52}"/>
    <hyperlink ref="B3822" r:id="rId11462" display="https://statiz.sporki.com/add/?m=draft_school01&amp;ps_school=50805" xr:uid="{F1DC792F-8013-4CE4-BC31-BB2C38CE44DA}"/>
    <hyperlink ref="C3822" r:id="rId11463" display="https://statiz.sporki.com/add/?m=draft_school02&amp;ps_school=60104" xr:uid="{F078094F-4ADE-487B-A0A8-479E1227C15F}"/>
    <hyperlink ref="A3823" r:id="rId11464" display="https://statiz.sporki.com/player/?m=playerinfo&amp;p_no=1200" xr:uid="{E9188109-DCCC-4D19-9831-3DFFCDEE5605}"/>
    <hyperlink ref="B3823" r:id="rId11465" display="https://statiz.sporki.com/add/?m=draft_school01&amp;ps_school=50805" xr:uid="{ED208379-2BA2-4AED-9373-705C319730B1}"/>
    <hyperlink ref="C3823" r:id="rId11466" display="https://statiz.sporki.com/add/?m=draft_school02&amp;ps_school=60803" xr:uid="{A74BBE9E-43FF-4945-867B-58A4EAF15987}"/>
    <hyperlink ref="A3824" r:id="rId11467" display="https://statiz.sporki.com/player/?m=playerinfo&amp;p_no=1215" xr:uid="{F17C4542-546E-49D5-A351-1D545816E814}"/>
    <hyperlink ref="B3824" r:id="rId11468" display="https://statiz.sporki.com/add/?m=draft_school01&amp;ps_school=50805" xr:uid="{DDA51A90-3676-41F3-BCA3-826803CD3904}"/>
    <hyperlink ref="C3824" r:id="rId11469" display="https://statiz.sporki.com/add/?m=draft_school02&amp;ps_school=60108" xr:uid="{117A73EB-6E43-40AE-A6AE-843023F6AC93}"/>
    <hyperlink ref="A3825" r:id="rId11470" display="https://statiz.sporki.com/player/?m=playerinfo&amp;p_no=1221" xr:uid="{6F92723D-BEC2-402D-A133-745F0EB46194}"/>
    <hyperlink ref="B3825" r:id="rId11471" display="https://statiz.sporki.com/add/?m=draft_school01&amp;ps_school=50802" xr:uid="{9F9A985E-4B60-46CE-B2FE-A7E2E3DBE810}"/>
    <hyperlink ref="C3825" r:id="rId11472" display="https://statiz.sporki.com/add/?m=draft_school02&amp;ps_school=" xr:uid="{F8D1A486-63D9-4D3A-B2F3-971312E11FC7}"/>
    <hyperlink ref="A3826" r:id="rId11473" display="https://statiz.sporki.com/player/?m=playerinfo&amp;p_no=1219" xr:uid="{22FDFB04-BF14-4EB5-B97B-39B674579283}"/>
    <hyperlink ref="B3826" r:id="rId11474" display="https://statiz.sporki.com/add/?m=draft_school01&amp;ps_school=50209" xr:uid="{547BD08E-1541-4ACA-AF98-6B98F3859264}"/>
    <hyperlink ref="C3826" r:id="rId11475" display="https://statiz.sporki.com/add/?m=draft_school02&amp;ps_school=60204" xr:uid="{DE027F79-A7A8-439C-AD89-820A9C06BBA3}"/>
    <hyperlink ref="A3827" r:id="rId11476" display="https://statiz.sporki.com/player/?m=playerinfo&amp;p_no=1261" xr:uid="{66F979F5-DD45-40F1-A94F-593C5B0CCD98}"/>
    <hyperlink ref="B3827" r:id="rId11477" display="https://statiz.sporki.com/add/?m=draft_school01&amp;ps_school=50711" xr:uid="{BC8A739F-64B6-42E7-81C1-B6588D7BC389}"/>
    <hyperlink ref="C3827" r:id="rId11478" display="https://statiz.sporki.com/add/?m=draft_school02&amp;ps_school=60703" xr:uid="{B9EE65FA-E0A2-4FAC-B4B3-0C6DB4179F49}"/>
    <hyperlink ref="A3828" r:id="rId11479" display="https://statiz.sporki.com/player/?m=playerinfo&amp;p_no=1231" xr:uid="{56DDF781-4B81-4416-B258-815F9AFE755D}"/>
    <hyperlink ref="B3828" r:id="rId11480" display="https://statiz.sporki.com/add/?m=draft_school01&amp;ps_school=50701" xr:uid="{7B418173-E59E-45FD-852A-4D25826D9890}"/>
    <hyperlink ref="C3828" r:id="rId11481" display="https://statiz.sporki.com/add/?m=draft_school02&amp;ps_school=60103" xr:uid="{D87131FD-BC17-47DB-956D-2C24538B4DE0}"/>
    <hyperlink ref="A3829" r:id="rId11482" display="https://statiz.sporki.com/player/?m=playerinfo&amp;p_no=1196" xr:uid="{5DBCD9CD-3CEC-411A-BDF6-BF6CD626F941}"/>
    <hyperlink ref="B3829" r:id="rId11483" display="https://statiz.sporki.com/add/?m=draft_school01&amp;ps_school=50701" xr:uid="{45CEB222-24C4-414F-BB5A-D3305816D03F}"/>
    <hyperlink ref="C3829" r:id="rId11484" display="https://statiz.sporki.com/add/?m=draft_school02&amp;ps_school=60109" xr:uid="{481E35DE-2BD1-44B3-93F5-5343BFB3CCA5}"/>
    <hyperlink ref="A3830" r:id="rId11485" display="https://statiz.sporki.com/player/?m=playerinfo&amp;p_no=1229" xr:uid="{B3ABC2C2-7776-406D-AD77-FA4E2ED2D239}"/>
    <hyperlink ref="B3830" r:id="rId11486" display="https://statiz.sporki.com/add/?m=draft_school01&amp;ps_school=50703" xr:uid="{E0D1C028-15E1-43A2-9929-A44395B178DC}"/>
    <hyperlink ref="C3830" r:id="rId11487" display="https://statiz.sporki.com/add/?m=draft_school02&amp;ps_school=60113" xr:uid="{383C633D-9ED3-45A3-9C9E-67615259F476}"/>
    <hyperlink ref="A3831" r:id="rId11488" display="https://statiz.sporki.com/player/?m=playerinfo&amp;p_no=1214" xr:uid="{E0073085-55A8-43EE-81F4-280C0A6381BC}"/>
    <hyperlink ref="B3831" r:id="rId11489" display="https://statiz.sporki.com/add/?m=draft_school01&amp;ps_school=50706" xr:uid="{695801D2-3767-4B5C-AD16-32580DBC23EE}"/>
    <hyperlink ref="C3831" r:id="rId11490" display="https://statiz.sporki.com/add/?m=draft_school02&amp;ps_school=" xr:uid="{4F133904-E006-448D-BE34-1D8C3107002A}"/>
    <hyperlink ref="A3832" r:id="rId11491" display="https://statiz.sporki.com/player/?m=playerinfo&amp;p_no=1222" xr:uid="{DFB09B79-EDCB-4018-8B45-732AADA7EBF2}"/>
    <hyperlink ref="B3832" r:id="rId11492" display="https://statiz.sporki.com/add/?m=draft_school01&amp;ps_school=50711" xr:uid="{DF57AEB4-F04C-4590-ADD8-8C50E68D91B0}"/>
    <hyperlink ref="C3832" r:id="rId11493" display="https://statiz.sporki.com/add/?m=draft_school02&amp;ps_school=60101" xr:uid="{53E1C26B-B31C-441A-A9DE-E4A601D41F1F}"/>
    <hyperlink ref="A3833" r:id="rId11494" display="https://statiz.sporki.com/player/?m=playerinfo&amp;p_no=1225" xr:uid="{E75D43FB-41F8-454D-904E-1B34EEAA528C}"/>
    <hyperlink ref="B3833" r:id="rId11495" display="https://statiz.sporki.com/add/?m=draft_school01&amp;ps_school=50602" xr:uid="{A49631D4-C452-4C98-8EFF-61E1829B784C}"/>
    <hyperlink ref="C3833" r:id="rId11496" display="https://statiz.sporki.com/add/?m=draft_school02&amp;ps_school=" xr:uid="{BFF0EEE6-0ABB-4515-8D3D-D18C327A7598}"/>
    <hyperlink ref="A3834" r:id="rId11497" display="https://statiz.sporki.com/player/?m=playerinfo&amp;p_no=1201" xr:uid="{E1F99F26-BFFA-4972-B684-4612A8C7E300}"/>
    <hyperlink ref="B3834" r:id="rId11498" display="https://statiz.sporki.com/add/?m=draft_school01&amp;ps_school=50601" xr:uid="{A16FFD83-C477-4DB0-AF94-CEA87CF27ACF}"/>
    <hyperlink ref="C3834" r:id="rId11499" display="https://statiz.sporki.com/add/?m=draft_school02&amp;ps_school=60104" xr:uid="{E93CA801-E881-4285-ADF9-67AF534F57C5}"/>
    <hyperlink ref="A3835" r:id="rId11500" display="https://statiz.sporki.com/player/?m=playerinfo&amp;p_no=1230" xr:uid="{3D1239FD-7B28-4F20-A25F-9EF2B6C9DB31}"/>
    <hyperlink ref="B3835" r:id="rId11501" display="https://statiz.sporki.com/add/?m=draft_school01&amp;ps_school=50501" xr:uid="{8A5D89C4-E96A-4347-A158-66FCC50B6463}"/>
    <hyperlink ref="C3835" r:id="rId11502" display="https://statiz.sporki.com/add/?m=draft_school02&amp;ps_school=60501" xr:uid="{F769D720-8552-49A3-8285-1104501F15AF}"/>
    <hyperlink ref="A3836" r:id="rId11503" display="https://statiz.sporki.com/player/?m=playerinfo&amp;p_no=1343" xr:uid="{D931410B-8598-4F3C-A75E-0B802C8509ED}"/>
    <hyperlink ref="B3836" r:id="rId11504" display="https://statiz.sporki.com/add/?m=draft_school01&amp;ps_school=50602" xr:uid="{13C64DF8-E0E7-434F-B7C1-29D4C561836A}"/>
    <hyperlink ref="C3836" r:id="rId11505" display="https://statiz.sporki.com/add/?m=draft_school02&amp;ps_school=60103" xr:uid="{4E931DEA-D777-4E2C-A0FF-526A17C940CA}"/>
    <hyperlink ref="A3837" r:id="rId11506" display="https://statiz.sporki.com/player/?m=playerinfo&amp;p_no=1228" xr:uid="{5CE38732-FA8C-41C0-B096-C04C6C48F76E}"/>
    <hyperlink ref="B3837" r:id="rId11507" display="https://statiz.sporki.com/add/?m=draft_school01&amp;ps_school=50804" xr:uid="{0E49F337-71FA-46B7-8CA1-12609623C679}"/>
    <hyperlink ref="C3837" r:id="rId11508" display="https://statiz.sporki.com/add/?m=draft_school02&amp;ps_school=60104" xr:uid="{8CF2FB6A-FF0B-4D4E-97E0-9136FF072476}"/>
    <hyperlink ref="A3838" r:id="rId11509" display="https://statiz.sporki.com/player/?m=playerinfo&amp;p_no=1210" xr:uid="{DB0AE09B-090A-467E-96B7-1ABCFDC061E2}"/>
    <hyperlink ref="B3838" r:id="rId11510" display="https://statiz.sporki.com/add/?m=draft_school01&amp;ps_school=50121" xr:uid="{9023D263-86F1-497B-92BC-A845B87ECC8F}"/>
    <hyperlink ref="C3838" r:id="rId11511" display="https://statiz.sporki.com/add/?m=draft_school02&amp;ps_school=" xr:uid="{C085E750-59E8-4BA6-A11E-1E27E8C1B70B}"/>
    <hyperlink ref="A3839" r:id="rId11512" display="https://statiz.sporki.com/player/?m=playerinfo&amp;p_no=1213" xr:uid="{381065E3-E2F2-45F8-B85B-5D1A774583FB}"/>
    <hyperlink ref="B3839" r:id="rId11513" display="https://statiz.sporki.com/add/?m=draft_school01&amp;ps_school=50807" xr:uid="{9B11C1EF-3A5D-493B-B0A8-FF4F9BB79E94}"/>
    <hyperlink ref="C3839" r:id="rId11514" display="https://statiz.sporki.com/add/?m=draft_school02&amp;ps_school=60803" xr:uid="{444873D6-6C24-4ED6-89CE-F191EE102EAB}"/>
    <hyperlink ref="A3840" r:id="rId11515" display="https://statiz.sporki.com/player/?m=playerinfo&amp;p_no=1197" xr:uid="{B4BE00D4-B340-4893-BB71-B70A206912DA}"/>
    <hyperlink ref="B3840" r:id="rId11516" display="https://statiz.sporki.com/add/?m=draft_school01&amp;ps_school=50812" xr:uid="{39B36394-F92F-44D5-BB89-FEAC90E04683}"/>
    <hyperlink ref="C3840" r:id="rId11517" display="https://statiz.sporki.com/add/?m=draft_school02&amp;ps_school=60113" xr:uid="{76285190-B705-4039-904D-D897753766FA}"/>
    <hyperlink ref="A3841" r:id="rId11518" display="https://statiz.sporki.com/player/?m=playerinfo&amp;p_no=1218" xr:uid="{21635AA3-CE76-4EEF-B875-2554B093C91F}"/>
    <hyperlink ref="B3841" r:id="rId11519" display="https://statiz.sporki.com/add/?m=draft_school01&amp;ps_school=" xr:uid="{121A2B43-268D-4C00-B62D-EC1DD6F79EBB}"/>
    <hyperlink ref="C3841" r:id="rId11520" display="https://statiz.sporki.com/add/?m=draft_school02&amp;ps_school=" xr:uid="{7F648EAD-F3EB-4670-871F-039D9A1CF6DA}"/>
    <hyperlink ref="A3842" r:id="rId11521" display="https://statiz.sporki.com/player/?m=playerinfo&amp;p_no=1199" xr:uid="{C88FF4D1-13AF-416C-8655-E28112D88BA6}"/>
    <hyperlink ref="B3842" r:id="rId11522" display="https://statiz.sporki.com/add/?m=draft_school01&amp;ps_school=51100" xr:uid="{04902BB0-63E6-4276-8E55-609F762FB67A}"/>
    <hyperlink ref="C3842" r:id="rId11523" display="https://statiz.sporki.com/add/?m=draft_school02&amp;ps_school=" xr:uid="{8F1A217E-913B-42E3-B8DE-244182A30B20}"/>
    <hyperlink ref="A3843" r:id="rId11524" display="https://statiz.sporki.com/player/?m=playerinfo&amp;p_no=1216" xr:uid="{59611E57-0E44-4DCF-8E73-05002CC9F03A}"/>
    <hyperlink ref="B3843" r:id="rId11525" display="https://statiz.sporki.com/add/?m=draft_school01&amp;ps_school=" xr:uid="{D2E3DAB2-2063-4A21-984D-E52CFDA96505}"/>
    <hyperlink ref="C3843" r:id="rId11526" display="https://statiz.sporki.com/add/?m=draft_school02&amp;ps_school=" xr:uid="{9DDB4E6A-954D-4AE8-BFE6-FB83767619A8}"/>
    <hyperlink ref="A3844" r:id="rId11527" display="https://statiz.sporki.com/player/?m=playerinfo&amp;p_no=1212" xr:uid="{F16406BF-4737-4652-A0D4-287EA4E064F8}"/>
    <hyperlink ref="B3844" r:id="rId11528" display="https://statiz.sporki.com/add/?m=draft_school01&amp;ps_school=50711" xr:uid="{4C4E5B64-3D4D-49D5-ACFE-7E62BC47862B}"/>
    <hyperlink ref="C3844" r:id="rId11529" display="https://statiz.sporki.com/add/?m=draft_school02&amp;ps_school=" xr:uid="{C598D326-B98E-4932-B2FA-428BEEA09DED}"/>
    <hyperlink ref="A3845" r:id="rId11530" display="https://statiz.sporki.com/player/?m=playerinfo&amp;p_no=1232" xr:uid="{AAF5F4C8-BD6B-4371-86A9-6D510EEB552B}"/>
    <hyperlink ref="B3845" r:id="rId11531" display="https://statiz.sporki.com/add/?m=draft_school01&amp;ps_school=" xr:uid="{60F61E74-9B69-4C7B-9268-098C1E83A6A6}"/>
    <hyperlink ref="C3845" r:id="rId11532" display="https://statiz.sporki.com/add/?m=draft_school02&amp;ps_school=" xr:uid="{9D1A6B5D-556D-4E20-805F-D35088D119B2}"/>
    <hyperlink ref="A3846" r:id="rId11533" display="https://statiz.sporki.com/player/?m=playerinfo&amp;p_no=1194" xr:uid="{0609A2E7-F16F-4C36-8766-60653591AFC0}"/>
    <hyperlink ref="B3846" r:id="rId11534" display="https://statiz.sporki.com/add/?m=draft_school01&amp;ps_school=" xr:uid="{916C34BC-8769-4C1C-896A-BC1584F0746E}"/>
    <hyperlink ref="C3846" r:id="rId11535" display="https://statiz.sporki.com/add/?m=draft_school02&amp;ps_school=" xr:uid="{86CB0CC9-DA52-4BEE-83F3-A57B677FF4FC}"/>
    <hyperlink ref="A3847" r:id="rId11536" display="https://statiz.sporki.com/player/?m=playerinfo&amp;p_no=1226" xr:uid="{868A146A-E07B-459D-98B5-F3BE1BBEC10D}"/>
    <hyperlink ref="B3847" r:id="rId11537" display="https://statiz.sporki.com/add/?m=draft_school01&amp;ps_school=" xr:uid="{065DC0E1-38D4-464C-B2D4-FB17C64DFB5E}"/>
    <hyperlink ref="C3847" r:id="rId11538" display="https://statiz.sporki.com/add/?m=draft_school02&amp;ps_school=" xr:uid="{78838628-DBA6-440F-B6DB-725F10FEF6EA}"/>
    <hyperlink ref="A3848" r:id="rId11539" display="https://statiz.sporki.com/player/?m=playerinfo&amp;p_no=1208" xr:uid="{02B07919-4ADA-40AE-B427-F0AB523291B1}"/>
    <hyperlink ref="B3848" r:id="rId11540" display="https://statiz.sporki.com/add/?m=draft_school01&amp;ps_school=" xr:uid="{8F709A50-52CC-4A55-A0B0-E9E586D00887}"/>
    <hyperlink ref="C3848" r:id="rId11541" display="https://statiz.sporki.com/add/?m=draft_school02&amp;ps_school=60109" xr:uid="{8E7ACB77-08ED-4B24-AF4C-262A260A028F}"/>
    <hyperlink ref="A3849" r:id="rId11542" display="https://statiz.sporki.com/player/?m=playerinfo&amp;p_no=1185" xr:uid="{C01D32FC-FCF8-4DB4-9675-E55851078DC2}"/>
    <hyperlink ref="B3849" r:id="rId11543" display="https://statiz.sporki.com/add/?m=draft_school01&amp;ps_school=50101" xr:uid="{E4DAC597-4B1F-4B36-823B-30E128559B1F}"/>
    <hyperlink ref="C3849" r:id="rId11544" display="https://statiz.sporki.com/add/?m=draft_school02&amp;ps_school=60102" xr:uid="{99B1A3C7-F067-4243-9FCA-C56FE1B6983F}"/>
    <hyperlink ref="A3850" r:id="rId11545" display="https://statiz.sporki.com/player/?m=playerinfo&amp;p_no=1174" xr:uid="{75DFEBA8-DF5F-47AA-BF45-392606EAAD9B}"/>
    <hyperlink ref="B3850" r:id="rId11546" display="https://statiz.sporki.com/add/?m=draft_school01&amp;ps_school=50105" xr:uid="{CCD6D0EF-CF0D-4B8E-81A5-86E41FF42497}"/>
    <hyperlink ref="C3850" r:id="rId11547" display="https://statiz.sporki.com/add/?m=draft_school02&amp;ps_school=60204" xr:uid="{6848BE67-40D0-4FB9-8713-2ECE595CADD0}"/>
    <hyperlink ref="A3851" r:id="rId11548" display="https://statiz.sporki.com/player/?m=playerinfo&amp;p_no=1170" xr:uid="{AE9EB701-34BB-4E3A-B7A4-A1A233B63CDF}"/>
    <hyperlink ref="B3851" r:id="rId11549" display="https://statiz.sporki.com/add/?m=draft_school01&amp;ps_school=50110" xr:uid="{DB49ACD8-B435-4643-9C5D-3211C13ABABD}"/>
    <hyperlink ref="C3851" r:id="rId11550" display="https://statiz.sporki.com/add/?m=draft_school02&amp;ps_school=60103" xr:uid="{7CE7740A-0500-44C1-B532-AFF57F65F4B9}"/>
    <hyperlink ref="A3852" r:id="rId11551" display="https://statiz.sporki.com/player/?m=playerinfo&amp;p_no=1165" xr:uid="{DF3E7196-0213-4188-936E-1E6CB61E78AD}"/>
    <hyperlink ref="B3852" r:id="rId11552" display="https://statiz.sporki.com/add/?m=draft_school01&amp;ps_school=50114" xr:uid="{E09B1459-FDBD-4492-8F12-DE33448B2E3A}"/>
    <hyperlink ref="C3852" r:id="rId11553" display="https://statiz.sporki.com/add/?m=draft_school02&amp;ps_school=" xr:uid="{69ADA5CC-DF71-43EE-8D98-70E6BCFAD543}"/>
    <hyperlink ref="A3853" r:id="rId11554" display="https://statiz.sporki.com/player/?m=playerinfo&amp;p_no=1158" xr:uid="{D31EE32D-5AD4-4617-A3BE-E548EE549B1B}"/>
    <hyperlink ref="B3853" r:id="rId11555" display="https://statiz.sporki.com/add/?m=draft_school01&amp;ps_school=50105" xr:uid="{EBE8D9C6-F73D-4F80-B75C-578F7DB5D11E}"/>
    <hyperlink ref="C3853" r:id="rId11556" display="https://statiz.sporki.com/add/?m=draft_school02&amp;ps_school=60109" xr:uid="{12366329-40A9-4D2F-8254-51BB9FF1DB47}"/>
    <hyperlink ref="A3854" r:id="rId11557" display="https://statiz.sporki.com/player/?m=playerinfo&amp;p_no=1151" xr:uid="{B7C8D6E5-CAD7-4F06-90A4-7E789853D61E}"/>
    <hyperlink ref="B3854" r:id="rId11558" display="https://statiz.sporki.com/add/?m=draft_school01&amp;ps_school=50109" xr:uid="{FAC23A1B-3BFE-43C7-9917-47FA0EEA1C48}"/>
    <hyperlink ref="C3854" r:id="rId11559" display="https://statiz.sporki.com/add/?m=draft_school02&amp;ps_school=60109" xr:uid="{349E2581-8635-4F36-BA29-84E067231FFD}"/>
    <hyperlink ref="A3855" r:id="rId11560" display="https://statiz.sporki.com/player/?m=playerinfo&amp;p_no=1148" xr:uid="{CE62B51E-4F2F-4098-B8B6-309DAAC745D1}"/>
    <hyperlink ref="B3855" r:id="rId11561" display="https://statiz.sporki.com/add/?m=draft_school01&amp;ps_school=50101" xr:uid="{6A055457-2543-4FFE-82D0-1CC24F6BCCCD}"/>
    <hyperlink ref="C3855" r:id="rId11562" display="https://statiz.sporki.com/add/?m=draft_school02&amp;ps_school=60111" xr:uid="{A3F03355-A7B9-4D62-AFCB-3022D3C389FC}"/>
    <hyperlink ref="A3856" r:id="rId11563" display="https://statiz.sporki.com/player/?m=playerinfo&amp;p_no=1146" xr:uid="{E91073E2-17DE-4860-AC93-0BC7B05FC121}"/>
    <hyperlink ref="B3856" r:id="rId11564" display="https://statiz.sporki.com/add/?m=draft_school01&amp;ps_school=50110" xr:uid="{66C9E4A9-2106-4581-BC70-4E69026776EE}"/>
    <hyperlink ref="C3856" r:id="rId11565" display="https://statiz.sporki.com/add/?m=draft_school02&amp;ps_school=60103" xr:uid="{870DACD2-2E62-4573-8211-FA3890276599}"/>
    <hyperlink ref="A3857" r:id="rId11566" display="https://statiz.sporki.com/player/?m=playerinfo&amp;p_no=1177" xr:uid="{2AD9C061-8887-407A-9107-EA2704311C86}"/>
    <hyperlink ref="B3857" r:id="rId11567" display="https://statiz.sporki.com/add/?m=draft_school01&amp;ps_school=50114" xr:uid="{9B14653D-CBD0-4A10-9FB3-0BB705BDE789}"/>
    <hyperlink ref="C3857" r:id="rId11568" display="https://statiz.sporki.com/add/?m=draft_school02&amp;ps_school=60104" xr:uid="{D590908B-22B1-4D70-9A89-7AA2F2A30CA0}"/>
    <hyperlink ref="A3858" r:id="rId11569" display="https://statiz.sporki.com/player/?m=playerinfo&amp;p_no=1139" xr:uid="{339F6639-8D79-4B42-95AE-B059E2CDB18B}"/>
    <hyperlink ref="B3858" r:id="rId11570" display="https://statiz.sporki.com/add/?m=draft_school01&amp;ps_school=50110" xr:uid="{B8634C52-6D98-4CAB-BD29-8EFB5CAAFE47}"/>
    <hyperlink ref="C3858" r:id="rId11571" display="https://statiz.sporki.com/add/?m=draft_school02&amp;ps_school=60103" xr:uid="{114293F6-E13B-4625-B252-92AC68541F34}"/>
    <hyperlink ref="A3859" r:id="rId11572" display="https://statiz.sporki.com/player/?m=playerinfo&amp;p_no=1144" xr:uid="{3064DA7E-9B4F-47E2-A913-9379F85178EA}"/>
    <hyperlink ref="B3859" r:id="rId11573" display="https://statiz.sporki.com/add/?m=draft_school01&amp;ps_school=50402" xr:uid="{3DE84F22-ABD6-4047-9E66-80A29EFBCC8C}"/>
    <hyperlink ref="C3859" r:id="rId11574" display="https://statiz.sporki.com/add/?m=draft_school02&amp;ps_school=60104" xr:uid="{983A80A9-2C3A-48F6-8317-175BD0523D29}"/>
    <hyperlink ref="A3860" r:id="rId11575" display="https://statiz.sporki.com/player/?m=playerinfo&amp;p_no=1189" xr:uid="{C17A26BB-801D-4FA0-9C9D-CC4C090CFB51}"/>
    <hyperlink ref="B3860" r:id="rId11576" display="https://statiz.sporki.com/add/?m=draft_school01&amp;ps_school=50111" xr:uid="{879942F6-B896-4EFC-809A-533968C087FB}"/>
    <hyperlink ref="C3860" r:id="rId11577" display="https://statiz.sporki.com/add/?m=draft_school02&amp;ps_school=" xr:uid="{A1598CB9-457C-46BA-B8DF-1ED70D125EF1}"/>
    <hyperlink ref="A3861" r:id="rId11578" display="https://statiz.sporki.com/player/?m=playerinfo&amp;p_no=1159" xr:uid="{68D6C93F-4DB3-4447-9B34-F2EF27CB45B0}"/>
    <hyperlink ref="B3861" r:id="rId11579" display="https://statiz.sporki.com/add/?m=draft_school01&amp;ps_school=50302" xr:uid="{942F055C-E238-4016-BDA3-99303197C502}"/>
    <hyperlink ref="C3861" r:id="rId11580" display="https://statiz.sporki.com/add/?m=draft_school02&amp;ps_school=" xr:uid="{0DB872F1-4B24-4113-B609-1B6F4F860171}"/>
    <hyperlink ref="A3862" r:id="rId11581" display="https://statiz.sporki.com/player/?m=playerinfo&amp;p_no=1164" xr:uid="{8B089916-0D12-4EEC-B16A-350F060C088C}"/>
    <hyperlink ref="B3862" r:id="rId11582" display="https://statiz.sporki.com/add/?m=draft_school01&amp;ps_school=50109" xr:uid="{014F056B-0312-4251-8FA1-336A361037B6}"/>
    <hyperlink ref="C3862" r:id="rId11583" display="https://statiz.sporki.com/add/?m=draft_school02&amp;ps_school=60204" xr:uid="{F27D02C9-AEDC-4576-B33B-DFBC63EE1456}"/>
    <hyperlink ref="A3863" r:id="rId11584" display="https://statiz.sporki.com/player/?m=playerinfo&amp;p_no=1143" xr:uid="{2EA67441-5DBB-4A23-8FD3-C738DEDBF57B}"/>
    <hyperlink ref="B3863" r:id="rId11585" display="https://statiz.sporki.com/add/?m=draft_school01&amp;ps_school=50402" xr:uid="{8FA031B3-D642-4E0D-B465-12591B8E2F59}"/>
    <hyperlink ref="C3863" r:id="rId11586" display="https://statiz.sporki.com/add/?m=draft_school02&amp;ps_school=60104" xr:uid="{902DE062-7DE4-4D62-ADAB-6A218A283207}"/>
    <hyperlink ref="A3864" r:id="rId11587" display="https://statiz.sporki.com/player/?m=playerinfo&amp;p_no=1161" xr:uid="{B9DE8D7D-7898-40DE-B700-F01E8FBC28D0}"/>
    <hyperlink ref="B3864" r:id="rId11588" display="https://statiz.sporki.com/add/?m=draft_school01&amp;ps_school=50802" xr:uid="{2113170D-4CFD-4EDF-A99F-8BFC495738CE}"/>
    <hyperlink ref="C3864" r:id="rId11589" display="https://statiz.sporki.com/add/?m=draft_school02&amp;ps_school=60103" xr:uid="{96084820-AC7C-4F35-B63B-0CC2749AEDD8}"/>
    <hyperlink ref="A3865" r:id="rId11590" display="https://statiz.sporki.com/player/?m=playerinfo&amp;p_no=1191" xr:uid="{E92988B8-7F96-4BDC-8B38-4FD20EC50836}"/>
    <hyperlink ref="B3865" r:id="rId11591" display="https://statiz.sporki.com/add/?m=draft_school01&amp;ps_school=50802" xr:uid="{4CF3C4B8-5849-4C88-8153-2714DCEFF6DC}"/>
    <hyperlink ref="C3865" r:id="rId11592" display="https://statiz.sporki.com/add/?m=draft_school02&amp;ps_school=60109" xr:uid="{27741771-9F15-44A5-A460-67207B04E2BC}"/>
    <hyperlink ref="A3866" r:id="rId11593" display="https://statiz.sporki.com/player/?m=playerinfo&amp;p_no=1184" xr:uid="{BC5E459D-AE90-4B4C-A655-879A6F0C0FF0}"/>
    <hyperlink ref="B3866" r:id="rId11594" display="https://statiz.sporki.com/add/?m=draft_school01&amp;ps_school=50802" xr:uid="{8A5EBE03-A458-4B20-A73C-A216AB4259C8}"/>
    <hyperlink ref="C3866" r:id="rId11595" display="https://statiz.sporki.com/add/?m=draft_school02&amp;ps_school=60109" xr:uid="{EA36EC2D-A477-4EC3-88EE-D020B42CAC84}"/>
    <hyperlink ref="A3867" r:id="rId11596" display="https://statiz.sporki.com/player/?m=playerinfo&amp;p_no=1183" xr:uid="{C1B76DF3-7F1D-4BDE-8D08-C3C1FCE5E33D}"/>
    <hyperlink ref="B3867" r:id="rId11597" display="https://statiz.sporki.com/add/?m=draft_school01&amp;ps_school=50802" xr:uid="{D4703378-51CA-4439-A616-0A862AEEDA2E}"/>
    <hyperlink ref="C3867" r:id="rId11598" display="https://statiz.sporki.com/add/?m=draft_school02&amp;ps_school=60803" xr:uid="{87335DF4-2490-4156-8393-E5FAFC86FC98}"/>
    <hyperlink ref="A3868" r:id="rId11599" display="https://statiz.sporki.com/player/?m=playerinfo&amp;p_no=1140" xr:uid="{3FAD6C58-9B30-4A6C-9FDC-3A3D13570334}"/>
    <hyperlink ref="B3868" r:id="rId11600" display="https://statiz.sporki.com/add/?m=draft_school01&amp;ps_school=50807" xr:uid="{9525B4D1-4F05-4A47-9553-A4B57E2043FC}"/>
    <hyperlink ref="C3868" r:id="rId11601" display="https://statiz.sporki.com/add/?m=draft_school02&amp;ps_school=" xr:uid="{2FB461E6-7288-41E9-9449-D43E059DD11B}"/>
    <hyperlink ref="A3869" r:id="rId11602" display="https://statiz.sporki.com/player/?m=playerinfo&amp;p_no=1155" xr:uid="{A809CB6D-C0FA-4931-99A9-0E17D0A7FFDC}"/>
    <hyperlink ref="B3869" r:id="rId11603" display="https://statiz.sporki.com/add/?m=draft_school01&amp;ps_school=50805" xr:uid="{9FC857E5-3A25-4738-8543-0BB4BE1DABA0}"/>
    <hyperlink ref="C3869" r:id="rId11604" display="https://statiz.sporki.com/add/?m=draft_school02&amp;ps_school=60103" xr:uid="{A7038356-BC6A-4944-B6B4-ADCDD9665FFD}"/>
    <hyperlink ref="A3870" r:id="rId11605" display="https://statiz.sporki.com/player/?m=playerinfo&amp;p_no=1145" xr:uid="{7EEE23A7-D094-4F57-BD37-2B6D468F297D}"/>
    <hyperlink ref="B3870" r:id="rId11606" display="https://statiz.sporki.com/add/?m=draft_school01&amp;ps_school=50807" xr:uid="{BD2951D4-1A89-467F-8BB0-BB843AB5C038}"/>
    <hyperlink ref="C3870" r:id="rId11607" display="https://statiz.sporki.com/add/?m=draft_school02&amp;ps_school=60803" xr:uid="{40A09198-2772-4D36-9C0E-5491B08B8CB7}"/>
    <hyperlink ref="A3871" r:id="rId11608" display="https://statiz.sporki.com/player/?m=playerinfo&amp;p_no=1152" xr:uid="{1FBE5228-6C90-4F3F-8A73-3294FBAF0D64}"/>
    <hyperlink ref="B3871" r:id="rId11609" display="https://statiz.sporki.com/add/?m=draft_school01&amp;ps_school=50802" xr:uid="{876FDEFD-DC29-4309-822B-6A30A4E9BB86}"/>
    <hyperlink ref="C3871" r:id="rId11610" display="https://statiz.sporki.com/add/?m=draft_school02&amp;ps_school=60111" xr:uid="{7BED3ABA-620B-4559-9778-44EB68BB3843}"/>
    <hyperlink ref="A3872" r:id="rId11611" display="https://statiz.sporki.com/player/?m=playerinfo&amp;p_no=1153" xr:uid="{C7111070-D5BB-403A-B7C7-FD570EACE841}"/>
    <hyperlink ref="B3872" r:id="rId11612" display="https://statiz.sporki.com/add/?m=draft_school01&amp;ps_school=50805" xr:uid="{F75A2EE3-5C3F-48FB-997C-BFD3E9FCAFC4}"/>
    <hyperlink ref="C3872" r:id="rId11613" display="https://statiz.sporki.com/add/?m=draft_school02&amp;ps_school=60101" xr:uid="{D17D1194-648F-4100-B3BE-F69D52ACBCF2}"/>
    <hyperlink ref="A3873" r:id="rId11614" display="https://statiz.sporki.com/player/?m=playerinfo&amp;p_no=1157" xr:uid="{E6C1CB73-A7F9-464F-A1CD-CCEE632D8BA1}"/>
    <hyperlink ref="B3873" r:id="rId11615" display="https://statiz.sporki.com/add/?m=draft_school01&amp;ps_school=50807" xr:uid="{6137B9FB-798D-4F76-9498-F516BC6C5474}"/>
    <hyperlink ref="C3873" r:id="rId11616" display="https://statiz.sporki.com/add/?m=draft_school02&amp;ps_school=60803" xr:uid="{0D4EB927-E103-40A4-B5B3-7A954B4D3265}"/>
    <hyperlink ref="A3874" r:id="rId11617" display="https://statiz.sporki.com/player/?m=playerinfo&amp;p_no=1154" xr:uid="{DE3BF732-E8F0-405C-BAD3-0CD2AB31BCEA}"/>
    <hyperlink ref="B3874" r:id="rId11618" display="https://statiz.sporki.com/add/?m=draft_school01&amp;ps_school=50802" xr:uid="{B7BD1CF2-1B62-426D-B6C2-8A3289001F44}"/>
    <hyperlink ref="C3874" r:id="rId11619" display="https://statiz.sporki.com/add/?m=draft_school02&amp;ps_school=60111" xr:uid="{BAF8607A-4614-4151-8ADC-F7648A19BD90}"/>
    <hyperlink ref="A3875" r:id="rId11620" display="https://statiz.sporki.com/player/?m=playerinfo&amp;p_no=1160" xr:uid="{30D3F41D-88BA-42E3-87A9-6E7B7B328ADB}"/>
    <hyperlink ref="B3875" r:id="rId11621" display="https://statiz.sporki.com/add/?m=draft_school01&amp;ps_school=50805" xr:uid="{78491EB5-5491-4D52-84B1-503A29B704E4}"/>
    <hyperlink ref="C3875" r:id="rId11622" display="https://statiz.sporki.com/add/?m=draft_school02&amp;ps_school=60108" xr:uid="{5A8652F9-AFBA-4461-BB31-AA27A30D867B}"/>
    <hyperlink ref="A3876" r:id="rId11623" display="https://statiz.sporki.com/player/?m=playerinfo&amp;p_no=1241" xr:uid="{A8DD6B14-BEDC-4C72-81F6-E3005662AE0F}"/>
    <hyperlink ref="B3876" r:id="rId11624" display="https://statiz.sporki.com/add/?m=draft_school01&amp;ps_school=" xr:uid="{D974F9EA-57BF-4DEA-8AEA-A8B0E71A76CD}"/>
    <hyperlink ref="C3876" r:id="rId11625" display="https://statiz.sporki.com/add/?m=draft_school02&amp;ps_school=60111" xr:uid="{F1A13A38-DDB5-459E-A3BC-AB2BFC8ED19D}"/>
    <hyperlink ref="A3877" r:id="rId11626" display="https://statiz.sporki.com/player/?m=playerinfo&amp;p_no=1180" xr:uid="{74ADE497-EE1A-40F4-AD56-9C7E8056D31A}"/>
    <hyperlink ref="B3877" r:id="rId11627" display="https://statiz.sporki.com/add/?m=draft_school01&amp;ps_school=50209" xr:uid="{4EE1E9E1-B637-4BA1-8344-0B1230E76765}"/>
    <hyperlink ref="C3877" r:id="rId11628" display="https://statiz.sporki.com/add/?m=draft_school02&amp;ps_school=60204" xr:uid="{143CFD90-C5B3-48CA-A170-FCE62778FF1D}"/>
    <hyperlink ref="A3878" r:id="rId11629" display="https://statiz.sporki.com/player/?m=playerinfo&amp;p_no=1138" xr:uid="{DA04B94C-296D-4D97-9CD4-06EC106A5257}"/>
    <hyperlink ref="B3878" r:id="rId11630" display="https://statiz.sporki.com/add/?m=draft_school01&amp;ps_school=50209" xr:uid="{DF5500B0-1840-44FC-99EB-A723164C2316}"/>
    <hyperlink ref="C3878" r:id="rId11631" display="https://statiz.sporki.com/add/?m=draft_school02&amp;ps_school=60204" xr:uid="{E32A7F80-889B-4E48-8B29-8BEF69A5C489}"/>
    <hyperlink ref="A3879" r:id="rId11632" display="https://statiz.sporki.com/player/?m=playerinfo&amp;p_no=1175" xr:uid="{1495A742-BF6C-4485-A37A-EA178FAA5906}"/>
    <hyperlink ref="B3879" r:id="rId11633" display="https://statiz.sporki.com/add/?m=draft_school01&amp;ps_school=50209" xr:uid="{51A0702F-94F4-468B-BCD3-904BDC4F5567}"/>
    <hyperlink ref="C3879" r:id="rId11634" display="https://statiz.sporki.com/add/?m=draft_school02&amp;ps_school=60803" xr:uid="{C761BC8A-06F2-462A-9A38-94797943A920}"/>
    <hyperlink ref="A3880" r:id="rId11635" display="https://statiz.sporki.com/player/?m=playerinfo&amp;p_no=1173" xr:uid="{6BCAF6B8-90F8-40DB-9843-09B059528EA7}"/>
    <hyperlink ref="B3880" r:id="rId11636" display="https://statiz.sporki.com/add/?m=draft_school01&amp;ps_school=50711" xr:uid="{ADD486EF-AF2E-49F2-9B4F-BDA334FD6EAC}"/>
    <hyperlink ref="C3880" r:id="rId11637" display="https://statiz.sporki.com/add/?m=draft_school02&amp;ps_school=60113" xr:uid="{B6E4E621-B17D-496F-A43F-0BABDAC826A1}"/>
    <hyperlink ref="A3881" r:id="rId11638" display="https://statiz.sporki.com/player/?m=playerinfo&amp;p_no=1171" xr:uid="{05DE6409-5FBC-498F-8362-B1C7B9462220}"/>
    <hyperlink ref="B3881" r:id="rId11639" display="https://statiz.sporki.com/add/?m=draft_school01&amp;ps_school=50711" xr:uid="{4FB058D4-D5CF-4ED9-A58B-AC1656CA362C}"/>
    <hyperlink ref="C3881" r:id="rId11640" display="https://statiz.sporki.com/add/?m=draft_school02&amp;ps_school=60108" xr:uid="{0BB653B1-56ED-4BC8-87D2-6149A59A01B4}"/>
    <hyperlink ref="A3882" r:id="rId11641" display="https://statiz.sporki.com/player/?m=playerinfo&amp;p_no=1156" xr:uid="{6FE748D6-E60A-49E2-9673-C8C744BBB1C0}"/>
    <hyperlink ref="B3882" r:id="rId11642" display="https://statiz.sporki.com/add/?m=draft_school01&amp;ps_school=" xr:uid="{A59CC963-2608-474E-A183-470EBEC53221}"/>
    <hyperlink ref="C3882" r:id="rId11643" display="https://statiz.sporki.com/add/?m=draft_school02&amp;ps_school=60101" xr:uid="{03F7CA3C-6ADE-4804-9C38-7D6ED94177EE}"/>
    <hyperlink ref="A3883" r:id="rId11644" display="https://statiz.sporki.com/player/?m=playerinfo&amp;p_no=1172" xr:uid="{7C57B5EE-FB92-4E02-9097-771AD3264E80}"/>
    <hyperlink ref="B3883" r:id="rId11645" display="https://statiz.sporki.com/add/?m=draft_school01&amp;ps_school=50701" xr:uid="{D4F2DA5A-D2ED-4563-B86D-D8D6E496DEFE}"/>
    <hyperlink ref="C3883" r:id="rId11646" display="https://statiz.sporki.com/add/?m=draft_school02&amp;ps_school=60101" xr:uid="{790EB62F-D5D9-467C-B257-AE278233CCD7}"/>
    <hyperlink ref="A3884" r:id="rId11647" display="https://statiz.sporki.com/player/?m=playerinfo&amp;p_no=1149" xr:uid="{FACA1AD3-7A68-428B-93BA-7A072D083E78}"/>
    <hyperlink ref="B3884" r:id="rId11648" display="https://statiz.sporki.com/add/?m=draft_school01&amp;ps_school=50701" xr:uid="{7D229AED-CD5D-4326-BBC8-C3D5BB7B626F}"/>
    <hyperlink ref="C3884" r:id="rId11649" display="https://statiz.sporki.com/add/?m=draft_school02&amp;ps_school=60103" xr:uid="{05477F22-3BDB-4272-8761-3FB1B8BF4D8F}"/>
    <hyperlink ref="A3885" r:id="rId11650" display="https://statiz.sporki.com/player/?m=playerinfo&amp;p_no=1142" xr:uid="{146092C9-100F-405C-81BE-1C822EB79E79}"/>
    <hyperlink ref="B3885" r:id="rId11651" display="https://statiz.sporki.com/add/?m=draft_school01&amp;ps_school=50711" xr:uid="{7C48DE5B-C3C8-49C8-A5E7-F18BA3B96327}"/>
    <hyperlink ref="C3885" r:id="rId11652" display="https://statiz.sporki.com/add/?m=draft_school02&amp;ps_school=60113" xr:uid="{D3D7F597-D0BE-4E9E-B656-F52F65E7902B}"/>
    <hyperlink ref="A3886" r:id="rId11653" display="https://statiz.sporki.com/player/?m=playerinfo&amp;p_no=1168" xr:uid="{1C0C86C2-B23B-4ECE-8929-3D3720273AA7}"/>
    <hyperlink ref="B3886" r:id="rId11654" display="https://statiz.sporki.com/add/?m=draft_school01&amp;ps_school=50701" xr:uid="{7F993856-E745-4B63-A77E-78EF97CF693F}"/>
    <hyperlink ref="C3886" r:id="rId11655" display="https://statiz.sporki.com/add/?m=draft_school02&amp;ps_school=60109" xr:uid="{DB13EF19-34F2-4E99-B8BF-522B5ADB4D75}"/>
    <hyperlink ref="A3887" r:id="rId11656" display="https://statiz.sporki.com/player/?m=playerinfo&amp;p_no=1186" xr:uid="{9FD4C5A5-9203-4113-9254-62E39924EE3E}"/>
    <hyperlink ref="B3887" r:id="rId11657" display="https://statiz.sporki.com/add/?m=draft_school01&amp;ps_school=50711" xr:uid="{52FFAE67-3900-450F-B744-85D42755CF54}"/>
    <hyperlink ref="C3887" r:id="rId11658" display="https://statiz.sporki.com/add/?m=draft_school02&amp;ps_school=60101" xr:uid="{B0344C75-8AF0-439D-8C6C-B2E9EA048874}"/>
    <hyperlink ref="A3888" r:id="rId11659" display="https://statiz.sporki.com/player/?m=playerinfo&amp;p_no=1150" xr:uid="{43E4FE50-089B-413D-A49D-B733F46C6C19}"/>
    <hyperlink ref="B3888" r:id="rId11660" display="https://statiz.sporki.com/add/?m=draft_school01&amp;ps_school=50701" xr:uid="{AE61F11D-B4D4-4651-9B22-78060DFD2AE4}"/>
    <hyperlink ref="C3888" r:id="rId11661" display="https://statiz.sporki.com/add/?m=draft_school02&amp;ps_school=60109" xr:uid="{EEF9CBDE-815C-4C0A-BF67-1B22AF1543E5}"/>
    <hyperlink ref="A3889" r:id="rId11662" display="https://statiz.sporki.com/player/?m=playerinfo&amp;p_no=1167" xr:uid="{BD867E06-ACB9-478B-BABC-E96FFE2569FF}"/>
    <hyperlink ref="B3889" r:id="rId11663" display="https://statiz.sporki.com/add/?m=draft_school01&amp;ps_school=50604" xr:uid="{5499C2F6-9C5F-4C65-82C0-6C664D9D27C0}"/>
    <hyperlink ref="C3889" r:id="rId11664" display="https://statiz.sporki.com/add/?m=draft_school02&amp;ps_school=60703" xr:uid="{D4D2370A-91D6-4A88-9D47-F39379FC38AB}"/>
    <hyperlink ref="A3890" r:id="rId11665" display="https://statiz.sporki.com/player/?m=playerinfo&amp;p_no=1169" xr:uid="{98A317D4-73D6-4470-A780-6CA9DF28588C}"/>
    <hyperlink ref="B3890" r:id="rId11666" display="https://statiz.sporki.com/add/?m=draft_school01&amp;ps_school=50501" xr:uid="{16E0E68D-DF0A-4305-8EED-FF0FF703B9B9}"/>
    <hyperlink ref="C3890" r:id="rId11667" display="https://statiz.sporki.com/add/?m=draft_school02&amp;ps_school=60101" xr:uid="{CBD0A86B-7D2A-495D-81FC-0D54CE3606AA}"/>
    <hyperlink ref="A3891" r:id="rId11668" display="https://statiz.sporki.com/player/?m=playerinfo&amp;p_no=1136" xr:uid="{10031EE0-CBCE-4D15-9190-C33E211E76C6}"/>
    <hyperlink ref="B3891" r:id="rId11669" display="https://statiz.sporki.com/add/?m=draft_school01&amp;ps_school=50701" xr:uid="{D48347AD-E595-4CA9-B2DE-84A80839265C}"/>
    <hyperlink ref="C3891" r:id="rId11670" display="https://statiz.sporki.com/add/?m=draft_school02&amp;ps_school=60109" xr:uid="{5529AE94-1E8D-4E01-A94D-03954838FEBE}"/>
    <hyperlink ref="A3892" r:id="rId11671" display="https://statiz.sporki.com/player/?m=playerinfo&amp;p_no=1181" xr:uid="{35EE55D9-4304-47EE-9B11-3FD6C2A59A61}"/>
    <hyperlink ref="B3892" r:id="rId11672" display="https://statiz.sporki.com/add/?m=draft_school01&amp;ps_school=50116" xr:uid="{E9ABBB09-9073-465C-A6D9-D9BADB693F58}"/>
    <hyperlink ref="C3892" r:id="rId11673" display="https://statiz.sporki.com/add/?m=draft_school02&amp;ps_school=60103" xr:uid="{C96BB194-F9B2-4BF0-B147-7F4F33D4BE94}"/>
    <hyperlink ref="A3893" r:id="rId11674" display="https://statiz.sporki.com/player/?m=playerinfo&amp;p_no=1182" xr:uid="{6FA63C4C-8BA9-4E22-9597-872A14318CBE}"/>
    <hyperlink ref="B3893" r:id="rId11675" display="https://statiz.sporki.com/add/?m=draft_school01&amp;ps_school=50107" xr:uid="{38F34D12-891E-48E1-AF0C-1F393CF9579C}"/>
    <hyperlink ref="C3893" r:id="rId11676" display="https://statiz.sporki.com/add/?m=draft_school02&amp;ps_school=" xr:uid="{4E04495F-9045-4B11-8F98-99F2CB5286EF}"/>
    <hyperlink ref="A3894" r:id="rId11677" display="https://statiz.sporki.com/player/?m=playerinfo&amp;p_no=1188" xr:uid="{D7796402-DC52-452C-A3D7-524594D803FD}"/>
    <hyperlink ref="B3894" r:id="rId11678" display="https://statiz.sporki.com/add/?m=draft_school01&amp;ps_school=" xr:uid="{5260224F-D021-4E1D-AE3E-2623DA1890E5}"/>
    <hyperlink ref="C3894" r:id="rId11679" display="https://statiz.sporki.com/add/?m=draft_school02&amp;ps_school=60108" xr:uid="{25C72A57-0C06-40C7-B8D0-8B034444A791}"/>
    <hyperlink ref="A3895" r:id="rId11680" display="https://statiz.sporki.com/player/?m=playerinfo&amp;p_no=1163" xr:uid="{71D178AF-9503-480A-806A-1BDA27B727EB}"/>
    <hyperlink ref="B3895" r:id="rId11681" display="https://statiz.sporki.com/add/?m=draft_school01&amp;ps_school=50402" xr:uid="{2AC5F416-1662-4E47-A5DE-409E36622FDA}"/>
    <hyperlink ref="C3895" r:id="rId11682" display="https://statiz.sporki.com/add/?m=draft_school02&amp;ps_school=60204" xr:uid="{DFC5BC96-7EB0-4F4D-8536-E9044BED1D55}"/>
    <hyperlink ref="A3896" r:id="rId11683" display="https://statiz.sporki.com/player/?m=playerinfo&amp;p_no=1147" xr:uid="{044A12E8-D41E-47EE-BD7C-54EFDD4575CE}"/>
    <hyperlink ref="B3896" r:id="rId11684" display="https://statiz.sporki.com/add/?m=draft_school01&amp;ps_school=50110" xr:uid="{781CAABD-873B-4F2C-8013-16DE6701035B}"/>
    <hyperlink ref="C3896" r:id="rId11685" display="https://statiz.sporki.com/add/?m=draft_school02&amp;ps_school=60103" xr:uid="{93B9A93C-386B-4CB3-9E2E-EA6B47A32254}"/>
    <hyperlink ref="A3897" r:id="rId11686" display="https://statiz.sporki.com/player/?m=playerinfo&amp;p_no=1179" xr:uid="{8A000C82-E7CA-467F-87AC-CFD9816E88EB}"/>
    <hyperlink ref="B3897" r:id="rId11687" display="https://statiz.sporki.com/add/?m=draft_school01&amp;ps_school=50112" xr:uid="{E0BC9E46-44F2-46D1-8981-B3334CCB158C}"/>
    <hyperlink ref="C3897" r:id="rId11688" display="https://statiz.sporki.com/add/?m=draft_school02&amp;ps_school=60103" xr:uid="{0748E279-90E4-421A-9492-FC74F75B48E9}"/>
    <hyperlink ref="A3898" r:id="rId11689" display="https://statiz.sporki.com/player/?m=playerinfo&amp;p_no=1166" xr:uid="{97DAAEAD-DEC3-490B-9FC3-FFAD7618B454}"/>
    <hyperlink ref="B3898" r:id="rId11690" display="https://statiz.sporki.com/add/?m=draft_school01&amp;ps_school=" xr:uid="{E2A6B55F-13C6-4D4F-A931-64644075CBDE}"/>
    <hyperlink ref="C3898" r:id="rId11691" display="https://statiz.sporki.com/add/?m=draft_school02&amp;ps_school=" xr:uid="{D53E6A97-537B-4C73-B049-134F5BCA923B}"/>
    <hyperlink ref="A3899" r:id="rId11692" display="https://statiz.sporki.com/player/?m=playerinfo&amp;p_no=1176" xr:uid="{21A37DA0-297C-42F9-99A4-9C6FBFF5067B}"/>
    <hyperlink ref="B3899" r:id="rId11693" display="https://statiz.sporki.com/add/?m=draft_school01&amp;ps_school=" xr:uid="{02CE99CD-D459-4EFC-9A11-9160C5CB0AAF}"/>
    <hyperlink ref="C3899" r:id="rId11694" display="https://statiz.sporki.com/add/?m=draft_school02&amp;ps_school=" xr:uid="{EE1EF3C5-7E34-4393-A9C6-2DE7BF6D41BC}"/>
    <hyperlink ref="A3900" r:id="rId11695" display="https://statiz.sporki.com/player/?m=playerinfo&amp;p_no=1192" xr:uid="{B8D2C1CE-2B96-41B3-A756-3D259C5C1804}"/>
    <hyperlink ref="B3900" r:id="rId11696" display="https://statiz.sporki.com/add/?m=draft_school01&amp;ps_school=" xr:uid="{ED441599-BC00-4840-935D-1715A120F32E}"/>
    <hyperlink ref="C3900" r:id="rId11697" display="https://statiz.sporki.com/add/?m=draft_school02&amp;ps_school=" xr:uid="{6070F8D8-BBB8-49B3-A672-97038252DA95}"/>
    <hyperlink ref="A3901" r:id="rId11698" display="https://statiz.sporki.com/player/?m=playerinfo&amp;p_no=1178" xr:uid="{8037EDB3-9BFB-4D7A-B675-3A94F1D8BE71}"/>
    <hyperlink ref="B3901" r:id="rId11699" display="https://statiz.sporki.com/add/?m=draft_school01&amp;ps_school=" xr:uid="{F7F1A589-7164-46E2-A8B6-5D0F81BFB1FA}"/>
    <hyperlink ref="C3901" r:id="rId11700" display="https://statiz.sporki.com/add/?m=draft_school02&amp;ps_school=" xr:uid="{E21FF251-C8DE-4A86-880B-7A6043739D80}"/>
    <hyperlink ref="A3902" r:id="rId11701" display="https://statiz.sporki.com/player/?m=playerinfo&amp;p_no=1137" xr:uid="{907366A4-324F-4018-8D57-C017326493ED}"/>
    <hyperlink ref="B3902" r:id="rId11702" display="https://statiz.sporki.com/add/?m=draft_school01&amp;ps_school=" xr:uid="{7E1F1FD0-EB55-4BFE-B137-D147425CB507}"/>
    <hyperlink ref="C3902" r:id="rId11703" display="https://statiz.sporki.com/add/?m=draft_school02&amp;ps_school=" xr:uid="{A6FE9F21-CCB4-4A1E-A185-20EFEC9C51AB}"/>
    <hyperlink ref="A3903" r:id="rId11704" display="https://statiz.sporki.com/player/?m=playerinfo&amp;p_no=1304" xr:uid="{D0B04D6C-A8CD-4DEB-82A2-79DB465BACB7}"/>
    <hyperlink ref="B3903" r:id="rId11705" display="https://statiz.sporki.com/add/?m=draft_school01&amp;ps_school=50101" xr:uid="{0F208B0A-EA36-4490-B1AC-BE5CAA89FC82}"/>
    <hyperlink ref="C3903" r:id="rId11706" display="https://statiz.sporki.com/add/?m=draft_school02&amp;ps_school=" xr:uid="{FEF6A9E5-83F5-4FE5-8415-F749B620F3E8}"/>
    <hyperlink ref="A3904" r:id="rId11707" display="https://statiz.sporki.com/player/?m=playerinfo&amp;p_no=1187" xr:uid="{47534855-5DEA-4F24-A00C-8ED6F4E0497F}"/>
    <hyperlink ref="B3904" r:id="rId11708" display="https://statiz.sporki.com/add/?m=draft_school01&amp;ps_school=" xr:uid="{07DCE620-47DA-4983-AC11-FD62990FED53}"/>
    <hyperlink ref="C3904" r:id="rId11709" display="https://statiz.sporki.com/add/?m=draft_school02&amp;ps_school=" xr:uid="{91D2B6B9-1310-4C8A-A62D-B1063FE51799}"/>
    <hyperlink ref="A3905" r:id="rId11710" display="https://statiz.sporki.com/player/?m=playerinfo&amp;p_no=1096" xr:uid="{9AB855C6-F021-437A-8BD7-9369A419751D}"/>
    <hyperlink ref="B3905" r:id="rId11711" display="https://statiz.sporki.com/add/?m=draft_school01&amp;ps_school=50711" xr:uid="{77198543-70C4-4DC3-BFA7-F834EE4E9900}"/>
    <hyperlink ref="C3905" r:id="rId11712" display="https://statiz.sporki.com/add/?m=draft_school02&amp;ps_school=" xr:uid="{39B55A48-D508-4854-A72A-947FBF15C81C}"/>
    <hyperlink ref="A3906" r:id="rId11713" display="https://statiz.sporki.com/player/?m=playerinfo&amp;p_no=1060" xr:uid="{CF017D45-5CEE-49D2-A632-9952C1F77406}"/>
    <hyperlink ref="B3906" r:id="rId11714" display="https://statiz.sporki.com/add/?m=draft_school01&amp;ps_school=" xr:uid="{68726C3A-4CF5-4FBD-9B7F-9CD653495269}"/>
    <hyperlink ref="C3906" r:id="rId11715" display="https://statiz.sporki.com/add/?m=draft_school02&amp;ps_school=60101" xr:uid="{1D153C59-FF6B-4847-BFA1-202C6FE75A28}"/>
    <hyperlink ref="A3907" r:id="rId11716" display="https://statiz.sporki.com/player/?m=playerinfo&amp;p_no=1128" xr:uid="{B4E2083A-8CD8-403A-B89F-F981DA756149}"/>
    <hyperlink ref="B3907" r:id="rId11717" display="https://statiz.sporki.com/add/?m=draft_school01&amp;ps_school=50108" xr:uid="{62E8909D-485D-4AFF-9A2C-67063F703D4C}"/>
    <hyperlink ref="C3907" r:id="rId11718" display="https://statiz.sporki.com/add/?m=draft_school02&amp;ps_school=60101" xr:uid="{38623E0F-E3C2-41CA-8579-4BF7003EA946}"/>
    <hyperlink ref="A3908" r:id="rId11719" display="https://statiz.sporki.com/player/?m=playerinfo&amp;p_no=1131" xr:uid="{637783AC-A525-4042-ADC1-C2921583646A}"/>
    <hyperlink ref="B3908" r:id="rId11720" display="https://statiz.sporki.com/add/?m=draft_school01&amp;ps_school=50124" xr:uid="{F7283A58-30E1-45EA-90F5-ABDAA84477D3}"/>
    <hyperlink ref="C3908" r:id="rId11721" display="https://statiz.sporki.com/add/?m=draft_school02&amp;ps_school=" xr:uid="{975C65CE-5F5A-46E0-B9B5-8D319EAE4261}"/>
    <hyperlink ref="A3909" r:id="rId11722" display="https://statiz.sporki.com/player/?m=playerinfo&amp;p_no=1094" xr:uid="{AB5B4732-743B-4096-91EE-A91A785F98DE}"/>
    <hyperlink ref="B3909" r:id="rId11723" display="https://statiz.sporki.com/add/?m=draft_school01&amp;ps_school=50121" xr:uid="{F10429EF-257F-4504-BABF-0E23A4022F78}"/>
    <hyperlink ref="C3909" r:id="rId11724" display="https://statiz.sporki.com/add/?m=draft_school02&amp;ps_school=" xr:uid="{328410A3-F531-4A8A-9479-3E85D39FCD95}"/>
    <hyperlink ref="A3910" r:id="rId11725" display="https://statiz.sporki.com/player/?m=playerinfo&amp;p_no=1027" xr:uid="{7698182C-DF26-46C0-B925-2DA6A1B080AD}"/>
    <hyperlink ref="B3910" r:id="rId11726" display="https://statiz.sporki.com/add/?m=draft_school01&amp;ps_school=50703" xr:uid="{C7E36D90-E173-4708-B076-5E87BAFAC485}"/>
    <hyperlink ref="C3910" r:id="rId11727" display="https://statiz.sporki.com/add/?m=draft_school02&amp;ps_school=" xr:uid="{97A6AA93-E2EE-454B-BC16-8E79CA2F884C}"/>
    <hyperlink ref="A3911" r:id="rId11728" display="https://statiz.sporki.com/player/?m=playerinfo&amp;p_no=1141" xr:uid="{A1CF789F-D19C-46B8-8C2D-50F54F72C618}"/>
    <hyperlink ref="B3911" r:id="rId11729" display="https://statiz.sporki.com/add/?m=draft_school01&amp;ps_school=50109" xr:uid="{11DDF948-D820-4BF4-BB54-C19486697130}"/>
    <hyperlink ref="C3911" r:id="rId11730" display="https://statiz.sporki.com/add/?m=draft_school02&amp;ps_school=60101" xr:uid="{072BD732-78A3-4057-897E-E81AD0C9AE8C}"/>
    <hyperlink ref="A3912" r:id="rId11731" display="https://statiz.sporki.com/player/?m=playerinfo&amp;p_no=1062" xr:uid="{4BE6DE5B-C3B8-4F89-BB19-61FF47F3009C}"/>
    <hyperlink ref="B3912" r:id="rId11732" display="https://statiz.sporki.com/add/?m=draft_school01&amp;ps_school=50122" xr:uid="{0AAFD3E0-80DB-4E84-AC4B-F6FC441DB518}"/>
    <hyperlink ref="C3912" r:id="rId11733" display="https://statiz.sporki.com/add/?m=draft_school02&amp;ps_school=60703" xr:uid="{4D8F74D0-61A8-408B-BC51-AD7A95D42602}"/>
    <hyperlink ref="A3913" r:id="rId11734" display="https://statiz.sporki.com/player/?m=playerinfo&amp;p_no=1100" xr:uid="{F714ADF4-FC2B-44F8-8EAA-6AB19D444746}"/>
    <hyperlink ref="B3913" r:id="rId11735" display="https://statiz.sporki.com/add/?m=draft_school01&amp;ps_school=50114" xr:uid="{359435CB-2962-4A5B-8AC8-C0A67CC6B00B}"/>
    <hyperlink ref="C3913" r:id="rId11736" display="https://statiz.sporki.com/add/?m=draft_school02&amp;ps_school=60104" xr:uid="{2656D9BF-2B4B-4C92-A00E-61664C506980}"/>
    <hyperlink ref="A3914" r:id="rId11737" display="https://statiz.sporki.com/player/?m=playerinfo&amp;p_no=1101" xr:uid="{A2D4D844-D7C3-4B53-B456-904FA8F7715C}"/>
    <hyperlink ref="B3914" r:id="rId11738" display="https://statiz.sporki.com/add/?m=draft_school01&amp;ps_school=" xr:uid="{B6C1A3F4-4AC9-4FCB-938C-4DE25DBB7FAB}"/>
    <hyperlink ref="C3914" r:id="rId11739" display="https://statiz.sporki.com/add/?m=draft_school02&amp;ps_school=" xr:uid="{D90C2FCA-D15B-4FC6-9B2C-9FC1D1D64838}"/>
    <hyperlink ref="A3915" r:id="rId11740" display="https://statiz.sporki.com/player/?m=playerinfo&amp;p_no=1078" xr:uid="{89623903-3991-43CA-B266-2EED5C753B39}"/>
    <hyperlink ref="B3915" r:id="rId11741" display="https://statiz.sporki.com/add/?m=draft_school01&amp;ps_school=50111" xr:uid="{E0126B46-E6AC-4D7B-A0C5-4FFAEA538B2E}"/>
    <hyperlink ref="C3915" r:id="rId11742" display="https://statiz.sporki.com/add/?m=draft_school02&amp;ps_school=" xr:uid="{4D845E59-56B6-47E3-87DC-03B19E4D683F}"/>
    <hyperlink ref="A3916" r:id="rId11743" display="https://statiz.sporki.com/player/?m=playerinfo&amp;p_no=1026" xr:uid="{BD1FECBF-BD09-41F6-ADC3-E0B6E02BABD1}"/>
    <hyperlink ref="B3916" r:id="rId11744" display="https://statiz.sporki.com/add/?m=draft_school01&amp;ps_school=50112" xr:uid="{D383EE88-2233-4983-A81F-0F94E1C5EECB}"/>
    <hyperlink ref="C3916" r:id="rId11745" display="https://statiz.sporki.com/add/?m=draft_school02&amp;ps_school=60103" xr:uid="{E8FAC58C-4E36-4CDC-9212-6B87163F3B65}"/>
    <hyperlink ref="A3917" r:id="rId11746" display="https://statiz.sporki.com/player/?m=playerinfo&amp;p_no=1111" xr:uid="{416FA5BE-73E8-4F99-BD82-12F7D5AFF377}"/>
    <hyperlink ref="B3917" r:id="rId11747" display="https://statiz.sporki.com/add/?m=draft_school01&amp;ps_school=50106" xr:uid="{98F79C92-5014-4A85-BD2C-06A4C6955D90}"/>
    <hyperlink ref="C3917" r:id="rId11748" display="https://statiz.sporki.com/add/?m=draft_school02&amp;ps_school=" xr:uid="{E8948057-99A7-4B2D-874B-2995DF864B74}"/>
    <hyperlink ref="A3918" r:id="rId11749" display="https://statiz.sporki.com/player/?m=playerinfo&amp;p_no=1107" xr:uid="{2BB81F2D-0B2A-4697-9FA6-7CD7BFB1103F}"/>
    <hyperlink ref="B3918" r:id="rId11750" display="https://statiz.sporki.com/add/?m=draft_school01&amp;ps_school=50111" xr:uid="{3C64A42F-7C32-4816-BD4F-6992B771CB90}"/>
    <hyperlink ref="C3918" r:id="rId11751" display="https://statiz.sporki.com/add/?m=draft_school02&amp;ps_school=60111" xr:uid="{5965B3C0-0D1A-43E1-9058-1F012D9F407E}"/>
    <hyperlink ref="A3919" r:id="rId11752" display="https://statiz.sporki.com/player/?m=playerinfo&amp;p_no=1083" xr:uid="{3DF61393-22E6-4FE4-B16A-34C517837D75}"/>
    <hyperlink ref="B3919" r:id="rId11753" display="https://statiz.sporki.com/add/?m=draft_school01&amp;ps_school=50102" xr:uid="{0D54196A-EE13-4E14-8CCC-45CE43CCA98B}"/>
    <hyperlink ref="C3919" r:id="rId11754" display="https://statiz.sporki.com/add/?m=draft_school02&amp;ps_school=60402" xr:uid="{AF9D60C3-4408-4DA2-990C-D7A47C27B785}"/>
    <hyperlink ref="A3920" r:id="rId11755" display="https://statiz.sporki.com/player/?m=playerinfo&amp;p_no=1073" xr:uid="{0B9F74D9-2D56-4B0C-A8A6-8B65BA973DA8}"/>
    <hyperlink ref="B3920" r:id="rId11756" display="https://statiz.sporki.com/add/?m=draft_school01&amp;ps_school=50116" xr:uid="{08B2B673-DDEB-4086-ABA9-66E26F79803B}"/>
    <hyperlink ref="C3920" r:id="rId11757" display="https://statiz.sporki.com/add/?m=draft_school02&amp;ps_school=" xr:uid="{D7B8EEC0-D836-439E-8B93-5BAC754AD36A}"/>
    <hyperlink ref="A3921" r:id="rId11758" display="https://statiz.sporki.com/player/?m=playerinfo&amp;p_no=1133" xr:uid="{BB8D57EC-990B-4E93-9315-4EBAD2F8D44E}"/>
    <hyperlink ref="B3921" r:id="rId11759" display="https://statiz.sporki.com/add/?m=draft_school01&amp;ps_school=50116" xr:uid="{BB573EA9-680D-4E0A-8776-6BEB84892ECF}"/>
    <hyperlink ref="C3921" r:id="rId11760" display="https://statiz.sporki.com/add/?m=draft_school02&amp;ps_school=60113" xr:uid="{65350FF7-5EE7-48EB-B327-7731B7FAAA0A}"/>
    <hyperlink ref="A3922" r:id="rId11761" display="https://statiz.sporki.com/player/?m=playerinfo&amp;p_no=1130" xr:uid="{7CEB1565-9393-4598-8AC9-8240A80B4C47}"/>
    <hyperlink ref="B3922" r:id="rId11762" display="https://statiz.sporki.com/add/?m=draft_school01&amp;ps_school=50119" xr:uid="{AE41ADAB-E8E2-4ACC-9DC3-E1D0E5E0FD0C}"/>
    <hyperlink ref="C3922" r:id="rId11763" display="https://statiz.sporki.com/add/?m=draft_school02&amp;ps_school=" xr:uid="{5395D67C-008A-4590-B57D-03B0E37934EC}"/>
    <hyperlink ref="A3923" r:id="rId11764" display="https://statiz.sporki.com/player/?m=playerinfo&amp;p_no=1109" xr:uid="{73D027AF-C041-4826-856B-DF423386DBE6}"/>
    <hyperlink ref="B3923" r:id="rId11765" display="https://statiz.sporki.com/add/?m=draft_school01&amp;ps_school=50114" xr:uid="{DAEFCBEC-9FCB-44A9-B67F-1559743B0D09}"/>
    <hyperlink ref="C3923" r:id="rId11766" display="https://statiz.sporki.com/add/?m=draft_school02&amp;ps_school=60113" xr:uid="{B0352876-6EAE-4A64-B411-AF02CD7A6D73}"/>
    <hyperlink ref="A3924" r:id="rId11767" display="https://statiz.sporki.com/player/?m=playerinfo&amp;p_no=1122" xr:uid="{10F936DA-FA2F-4D2F-B93D-81AB740C5F80}"/>
    <hyperlink ref="B3924" r:id="rId11768" display="https://statiz.sporki.com/add/?m=draft_school01&amp;ps_school=" xr:uid="{CEE23D09-D7BF-48D0-A6D6-1FFE9F9EBFBA}"/>
    <hyperlink ref="C3924" r:id="rId11769" display="https://statiz.sporki.com/add/?m=draft_school02&amp;ps_school=" xr:uid="{5D6ABFFA-DE64-4A12-9DF6-65F032D89FCC}"/>
    <hyperlink ref="A3925" r:id="rId11770" display="https://statiz.sporki.com/player/?m=playerinfo&amp;p_no=1127" xr:uid="{3B31BD0A-0B64-4D8E-8769-67B455BF7017}"/>
    <hyperlink ref="B3925" r:id="rId11771" display="https://statiz.sporki.com/add/?m=draft_school01&amp;ps_school=" xr:uid="{FC1BE2B5-58CF-4DAC-B64C-48CB8A06C134}"/>
    <hyperlink ref="C3925" r:id="rId11772" display="https://statiz.sporki.com/add/?m=draft_school02&amp;ps_school=" xr:uid="{EDD0EF0E-7B23-478A-9768-E8D6809E8253}"/>
    <hyperlink ref="A3926" r:id="rId11773" display="https://statiz.sporki.com/player/?m=playerinfo&amp;p_no=1077" xr:uid="{BFC6E976-799A-4369-97B0-0336663F6E61}"/>
    <hyperlink ref="B3926" r:id="rId11774" display="https://statiz.sporki.com/add/?m=draft_school01&amp;ps_school=50102" xr:uid="{430ADDEB-7B56-407E-B713-1DAB704B304A}"/>
    <hyperlink ref="C3926" r:id="rId11775" display="https://statiz.sporki.com/add/?m=draft_school02&amp;ps_school=" xr:uid="{120F634A-5289-4007-BF46-8A29B3D3EE0F}"/>
    <hyperlink ref="A3927" r:id="rId11776" display="https://statiz.sporki.com/player/?m=playerinfo&amp;p_no=15155" xr:uid="{9D96CAA1-9F79-4B89-A19F-833E4A19531F}"/>
    <hyperlink ref="B3927" r:id="rId11777" display="https://statiz.sporki.com/add/?m=draft_school01&amp;ps_school=50105" xr:uid="{B27B3137-31EF-44C2-B202-555E2A4D135B}"/>
    <hyperlink ref="C3927" r:id="rId11778" display="https://statiz.sporki.com/add/?m=draft_school02&amp;ps_school=" xr:uid="{6BB723EC-EE97-4938-9192-D2625FDB4C60}"/>
    <hyperlink ref="A3928" r:id="rId11779" display="https://statiz.sporki.com/player/?m=playerinfo&amp;p_no=1029" xr:uid="{BF05F33B-AAFF-4BF9-8491-C18BCA40AC4F}"/>
    <hyperlink ref="B3928" r:id="rId11780" display="https://statiz.sporki.com/add/?m=draft_school01&amp;ps_school=50114" xr:uid="{3091CF97-530C-4901-825D-9310BBA7DFB0}"/>
    <hyperlink ref="C3928" r:id="rId11781" display="https://statiz.sporki.com/add/?m=draft_school02&amp;ps_school=60703" xr:uid="{82A04296-9323-4C0D-869A-45394D7844F3}"/>
    <hyperlink ref="A3929" r:id="rId11782" display="https://statiz.sporki.com/player/?m=playerinfo&amp;p_no=1008" xr:uid="{FE910C9D-91B5-4497-B040-119A85F3BF47}"/>
    <hyperlink ref="B3929" r:id="rId11783" display="https://statiz.sporki.com/add/?m=draft_school01&amp;ps_school=50123" xr:uid="{C078B477-97EA-4827-B45E-E849094642F5}"/>
    <hyperlink ref="C3929" r:id="rId11784" display="https://statiz.sporki.com/add/?m=draft_school02&amp;ps_school=" xr:uid="{1FF37712-58BB-47F2-9E7E-EF9F7B240468}"/>
    <hyperlink ref="A3930" r:id="rId11785" display="https://statiz.sporki.com/player/?m=playerinfo&amp;p_no=1080" xr:uid="{4335EA9B-F99C-4D88-98E5-BE342C62E676}"/>
    <hyperlink ref="B3930" r:id="rId11786" display="https://statiz.sporki.com/add/?m=draft_school01&amp;ps_school=50106" xr:uid="{732AC947-A6FB-4E57-8D6D-5545FCFAB5A1}"/>
    <hyperlink ref="C3930" r:id="rId11787" display="https://statiz.sporki.com/add/?m=draft_school02&amp;ps_school=60109" xr:uid="{0CA379A1-066D-4E8C-8BB4-FA90B15C3CD1}"/>
    <hyperlink ref="A3931" r:id="rId11788" display="https://statiz.sporki.com/player/?m=playerinfo&amp;p_no=1007" xr:uid="{E9083AA8-61C3-412E-B496-FFE5829D22C3}"/>
    <hyperlink ref="B3931" r:id="rId11789" display="https://statiz.sporki.com/add/?m=draft_school01&amp;ps_school=50122" xr:uid="{2F1DFAA8-C23B-4F60-9AB8-9CABE9251DDE}"/>
    <hyperlink ref="C3931" r:id="rId11790" display="https://statiz.sporki.com/add/?m=draft_school02&amp;ps_school=60111" xr:uid="{18C860D1-060B-405D-9FE1-52BD23D3F5FB}"/>
    <hyperlink ref="A3932" r:id="rId11791" display="https://statiz.sporki.com/player/?m=playerinfo&amp;p_no=1024" xr:uid="{5994565D-71D4-447E-B700-06618C2703A8}"/>
    <hyperlink ref="B3932" r:id="rId11792" display="https://statiz.sporki.com/add/?m=draft_school01&amp;ps_school=50106" xr:uid="{B0A0050B-D363-4F92-9D96-7558223F1C8A}"/>
    <hyperlink ref="C3932" r:id="rId11793" display="https://statiz.sporki.com/add/?m=draft_school02&amp;ps_school=60109" xr:uid="{1FEB51F2-DFD1-4A14-94F1-06CF87426EFD}"/>
    <hyperlink ref="A3933" r:id="rId11794" display="https://statiz.sporki.com/player/?m=playerinfo&amp;p_no=1012" xr:uid="{CD416756-9A13-4D7F-AE92-1F3D7E8523BE}"/>
    <hyperlink ref="B3933" r:id="rId11795" display="https://statiz.sporki.com/add/?m=draft_school01&amp;ps_school=50113" xr:uid="{708FF1C4-52CB-49F9-AD42-D636433CC3BD}"/>
    <hyperlink ref="C3933" r:id="rId11796" display="https://statiz.sporki.com/add/?m=draft_school02&amp;ps_school=60108" xr:uid="{3C0610A6-2DCC-4502-A347-03F55C99958D}"/>
    <hyperlink ref="A3934" r:id="rId11797" display="https://statiz.sporki.com/player/?m=playerinfo&amp;p_no=1108" xr:uid="{614E28B0-A4ED-4365-BEDF-F3D2A38699AA}"/>
    <hyperlink ref="B3934" r:id="rId11798" display="https://statiz.sporki.com/add/?m=draft_school01&amp;ps_school=50109" xr:uid="{7A8F8175-9D9B-445D-BC44-20E86533598C}"/>
    <hyperlink ref="C3934" r:id="rId11799" display="https://statiz.sporki.com/add/?m=draft_school02&amp;ps_school=" xr:uid="{C3AD170A-8A89-4860-BE3C-E20FB0CAFAEA}"/>
    <hyperlink ref="A3935" r:id="rId11800" display="https://statiz.sporki.com/player/?m=playerinfo&amp;p_no=1058" xr:uid="{FBFD86F7-4242-4F36-BC55-68CCEB0FA8E4}"/>
    <hyperlink ref="B3935" r:id="rId11801" display="https://statiz.sporki.com/add/?m=draft_school01&amp;ps_school=50116" xr:uid="{41B67763-8B42-48CE-8F79-75C68A2F047B}"/>
    <hyperlink ref="C3935" r:id="rId11802" display="https://statiz.sporki.com/add/?m=draft_school02&amp;ps_school=60108" xr:uid="{7DA39F16-B7BF-4ED4-8A2C-884F4383D6BC}"/>
    <hyperlink ref="A3936" r:id="rId11803" display="https://statiz.sporki.com/player/?m=playerinfo&amp;p_no=1017" xr:uid="{1E96F6AD-FD82-4BA8-A084-D5397D932769}"/>
    <hyperlink ref="B3936" r:id="rId11804" display="https://statiz.sporki.com/add/?m=draft_school01&amp;ps_school=50102" xr:uid="{AF3091F6-F06E-4C98-9821-E79E920C6442}"/>
    <hyperlink ref="C3936" r:id="rId11805" display="https://statiz.sporki.com/add/?m=draft_school02&amp;ps_school=" xr:uid="{E4553A60-8009-4539-921B-638833ED82C9}"/>
    <hyperlink ref="A3937" r:id="rId11806" display="https://statiz.sporki.com/player/?m=playerinfo&amp;p_no=1135" xr:uid="{69C7991F-FD6E-4727-9F8F-4AAC0A5FE2B8}"/>
    <hyperlink ref="B3937" r:id="rId11807" display="https://statiz.sporki.com/add/?m=draft_school01&amp;ps_school=50904" xr:uid="{68567CA1-67FF-400A-B318-D3118BA18DAE}"/>
    <hyperlink ref="C3937" r:id="rId11808" display="https://statiz.sporki.com/add/?m=draft_school02&amp;ps_school=" xr:uid="{3DC61A82-B9B8-4A19-9626-9E2493E3F022}"/>
    <hyperlink ref="A3938" r:id="rId11809" display="https://statiz.sporki.com/player/?m=playerinfo&amp;p_no=1011" xr:uid="{A5BC3C38-E021-4626-818D-CF77465C4E13}"/>
    <hyperlink ref="B3938" r:id="rId11810" display="https://statiz.sporki.com/add/?m=draft_school01&amp;ps_school=50109" xr:uid="{0DC09BAD-9397-41AF-871F-40A3B5463C72}"/>
    <hyperlink ref="C3938" r:id="rId11811" display="https://statiz.sporki.com/add/?m=draft_school02&amp;ps_school=" xr:uid="{9A4380C0-7BAD-4E43-A4CA-D4F67A91CE66}"/>
    <hyperlink ref="A3939" r:id="rId11812" display="https://statiz.sporki.com/player/?m=playerinfo&amp;p_no=1113" xr:uid="{347DE304-CA14-49A8-8844-66E9ADD58DA2}"/>
    <hyperlink ref="B3939" r:id="rId11813" display="https://statiz.sporki.com/add/?m=draft_school01&amp;ps_school=50121" xr:uid="{D2D8EFF3-23B5-4039-BE5F-18AF09EB7DC7}"/>
    <hyperlink ref="C3939" r:id="rId11814" display="https://statiz.sporki.com/add/?m=draft_school02&amp;ps_school=" xr:uid="{7F33755D-1AC6-4F3B-8FE7-3830AFF9487C}"/>
    <hyperlink ref="A3940" r:id="rId11815" display="https://statiz.sporki.com/player/?m=playerinfo&amp;p_no=1036" xr:uid="{4D165322-08F3-45E9-BFDE-C240C0D3384E}"/>
    <hyperlink ref="B3940" r:id="rId11816" display="https://statiz.sporki.com/add/?m=draft_school01&amp;ps_school=50121" xr:uid="{CE79E0C4-070F-4F87-9374-D17575C2721B}"/>
    <hyperlink ref="C3940" r:id="rId11817" display="https://statiz.sporki.com/add/?m=draft_school02&amp;ps_school=60113" xr:uid="{4FE9E0C4-AFA5-41AD-ABD7-223BBFD7EBC7}"/>
    <hyperlink ref="A3941" r:id="rId11818" display="https://statiz.sporki.com/player/?m=playerinfo&amp;p_no=1045" xr:uid="{574FF7FD-0458-4AC6-A6C2-B69181D10071}"/>
    <hyperlink ref="B3941" r:id="rId11819" display="https://statiz.sporki.com/add/?m=draft_school01&amp;ps_school=50122" xr:uid="{4218C4B6-3C8B-4062-9315-BF741A51CBED}"/>
    <hyperlink ref="C3941" r:id="rId11820" display="https://statiz.sporki.com/add/?m=draft_school02&amp;ps_school=" xr:uid="{897D5EC9-11FE-4143-85E7-DCA6C1FA4BB5}"/>
    <hyperlink ref="A3942" r:id="rId11821" display="https://statiz.sporki.com/player/?m=playerinfo&amp;p_no=1019" xr:uid="{1E1B7C48-C0EA-4469-BB49-FA569397A082}"/>
    <hyperlink ref="B3942" r:id="rId11822" display="https://statiz.sporki.com/add/?m=draft_school01&amp;ps_school=50401" xr:uid="{A5CDB343-216F-421C-A191-66B222B66195}"/>
    <hyperlink ref="C3942" r:id="rId11823" display="https://statiz.sporki.com/add/?m=draft_school02&amp;ps_school=" xr:uid="{E6DF5234-A023-429D-8489-387CDD62A66D}"/>
    <hyperlink ref="A3943" r:id="rId11824" display="https://statiz.sporki.com/player/?m=playerinfo&amp;p_no=1124" xr:uid="{FD78087B-FC50-4542-A973-6D437715DD96}"/>
    <hyperlink ref="B3943" r:id="rId11825" display="https://statiz.sporki.com/add/?m=draft_school01&amp;ps_school=50109" xr:uid="{8F9E0EF4-075B-4465-86DB-ED15013B8E61}"/>
    <hyperlink ref="C3943" r:id="rId11826" display="https://statiz.sporki.com/add/?m=draft_school02&amp;ps_school=" xr:uid="{A70F76AF-B322-4020-BA9D-ECB2826F2C85}"/>
    <hyperlink ref="A3944" r:id="rId11827" display="https://statiz.sporki.com/player/?m=playerinfo&amp;p_no=1117" xr:uid="{93AF17B0-6418-42AA-B761-94C74EE287EA}"/>
    <hyperlink ref="B3944" r:id="rId11828" display="https://statiz.sporki.com/add/?m=draft_school01&amp;ps_school=" xr:uid="{3156B1DF-BCD7-4474-8E1F-71CB587B55E1}"/>
    <hyperlink ref="C3944" r:id="rId11829" display="https://statiz.sporki.com/add/?m=draft_school02&amp;ps_school=60113" xr:uid="{FB55F921-FCC3-48C8-BF81-513DA1BC1ED9}"/>
    <hyperlink ref="A3945" r:id="rId11830" display="https://statiz.sporki.com/player/?m=playerinfo&amp;p_no=1114" xr:uid="{E20A58F0-925C-4552-A834-28F5D61B7E21}"/>
    <hyperlink ref="B3945" r:id="rId11831" display="https://statiz.sporki.com/add/?m=draft_school01&amp;ps_school=50112" xr:uid="{98368136-9EE5-4FC9-B3A0-AD39B76CAD0D}"/>
    <hyperlink ref="C3945" r:id="rId11832" display="https://statiz.sporki.com/add/?m=draft_school02&amp;ps_school=60111" xr:uid="{77CA0AF2-47B5-4C97-8618-7AF9A6D62333}"/>
    <hyperlink ref="A3946" r:id="rId11833" display="https://statiz.sporki.com/player/?m=playerinfo&amp;p_no=1106" xr:uid="{32864B65-4859-47E0-A92E-DC5D19173DA9}"/>
    <hyperlink ref="B3946" r:id="rId11834" display="https://statiz.sporki.com/add/?m=draft_school01&amp;ps_school=50107" xr:uid="{7A8CE9AE-45F1-4640-A638-3261DF8833E8}"/>
    <hyperlink ref="C3946" r:id="rId11835" display="https://statiz.sporki.com/add/?m=draft_school02&amp;ps_school=60111" xr:uid="{B3DCF933-52A0-4667-88DE-1E3F6556E993}"/>
    <hyperlink ref="A3947" r:id="rId11836" display="https://statiz.sporki.com/player/?m=playerinfo&amp;p_no=1105" xr:uid="{14D743CC-DE0F-4E7F-8D51-0A945530CD73}"/>
    <hyperlink ref="B3947" r:id="rId11837" display="https://statiz.sporki.com/add/?m=draft_school01&amp;ps_school=50105" xr:uid="{D5C9B7F0-3A2C-4DA0-A245-CAEA75251E75}"/>
    <hyperlink ref="C3947" r:id="rId11838" display="https://statiz.sporki.com/add/?m=draft_school02&amp;ps_school=60109" xr:uid="{D1A63487-1E05-4A97-8CC5-1CAFC32663ED}"/>
    <hyperlink ref="A3948" r:id="rId11839" display="https://statiz.sporki.com/player/?m=playerinfo&amp;p_no=1071" xr:uid="{A8233643-4A32-4D03-926F-AF30935AA683}"/>
    <hyperlink ref="B3948" r:id="rId11840" display="https://statiz.sporki.com/add/?m=draft_school01&amp;ps_school=50121" xr:uid="{8A2AB418-AB6D-4084-9B3D-C8CD82F6B7F8}"/>
    <hyperlink ref="C3948" r:id="rId11841" display="https://statiz.sporki.com/add/?m=draft_school02&amp;ps_school=" xr:uid="{BE8D3580-1E43-4EA9-9602-3CD0A1C39A4D}"/>
    <hyperlink ref="A3949" r:id="rId11842" display="https://statiz.sporki.com/player/?m=playerinfo&amp;p_no=1067" xr:uid="{0058A283-C583-41F6-97B7-E1B7E1C14730}"/>
    <hyperlink ref="B3949" r:id="rId11843" display="https://statiz.sporki.com/add/?m=draft_school01&amp;ps_school=50402" xr:uid="{6EFC9506-A58E-417B-8F20-C68BA7A6D30A}"/>
    <hyperlink ref="C3949" r:id="rId11844" display="https://statiz.sporki.com/add/?m=draft_school02&amp;ps_school=60204" xr:uid="{FE9CC7FB-9B24-4D05-9B3C-A84883825FFA}"/>
    <hyperlink ref="A3950" r:id="rId11845" display="https://statiz.sporki.com/player/?m=playerinfo&amp;p_no=1054" xr:uid="{30A73BD1-F102-47F8-B3D2-6A23A2D5BFBA}"/>
    <hyperlink ref="B3950" r:id="rId11846" display="https://statiz.sporki.com/add/?m=draft_school01&amp;ps_school=50110" xr:uid="{C39501B3-E1DC-48CD-BD46-317D7EC6A4AC}"/>
    <hyperlink ref="C3950" r:id="rId11847" display="https://statiz.sporki.com/add/?m=draft_school02&amp;ps_school=" xr:uid="{77873E6F-F03D-4374-890E-799DFD3D1745}"/>
    <hyperlink ref="A3951" r:id="rId11848" display="https://statiz.sporki.com/player/?m=playerinfo&amp;p_no=1050" xr:uid="{B52D2EA2-1FE0-4474-A128-636998477724}"/>
    <hyperlink ref="B3951" r:id="rId11849" display="https://statiz.sporki.com/add/?m=draft_school01&amp;ps_school=" xr:uid="{A9F970FC-E2FE-4C8C-A125-10DDEDC2F28B}"/>
    <hyperlink ref="C3951" r:id="rId11850" display="https://statiz.sporki.com/add/?m=draft_school02&amp;ps_school=60103" xr:uid="{54B69FE4-0807-4B1A-AB9F-E5A15BE24CAF}"/>
    <hyperlink ref="A3952" r:id="rId11851" display="https://statiz.sporki.com/player/?m=playerinfo&amp;p_no=1049" xr:uid="{43202E5A-B380-4A27-BDE1-66F61EC19D49}"/>
    <hyperlink ref="B3952" r:id="rId11852" display="https://statiz.sporki.com/add/?m=draft_school01&amp;ps_school=" xr:uid="{E744272A-C14E-4C6F-A064-80EAE5725378}"/>
    <hyperlink ref="C3952" r:id="rId11853" display="https://statiz.sporki.com/add/?m=draft_school02&amp;ps_school=60113" xr:uid="{8656E423-3F52-4F2E-9926-E9213A8EB8DA}"/>
    <hyperlink ref="A3953" r:id="rId11854" display="https://statiz.sporki.com/player/?m=playerinfo&amp;p_no=1048" xr:uid="{EB13EA05-93B3-4019-A354-620A195A31C6}"/>
    <hyperlink ref="B3953" r:id="rId11855" display="https://statiz.sporki.com/add/?m=draft_school01&amp;ps_school=50111" xr:uid="{B73B289C-CF09-4EAB-B46B-73A28DBB3CA9}"/>
    <hyperlink ref="C3953" r:id="rId11856" display="https://statiz.sporki.com/add/?m=draft_school02&amp;ps_school=" xr:uid="{853C0F7F-4DCF-4DD5-A170-6B129982388B}"/>
    <hyperlink ref="A3954" r:id="rId11857" display="https://statiz.sporki.com/player/?m=playerinfo&amp;p_no=1047" xr:uid="{2A974011-E627-4C76-A7CF-70FA529EE7BB}"/>
    <hyperlink ref="B3954" r:id="rId11858" display="https://statiz.sporki.com/add/?m=draft_school01&amp;ps_school=50401" xr:uid="{A67CC3D7-D5AB-4163-BF64-0E4348D05B65}"/>
    <hyperlink ref="C3954" r:id="rId11859" display="https://statiz.sporki.com/add/?m=draft_school02&amp;ps_school=" xr:uid="{6135CD66-45D6-4DFE-B07F-2CB64CAA8EBB}"/>
    <hyperlink ref="A3955" r:id="rId11860" display="https://statiz.sporki.com/player/?m=playerinfo&amp;p_no=1040" xr:uid="{60FA3BDF-F858-4CC1-BD3A-9BD23BEE9682}"/>
    <hyperlink ref="B3955" r:id="rId11861" display="https://statiz.sporki.com/add/?m=draft_school01&amp;ps_school=50402" xr:uid="{2F8A32E8-1440-45EB-8BDB-FC6F44887E81}"/>
    <hyperlink ref="C3955" r:id="rId11862" display="https://statiz.sporki.com/add/?m=draft_school02&amp;ps_school=" xr:uid="{4E719471-49DC-4E11-88B2-A50BF7E48A64}"/>
    <hyperlink ref="A3956" r:id="rId11863" display="https://statiz.sporki.com/player/?m=playerinfo&amp;p_no=1035" xr:uid="{45348551-6B8A-4FD6-9306-C8D7284CFBED}"/>
    <hyperlink ref="B3956" r:id="rId11864" display="https://statiz.sporki.com/add/?m=draft_school01&amp;ps_school=50109" xr:uid="{F6C5A12D-ED54-425A-9D76-5EE26356C9B9}"/>
    <hyperlink ref="C3956" r:id="rId11865" display="https://statiz.sporki.com/add/?m=draft_school02&amp;ps_school=60101" xr:uid="{6E1503D4-A3A5-482C-ACBF-800FFCBDDD07}"/>
    <hyperlink ref="A3957" r:id="rId11866" display="https://statiz.sporki.com/player/?m=playerinfo&amp;p_no=1023" xr:uid="{1F5A9C8E-A9F8-45A8-A9DB-824FF9E7B803}"/>
    <hyperlink ref="B3957" r:id="rId11867" display="https://statiz.sporki.com/add/?m=draft_school01&amp;ps_school=50121" xr:uid="{0AC1C5D5-838B-4AF7-8CB9-009BE8CBEA21}"/>
    <hyperlink ref="C3957" r:id="rId11868" display="https://statiz.sporki.com/add/?m=draft_school02&amp;ps_school=" xr:uid="{17D4BF03-023A-4541-B0D5-4A7D09DFACD1}"/>
    <hyperlink ref="A3958" r:id="rId11869" display="https://statiz.sporki.com/player/?m=playerinfo&amp;p_no=1020" xr:uid="{FFD1AC1D-0EA3-4373-A98B-18C2D8BC540A}"/>
    <hyperlink ref="B3958" r:id="rId11870" display="https://statiz.sporki.com/add/?m=draft_school01&amp;ps_school=50111" xr:uid="{6DFFCF78-42C0-45AA-9C8F-70D6EAB88AAE}"/>
    <hyperlink ref="C3958" r:id="rId11871" display="https://statiz.sporki.com/add/?m=draft_school02&amp;ps_school=60109" xr:uid="{5CD0ACE5-6AE5-4925-921C-DABF3D4DA52B}"/>
    <hyperlink ref="A3959" r:id="rId11872" display="https://statiz.sporki.com/player/?m=playerinfo&amp;p_no=1046" xr:uid="{116BBB3E-9DFD-4F29-8717-7EDB63B9A4E7}"/>
    <hyperlink ref="B3959" r:id="rId11873" display="https://statiz.sporki.com/add/?m=draft_school01&amp;ps_school=50114" xr:uid="{4A17493E-FA99-4480-8BD0-CEF2FA89DB8E}"/>
    <hyperlink ref="C3959" r:id="rId11874" display="https://statiz.sporki.com/add/?m=draft_school02&amp;ps_school=60113" xr:uid="{A950182B-21FA-4788-B98F-941A9C14CD99}"/>
    <hyperlink ref="A3960" r:id="rId11875" display="https://statiz.sporki.com/player/?m=playerinfo&amp;p_no=1001" xr:uid="{37D07591-E122-4682-B884-AD86521C5800}"/>
    <hyperlink ref="B3960" r:id="rId11876" display="https://statiz.sporki.com/add/?m=draft_school01&amp;ps_school=50110" xr:uid="{A4F2F73E-4408-4D76-9FF0-B3AB8A581EBC}"/>
    <hyperlink ref="C3960" r:id="rId11877" display="https://statiz.sporki.com/add/?m=draft_school02&amp;ps_school=" xr:uid="{45B940B0-C2B9-449E-AD93-48D125BB66B2}"/>
    <hyperlink ref="A3961" r:id="rId11878" display="https://statiz.sporki.com/player/?m=playerinfo&amp;p_no=11469" xr:uid="{859FBF91-F0BD-44AD-8D3C-E3AEE9752F45}"/>
    <hyperlink ref="B3961" r:id="rId11879" display="https://statiz.sporki.com/add/?m=draft_school01&amp;ps_school=50401" xr:uid="{37047E22-F9DB-40E6-A287-C5A1A5E21932}"/>
    <hyperlink ref="C3961" r:id="rId11880" display="https://statiz.sporki.com/add/?m=draft_school02&amp;ps_school=60103" xr:uid="{CC94745A-A24C-4AFC-B963-67B5C22946B0}"/>
    <hyperlink ref="A3962" r:id="rId11881" display="https://statiz.sporki.com/player/?m=playerinfo&amp;p_no=1063" xr:uid="{F2D83C35-83FB-45C6-87D1-9496E218B8ED}"/>
    <hyperlink ref="B3962" r:id="rId11882" display="https://statiz.sporki.com/add/?m=draft_school01&amp;ps_school=50804" xr:uid="{5BE41E1D-83A0-4E11-A7EE-F1F37EFDEED6}"/>
    <hyperlink ref="C3962" r:id="rId11883" display="https://statiz.sporki.com/add/?m=draft_school02&amp;ps_school=60703" xr:uid="{88A9F3C3-F3F4-4060-B152-CCB7AA5152D9}"/>
    <hyperlink ref="A3963" r:id="rId11884" display="https://statiz.sporki.com/player/?m=playerinfo&amp;p_no=1120" xr:uid="{9A5E3A3C-B1F3-4376-AE0E-792131DD8309}"/>
    <hyperlink ref="B3963" r:id="rId11885" display="https://statiz.sporki.com/add/?m=draft_school01&amp;ps_school=50807" xr:uid="{65CE60D7-EA28-40AA-B542-73273939022F}"/>
    <hyperlink ref="C3963" r:id="rId11886" display="https://statiz.sporki.com/add/?m=draft_school02&amp;ps_school=" xr:uid="{835C8B87-0557-462D-8A9D-1B1B2CB42BCB}"/>
    <hyperlink ref="A3964" r:id="rId11887" display="https://statiz.sporki.com/player/?m=playerinfo&amp;p_no=1134" xr:uid="{9A4DD19A-F646-4843-B65A-B9285520E2DF}"/>
    <hyperlink ref="B3964" r:id="rId11888" display="https://statiz.sporki.com/add/?m=draft_school01&amp;ps_school=50812" xr:uid="{747D32F5-E5E9-483B-BD33-F8C9C3C3D7A3}"/>
    <hyperlink ref="C3964" r:id="rId11889" display="https://statiz.sporki.com/add/?m=draft_school02&amp;ps_school=60103" xr:uid="{F45E21C8-5EE5-4F90-9CC5-A7A05ED6134F}"/>
    <hyperlink ref="A3965" r:id="rId11890" display="https://statiz.sporki.com/player/?m=playerinfo&amp;p_no=1072" xr:uid="{21C57498-843D-407C-9A36-318347D1980C}"/>
    <hyperlink ref="B3965" r:id="rId11891" display="https://statiz.sporki.com/add/?m=draft_school01&amp;ps_school=50807" xr:uid="{A1DE318E-67B0-4611-84E8-08B024B64243}"/>
    <hyperlink ref="C3965" r:id="rId11892" display="https://statiz.sporki.com/add/?m=draft_school02&amp;ps_school=60803" xr:uid="{62AFACB9-13A4-461C-B5A6-B6C2CC79C1AA}"/>
    <hyperlink ref="A3966" r:id="rId11893" display="https://statiz.sporki.com/player/?m=playerinfo&amp;p_no=1110" xr:uid="{C703A687-1920-4C40-B2A0-C5D3F75E8EEB}"/>
    <hyperlink ref="B3966" r:id="rId11894" display="https://statiz.sporki.com/add/?m=draft_school01&amp;ps_school=50802" xr:uid="{0AA636E4-7C9B-4384-950F-74133EEE42BE}"/>
    <hyperlink ref="C3966" r:id="rId11895" display="https://statiz.sporki.com/add/?m=draft_school02&amp;ps_school=60102" xr:uid="{7F9E2B18-1663-485A-A3E9-92F8C0F2D7DE}"/>
    <hyperlink ref="A3967" r:id="rId11896" display="https://statiz.sporki.com/player/?m=playerinfo&amp;p_no=1086" xr:uid="{3721ABD7-A6BA-4D19-918E-55D6B01DC237}"/>
    <hyperlink ref="B3967" r:id="rId11897" display="https://statiz.sporki.com/add/?m=draft_school01&amp;ps_school=50802" xr:uid="{1C574CD0-40CB-43B9-82B2-5FA26FA572EC}"/>
    <hyperlink ref="C3967" r:id="rId11898" display="https://statiz.sporki.com/add/?m=draft_school02&amp;ps_school=60103" xr:uid="{3EE8A539-A278-4C4C-8A26-A50762CE4998}"/>
    <hyperlink ref="A3968" r:id="rId11899" display="https://statiz.sporki.com/player/?m=playerinfo&amp;p_no=1097" xr:uid="{B85B28EA-5687-4417-897D-DAC70D478182}"/>
    <hyperlink ref="B3968" r:id="rId11900" display="https://statiz.sporki.com/add/?m=draft_school01&amp;ps_school=50804" xr:uid="{81B4E5B6-0E1B-4806-82A8-ABDD8B86DA12}"/>
    <hyperlink ref="C3968" r:id="rId11901" display="https://statiz.sporki.com/add/?m=draft_school02&amp;ps_school=60803" xr:uid="{5C031CD9-DD3C-47A1-881F-C33A35718104}"/>
    <hyperlink ref="A3969" r:id="rId11902" display="https://statiz.sporki.com/player/?m=playerinfo&amp;p_no=1082" xr:uid="{05048F1D-BE0B-40FE-AFFF-DF2A9048C807}"/>
    <hyperlink ref="B3969" r:id="rId11903" display="https://statiz.sporki.com/add/?m=draft_school01&amp;ps_school=50807" xr:uid="{0207A2CC-CF7A-42E6-9945-AB06D949C46D}"/>
    <hyperlink ref="C3969" r:id="rId11904" display="https://statiz.sporki.com/add/?m=draft_school02&amp;ps_school=60803" xr:uid="{320CB921-1A27-43D6-8C4C-187CF6A4D995}"/>
    <hyperlink ref="A3970" r:id="rId11905" display="https://statiz.sporki.com/player/?m=playerinfo&amp;p_no=1014" xr:uid="{67A5696D-727A-4C44-A414-6F13807C963D}"/>
    <hyperlink ref="B3970" r:id="rId11906" display="https://statiz.sporki.com/add/?m=draft_school01&amp;ps_school=50805" xr:uid="{B7D44EBB-EA34-47CE-B9D8-19BFFCE2A208}"/>
    <hyperlink ref="C3970" r:id="rId11907" display="https://statiz.sporki.com/add/?m=draft_school02&amp;ps_school=60113" xr:uid="{12A4AE91-3D26-4810-B856-254FB7A247C1}"/>
    <hyperlink ref="A3971" r:id="rId11908" display="https://statiz.sporki.com/player/?m=playerinfo&amp;p_no=1095" xr:uid="{7D46ED2F-5166-411C-BBD7-8C11629DB675}"/>
    <hyperlink ref="B3971" r:id="rId11909" display="https://statiz.sporki.com/add/?m=draft_school01&amp;ps_school=50807" xr:uid="{63FCD8AA-FB58-47CF-B89A-2B95590236AC}"/>
    <hyperlink ref="C3971" r:id="rId11910" display="https://statiz.sporki.com/add/?m=draft_school02&amp;ps_school=60803" xr:uid="{2806B805-46F2-4AA4-84F3-4E98F153364F}"/>
    <hyperlink ref="A3972" r:id="rId11911" display="https://statiz.sporki.com/player/?m=playerinfo&amp;p_no=1121" xr:uid="{AA1C9CCB-FFFC-4C62-980B-0AB61AB843C5}"/>
    <hyperlink ref="B3972" r:id="rId11912" display="https://statiz.sporki.com/add/?m=draft_school01&amp;ps_school=50805" xr:uid="{3404DDF0-BBEC-47A9-9B32-901314989C77}"/>
    <hyperlink ref="C3972" r:id="rId11913" display="https://statiz.sporki.com/add/?m=draft_school02&amp;ps_school=60803" xr:uid="{52B6C652-F3C4-42F8-AA1B-EB7165862823}"/>
    <hyperlink ref="A3973" r:id="rId11914" display="https://statiz.sporki.com/player/?m=playerinfo&amp;p_no=1002" xr:uid="{C5C73DD1-5550-4558-81D0-3AA91DEDE3DA}"/>
    <hyperlink ref="B3973" r:id="rId11915" display="https://statiz.sporki.com/add/?m=draft_school01&amp;ps_school=50804" xr:uid="{19F95F27-822F-4EE0-B796-36261E4403FA}"/>
    <hyperlink ref="C3973" r:id="rId11916" display="https://statiz.sporki.com/add/?m=draft_school02&amp;ps_school=60111" xr:uid="{2FFDB42D-0D0D-4B72-9B17-2A49642B98C4}"/>
    <hyperlink ref="A3974" r:id="rId11917" display="https://statiz.sporki.com/player/?m=playerinfo&amp;p_no=1061" xr:uid="{765E8EBB-74CD-4150-9064-DDFE44D2990E}"/>
    <hyperlink ref="B3974" r:id="rId11918" display="https://statiz.sporki.com/add/?m=draft_school01&amp;ps_school=50805" xr:uid="{F438E4D9-0B5E-4760-8187-8956E3002486}"/>
    <hyperlink ref="C3974" r:id="rId11919" display="https://statiz.sporki.com/add/?m=draft_school02&amp;ps_school=60108" xr:uid="{0BE34DA9-74B1-41A1-885F-6B55887F2618}"/>
    <hyperlink ref="A3975" r:id="rId11920" display="https://statiz.sporki.com/player/?m=playerinfo&amp;p_no=1006" xr:uid="{A54338EC-878C-46D3-BAA7-4ED3AD4DBA4F}"/>
    <hyperlink ref="B3975" r:id="rId11921" display="https://statiz.sporki.com/add/?m=draft_school01&amp;ps_school=50802" xr:uid="{E55C374A-88DC-44EE-897E-938EE50D780C}"/>
    <hyperlink ref="C3975" r:id="rId11922" display="https://statiz.sporki.com/add/?m=draft_school02&amp;ps_school=60103" xr:uid="{3E122830-43A0-4D5C-88BD-1672C80822BA}"/>
    <hyperlink ref="A3976" r:id="rId11923" display="https://statiz.sporki.com/player/?m=playerinfo&amp;p_no=1032" xr:uid="{AC48387C-637A-40D8-B372-95170C216ED4}"/>
    <hyperlink ref="B3976" r:id="rId11924" display="https://statiz.sporki.com/add/?m=draft_school01&amp;ps_school=50802" xr:uid="{C4716B8A-A073-4111-8B81-74784A0054B0}"/>
    <hyperlink ref="C3976" r:id="rId11925" display="https://statiz.sporki.com/add/?m=draft_school02&amp;ps_school=" xr:uid="{ADBB013B-F9C3-40A3-8013-332281D69ABA}"/>
    <hyperlink ref="A3977" r:id="rId11926" display="https://statiz.sporki.com/player/?m=playerinfo&amp;p_no=1125" xr:uid="{47E9885C-B8AE-4624-83A7-EACEB7A720C0}"/>
    <hyperlink ref="B3977" r:id="rId11927" display="https://statiz.sporki.com/add/?m=draft_school01&amp;ps_school=50812" xr:uid="{9A1C93B9-2B1A-4FBF-9F1D-FC77F53B53DD}"/>
    <hyperlink ref="C3977" r:id="rId11928" display="https://statiz.sporki.com/add/?m=draft_school02&amp;ps_school=60103" xr:uid="{3C3EAA0F-E1A1-44CF-B761-86509EF5A1EB}"/>
    <hyperlink ref="A3978" r:id="rId11929" display="https://statiz.sporki.com/player/?m=playerinfo&amp;p_no=1087" xr:uid="{C5D119A7-DD6E-49B4-8012-C0B5DF394785}"/>
    <hyperlink ref="B3978" r:id="rId11930" display="https://statiz.sporki.com/add/?m=draft_school01&amp;ps_school=50812" xr:uid="{DF7C8140-F5FD-4FF9-838B-8BC4943774E3}"/>
    <hyperlink ref="C3978" r:id="rId11931" display="https://statiz.sporki.com/add/?m=draft_school02&amp;ps_school=60103" xr:uid="{9976C77E-0C76-4C88-89AC-023F1257E4FD}"/>
    <hyperlink ref="A3979" r:id="rId11932" display="https://statiz.sporki.com/player/?m=playerinfo&amp;p_no=11471" xr:uid="{010324A6-4599-47B9-ABFE-A024374DF300}"/>
    <hyperlink ref="B3979" r:id="rId11933" display="https://statiz.sporki.com/add/?m=draft_school01&amp;ps_school=50802" xr:uid="{2544D988-8E22-4942-81D7-28503583F27C}"/>
    <hyperlink ref="C3979" r:id="rId11934" display="https://statiz.sporki.com/add/?m=draft_school02&amp;ps_school=60103" xr:uid="{76E18F41-C905-47B8-A07E-CF6B4A321A22}"/>
    <hyperlink ref="A3980" r:id="rId11935" display="https://statiz.sporki.com/player/?m=playerinfo&amp;p_no=1009" xr:uid="{8A0228E8-B574-4F88-A35C-B1E276A1647C}"/>
    <hyperlink ref="B3980" r:id="rId11936" display="https://statiz.sporki.com/add/?m=draft_school01&amp;ps_school=50812" xr:uid="{BBD3CF8E-8383-4738-AE52-98BB512EC30C}"/>
    <hyperlink ref="C3980" r:id="rId11937" display="https://statiz.sporki.com/add/?m=draft_school02&amp;ps_school=" xr:uid="{DDA4D2F4-F56D-4350-B74A-61FFAF7ADB76}"/>
    <hyperlink ref="A3981" r:id="rId11938" display="https://statiz.sporki.com/player/?m=playerinfo&amp;p_no=1129" xr:uid="{FC251C68-4783-4252-ADDF-9052AF07BE3F}"/>
    <hyperlink ref="B3981" r:id="rId11939" display="https://statiz.sporki.com/add/?m=draft_school01&amp;ps_school=50712" xr:uid="{49B5C8C1-5541-4B88-B592-4B89528B95FD}"/>
    <hyperlink ref="C3981" r:id="rId11940" display="https://statiz.sporki.com/add/?m=draft_school02&amp;ps_school=60703" xr:uid="{99C0C301-9067-4D16-88BD-F865EBF9EDD4}"/>
    <hyperlink ref="A3982" r:id="rId11941" display="https://statiz.sporki.com/player/?m=playerinfo&amp;p_no=1190" xr:uid="{85A6925E-1FA1-4034-A288-FAD8BA921CCF}"/>
    <hyperlink ref="B3982" r:id="rId11942" display="https://statiz.sporki.com/add/?m=draft_school01&amp;ps_school=" xr:uid="{52CFE660-5722-477A-A8F2-3A5C8F3C445F}"/>
    <hyperlink ref="C3982" r:id="rId11943" display="https://statiz.sporki.com/add/?m=draft_school02&amp;ps_school=60108" xr:uid="{2039E11B-4030-48C1-9B3E-B3F160BEF357}"/>
    <hyperlink ref="A3983" r:id="rId11944" display="https://statiz.sporki.com/player/?m=playerinfo&amp;p_no=1031" xr:uid="{15C556E9-61B6-470C-ABAC-E8D5DE51BE82}"/>
    <hyperlink ref="B3983" r:id="rId11945" display="https://statiz.sporki.com/add/?m=draft_school01&amp;ps_school=50209" xr:uid="{323A0E0E-5076-4DD3-8CC0-E02CE2F5B2D6}"/>
    <hyperlink ref="C3983" r:id="rId11946" display="https://statiz.sporki.com/add/?m=draft_school02&amp;ps_school=60101" xr:uid="{7D87CBD6-1D15-46E2-9CD8-EFF275FEFD2E}"/>
    <hyperlink ref="A3984" r:id="rId11947" display="https://statiz.sporki.com/player/?m=playerinfo&amp;p_no=1093" xr:uid="{090B6E94-44EC-4CC2-9509-05123C895BB9}"/>
    <hyperlink ref="B3984" r:id="rId11948" display="https://statiz.sporki.com/add/?m=draft_school01&amp;ps_school=50209" xr:uid="{18FDB6BB-0F87-48A1-9CA8-D285472E662B}"/>
    <hyperlink ref="C3984" r:id="rId11949" display="https://statiz.sporki.com/add/?m=draft_school02&amp;ps_school=60204" xr:uid="{FB5130A0-33F8-4F5F-9AF0-CA272E4D7A16}"/>
    <hyperlink ref="A3985" r:id="rId11950" display="https://statiz.sporki.com/player/?m=playerinfo&amp;p_no=12714" xr:uid="{9270EB76-A571-46FA-BFED-DE2B798844AA}"/>
    <hyperlink ref="B3985" r:id="rId11951" display="https://statiz.sporki.com/add/?m=draft_school01&amp;ps_school=50209" xr:uid="{D01A9243-3ABD-4B15-93FF-C62585948A0C}"/>
    <hyperlink ref="C3985" r:id="rId11952" display="https://statiz.sporki.com/add/?m=draft_school02&amp;ps_school=60101" xr:uid="{7483BC5F-DF5E-42F4-B57B-EF0F6ECAD358}"/>
    <hyperlink ref="A3986" r:id="rId11953" display="https://statiz.sporki.com/player/?m=playerinfo&amp;p_no=1118" xr:uid="{3839EB46-9861-43B9-A9E8-91C17C2FB2BE}"/>
    <hyperlink ref="B3986" r:id="rId11954" display="https://statiz.sporki.com/add/?m=draft_school01&amp;ps_school=50803" xr:uid="{4D4FF342-AD7D-4F40-8D06-6BADA9541AC3}"/>
    <hyperlink ref="C3986" r:id="rId11955" display="https://statiz.sporki.com/add/?m=draft_school02&amp;ps_school=" xr:uid="{14425D07-B79B-41BD-8F24-00054C7AA9C6}"/>
    <hyperlink ref="A3987" r:id="rId11956" display="https://statiz.sporki.com/player/?m=playerinfo&amp;p_no=1018" xr:uid="{5BFC3A73-463C-4CAB-B5DC-567928027A7E}"/>
    <hyperlink ref="B3987" r:id="rId11957" display="https://statiz.sporki.com/add/?m=draft_school01&amp;ps_school=50209" xr:uid="{FF7DEC90-B235-41EB-8A37-677B2C25EF68}"/>
    <hyperlink ref="C3987" r:id="rId11958" display="https://statiz.sporki.com/add/?m=draft_school02&amp;ps_school=60204" xr:uid="{4D4C149D-5767-4D05-827E-511A9DBBE273}"/>
    <hyperlink ref="A3988" r:id="rId11959" display="https://statiz.sporki.com/player/?m=playerinfo&amp;p_no=1132" xr:uid="{1CF4AC2F-549F-43A0-BE83-57EB91263BFF}"/>
    <hyperlink ref="B3988" r:id="rId11960" display="https://statiz.sporki.com/add/?m=draft_school01&amp;ps_school=50209" xr:uid="{FAE1955B-AA84-48A5-AD79-B7A57D9E1765}"/>
    <hyperlink ref="C3988" r:id="rId11961" display="https://statiz.sporki.com/add/?m=draft_school02&amp;ps_school=60204" xr:uid="{F542FDEE-AED0-413B-A180-B77B256D2633}"/>
    <hyperlink ref="A3989" r:id="rId11962" display="https://statiz.sporki.com/player/?m=playerinfo&amp;p_no=1089" xr:uid="{BF572E05-B4C3-4D3E-BDDB-6DE25ABA3C87}"/>
    <hyperlink ref="B3989" r:id="rId11963" display="https://statiz.sporki.com/add/?m=draft_school01&amp;ps_school=50209" xr:uid="{ED6CA87D-8E44-4A7B-AA20-B3A2EB6ECBE3}"/>
    <hyperlink ref="C3989" r:id="rId11964" display="https://statiz.sporki.com/add/?m=draft_school02&amp;ps_school=60204" xr:uid="{313E829A-20DD-4924-B444-7D2B675B9286}"/>
    <hyperlink ref="A3990" r:id="rId11965" display="https://statiz.sporki.com/player/?m=playerinfo&amp;p_no=1021" xr:uid="{48DE3CD7-5096-40D2-A7C4-EA631571F2B8}"/>
    <hyperlink ref="B3990" r:id="rId11966" display="https://statiz.sporki.com/add/?m=draft_school01&amp;ps_school=50209" xr:uid="{0FA9E37B-DB8E-41C1-97B6-18F70C4D4F59}"/>
    <hyperlink ref="C3990" r:id="rId11967" display="https://statiz.sporki.com/add/?m=draft_school02&amp;ps_school=60204" xr:uid="{A398581A-7410-4CE8-8DF2-5EEF0ECC0CF9}"/>
    <hyperlink ref="A3991" r:id="rId11968" display="https://statiz.sporki.com/player/?m=playerinfo&amp;p_no=1126" xr:uid="{6F2E2747-5092-4F29-9DA7-4E0ED18C447F}"/>
    <hyperlink ref="B3991" r:id="rId11969" display="https://statiz.sporki.com/add/?m=draft_school01&amp;ps_school=50202" xr:uid="{94B5818A-7ABB-4C85-9494-5158CBB7516D}"/>
    <hyperlink ref="C3991" r:id="rId11970" display="https://statiz.sporki.com/add/?m=draft_school02&amp;ps_school=60204" xr:uid="{F470CED5-A77A-4BEA-B8EF-B168BFEE12E1}"/>
    <hyperlink ref="A3992" r:id="rId11971" display="https://statiz.sporki.com/player/?m=playerinfo&amp;p_no=1123" xr:uid="{710A56B2-64FC-4735-8A89-674526203B34}"/>
    <hyperlink ref="B3992" r:id="rId11972" display="https://statiz.sporki.com/add/?m=draft_school01&amp;ps_school=50202" xr:uid="{3D2B9370-7086-4010-B05E-979366712B3C}"/>
    <hyperlink ref="C3992" r:id="rId11973" display="https://statiz.sporki.com/add/?m=draft_school02&amp;ps_school=" xr:uid="{7E997260-7226-49E9-94E1-D8BF4B2FDFBF}"/>
    <hyperlink ref="A3993" r:id="rId11974" display="https://statiz.sporki.com/player/?m=playerinfo&amp;p_no=1004" xr:uid="{F990F493-B4BC-420F-9309-C382249A91B7}"/>
    <hyperlink ref="B3993" r:id="rId11975" display="https://statiz.sporki.com/add/?m=draft_school01&amp;ps_school=50209" xr:uid="{10EF5974-FF16-4A6B-9570-3E6159425F84}"/>
    <hyperlink ref="C3993" r:id="rId11976" display="https://statiz.sporki.com/add/?m=draft_school02&amp;ps_school=60204" xr:uid="{DCF2C069-FBF5-4212-84B0-9C7DB4B24DB8}"/>
    <hyperlink ref="A3994" r:id="rId11977" display="https://statiz.sporki.com/player/?m=playerinfo&amp;p_no=1070" xr:uid="{65115B35-C712-4F75-942D-E8C2A6086A01}"/>
    <hyperlink ref="B3994" r:id="rId11978" display="https://statiz.sporki.com/add/?m=draft_school01&amp;ps_school=50202" xr:uid="{9C002761-2994-4257-99DC-B7E4C690B296}"/>
    <hyperlink ref="C3994" r:id="rId11979" display="https://statiz.sporki.com/add/?m=draft_school02&amp;ps_school=" xr:uid="{8045F59A-A3E7-48CB-8EDA-32525E4DA1CC}"/>
    <hyperlink ref="A3995" r:id="rId11980" display="https://statiz.sporki.com/player/?m=playerinfo&amp;p_no=1099" xr:uid="{1576F3BD-DDED-4D97-89FB-9B830927F155}"/>
    <hyperlink ref="B3995" r:id="rId11981" display="https://statiz.sporki.com/add/?m=draft_school01&amp;ps_school=50202" xr:uid="{E0C98F05-9F0C-4092-9272-0DC7B4E6EBF6}"/>
    <hyperlink ref="C3995" r:id="rId11982" display="https://statiz.sporki.com/add/?m=draft_school02&amp;ps_school=60703" xr:uid="{E9F458EC-7929-4978-9DE2-EFB173257B79}"/>
    <hyperlink ref="A3996" r:id="rId11983" display="https://statiz.sporki.com/player/?m=playerinfo&amp;p_no=1056" xr:uid="{DC89EB43-C6CA-4BE0-B688-87CC8661D523}"/>
    <hyperlink ref="B3996" r:id="rId11984" display="https://statiz.sporki.com/add/?m=draft_school01&amp;ps_school=50209" xr:uid="{E3E563F1-B021-4AE0-BAB4-1C5A15D167BA}"/>
    <hyperlink ref="C3996" r:id="rId11985" display="https://statiz.sporki.com/add/?m=draft_school02&amp;ps_school=" xr:uid="{E37198BF-9791-4A22-BCCF-3BF284078865}"/>
    <hyperlink ref="A3997" r:id="rId11986" display="https://statiz.sporki.com/player/?m=playerinfo&amp;p_no=1057" xr:uid="{F4746A89-7399-4B56-A54B-E248472D098D}"/>
    <hyperlink ref="B3997" r:id="rId11987" display="https://statiz.sporki.com/add/?m=draft_school01&amp;ps_school=50202" xr:uid="{420569B5-3473-418E-A22A-81048FCF3F45}"/>
    <hyperlink ref="C3997" r:id="rId11988" display="https://statiz.sporki.com/add/?m=draft_school02&amp;ps_school=" xr:uid="{681BFE1F-2764-4E2D-85EA-28A351430046}"/>
    <hyperlink ref="A3998" r:id="rId11989" display="https://statiz.sporki.com/player/?m=playerinfo&amp;p_no=1066" xr:uid="{D4A539B8-F33E-43AB-ACA9-D388C8773913}"/>
    <hyperlink ref="B3998" r:id="rId11990" display="https://statiz.sporki.com/add/?m=draft_school01&amp;ps_school=50209" xr:uid="{E2F0B3F5-ED88-4114-9A13-942F04086B5E}"/>
    <hyperlink ref="C3998" r:id="rId11991" display="https://statiz.sporki.com/add/?m=draft_school02&amp;ps_school=60204" xr:uid="{E5DD3ABA-EBB0-4A9C-941B-0FFD6DEFE580}"/>
    <hyperlink ref="A3999" r:id="rId11992" display="https://statiz.sporki.com/player/?m=playerinfo&amp;p_no=1068" xr:uid="{D8533B90-8E0D-44CD-80AE-F67086FDBEAD}"/>
    <hyperlink ref="B3999" r:id="rId11993" display="https://statiz.sporki.com/add/?m=draft_school01&amp;ps_school=50209" xr:uid="{7C4B1847-F4A4-4BAD-81FA-113E2DBE5286}"/>
    <hyperlink ref="C3999" r:id="rId11994" display="https://statiz.sporki.com/add/?m=draft_school02&amp;ps_school=60203" xr:uid="{F9865CF9-2EB7-4885-B95F-184BC6CDB2D7}"/>
    <hyperlink ref="A4000" r:id="rId11995" display="https://statiz.sporki.com/player/?m=playerinfo&amp;p_no=1075" xr:uid="{2D2FEC01-6D1F-43B8-97A3-620FCB19F7A6}"/>
    <hyperlink ref="B4000" r:id="rId11996" display="https://statiz.sporki.com/add/?m=draft_school01&amp;ps_school=50109" xr:uid="{1A61DE61-822A-4C74-A44D-643DBF9C7E87}"/>
    <hyperlink ref="C4000" r:id="rId11997" display="https://statiz.sporki.com/add/?m=draft_school02&amp;ps_school=" xr:uid="{C863675C-B44C-4772-8645-79C1D751C69B}"/>
    <hyperlink ref="A4001" r:id="rId11998" display="https://statiz.sporki.com/player/?m=playerinfo&amp;p_no=1003" xr:uid="{2D799533-A219-432F-9E85-3B8621499E16}"/>
    <hyperlink ref="B4001" r:id="rId11999" display="https://statiz.sporki.com/add/?m=draft_school01&amp;ps_school=50202" xr:uid="{96556362-64FE-4596-B12A-B4EB249F6518}"/>
    <hyperlink ref="C4001" r:id="rId12000" display="https://statiz.sporki.com/add/?m=draft_school02&amp;ps_school=" xr:uid="{742CFECE-12FB-4F63-9C33-3D60D4F59F93}"/>
    <hyperlink ref="A4002" r:id="rId12001" display="https://statiz.sporki.com/player/?m=playerinfo&amp;p_no=1102" xr:uid="{C791DEB2-5B70-4846-BB79-D67C8F742FBE}"/>
    <hyperlink ref="B4002" r:id="rId12002" display="https://statiz.sporki.com/add/?m=draft_school01&amp;ps_school=50202" xr:uid="{4EED5E7A-B679-4C59-9851-F69AE462DBD7}"/>
    <hyperlink ref="C4002" r:id="rId12003" display="https://statiz.sporki.com/add/?m=draft_school02&amp;ps_school=60111" xr:uid="{E08AF2D2-04BA-44BD-8365-71A37F0F0AB6}"/>
    <hyperlink ref="A4003" r:id="rId12004" display="https://statiz.sporki.com/player/?m=playerinfo&amp;p_no=1090" xr:uid="{BC9A66F6-A386-4C88-A62F-B757F0FFCF3B}"/>
    <hyperlink ref="B4003" r:id="rId12005" display="https://statiz.sporki.com/add/?m=draft_school01&amp;ps_school=50202" xr:uid="{AB12E836-E37C-4584-8C4A-891EBC8CD804}"/>
    <hyperlink ref="C4003" r:id="rId12006" display="https://statiz.sporki.com/add/?m=draft_school02&amp;ps_school=" xr:uid="{019D0488-5CB7-4C52-A8C8-91429AC30264}"/>
    <hyperlink ref="A4004" r:id="rId12007" display="https://statiz.sporki.com/player/?m=playerinfo&amp;p_no=1088" xr:uid="{8850F356-DE0F-4F26-8FC5-74A8899F8F66}"/>
    <hyperlink ref="B4004" r:id="rId12008" display="https://statiz.sporki.com/add/?m=draft_school01&amp;ps_school=50202" xr:uid="{614A07F6-B445-43D7-AF1B-82555FFA2CC8}"/>
    <hyperlink ref="C4004" r:id="rId12009" display="https://statiz.sporki.com/add/?m=draft_school02&amp;ps_school=" xr:uid="{603BCB30-CDE4-4D0B-99CB-3EA3459408B1}"/>
    <hyperlink ref="A4005" r:id="rId12010" display="https://statiz.sporki.com/player/?m=playerinfo&amp;p_no=1084" xr:uid="{937FA171-D808-4894-BF31-B9D268492040}"/>
    <hyperlink ref="B4005" r:id="rId12011" display="https://statiz.sporki.com/add/?m=draft_school01&amp;ps_school=50107" xr:uid="{38EAA5BC-7D6A-4BE0-8D63-A96B0C231755}"/>
    <hyperlink ref="C4005" r:id="rId12012" display="https://statiz.sporki.com/add/?m=draft_school02&amp;ps_school=60113" xr:uid="{2EB16BD7-FE79-46B8-8807-9312E274A168}"/>
    <hyperlink ref="A4006" r:id="rId12013" display="https://statiz.sporki.com/player/?m=playerinfo&amp;p_no=1034" xr:uid="{D9CF55E8-AA27-4E7B-A2FD-5B6737D71C8C}"/>
    <hyperlink ref="B4006" r:id="rId12014" display="https://statiz.sporki.com/add/?m=draft_school01&amp;ps_school=50712" xr:uid="{1FE9C907-7EEA-4EED-B0C7-F085BBC1D087}"/>
    <hyperlink ref="C4006" r:id="rId12015" display="https://statiz.sporki.com/add/?m=draft_school02&amp;ps_school=60113" xr:uid="{1C99FB4F-5510-4259-A9DB-87EEE186F8EA}"/>
    <hyperlink ref="A4007" r:id="rId12016" display="https://statiz.sporki.com/player/?m=playerinfo&amp;p_no=1053" xr:uid="{6129FAE3-2E0B-4E66-8ACA-8049D6E156E7}"/>
    <hyperlink ref="B4007" r:id="rId12017" display="https://statiz.sporki.com/add/?m=draft_school01&amp;ps_school=50701" xr:uid="{4BF06D8B-F92F-41F4-B0C5-4CB68EF66C71}"/>
    <hyperlink ref="C4007" r:id="rId12018" display="https://statiz.sporki.com/add/?m=draft_school02&amp;ps_school=" xr:uid="{DCC27ED3-C283-4B9B-82BF-9BD978886244}"/>
    <hyperlink ref="A4008" r:id="rId12019" display="https://statiz.sporki.com/player/?m=playerinfo&amp;p_no=1052" xr:uid="{0AAF63BD-5591-40E1-AA2B-AB84CB2EDAC9}"/>
    <hyperlink ref="B4008" r:id="rId12020" display="https://statiz.sporki.com/add/?m=draft_school01&amp;ps_school=50701" xr:uid="{7BB6C6AE-22C9-4683-B295-441BE69BE390}"/>
    <hyperlink ref="C4008" r:id="rId12021" display="https://statiz.sporki.com/add/?m=draft_school02&amp;ps_school=60113" xr:uid="{FBAB5363-44BA-4EEE-AFA7-F3412AAA9604}"/>
    <hyperlink ref="A4009" r:id="rId12022" display="https://statiz.sporki.com/player/?m=playerinfo&amp;p_no=1044" xr:uid="{5E0526F5-7C67-4D2D-878A-F7016B9B2084}"/>
    <hyperlink ref="B4009" r:id="rId12023" display="https://statiz.sporki.com/add/?m=draft_school01&amp;ps_school=50701" xr:uid="{F30563E4-8453-4EC0-B267-1C1D225847E0}"/>
    <hyperlink ref="C4009" r:id="rId12024" display="https://statiz.sporki.com/add/?m=draft_school02&amp;ps_school=60103" xr:uid="{640EEAE9-45C7-401C-A9F3-BED140022ECC}"/>
    <hyperlink ref="A4010" r:id="rId12025" display="https://statiz.sporki.com/player/?m=playerinfo&amp;p_no=1043" xr:uid="{86920424-99F7-40A6-A3DB-D9129A49C033}"/>
    <hyperlink ref="B4010" r:id="rId12026" display="https://statiz.sporki.com/add/?m=draft_school01&amp;ps_school=50701" xr:uid="{460DC17B-3ABA-485A-A881-9B107A12E893}"/>
    <hyperlink ref="C4010" r:id="rId12027" display="https://statiz.sporki.com/add/?m=draft_school02&amp;ps_school=60113" xr:uid="{D45B8165-6042-4219-B1D6-9DC7C6DAB0A3}"/>
    <hyperlink ref="A4011" r:id="rId12028" display="https://statiz.sporki.com/player/?m=playerinfo&amp;p_no=1039" xr:uid="{502B2F36-B705-44C8-9C8B-011BE15DAE11}"/>
    <hyperlink ref="B4011" r:id="rId12029" display="https://statiz.sporki.com/add/?m=draft_school01&amp;ps_school=50701" xr:uid="{91920942-DB7E-4B60-9622-C0B1871471F1}"/>
    <hyperlink ref="C4011" r:id="rId12030" display="https://statiz.sporki.com/add/?m=draft_school02&amp;ps_school=60113" xr:uid="{7FBD9B72-73A3-4FAA-8AB6-97D4270DD6F5}"/>
    <hyperlink ref="A4012" r:id="rId12031" display="https://statiz.sporki.com/player/?m=playerinfo&amp;p_no=1038" xr:uid="{DF25FA79-4391-4235-9CC9-239D6559901F}"/>
    <hyperlink ref="B4012" r:id="rId12032" display="https://statiz.sporki.com/add/?m=draft_school01&amp;ps_school=50711" xr:uid="{288E6B61-F720-4A73-A845-04B08ABE057A}"/>
    <hyperlink ref="C4012" r:id="rId12033" display="https://statiz.sporki.com/add/?m=draft_school02&amp;ps_school=60108" xr:uid="{13198474-9627-4033-8913-F92DDF980407}"/>
    <hyperlink ref="A4013" r:id="rId12034" display="https://statiz.sporki.com/player/?m=playerinfo&amp;p_no=1016" xr:uid="{184EE1C4-7689-4E4B-94CA-D1B774E01DAD}"/>
    <hyperlink ref="B4013" r:id="rId12035" display="https://statiz.sporki.com/add/?m=draft_school01&amp;ps_school=50701" xr:uid="{BAD85879-FD15-4EFF-B102-0E011FB200F5}"/>
    <hyperlink ref="C4013" r:id="rId12036" display="https://statiz.sporki.com/add/?m=draft_school02&amp;ps_school=" xr:uid="{F0BACBD8-A2DD-482C-87E4-A7BB95EC601A}"/>
    <hyperlink ref="A4014" r:id="rId12037" display="https://statiz.sporki.com/player/?m=playerinfo&amp;p_no=1025" xr:uid="{3A470DA2-91E9-49F4-B522-98CD01C7AA26}"/>
    <hyperlink ref="B4014" r:id="rId12038" display="https://statiz.sporki.com/add/?m=draft_school01&amp;ps_school=50711" xr:uid="{BF350991-8386-4CFB-B6FD-42F43D5C4FF2}"/>
    <hyperlink ref="C4014" r:id="rId12039" display="https://statiz.sporki.com/add/?m=draft_school02&amp;ps_school=60113" xr:uid="{F677F89A-BCFA-46FD-81BB-C70A34863563}"/>
    <hyperlink ref="A4015" r:id="rId12040" display="https://statiz.sporki.com/player/?m=playerinfo&amp;p_no=1051" xr:uid="{6FD0AD0E-B6D1-4BD0-A72E-DAFDCA12E48C}"/>
    <hyperlink ref="B4015" r:id="rId12041" display="https://statiz.sporki.com/add/?m=draft_school01&amp;ps_school=50701" xr:uid="{79632607-E487-4401-8F55-DD98AE22EA20}"/>
    <hyperlink ref="C4015" r:id="rId12042" display="https://statiz.sporki.com/add/?m=draft_school02&amp;ps_school=60113" xr:uid="{C61B34CA-262C-4718-9D62-7BCB4D19314E}"/>
    <hyperlink ref="A4016" r:id="rId12043" display="https://statiz.sporki.com/player/?m=playerinfo&amp;p_no=1022" xr:uid="{DC2DD17E-8C47-4F79-90BE-F2E1FEC529CB}"/>
    <hyperlink ref="B4016" r:id="rId12044" display="https://statiz.sporki.com/add/?m=draft_school01&amp;ps_school=50711" xr:uid="{1AEAFBE0-9F92-470C-BC00-492A77B7BC04}"/>
    <hyperlink ref="C4016" r:id="rId12045" display="https://statiz.sporki.com/add/?m=draft_school02&amp;ps_school=60113" xr:uid="{BFCFE991-90B6-4CE9-A16A-4A6F06924BD3}"/>
    <hyperlink ref="A4017" r:id="rId12046" display="https://statiz.sporki.com/player/?m=playerinfo&amp;p_no=1069" xr:uid="{A6CA0AEA-72C7-450C-A159-5F53F352EBA0}"/>
    <hyperlink ref="B4017" r:id="rId12047" display="https://statiz.sporki.com/add/?m=draft_school01&amp;ps_school=" xr:uid="{8ECF05DB-EC7D-4590-B3E4-33BAA34757C6}"/>
    <hyperlink ref="C4017" r:id="rId12048" display="https://statiz.sporki.com/add/?m=draft_school02&amp;ps_school=60113" xr:uid="{9F35F31E-C5AC-451F-BFF6-2E994A87ED02}"/>
    <hyperlink ref="A4018" r:id="rId12049" display="https://statiz.sporki.com/player/?m=playerinfo&amp;p_no=1079" xr:uid="{74F2BBD9-5031-4937-B195-2FFF536FBEF1}"/>
    <hyperlink ref="B4018" r:id="rId12050" display="https://statiz.sporki.com/add/?m=draft_school01&amp;ps_school=50711" xr:uid="{E558B5BE-7066-4DFD-A2BE-57B4AFA44ABE}"/>
    <hyperlink ref="C4018" r:id="rId12051" display="https://statiz.sporki.com/add/?m=draft_school02&amp;ps_school=60101" xr:uid="{3F19A5C1-E4DF-4723-91C4-0B21AE3F407E}"/>
    <hyperlink ref="A4019" r:id="rId12052" display="https://statiz.sporki.com/player/?m=playerinfo&amp;p_no=1042" xr:uid="{488BECCB-DE13-43A3-BB6F-98AA4149DEE1}"/>
    <hyperlink ref="B4019" r:id="rId12053" display="https://statiz.sporki.com/add/?m=draft_school01&amp;ps_school=50701" xr:uid="{956ED7E0-97C9-4364-8C13-CB1E67552CF3}"/>
    <hyperlink ref="C4019" r:id="rId12054" display="https://statiz.sporki.com/add/?m=draft_school02&amp;ps_school=60101" xr:uid="{ABD93641-8993-4F26-97BA-24BB33D97E92}"/>
    <hyperlink ref="A4020" r:id="rId12055" display="https://statiz.sporki.com/player/?m=playerinfo&amp;p_no=1028" xr:uid="{6B961270-013C-47B5-87A8-B1B375F9062D}"/>
    <hyperlink ref="B4020" r:id="rId12056" display="https://statiz.sporki.com/add/?m=draft_school01&amp;ps_school=50701" xr:uid="{D5F84835-2A04-4116-A15D-18FB6E78CF0B}"/>
    <hyperlink ref="C4020" r:id="rId12057" display="https://statiz.sporki.com/add/?m=draft_school02&amp;ps_school=60111" xr:uid="{3B2AB6AB-5CCD-4AEF-BA10-B05E271FA7A0}"/>
    <hyperlink ref="A4021" r:id="rId12058" display="https://statiz.sporki.com/player/?m=playerinfo&amp;p_no=1041" xr:uid="{C339A36F-5A49-4C6C-8705-5CEAACAB680C}"/>
    <hyperlink ref="B4021" r:id="rId12059" display="https://statiz.sporki.com/add/?m=draft_school01&amp;ps_school=50701" xr:uid="{7BE01927-C138-4A93-BBB7-C90E15D58750}"/>
    <hyperlink ref="C4021" r:id="rId12060" display="https://statiz.sporki.com/add/?m=draft_school02&amp;ps_school=" xr:uid="{86F0C589-65D9-451C-87A7-C08D7389BF6A}"/>
    <hyperlink ref="A4022" r:id="rId12061" display="https://statiz.sporki.com/player/?m=playerinfo&amp;p_no=1104" xr:uid="{CAA58A45-2F9D-4951-8EC4-887D969E0FE8}"/>
    <hyperlink ref="B4022" r:id="rId12062" display="https://statiz.sporki.com/add/?m=draft_school01&amp;ps_school=" xr:uid="{0BC0EF3B-F443-4BDA-A9B5-82F5040F708B}"/>
    <hyperlink ref="C4022" r:id="rId12063" display="https://statiz.sporki.com/add/?m=draft_school02&amp;ps_school=60703" xr:uid="{C3F42B8A-6A35-4DFE-A2BB-714665B4D667}"/>
    <hyperlink ref="A4023" r:id="rId12064" display="https://statiz.sporki.com/player/?m=playerinfo&amp;p_no=1116" xr:uid="{B2BE8346-A506-4277-AF15-0FEE6CF45E46}"/>
    <hyperlink ref="B4023" r:id="rId12065" display="https://statiz.sporki.com/add/?m=draft_school01&amp;ps_school=50701" xr:uid="{ED0DEC68-0A24-4122-A07D-2AD55B69FAD1}"/>
    <hyperlink ref="C4023" r:id="rId12066" display="https://statiz.sporki.com/add/?m=draft_school02&amp;ps_school=" xr:uid="{1030DA92-00FE-4629-B44C-EE919BA3F612}"/>
    <hyperlink ref="A4024" r:id="rId12067" display="https://statiz.sporki.com/player/?m=playerinfo&amp;p_no=1037" xr:uid="{A95F819D-B5CD-4DBF-AA99-EAB2EE42E5B5}"/>
    <hyperlink ref="B4024" r:id="rId12068" display="https://statiz.sporki.com/add/?m=draft_school01&amp;ps_school=50711" xr:uid="{E6F87B7D-2CF1-448E-B2C8-68B5DF370746}"/>
    <hyperlink ref="C4024" r:id="rId12069" display="https://statiz.sporki.com/add/?m=draft_school02&amp;ps_school=60113" xr:uid="{2FCEDC2D-B91F-492C-9193-7296EC1AB57B}"/>
    <hyperlink ref="A4025" r:id="rId12070" display="https://statiz.sporki.com/player/?m=playerinfo&amp;p_no=1112" xr:uid="{4C5D10B4-861B-4C9B-9FE8-1A35790F664C}"/>
    <hyperlink ref="B4025" r:id="rId12071" display="https://statiz.sporki.com/add/?m=draft_school01&amp;ps_school=50701" xr:uid="{ED8D6377-6E41-4684-8F2D-588FCBFBA043}"/>
    <hyperlink ref="C4025" r:id="rId12072" display="https://statiz.sporki.com/add/?m=draft_school02&amp;ps_school=60103" xr:uid="{7C78C713-3E9C-4587-B360-8AD44AE7AB16}"/>
    <hyperlink ref="A4026" r:id="rId12073" display="https://statiz.sporki.com/player/?m=playerinfo&amp;p_no=1115" xr:uid="{C6EF4ED0-6D10-446E-9272-B9E7BDC65D4D}"/>
    <hyperlink ref="B4026" r:id="rId12074" display="https://statiz.sporki.com/add/?m=draft_school01&amp;ps_school=50701" xr:uid="{5442BC07-C2BA-4D32-A416-ABE8B9E25396}"/>
    <hyperlink ref="C4026" r:id="rId12075" display="https://statiz.sporki.com/add/?m=draft_school02&amp;ps_school=60102" xr:uid="{BB4CC7F8-C540-47C6-8154-BA5AD1102AE1}"/>
    <hyperlink ref="A4027" r:id="rId12076" display="https://statiz.sporki.com/player/?m=playerinfo&amp;p_no=1091" xr:uid="{D3D3EE1D-CB9D-45E8-B4B5-FB8CE883BC55}"/>
    <hyperlink ref="B4027" r:id="rId12077" display="https://statiz.sporki.com/add/?m=draft_school01&amp;ps_school=50701" xr:uid="{BEE4C1B5-1E1C-4B7E-9227-C2927696A232}"/>
    <hyperlink ref="C4027" r:id="rId12078" display="https://statiz.sporki.com/add/?m=draft_school02&amp;ps_school=" xr:uid="{3C060B0E-7CA4-41AF-AFAC-9C5786A9507D}"/>
    <hyperlink ref="A4028" r:id="rId12079" display="https://statiz.sporki.com/player/?m=playerinfo&amp;p_no=1162" xr:uid="{7FBDD292-D7DD-484D-B81E-AEEF8E478F61}"/>
    <hyperlink ref="B4028" r:id="rId12080" display="https://statiz.sporki.com/add/?m=draft_school01&amp;ps_school=50711" xr:uid="{DB857381-BB35-4FE4-A606-62B684475D8E}"/>
    <hyperlink ref="C4028" r:id="rId12081" display="https://statiz.sporki.com/add/?m=draft_school02&amp;ps_school=" xr:uid="{F485DEDB-86BB-448D-8127-555FC036F8C4}"/>
    <hyperlink ref="A4029" r:id="rId12082" display="https://statiz.sporki.com/player/?m=playerinfo&amp;p_no=1076" xr:uid="{4A8C680A-3813-46BA-ABD3-AF3D9F8A9CC3}"/>
    <hyperlink ref="B4029" r:id="rId12083" display="https://statiz.sporki.com/add/?m=draft_school01&amp;ps_school=50602" xr:uid="{37DA5386-81ED-428A-9FB5-12FFD32569F5}"/>
    <hyperlink ref="C4029" r:id="rId12084" display="https://statiz.sporki.com/add/?m=draft_school02&amp;ps_school=60703" xr:uid="{C5AAE530-02A7-49FA-B16C-B4228ED05C0A}"/>
    <hyperlink ref="A4030" r:id="rId12085" display="https://statiz.sporki.com/player/?m=playerinfo&amp;p_no=1081" xr:uid="{A0B6D2D1-2029-447A-A756-223AF0DBAE73}"/>
    <hyperlink ref="B4030" r:id="rId12086" display="https://statiz.sporki.com/add/?m=draft_school01&amp;ps_school=" xr:uid="{BADE8DE4-0F7C-4CEE-B56E-B3898783F424}"/>
    <hyperlink ref="C4030" r:id="rId12087" display="https://statiz.sporki.com/add/?m=draft_school02&amp;ps_school=60103" xr:uid="{522F0B8A-8923-416C-8525-41DBCD883D3C}"/>
    <hyperlink ref="A4031" r:id="rId12088" display="https://statiz.sporki.com/player/?m=playerinfo&amp;p_no=12726" xr:uid="{13E7E63D-651E-4592-9821-8595B4F1828E}"/>
    <hyperlink ref="B4031" r:id="rId12089" display="https://statiz.sporki.com/add/?m=draft_school01&amp;ps_school=50501" xr:uid="{926C1955-EFAE-4D29-916E-6F12A266B49D}"/>
    <hyperlink ref="C4031" r:id="rId12090" display="https://statiz.sporki.com/add/?m=draft_school02&amp;ps_school=60104" xr:uid="{D9833277-B20B-4A05-BA4A-7AD01F4ADA09}"/>
    <hyperlink ref="A4032" r:id="rId12091" display="https://statiz.sporki.com/player/?m=playerinfo&amp;p_no=1085" xr:uid="{357E53AC-3CFE-477B-A2D8-497AA9492700}"/>
    <hyperlink ref="B4032" r:id="rId12092" display="https://statiz.sporki.com/add/?m=draft_school01&amp;ps_school=50602" xr:uid="{D0F9786F-6CE6-414B-90CE-DE241FC2AF99}"/>
    <hyperlink ref="C4032" r:id="rId12093" display="https://statiz.sporki.com/add/?m=draft_school02&amp;ps_school=" xr:uid="{AB5A0C78-DC54-4F44-B471-CEC8BEBE0770}"/>
    <hyperlink ref="A4033" r:id="rId12094" display="https://statiz.sporki.com/player/?m=playerinfo&amp;p_no=1098" xr:uid="{89783979-71E6-4B56-852F-6C6B09F015CF}"/>
    <hyperlink ref="B4033" r:id="rId12095" display="https://statiz.sporki.com/add/?m=draft_school01&amp;ps_school=50608" xr:uid="{38CAC839-F7E3-48A2-8E9A-90ACEDCF93CD}"/>
    <hyperlink ref="C4033" r:id="rId12096" display="https://statiz.sporki.com/add/?m=draft_school02&amp;ps_school=" xr:uid="{F2B39662-5A3F-41EB-A72D-7663DA36991A}"/>
    <hyperlink ref="A4034" r:id="rId12097" display="https://statiz.sporki.com/player/?m=playerinfo&amp;p_no=1119" xr:uid="{2744F6AB-FF4F-4199-9CC8-1E13C37E2FCD}"/>
    <hyperlink ref="B4034" r:id="rId12098" display="https://statiz.sporki.com/add/?m=draft_school01&amp;ps_school=50602" xr:uid="{24E7445F-ED66-4711-B9F2-FA230878B71E}"/>
    <hyperlink ref="C4034" r:id="rId12099" display="https://statiz.sporki.com/add/?m=draft_school02&amp;ps_school=60103" xr:uid="{19D30434-2030-4F25-9CC3-F0776E14546E}"/>
    <hyperlink ref="A4035" r:id="rId12100" display="https://statiz.sporki.com/player/?m=playerinfo&amp;p_no=1092" xr:uid="{E5F486C1-8D5C-4FFF-9896-D928F9217839}"/>
    <hyperlink ref="B4035" r:id="rId12101" display="https://statiz.sporki.com/add/?m=draft_school01&amp;ps_school=50807" xr:uid="{0DAC5E99-A441-4EF3-B5AB-6442A309A3F3}"/>
    <hyperlink ref="C4035" r:id="rId12102" display="https://statiz.sporki.com/add/?m=draft_school02&amp;ps_school=60101" xr:uid="{C287F5E4-36BE-4130-9F9D-7E5746D940B8}"/>
    <hyperlink ref="A4036" r:id="rId12103" display="https://statiz.sporki.com/player/?m=playerinfo&amp;p_no=1059" xr:uid="{50390692-CF46-4423-9298-EB2E3780DC97}"/>
    <hyperlink ref="B4036" r:id="rId12104" display="https://statiz.sporki.com/add/?m=draft_school01&amp;ps_school=50501" xr:uid="{D763FA82-29FF-4C45-B4D2-ED91CAC21039}"/>
    <hyperlink ref="C4036" r:id="rId12105" display="https://statiz.sporki.com/add/?m=draft_school02&amp;ps_school=60113" xr:uid="{ACB539C7-C49B-4968-A523-B6E5F3AAA057}"/>
    <hyperlink ref="A4037" r:id="rId12106" display="https://statiz.sporki.com/player/?m=playerinfo&amp;p_no=1103" xr:uid="{E9CA0E02-27B6-4AF0-B4F2-A89390E13A92}"/>
    <hyperlink ref="B4037" r:id="rId12107" display="https://statiz.sporki.com/add/?m=draft_school01&amp;ps_school=50402" xr:uid="{591C3775-556C-49C9-9EFA-F3E5E1C8AC14}"/>
    <hyperlink ref="C4037" r:id="rId12108" display="https://statiz.sporki.com/add/?m=draft_school02&amp;ps_school=60104" xr:uid="{C44595C5-C417-4647-A5C6-F1E7C0E16266}"/>
    <hyperlink ref="A4038" r:id="rId12109" display="https://statiz.sporki.com/player/?m=playerinfo&amp;p_no=1055" xr:uid="{A7A93204-CD55-4422-A487-3C68553E4C1A}"/>
    <hyperlink ref="B4038" r:id="rId12110" display="https://statiz.sporki.com/add/?m=draft_school01&amp;ps_school=50110" xr:uid="{95AE72C5-C696-4DA2-B4E5-86E0CBEC29C3}"/>
    <hyperlink ref="C4038" r:id="rId12111" display="https://statiz.sporki.com/add/?m=draft_school02&amp;ps_school=" xr:uid="{40873F53-A14A-424E-9421-028DA97294C4}"/>
    <hyperlink ref="A4039" r:id="rId12112" display="https://statiz.sporki.com/player/?m=playerinfo&amp;p_no=1065" xr:uid="{82476332-A054-48DF-B400-21CEC13F575F}"/>
    <hyperlink ref="B4039" r:id="rId12113" display="https://statiz.sporki.com/add/?m=draft_school01&amp;ps_school=50501" xr:uid="{556E217C-CABF-40FD-8C49-32246A87DB25}"/>
    <hyperlink ref="C4039" r:id="rId12114" display="https://statiz.sporki.com/add/?m=draft_school02&amp;ps_school=60111" xr:uid="{BC5D37EE-239F-49D9-877D-6E67F8D620BD}"/>
    <hyperlink ref="A4040" r:id="rId12115" display="https://statiz.sporki.com/player/?m=playerinfo&amp;p_no=1013" xr:uid="{F5F129D8-A0EF-4A70-9A84-2418AC0B2EA1}"/>
    <hyperlink ref="B4040" r:id="rId12116" display="https://statiz.sporki.com/add/?m=draft_school01&amp;ps_school=50501" xr:uid="{F7EE5EF8-AF91-4F02-9B1A-B89C21B07955}"/>
    <hyperlink ref="C4040" r:id="rId12117" display="https://statiz.sporki.com/add/?m=draft_school02&amp;ps_school=60113" xr:uid="{911FD06C-F4F0-4EBB-A4A1-B14141584982}"/>
    <hyperlink ref="A4041" r:id="rId12118" display="https://statiz.sporki.com/player/?m=playerinfo&amp;p_no=1010" xr:uid="{7CAA9C05-D989-4712-98BA-25A125887CD9}"/>
    <hyperlink ref="B4041" r:id="rId12119" display="https://statiz.sporki.com/add/?m=draft_school01&amp;ps_school=50501" xr:uid="{CBCD7200-A00D-43C4-83AD-59528035C1D1}"/>
    <hyperlink ref="C4041" r:id="rId12120" display="https://statiz.sporki.com/add/?m=draft_school02&amp;ps_school=60101" xr:uid="{F282B738-FF9F-46EC-8CCF-89BFD7570104}"/>
    <hyperlink ref="A4042" r:id="rId12121" display="https://statiz.sporki.com/player/?m=playerinfo&amp;p_no=1005" xr:uid="{9A6BB79E-8C33-4759-93E0-F5E32DA3708E}"/>
    <hyperlink ref="B4042" r:id="rId12122" display="https://statiz.sporki.com/add/?m=draft_school01&amp;ps_school=50501" xr:uid="{E1BDB359-C9B1-4896-A2FB-65AF67A669FD}"/>
    <hyperlink ref="C4042" r:id="rId12123" display="https://statiz.sporki.com/add/?m=draft_school02&amp;ps_school=60109" xr:uid="{4BC769B9-807F-44E2-8090-C29DDA06B81D}"/>
    <hyperlink ref="A4043" r:id="rId12124" display="https://statiz.sporki.com/player/?m=playerinfo&amp;p_no=1015" xr:uid="{E097E470-7A48-4FE3-893D-9E491B6997C6}"/>
    <hyperlink ref="B4043" r:id="rId12125" display="https://statiz.sporki.com/add/?m=draft_school01&amp;ps_school=50501" xr:uid="{7851E2BD-0E71-4751-AA08-C9DB4DE41ED8}"/>
    <hyperlink ref="C4043" r:id="rId12126" display="https://statiz.sporki.com/add/?m=draft_school02&amp;ps_school=" xr:uid="{AA483738-5E31-4324-878E-B526D6491CDA}"/>
    <hyperlink ref="A4044" r:id="rId12127" display="https://statiz.sporki.com/player/?m=playerinfo&amp;p_no=1030" xr:uid="{41F29CC5-291B-4320-B9B8-B7397FE869FD}"/>
    <hyperlink ref="B4044" r:id="rId12128" display="https://statiz.sporki.com/add/?m=draft_school01&amp;ps_school=50109" xr:uid="{1217F872-ACC7-4E2E-8768-230F36D7CBF5}"/>
    <hyperlink ref="C4044" r:id="rId12129" display="https://statiz.sporki.com/add/?m=draft_school02&amp;ps_school=60109" xr:uid="{589B4260-6E52-404B-ABEA-FEFFE1D892A5}"/>
    <hyperlink ref="A4045" r:id="rId12130" display="https://statiz.sporki.com/player/?m=playerinfo&amp;p_no=1064" xr:uid="{026A5218-1FD7-40A9-AB51-6A4AAC41B795}"/>
    <hyperlink ref="B4045" r:id="rId12131" display="https://statiz.sporki.com/add/?m=draft_school01&amp;ps_school=50608" xr:uid="{9D659AF9-3339-4139-85E3-78273373D1B6}"/>
    <hyperlink ref="C4045" r:id="rId12132" display="https://statiz.sporki.com/add/?m=draft_school02&amp;ps_school=60703" xr:uid="{F586F211-70BC-4F6F-BC2D-999D110C592E}"/>
    <hyperlink ref="A4046" r:id="rId12133" display="https://statiz.sporki.com/player/?m=playerinfo&amp;p_no=1033" xr:uid="{CE0BD903-A87C-45CA-873C-C5A224FDD125}"/>
    <hyperlink ref="B4046" r:id="rId12134" display="https://statiz.sporki.com/add/?m=draft_school01&amp;ps_school=50602" xr:uid="{C87BA0DD-9790-4EA2-B069-C8E9F4C931D7}"/>
    <hyperlink ref="C4046" r:id="rId12135" display="https://statiz.sporki.com/add/?m=draft_school02&amp;ps_school=" xr:uid="{C263C7EF-518C-4400-9CA8-48116EAFDAAC}"/>
    <hyperlink ref="A4047" r:id="rId12136" display="https://statiz.sporki.com/player/?m=playerinfo&amp;p_no=1074" xr:uid="{B2C9450E-6FC6-4861-97AF-D5DFE37F49CF}"/>
    <hyperlink ref="B4047" r:id="rId12137" display="https://statiz.sporki.com/add/?m=draft_school01&amp;ps_school=" xr:uid="{AE5571D9-C000-4A68-BC2D-33346139C0F4}"/>
    <hyperlink ref="C4047" r:id="rId12138" display="https://statiz.sporki.com/add/?m=draft_school02&amp;ps_school=60104" xr:uid="{BE01C289-C26A-4984-A1F7-5363712FB256}"/>
    <hyperlink ref="A4048" r:id="rId12139" display="https://statiz.sporki.com/player/?m=playerinfo&amp;p_no=11476" xr:uid="{2D479F36-9572-40CE-9F70-BA54E187F2FB}"/>
    <hyperlink ref="B4048" r:id="rId12140" display="https://statiz.sporki.com/add/?m=draft_school01&amp;ps_school=50114" xr:uid="{06A7F230-D54F-48DE-BD98-F6A807D751B3}"/>
    <hyperlink ref="C4048" r:id="rId12141" display="https://statiz.sporki.com/add/?m=draft_school02&amp;ps_school=60204" xr:uid="{77ABD3D8-13D1-4486-8C6A-8C02452CBE3A}"/>
    <hyperlink ref="J2" r:id="rId12142" display="https://statiz.sporki.com/player/?m=playerinfo&amp;p_no=15421" xr:uid="{4238337E-9598-4D9C-989D-A081E241F868}"/>
    <hyperlink ref="J3" r:id="rId12143" display="https://statiz.sporki.com/player/?m=playerinfo&amp;p_no=15432" xr:uid="{8EBBBEF6-4FB0-4771-82B0-07E9EA2291A9}"/>
    <hyperlink ref="J4" r:id="rId12144" display="https://statiz.sporki.com/player/?m=playerinfo&amp;p_no=15253" xr:uid="{5E8CD8EF-4922-4042-A4AE-011ECD947E04}"/>
    <hyperlink ref="J5" r:id="rId12145" display="https://statiz.sporki.com/player/?m=playerinfo&amp;p_no=15450" xr:uid="{877160D1-D8EA-4C5B-A984-CCBF18E70FE4}"/>
    <hyperlink ref="J6" r:id="rId12146" display="https://statiz.sporki.com/player/?m=playerinfo&amp;p_no=15461" xr:uid="{F56FC52F-0ED8-46E0-AAA9-1C88B0D9552C}"/>
    <hyperlink ref="J7" r:id="rId12147" display="https://statiz.sporki.com/player/?m=playerinfo&amp;p_no=15472" xr:uid="{E4B29F89-F944-4981-B23B-0D86325946B5}"/>
    <hyperlink ref="J8" r:id="rId12148" display="https://statiz.sporki.com/player/?m=playerinfo&amp;p_no=15484" xr:uid="{C5AD43A5-34D2-4BFD-AC3B-F49969A47DD4}"/>
    <hyperlink ref="J9" r:id="rId12149" display="https://statiz.sporki.com/player/?m=playerinfo&amp;p_no=15496" xr:uid="{D9D99637-FF92-47D2-B638-A5D24D5B8F53}"/>
    <hyperlink ref="J10" r:id="rId12150" display="https://statiz.sporki.com/player/?m=playerinfo&amp;p_no=15508" xr:uid="{4D2F8F56-4BBF-40F6-9AFB-BD7C8B38941F}"/>
    <hyperlink ref="J11" r:id="rId12151" display="https://statiz.sporki.com/player/?m=playerinfo&amp;p_no=15518" xr:uid="{9A001F9E-8141-4C32-BABA-6534DA90097D}"/>
    <hyperlink ref="J12" r:id="rId12152" display="https://statiz.sporki.com/player/?m=playerinfo&amp;p_no=15422" xr:uid="{C7222C52-5904-43D8-8E60-58BC6B48FF6C}"/>
    <hyperlink ref="J13" r:id="rId12153" display="https://statiz.sporki.com/player/?m=playerinfo&amp;p_no=15473" xr:uid="{94AC3842-B79E-4DB6-8F96-8821156CA18A}"/>
    <hyperlink ref="J14" r:id="rId12154" display="https://statiz.sporki.com/player/?m=playerinfo&amp;p_no=15441" xr:uid="{A9972B69-6CB1-4845-99FF-1886E271B664}"/>
    <hyperlink ref="J15" r:id="rId12155" display="https://statiz.sporki.com/player/?m=playerinfo&amp;p_no=15451" xr:uid="{D6492415-CFE4-4837-B8F5-D17445F1BD48}"/>
    <hyperlink ref="J16" r:id="rId12156" display="https://statiz.sporki.com/player/?m=playerinfo&amp;p_no=15462" xr:uid="{9743BD40-AF59-4F1C-B9E7-91DDF23E09E5}"/>
    <hyperlink ref="J17" r:id="rId12157" display="https://statiz.sporki.com/player/?m=playerinfo&amp;p_no=15474" xr:uid="{F41B3BD3-E944-4CFC-8B72-57158C1E28DE}"/>
    <hyperlink ref="J18" r:id="rId12158" display="https://statiz.sporki.com/player/?m=playerinfo&amp;p_no=15485" xr:uid="{6DC4A3EA-FA5D-427A-9AA6-81514F6B2C59}"/>
    <hyperlink ref="J19" r:id="rId12159" display="https://statiz.sporki.com/player/?m=playerinfo&amp;p_no=15497" xr:uid="{ECB3269F-7B60-42E6-8289-F6160FEA15EB}"/>
    <hyperlink ref="J20" r:id="rId12160" display="https://statiz.sporki.com/player/?m=playerinfo&amp;p_no=15509" xr:uid="{4EDD4436-F287-49B0-AD98-329C56DA57F0}"/>
    <hyperlink ref="J21" r:id="rId12161" display="https://statiz.sporki.com/player/?m=playerinfo&amp;p_no=15519" xr:uid="{AD79FFB9-2238-4880-AA65-D0BAF311BCDD}"/>
    <hyperlink ref="J22" r:id="rId12162" display="https://statiz.sporki.com/player/?m=playerinfo&amp;p_no=15423" xr:uid="{5C0EA0B8-3C64-44C1-BCA8-DC8F308F8467}"/>
    <hyperlink ref="J23" r:id="rId12163" display="https://statiz.sporki.com/player/?m=playerinfo&amp;p_no=15433" xr:uid="{0621BD69-9F59-4870-8424-9B281FD861C9}"/>
    <hyperlink ref="J24" r:id="rId12164" display="https://statiz.sporki.com/player/?m=playerinfo&amp;p_no=15498" xr:uid="{7A706132-EB1E-4ECF-A4FE-70204E798947}"/>
    <hyperlink ref="J25" r:id="rId12165" display="https://statiz.sporki.com/player/?m=playerinfo&amp;p_no=15452" xr:uid="{B2A8A7F2-1B8D-4BDD-9CB5-662A105DAC94}"/>
    <hyperlink ref="J26" r:id="rId12166" display="https://statiz.sporki.com/player/?m=playerinfo&amp;p_no=15463" xr:uid="{436E12A3-B20F-4CE7-BB8D-51F9FA165E3A}"/>
    <hyperlink ref="J27" r:id="rId12167" display="https://statiz.sporki.com/player/?m=playerinfo&amp;p_no=15475" xr:uid="{02142334-29F5-498B-8169-14FEEF7A7505}"/>
    <hyperlink ref="J28" r:id="rId12168" display="https://statiz.sporki.com/player/?m=playerinfo&amp;p_no=15486" xr:uid="{75056371-FC46-4D99-B60C-8045DD2E1F3A}"/>
    <hyperlink ref="J29" r:id="rId12169" display="https://statiz.sporki.com/player/?m=playerinfo&amp;p_no=15499" xr:uid="{2E2C0B4A-F61B-4AD7-95DA-FEA30F95C334}"/>
    <hyperlink ref="J30" r:id="rId12170" display="https://statiz.sporki.com/player/?m=playerinfo&amp;p_no=15510" xr:uid="{955E0EA9-6B7F-427E-9B19-0369D2A4B369}"/>
    <hyperlink ref="J31" r:id="rId12171" display="https://statiz.sporki.com/player/?m=playerinfo&amp;p_no=15520" xr:uid="{BE6949B6-8C69-4F88-905F-31D2660E7C5B}"/>
    <hyperlink ref="J32" r:id="rId12172" display="https://statiz.sporki.com/player/?m=playerinfo&amp;p_no=15424" xr:uid="{EEAB3312-2AF3-4D3C-B093-EDB7D6CC9D5E}"/>
    <hyperlink ref="J33" r:id="rId12173" display="https://statiz.sporki.com/player/?m=playerinfo&amp;p_no=15434" xr:uid="{918EE781-3CE1-4570-A488-5381C1A64E8E}"/>
    <hyperlink ref="J34" r:id="rId12174" display="https://statiz.sporki.com/player/?m=playerinfo&amp;p_no=15442" xr:uid="{2675733B-2563-4092-910A-15D7963ECF2D}"/>
    <hyperlink ref="J35" r:id="rId12175" display="https://statiz.sporki.com/player/?m=playerinfo&amp;p_no=15453" xr:uid="{FEF53F78-828D-4EEB-98E9-8632A96A3D0E}"/>
    <hyperlink ref="J36" r:id="rId12176" display="https://statiz.sporki.com/player/?m=playerinfo&amp;p_no=15464" xr:uid="{41CB13FD-4670-4CB6-8409-99EB63FD605C}"/>
    <hyperlink ref="J37" r:id="rId12177" display="https://statiz.sporki.com/player/?m=playerinfo&amp;p_no=15476" xr:uid="{1C4A9C06-7253-4E8C-96DB-E482B0863F61}"/>
    <hyperlink ref="J38" r:id="rId12178" display="https://statiz.sporki.com/player/?m=playerinfo&amp;p_no=15487" xr:uid="{CBD28C18-3868-4D17-9951-C5761BDDC11D}"/>
    <hyperlink ref="J39" r:id="rId12179" display="https://statiz.sporki.com/player/?m=playerinfo&amp;p_no=15500" xr:uid="{8A29299C-2865-4884-AF52-4DE557424F80}"/>
    <hyperlink ref="J40" r:id="rId12180" display="https://statiz.sporki.com/player/?m=playerinfo&amp;p_no=15511" xr:uid="{D7838240-F7B7-46F7-B39E-8F89F8606D1B}"/>
    <hyperlink ref="J41" r:id="rId12181" display="https://statiz.sporki.com/player/?m=playerinfo&amp;p_no=15521" xr:uid="{66482D49-B71C-44C4-8E4B-0A5F291D0854}"/>
    <hyperlink ref="J42" r:id="rId12182" display="https://statiz.sporki.com/player/?m=playerinfo&amp;p_no=15425" xr:uid="{5208C1DA-83A2-4CA8-BA5A-40336CA15C2C}"/>
    <hyperlink ref="J43" r:id="rId12183" display="https://statiz.sporki.com/player/?m=playerinfo&amp;p_no=15435" xr:uid="{F6BDCA6A-FBDF-41CC-8FD7-19402E77D6E7}"/>
    <hyperlink ref="J44" r:id="rId12184" display="https://statiz.sporki.com/player/?m=playerinfo&amp;p_no=15443" xr:uid="{69C1DE2E-4A3B-4FE6-A932-0E2D400EEF48}"/>
    <hyperlink ref="J45" r:id="rId12185" display="https://statiz.sporki.com/player/?m=playerinfo&amp;p_no=15454" xr:uid="{FDAAE666-ACB6-43A9-B483-7319F7B262EA}"/>
    <hyperlink ref="J46" r:id="rId12186" display="https://statiz.sporki.com/player/?m=playerinfo&amp;p_no=15465" xr:uid="{F996CAF0-9DEB-4823-B516-752974659401}"/>
    <hyperlink ref="J47" r:id="rId12187" display="https://statiz.sporki.com/player/?m=playerinfo&amp;p_no=15477" xr:uid="{60977310-3A6B-498D-A593-6D66E8FD8E74}"/>
    <hyperlink ref="J48" r:id="rId12188" display="https://statiz.sporki.com/player/?m=playerinfo&amp;p_no=15488" xr:uid="{5F817A50-BCF6-4F2C-A079-2FF2172FFB8A}"/>
    <hyperlink ref="J49" r:id="rId12189" display="https://statiz.sporki.com/player/?m=playerinfo&amp;p_no=15501" xr:uid="{BC795E07-46CD-4E08-B589-9EADE2CA4F0A}"/>
    <hyperlink ref="J50" r:id="rId12190" display="https://statiz.sporki.com/player/?m=playerinfo&amp;p_no=15512" xr:uid="{2F6FB13B-192F-4017-A297-F9F5E244691D}"/>
    <hyperlink ref="J51" r:id="rId12191" display="https://statiz.sporki.com/player/?m=playerinfo&amp;p_no=15489" xr:uid="{13C64376-CA4A-418C-A08F-6177A588FCD2}"/>
    <hyperlink ref="J52" r:id="rId12192" display="https://statiz.sporki.com/player/?m=playerinfo&amp;p_no=15426" xr:uid="{195DFB1B-3C45-4325-8158-B1583642B0AE}"/>
    <hyperlink ref="J53" r:id="rId12193" display="https://statiz.sporki.com/player/?m=playerinfo&amp;p_no=15436" xr:uid="{F0D09F45-6C64-4A17-850B-2CF7D67144D5}"/>
    <hyperlink ref="J54" r:id="rId12194" display="https://statiz.sporki.com/player/?m=playerinfo&amp;p_no=15444" xr:uid="{E0FF4229-CE25-4F35-9C3E-4C95B3A9F4F3}"/>
    <hyperlink ref="J55" r:id="rId12195" display="https://statiz.sporki.com/player/?m=playerinfo&amp;p_no=15455" xr:uid="{E32E638D-9E11-4E8F-B600-7EB16969F0C8}"/>
    <hyperlink ref="J56" r:id="rId12196" display="https://statiz.sporki.com/player/?m=playerinfo&amp;p_no=15466" xr:uid="{A46811CF-8506-4D1B-9ED7-27500AB0143D}"/>
    <hyperlink ref="J57" r:id="rId12197" display="https://statiz.sporki.com/player/?m=playerinfo&amp;p_no=15478" xr:uid="{E8532110-5D8C-4AB1-BA2B-84B6ADAB8FAE}"/>
    <hyperlink ref="J58" r:id="rId12198" display="https://statiz.sporki.com/player/?m=playerinfo&amp;p_no=15490" xr:uid="{1FB181D7-7716-4455-80A0-4A5FAAE88968}"/>
    <hyperlink ref="J59" r:id="rId12199" display="https://statiz.sporki.com/player/?m=playerinfo&amp;p_no=15502" xr:uid="{A87B3E2D-1EDC-46AE-A8D5-72B6D5B4FDB0}"/>
    <hyperlink ref="J60" r:id="rId12200" display="https://statiz.sporki.com/player/?m=playerinfo&amp;p_no=15513" xr:uid="{407EBB57-24E0-4619-989D-49AD16EB8D50}"/>
    <hyperlink ref="J61" r:id="rId12201" display="https://statiz.sporki.com/player/?m=playerinfo&amp;p_no=15522" xr:uid="{3A0E7AB0-7546-4C75-B57D-9A5E32F833A1}"/>
    <hyperlink ref="J62" r:id="rId12202" display="https://statiz.sporki.com/player/?m=playerinfo&amp;p_no=15427" xr:uid="{08B0DD2E-1C78-4A23-B6C6-081998396F63}"/>
    <hyperlink ref="J63" r:id="rId12203" display="https://statiz.sporki.com/player/?m=playerinfo&amp;p_no=15437" xr:uid="{BAF81040-E778-458D-BDDD-654B24C872B9}"/>
    <hyperlink ref="J64" r:id="rId12204" display="https://statiz.sporki.com/player/?m=playerinfo&amp;p_no=15445" xr:uid="{3E2BED54-A269-4BB9-A2A3-38BB7C3F2BDF}"/>
    <hyperlink ref="J65" r:id="rId12205" display="https://statiz.sporki.com/player/?m=playerinfo&amp;p_no=15456" xr:uid="{C524CC6D-3DD4-4367-9B2A-9AFDA71439FD}"/>
    <hyperlink ref="J66" r:id="rId12206" display="https://statiz.sporki.com/player/?m=playerinfo&amp;p_no=15467" xr:uid="{15117DE3-1059-4B2B-A248-D57BCB54AF6E}"/>
    <hyperlink ref="J67" r:id="rId12207" display="https://statiz.sporki.com/player/?m=playerinfo&amp;p_no=15479" xr:uid="{30EF28E7-387D-4077-86BD-45387C0477FF}"/>
    <hyperlink ref="J68" r:id="rId12208" display="https://statiz.sporki.com/player/?m=playerinfo&amp;p_no=15491" xr:uid="{22395FC4-29B7-4955-93B8-682148730F4D}"/>
    <hyperlink ref="J69" r:id="rId12209" display="https://statiz.sporki.com/player/?m=playerinfo&amp;p_no=15503" xr:uid="{6E3CDC8B-4565-4FE4-A322-F1C14C9085CC}"/>
    <hyperlink ref="J70" r:id="rId12210" display="https://statiz.sporki.com/player/?m=playerinfo&amp;p_no=15514" xr:uid="{C369087A-783F-4C6D-8680-E76EA2AE307D}"/>
    <hyperlink ref="J71" r:id="rId12211" display="https://statiz.sporki.com/player/?m=playerinfo&amp;p_no=15523" xr:uid="{692A1C9E-5359-4D6D-90C4-A99E19BD259B}"/>
    <hyperlink ref="J72" r:id="rId12212" display="https://statiz.sporki.com/player/?m=playerinfo&amp;p_no=15428" xr:uid="{DDB989C0-C403-4FD5-930B-E11FD1B3C947}"/>
    <hyperlink ref="J73" r:id="rId12213" display="https://statiz.sporki.com/player/?m=playerinfo&amp;p_no=15438" xr:uid="{77529FDF-05D2-495C-8DC7-653738D6C121}"/>
    <hyperlink ref="J74" r:id="rId12214" display="https://statiz.sporki.com/player/?m=playerinfo&amp;p_no=15446" xr:uid="{D99F587E-A591-425B-A4B0-F1CFB4A94724}"/>
    <hyperlink ref="J75" r:id="rId12215" display="https://statiz.sporki.com/player/?m=playerinfo&amp;p_no=15457" xr:uid="{03A9C1F1-2FA7-4C7D-B134-22FA2E4D3FB0}"/>
    <hyperlink ref="J76" r:id="rId12216" display="https://statiz.sporki.com/player/?m=playerinfo&amp;p_no=15468" xr:uid="{BCE89EFA-8F6F-4E75-B84B-672D6C02FA53}"/>
    <hyperlink ref="J77" r:id="rId12217" display="https://statiz.sporki.com/player/?m=playerinfo&amp;p_no=15480" xr:uid="{69EC7DCD-762E-4BD0-8BCE-E2D2B6B6501B}"/>
    <hyperlink ref="J78" r:id="rId12218" display="https://statiz.sporki.com/player/?m=playerinfo&amp;p_no=15492" xr:uid="{8E60F453-CCEA-42C6-AD0B-C3CC5B4D8678}"/>
    <hyperlink ref="J79" r:id="rId12219" display="https://statiz.sporki.com/player/?m=playerinfo&amp;p_no=15504" xr:uid="{FD455573-4BB4-4342-9885-3644506EFF98}"/>
    <hyperlink ref="J80" r:id="rId12220" display="https://statiz.sporki.com/player/?m=playerinfo&amp;p_no=15515" xr:uid="{DD0FD60B-F4A5-4D00-A50E-73E0BD436E73}"/>
    <hyperlink ref="J81" r:id="rId12221" display="https://statiz.sporki.com/player/?m=playerinfo&amp;p_no=15524" xr:uid="{2D0EDA2E-12B4-4695-9EC8-C5CC5BF75644}"/>
    <hyperlink ref="J82" r:id="rId12222" display="https://statiz.sporki.com/player/?m=playerinfo&amp;p_no=15429" xr:uid="{E1F9D014-0A8D-4F7E-A72A-5796ED0AC99B}"/>
    <hyperlink ref="J83" r:id="rId12223" display="https://statiz.sporki.com/player/?m=playerinfo&amp;p_no=15439" xr:uid="{ED17B222-7D74-49E6-9D81-D01F42516731}"/>
    <hyperlink ref="J84" r:id="rId12224" display="https://statiz.sporki.com/player/?m=playerinfo&amp;p_no=15447" xr:uid="{82FB2B77-DB2F-4BD6-9107-E9143C8FECEE}"/>
    <hyperlink ref="J85" r:id="rId12225" display="https://statiz.sporki.com/player/?m=playerinfo&amp;p_no=15458" xr:uid="{25B41527-A03A-4699-91FE-537A07CF4E8A}"/>
    <hyperlink ref="J86" r:id="rId12226" display="https://statiz.sporki.com/player/?m=playerinfo&amp;p_no=15469" xr:uid="{A57B95A7-2EB1-44CE-ABAA-BB6B608FFB49}"/>
    <hyperlink ref="J87" r:id="rId12227" display="https://statiz.sporki.com/player/?m=playerinfo&amp;p_no=15481" xr:uid="{D157D179-E242-42FD-B665-8073468F53EB}"/>
    <hyperlink ref="J88" r:id="rId12228" display="https://statiz.sporki.com/player/?m=playerinfo&amp;p_no=15493" xr:uid="{93AA219C-D1D0-4B6C-84AD-F488C80FAE7D}"/>
    <hyperlink ref="J89" r:id="rId12229" display="https://statiz.sporki.com/player/?m=playerinfo&amp;p_no=15505" xr:uid="{37788829-5F7A-4D74-825E-4808719034DA}"/>
    <hyperlink ref="J90" r:id="rId12230" display="https://statiz.sporki.com/player/?m=playerinfo&amp;p_no=15516" xr:uid="{CA91AB10-300A-4E42-BCED-8C180B5F0DCA}"/>
    <hyperlink ref="J91" r:id="rId12231" display="https://statiz.sporki.com/player/?m=playerinfo&amp;p_no=15525" xr:uid="{3039ABCB-A599-435C-A7F5-F0FC69A3BDC3}"/>
    <hyperlink ref="J92" r:id="rId12232" display="https://statiz.sporki.com/player/?m=playerinfo&amp;p_no=15430" xr:uid="{154778AA-437B-4B34-88B1-5C4E4C60BECF}"/>
    <hyperlink ref="J93" r:id="rId12233" display="https://statiz.sporki.com/player/?m=playerinfo&amp;p_no=15440" xr:uid="{5D8C607A-A4BB-423A-B030-84AD65B15EA9}"/>
    <hyperlink ref="J94" r:id="rId12234" display="https://statiz.sporki.com/player/?m=playerinfo&amp;p_no=15448" xr:uid="{FB886D53-87D4-424E-876B-65E30BE6A846}"/>
    <hyperlink ref="J95" r:id="rId12235" display="https://statiz.sporki.com/player/?m=playerinfo&amp;p_no=15459" xr:uid="{A7D3E56C-5F66-4044-97DC-315BFD3E5050}"/>
    <hyperlink ref="J96" r:id="rId12236" display="https://statiz.sporki.com/player/?m=playerinfo&amp;p_no=15470" xr:uid="{01EF9B95-ED59-4565-B06B-BB66F2499FAF}"/>
    <hyperlink ref="J97" r:id="rId12237" display="https://statiz.sporki.com/player/?m=playerinfo&amp;p_no=15482" xr:uid="{69753025-BB8F-4D84-8CCF-35CAFC316263}"/>
    <hyperlink ref="J98" r:id="rId12238" display="https://statiz.sporki.com/player/?m=playerinfo&amp;p_no=15494" xr:uid="{CBB7BE12-CFA7-4CEA-AAAA-8E62612C9BA3}"/>
    <hyperlink ref="J99" r:id="rId12239" display="https://statiz.sporki.com/player/?m=playerinfo&amp;p_no=15506" xr:uid="{7C78E7F4-1318-4066-850B-D43FB3032512}"/>
    <hyperlink ref="J100" r:id="rId12240" display="https://statiz.sporki.com/player/?m=playerinfo&amp;p_no=15526" xr:uid="{DBE724F2-9EA1-4F83-BAE0-14959EE214D3}"/>
    <hyperlink ref="J101" r:id="rId12241" display="https://statiz.sporki.com/player/?m=playerinfo&amp;p_no=15431" xr:uid="{DF0F51C5-EFAA-484B-8451-832E64AE65E5}"/>
    <hyperlink ref="J102" r:id="rId12242" display="https://statiz.sporki.com/player/?m=playerinfo&amp;p_no=15449" xr:uid="{E5884717-EFEA-429A-9DC8-E459826C5AFE}"/>
    <hyperlink ref="J103" r:id="rId12243" display="https://statiz.sporki.com/player/?m=playerinfo&amp;p_no=15460" xr:uid="{9BD8C9DF-912D-492B-BA1A-1DE1B2165742}"/>
    <hyperlink ref="J104" r:id="rId12244" display="https://statiz.sporki.com/player/?m=playerinfo&amp;p_no=15471" xr:uid="{172CFCF5-AC72-4E00-BF0F-7DAF444ABF6A}"/>
    <hyperlink ref="J105" r:id="rId12245" display="https://statiz.sporki.com/player/?m=playerinfo&amp;p_no=15483" xr:uid="{07EC7E1C-CE4F-435C-B6CB-FB1FA629F247}"/>
    <hyperlink ref="J106" r:id="rId12246" display="https://statiz.sporki.com/player/?m=playerinfo&amp;p_no=15495" xr:uid="{CD983347-B503-4B49-9F52-3C498B524E44}"/>
    <hyperlink ref="J107" r:id="rId12247" display="https://statiz.sporki.com/player/?m=playerinfo&amp;p_no=15507" xr:uid="{E00E925E-A401-473C-814A-F56609DFCCF4}"/>
    <hyperlink ref="J108" r:id="rId12248" display="https://statiz.sporki.com/player/?m=playerinfo&amp;p_no=15517" xr:uid="{850BEDE0-9DE8-4A20-8D6C-25DED6161371}"/>
    <hyperlink ref="J109" r:id="rId12249" display="https://statiz.sporki.com/player/?m=playerinfo&amp;p_no=15527" xr:uid="{22D3598E-06F3-4C41-8890-8734635E822E}"/>
    <hyperlink ref="J110" r:id="rId12250" display="https://statiz.sporki.com/player/?m=playerinfo&amp;p_no=15648" xr:uid="{5C837257-CB90-41E2-8ACC-35C1A51985C6}"/>
    <hyperlink ref="J111" r:id="rId12251" display="https://statiz.sporki.com/player/?m=playerinfo&amp;p_no=15533" xr:uid="{ABCEF21A-5715-4A92-87E3-F17BA7CE1D9F}"/>
    <hyperlink ref="J112" r:id="rId12252" display="https://statiz.sporki.com/player/?m=playerinfo&amp;p_no=15534" xr:uid="{A30FECA2-DCBE-475A-9B2B-C3F33F8BA030}"/>
    <hyperlink ref="J113" r:id="rId12253" display="https://statiz.sporki.com/player/?m=playerinfo&amp;p_no=15542" xr:uid="{9925791F-0011-4529-9944-A2504F9B930E}"/>
    <hyperlink ref="J114" r:id="rId12254" display="https://statiz.sporki.com/player/?m=playerinfo&amp;p_no=15532" xr:uid="{F1FFC63E-A122-4F07-AA34-AD6568A5F792}"/>
    <hyperlink ref="J115" r:id="rId12255" display="https://statiz.sporki.com/player/?m=playerinfo&amp;p_no=15653" xr:uid="{57B6853E-9E5B-4818-8937-7AD681A4A445}"/>
    <hyperlink ref="J116" r:id="rId12256" display="https://statiz.sporki.com/player/?m=playerinfo&amp;p_no=15537" xr:uid="{01A4125E-D1C2-4985-835F-73059D1F63DB}"/>
    <hyperlink ref="J117" r:id="rId12257" display="https://statiz.sporki.com/player/?m=playerinfo&amp;p_no=15535" xr:uid="{44910967-8A7C-463B-B76B-42D8BF56F374}"/>
    <hyperlink ref="J118" r:id="rId12258" display="https://statiz.sporki.com/player/?m=playerinfo&amp;p_no=15536" xr:uid="{D694D7BA-2859-43BF-919A-5F58A3C85F36}"/>
    <hyperlink ref="J119" r:id="rId12259" display="https://statiz.sporki.com/player/?m=playerinfo&amp;p_no=15644" xr:uid="{64326BC1-AD04-4AF9-9ECB-9F9570CDCA1F}"/>
    <hyperlink ref="J120" r:id="rId12260" display="https://statiz.sporki.com/player/?m=playerinfo&amp;p_no=15529" xr:uid="{3E4BCECA-16F8-437A-A72A-0FFB3660BE62}"/>
    <hyperlink ref="J121" r:id="rId12261" display="https://statiz.sporki.com/player/?m=playerinfo&amp;p_no=15530" xr:uid="{9F3B9A70-2475-4870-8A22-F19FF33A6992}"/>
    <hyperlink ref="J122" r:id="rId12262" display="https://statiz.sporki.com/player/?m=playerinfo&amp;p_no=15528" xr:uid="{158670BE-EFF9-499B-AB11-04A62AC84AF9}"/>
    <hyperlink ref="J123" r:id="rId12263" display="https://statiz.sporki.com/player/?m=playerinfo&amp;p_no=15539" xr:uid="{07ADCB1B-9F30-466E-B68B-8FDB5AFE1B9E}"/>
    <hyperlink ref="J124" r:id="rId12264" display="https://statiz.sporki.com/player/?m=playerinfo&amp;p_no=15538" xr:uid="{BB6A83F9-8D06-4D47-87A0-B9CBBCFA5219}"/>
    <hyperlink ref="J125" r:id="rId12265" display="https://statiz.sporki.com/player/?m=playerinfo&amp;p_no=12295" xr:uid="{08BB7590-024A-45F5-B599-B72584FEFC01}"/>
    <hyperlink ref="J126" r:id="rId12266" display="https://statiz.sporki.com/player/?m=playerinfo&amp;p_no=15651" xr:uid="{9BF33C83-B209-4CF3-8FFC-0070A163A89E}"/>
    <hyperlink ref="J127" r:id="rId12267" display="https://statiz.sporki.com/player/?m=playerinfo&amp;p_no=15646" xr:uid="{A3E84B4A-7E73-4911-BA74-142B1A72DCB0}"/>
    <hyperlink ref="J128" r:id="rId12268" display="https://statiz.sporki.com/player/?m=playerinfo&amp;p_no=15652" xr:uid="{11EB2F4E-78AB-4998-A21F-7234FE237ABA}"/>
    <hyperlink ref="J129" r:id="rId12269" display="https://statiz.sporki.com/player/?m=playerinfo&amp;p_no=15531" xr:uid="{B7C22E58-5459-4CB5-861C-B29FBF052140}"/>
    <hyperlink ref="J130" r:id="rId12270" display="https://statiz.sporki.com/player/?m=playerinfo&amp;p_no=15647" xr:uid="{5F18752B-72B4-4B5F-865B-D0DA1AF0F397}"/>
    <hyperlink ref="J131" r:id="rId12271" display="https://statiz.sporki.com/player/?m=playerinfo&amp;p_no=15540" xr:uid="{EDE8CF26-FE5C-4EC8-A811-ADF100A10E99}"/>
    <hyperlink ref="J132" r:id="rId12272" display="https://statiz.sporki.com/player/?m=playerinfo&amp;p_no=15643" xr:uid="{751B2936-A2DD-4AC3-8CFC-5C9B6082F8B2}"/>
    <hyperlink ref="J133" r:id="rId12273" display="https://statiz.sporki.com/player/?m=playerinfo&amp;p_no=15541" xr:uid="{1898B6F3-798C-49E7-8302-DC84A3B4B34E}"/>
    <hyperlink ref="J134" r:id="rId12274" display="https://statiz.sporki.com/player/?m=playerinfo&amp;p_no=15642" xr:uid="{0D6387C5-AA1B-4C98-8FAD-9697B6E644AB}"/>
    <hyperlink ref="J135" r:id="rId12275" display="https://statiz.sporki.com/player/?m=playerinfo&amp;p_no=15641" xr:uid="{C7EE4A78-0EE3-4A83-A171-9D962BB321AC}"/>
    <hyperlink ref="J136" r:id="rId12276" display="https://statiz.sporki.com/player/?m=playerinfo&amp;p_no=15737" xr:uid="{05141ED7-22A5-4D2B-88BE-89A10E87DD2A}"/>
    <hyperlink ref="J137" r:id="rId12277" display="https://statiz.sporki.com/player/?m=playerinfo&amp;p_no=15620" xr:uid="{D35DEE3E-1DA0-41C1-9870-51DC2385FC04}"/>
    <hyperlink ref="J138" r:id="rId12278" display="https://statiz.sporki.com/player/?m=playerinfo&amp;p_no=15619" xr:uid="{9C5A7E54-7E5F-41B7-BC20-ACA423E10B81}"/>
    <hyperlink ref="J139" r:id="rId12279" display="https://statiz.sporki.com/player/?m=playerinfo&amp;p_no=16144" xr:uid="{FE87B1FB-C717-425B-8D2D-154A4A4B9320}"/>
    <hyperlink ref="J140" r:id="rId12280" display="https://statiz.sporki.com/player/?m=playerinfo&amp;p_no=15617" xr:uid="{E9E1D69F-8F90-42A8-A3CC-9EF472030CA8}"/>
    <hyperlink ref="J141" r:id="rId12281" display="https://statiz.sporki.com/player/?m=playerinfo&amp;p_no=15618" xr:uid="{AD70E237-8DD6-4A73-8F6F-95863AECA74B}"/>
    <hyperlink ref="J142" r:id="rId12282" display="https://statiz.sporki.com/player/?m=playerinfo&amp;p_no=15616" xr:uid="{7CC5F57E-892D-4E04-8F4E-2322A94F69F3}"/>
    <hyperlink ref="J143" r:id="rId12283" display="https://statiz.sporki.com/player/?m=playerinfo&amp;p_no=16012" xr:uid="{66D16E08-7D30-4EAB-81C5-10F4066D8DFE}"/>
    <hyperlink ref="J144" r:id="rId12284" display="https://statiz.sporki.com/player/?m=playerinfo&amp;p_no=15621" xr:uid="{E13914C3-3237-4906-9B44-59BDFD8E4913}"/>
    <hyperlink ref="J145" r:id="rId12285" display="https://statiz.sporki.com/player/?m=playerinfo&amp;p_no=15622" xr:uid="{8C435355-01E3-42A5-8381-86A5021B66F2}"/>
    <hyperlink ref="J146" r:id="rId12286" display="https://statiz.sporki.com/player/?m=playerinfo&amp;p_no=15615" xr:uid="{FE9E7DF5-8BBC-4BB4-A996-C3BE58509D4E}"/>
    <hyperlink ref="J147" r:id="rId12287" display="https://statiz.sporki.com/player/?m=playerinfo&amp;p_no=15613" xr:uid="{BEA50ACD-C55C-4362-BC86-26C455C6FEF7}"/>
    <hyperlink ref="J148" r:id="rId12288" display="https://statiz.sporki.com/player/?m=playerinfo&amp;p_no=15611" xr:uid="{6B46FFC2-BFE3-4609-BC9E-B7CC8BBA5586}"/>
    <hyperlink ref="J149" r:id="rId12289" display="https://statiz.sporki.com/player/?m=playerinfo&amp;p_no=15625" xr:uid="{BC0B4410-3EE2-4E35-B8F1-66D93A12CADF}"/>
    <hyperlink ref="J150" r:id="rId12290" display="https://statiz.sporki.com/player/?m=playerinfo&amp;p_no=15627" xr:uid="{FC915411-DE9D-466E-8FCE-FCDEBCA15BC8}"/>
    <hyperlink ref="J151" r:id="rId12291" display="https://statiz.sporki.com/player/?m=playerinfo&amp;p_no=15624" xr:uid="{93F5E59B-027A-4AD8-889F-9679E7985113}"/>
    <hyperlink ref="J152" r:id="rId12292" display="https://statiz.sporki.com/player/?m=playerinfo&amp;p_no=15623" xr:uid="{5534D264-88F0-48F0-A649-5287770162C1}"/>
    <hyperlink ref="J153" r:id="rId12293" display="https://statiz.sporki.com/player/?m=playerinfo&amp;p_no=15626" xr:uid="{604E3E56-CFBB-4A3D-B619-EF9C2F8788BF}"/>
    <hyperlink ref="J154" r:id="rId12294" display="https://statiz.sporki.com/player/?m=playerinfo&amp;p_no=16011" xr:uid="{8EF915E0-8594-4FCC-9490-74720FE9459A}"/>
    <hyperlink ref="J155" r:id="rId12295" display="https://statiz.sporki.com/player/?m=playerinfo&amp;p_no=15632" xr:uid="{5B8EBB96-794F-4A88-A309-32B0259054DA}"/>
    <hyperlink ref="J156" r:id="rId12296" display="https://statiz.sporki.com/player/?m=playerinfo&amp;p_no=15629" xr:uid="{3B9E0496-8148-4D57-9EE4-2FDF5D809042}"/>
    <hyperlink ref="J157" r:id="rId12297" display="https://statiz.sporki.com/player/?m=playerinfo&amp;p_no=15630" xr:uid="{78D58483-CFB9-4A7F-A79C-631D1CB54676}"/>
    <hyperlink ref="J158" r:id="rId12298" display="https://statiz.sporki.com/player/?m=playerinfo&amp;p_no=15631" xr:uid="{B79422C5-5BAA-43DD-AAB0-CEE39E751EB1}"/>
    <hyperlink ref="J159" r:id="rId12299" display="https://statiz.sporki.com/player/?m=playerinfo&amp;p_no=15628" xr:uid="{1B4CAE54-608A-44E6-B5F0-E621B2A3B781}"/>
    <hyperlink ref="J160" r:id="rId12300" display="https://statiz.sporki.com/player/?m=playerinfo&amp;p_no=15056" xr:uid="{36890401-EFBE-430C-8E79-CDA31890BFA6}"/>
    <hyperlink ref="J161" r:id="rId12301" display="https://statiz.sporki.com/player/?m=playerinfo&amp;p_no=15089" xr:uid="{4B5997C8-03DA-4B45-ABA2-863D02EBAD40}"/>
    <hyperlink ref="J162" r:id="rId12302" display="https://statiz.sporki.com/player/?m=playerinfo&amp;p_no=15078" xr:uid="{1E3BCF4A-31DA-49D0-BFF3-BF82408B611D}"/>
    <hyperlink ref="J163" r:id="rId12303" display="https://statiz.sporki.com/player/?m=playerinfo&amp;p_no=15110" xr:uid="{1770CE86-0A6E-4674-96CC-37432260BDF9}"/>
    <hyperlink ref="J164" r:id="rId12304" display="https://statiz.sporki.com/player/?m=playerinfo&amp;p_no=15023" xr:uid="{0900051C-DBC5-4394-AE2B-707974072AC5}"/>
    <hyperlink ref="J165" r:id="rId12305" display="https://statiz.sporki.com/player/?m=playerinfo&amp;p_no=15099" xr:uid="{B65DAC98-6D73-4E05-BD21-0386248ED601}"/>
    <hyperlink ref="J166" r:id="rId12306" display="https://statiz.sporki.com/player/?m=playerinfo&amp;p_no=15045" xr:uid="{3BFD9C94-44C9-48F5-931C-76381B5E979F}"/>
    <hyperlink ref="J167" r:id="rId12307" display="https://statiz.sporki.com/player/?m=playerinfo&amp;p_no=15034" xr:uid="{D50309CA-C6CD-4641-AB99-A181E347FEAF}"/>
    <hyperlink ref="J168" r:id="rId12308" display="https://statiz.sporki.com/player/?m=playerinfo&amp;p_no=15067" xr:uid="{2582FE5A-03C6-4AC5-B228-B8AD1D510B23}"/>
    <hyperlink ref="J169" r:id="rId12309" display="https://statiz.sporki.com/player/?m=playerinfo&amp;p_no=15013" xr:uid="{5B35342B-02E3-4287-A051-389D99125055}"/>
    <hyperlink ref="J170" r:id="rId12310" display="https://statiz.sporki.com/player/?m=playerinfo&amp;p_no=15057" xr:uid="{FCB3CF0B-4194-4572-9668-786BA1B6B22D}"/>
    <hyperlink ref="J171" r:id="rId12311" display="https://statiz.sporki.com/player/?m=playerinfo&amp;p_no=15090" xr:uid="{D85FA260-0B18-4516-8E9C-DD5D4F20594C}"/>
    <hyperlink ref="J172" r:id="rId12312" display="https://statiz.sporki.com/player/?m=playerinfo&amp;p_no=15079" xr:uid="{04AA3241-1EE0-4E8F-8C7B-6BE95AE2C396}"/>
    <hyperlink ref="J173" r:id="rId12313" display="https://statiz.sporki.com/player/?m=playerinfo&amp;p_no=15111" xr:uid="{821A9607-FAE6-42DE-9C15-C3926460337D}"/>
    <hyperlink ref="J174" r:id="rId12314" display="https://statiz.sporki.com/player/?m=playerinfo&amp;p_no=15024" xr:uid="{F728A861-1884-4837-BB85-8FF46E25AA92}"/>
    <hyperlink ref="J175" r:id="rId12315" display="https://statiz.sporki.com/player/?m=playerinfo&amp;p_no=15100" xr:uid="{91B8E725-F954-43A7-ABA9-7694BBA41C88}"/>
    <hyperlink ref="J176" r:id="rId12316" display="https://statiz.sporki.com/player/?m=playerinfo&amp;p_no=15046" xr:uid="{86624524-1447-420E-8716-3A05E1D1BFC1}"/>
    <hyperlink ref="J177" r:id="rId12317" display="https://statiz.sporki.com/player/?m=playerinfo&amp;p_no=15035" xr:uid="{9B005813-36AC-4D54-A75E-A6711E391338}"/>
    <hyperlink ref="J178" r:id="rId12318" display="https://statiz.sporki.com/player/?m=playerinfo&amp;p_no=15068" xr:uid="{52B1FD0F-5AB7-4D0E-8C12-831032C7E824}"/>
    <hyperlink ref="J179" r:id="rId12319" display="https://statiz.sporki.com/player/?m=playerinfo&amp;p_no=15014" xr:uid="{96C8FEF9-E208-402E-8316-845FCC29B5FB}"/>
    <hyperlink ref="J180" r:id="rId12320" display="https://statiz.sporki.com/player/?m=playerinfo&amp;p_no=15058" xr:uid="{894485CF-6F34-43FF-8C90-3D076E45DC08}"/>
    <hyperlink ref="J181" r:id="rId12321" display="https://statiz.sporki.com/player/?m=playerinfo&amp;p_no=15091" xr:uid="{BAE01381-4078-48A2-9831-840F8F2FA77B}"/>
    <hyperlink ref="J182" r:id="rId12322" display="https://statiz.sporki.com/player/?m=playerinfo&amp;p_no=15080" xr:uid="{6ED7040B-7621-4846-9FF3-A2DDACD7348E}"/>
    <hyperlink ref="J183" r:id="rId12323" display="https://statiz.sporki.com/player/?m=playerinfo&amp;p_no=15112" xr:uid="{82476EC4-5D65-4D52-853C-9F0121E1AB1C}"/>
    <hyperlink ref="J184" r:id="rId12324" display="https://statiz.sporki.com/player/?m=playerinfo&amp;p_no=15025" xr:uid="{F2DD3452-2B0C-49B3-A9E1-BFCCF1D12F15}"/>
    <hyperlink ref="J185" r:id="rId12325" display="https://statiz.sporki.com/player/?m=playerinfo&amp;p_no=15101" xr:uid="{E5DB0B57-0922-4076-B02E-8D7C00D01DBE}"/>
    <hyperlink ref="J186" r:id="rId12326" display="https://statiz.sporki.com/player/?m=playerinfo&amp;p_no=15047" xr:uid="{4DCF8D9E-29DA-41AD-AF3E-2FF7B6A3D8BE}"/>
    <hyperlink ref="J187" r:id="rId12327" display="https://statiz.sporki.com/player/?m=playerinfo&amp;p_no=15036" xr:uid="{58ADAE00-3F7A-41B9-AF0F-DE9E82DE8966}"/>
    <hyperlink ref="J188" r:id="rId12328" display="https://statiz.sporki.com/player/?m=playerinfo&amp;p_no=15069" xr:uid="{FF646861-2FB6-4777-867C-A2169F4D41B9}"/>
    <hyperlink ref="J189" r:id="rId12329" display="https://statiz.sporki.com/player/?m=playerinfo&amp;p_no=15015" xr:uid="{5B77CC60-4FA2-4DDE-B2D5-CDDD90D895C3}"/>
    <hyperlink ref="J190" r:id="rId12330" display="https://statiz.sporki.com/player/?m=playerinfo&amp;p_no=15059" xr:uid="{2B8EA946-7E43-4483-BD60-620B6FC6BE26}"/>
    <hyperlink ref="J191" r:id="rId12331" display="https://statiz.sporki.com/player/?m=playerinfo&amp;p_no=15081" xr:uid="{BE16939F-065F-45B5-8FCA-EBE82E81739C}"/>
    <hyperlink ref="J192" r:id="rId12332" display="https://statiz.sporki.com/player/?m=playerinfo&amp;p_no=15113" xr:uid="{84C9ACE8-7BF2-40D5-96DB-9BCB1A2B89BD}"/>
    <hyperlink ref="J193" r:id="rId12333" display="https://statiz.sporki.com/player/?m=playerinfo&amp;p_no=15026" xr:uid="{588E234F-54D8-4FE0-AAFB-9CCE5EA6BF6C}"/>
    <hyperlink ref="J194" r:id="rId12334" display="https://statiz.sporki.com/player/?m=playerinfo&amp;p_no=15102" xr:uid="{6E61FF2E-C381-4BE1-8A92-6766A63D9E6C}"/>
    <hyperlink ref="J195" r:id="rId12335" display="https://statiz.sporki.com/player/?m=playerinfo&amp;p_no=15048" xr:uid="{D1DC4ACB-876F-4FDD-ACB8-8E2ED18F54A8}"/>
    <hyperlink ref="J196" r:id="rId12336" display="https://statiz.sporki.com/player/?m=playerinfo&amp;p_no=15049" xr:uid="{4E5D20DF-3855-41E7-9529-EFDCCF7CAE33}"/>
    <hyperlink ref="J197" r:id="rId12337" display="https://statiz.sporki.com/player/?m=playerinfo&amp;p_no=15037" xr:uid="{AA9EE732-2F96-4A4E-A229-0E0369580492}"/>
    <hyperlink ref="J198" r:id="rId12338" display="https://statiz.sporki.com/player/?m=playerinfo&amp;p_no=15070" xr:uid="{1D917F49-308D-49CA-A229-56F328975A96}"/>
    <hyperlink ref="J199" r:id="rId12339" display="https://statiz.sporki.com/player/?m=playerinfo&amp;p_no=15016" xr:uid="{82DDD80A-C181-4D65-B202-9E73507F8BF8}"/>
    <hyperlink ref="J200" r:id="rId12340" display="https://statiz.sporki.com/player/?m=playerinfo&amp;p_no=15060" xr:uid="{CCFBAE7B-DD18-4DFE-B8E2-4809D4D1A833}"/>
    <hyperlink ref="J201" r:id="rId12341" display="https://statiz.sporki.com/player/?m=playerinfo&amp;p_no=15092" xr:uid="{B8399028-3832-4DA6-97DF-D9991FD1EFAA}"/>
    <hyperlink ref="J202" r:id="rId12342" display="https://statiz.sporki.com/player/?m=playerinfo&amp;p_no=15082" xr:uid="{332154A6-3912-4F1A-92DB-E12E65AA5D2F}"/>
    <hyperlink ref="J203" r:id="rId12343" display="https://statiz.sporki.com/player/?m=playerinfo&amp;p_no=15055" xr:uid="{81BAF121-59F6-4744-9E56-6F9D86F41367}"/>
    <hyperlink ref="J204" r:id="rId12344" display="https://statiz.sporki.com/player/?m=playerinfo&amp;p_no=15114" xr:uid="{9E7C40EE-ABC0-4FCB-944B-01919F75B325}"/>
    <hyperlink ref="J205" r:id="rId12345" display="https://statiz.sporki.com/player/?m=playerinfo&amp;p_no=15103" xr:uid="{930CBD61-1543-42FA-A18F-3648B2E0DF9A}"/>
    <hyperlink ref="J206" r:id="rId12346" display="https://statiz.sporki.com/player/?m=playerinfo&amp;p_no=15038" xr:uid="{BEB91B11-910F-4C3D-9F58-B6B3BE8C8F67}"/>
    <hyperlink ref="J207" r:id="rId12347" display="https://statiz.sporki.com/player/?m=playerinfo&amp;p_no=15027" xr:uid="{CFD1A339-9C70-448A-BD1C-7069E6099C7E}"/>
    <hyperlink ref="J208" r:id="rId12348" display="https://statiz.sporki.com/player/?m=playerinfo&amp;p_no=15071" xr:uid="{22D38207-41F9-485E-A044-26358EBEA2C9}"/>
    <hyperlink ref="J209" r:id="rId12349" display="https://statiz.sporki.com/player/?m=playerinfo&amp;p_no=15017" xr:uid="{D99C4521-CD74-4445-B40D-4526A40788F6}"/>
    <hyperlink ref="J210" r:id="rId12350" display="https://statiz.sporki.com/player/?m=playerinfo&amp;p_no=15061" xr:uid="{CD1BF0C3-0A47-4CC9-92E9-F997431B3C30}"/>
    <hyperlink ref="J211" r:id="rId12351" display="https://statiz.sporki.com/player/?m=playerinfo&amp;p_no=15093" xr:uid="{1B207601-D7D6-4E45-838A-5D751FFADD68}"/>
    <hyperlink ref="J212" r:id="rId12352" display="https://statiz.sporki.com/player/?m=playerinfo&amp;p_no=15083" xr:uid="{315400BE-0534-4DC2-9BAE-7E372EAE7212}"/>
    <hyperlink ref="J213" r:id="rId12353" display="https://statiz.sporki.com/player/?m=playerinfo&amp;p_no=15115" xr:uid="{07C3ED1D-2F44-4E9B-AAAB-E893C6BFE6AF}"/>
    <hyperlink ref="J214" r:id="rId12354" display="https://statiz.sporki.com/player/?m=playerinfo&amp;p_no=15028" xr:uid="{5FA6A6A8-8D56-4717-B8B4-8D5CEB8372E5}"/>
    <hyperlink ref="J215" r:id="rId12355" display="https://statiz.sporki.com/player/?m=playerinfo&amp;p_no=15104" xr:uid="{1725E739-B2A7-424C-8994-5C09CE4F4F74}"/>
    <hyperlink ref="J216" r:id="rId12356" display="https://statiz.sporki.com/player/?m=playerinfo&amp;p_no=15050" xr:uid="{6FE87A2A-2B28-40FA-94CA-AD242C71E02E}"/>
    <hyperlink ref="J217" r:id="rId12357" display="https://statiz.sporki.com/player/?m=playerinfo&amp;p_no=15039" xr:uid="{ACB7E2D8-D086-491F-A01F-C0B24F096723}"/>
    <hyperlink ref="J218" r:id="rId12358" display="https://statiz.sporki.com/player/?m=playerinfo&amp;p_no=15072" xr:uid="{09ABE4B8-038B-4CB2-9147-47DA767C5656}"/>
    <hyperlink ref="J219" r:id="rId12359" display="https://statiz.sporki.com/player/?m=playerinfo&amp;p_no=13676" xr:uid="{678E5510-2867-46DA-90B3-BDFD1D6D8485}"/>
    <hyperlink ref="J220" r:id="rId12360" display="https://statiz.sporki.com/player/?m=playerinfo&amp;p_no=15062" xr:uid="{665F57C4-86F0-4539-86AE-306B63B521B3}"/>
    <hyperlink ref="J221" r:id="rId12361" display="https://statiz.sporki.com/player/?m=playerinfo&amp;p_no=15094" xr:uid="{8BEE633F-F2B1-4254-B42F-2B52A4E6E24F}"/>
    <hyperlink ref="J222" r:id="rId12362" display="https://statiz.sporki.com/player/?m=playerinfo&amp;p_no=15084" xr:uid="{74C76047-240B-4EF6-A3D9-C0F684762017}"/>
    <hyperlink ref="J223" r:id="rId12363" display="https://statiz.sporki.com/player/?m=playerinfo&amp;p_no=15116" xr:uid="{E2964929-C0EB-4731-875D-F033F186E5FD}"/>
    <hyperlink ref="J224" r:id="rId12364" display="https://statiz.sporki.com/player/?m=playerinfo&amp;p_no=15029" xr:uid="{29FDFA2B-6493-482C-B45A-35B5F00B1229}"/>
    <hyperlink ref="J225" r:id="rId12365" display="https://statiz.sporki.com/player/?m=playerinfo&amp;p_no=15105" xr:uid="{2C2BACCB-087C-4F2F-96E9-5689652AC093}"/>
    <hyperlink ref="J226" r:id="rId12366" display="https://statiz.sporki.com/player/?m=playerinfo&amp;p_no=15051" xr:uid="{EC897F74-B986-4009-BB05-DB4F404438F3}"/>
    <hyperlink ref="J227" r:id="rId12367" display="https://statiz.sporki.com/player/?m=playerinfo&amp;p_no=15040" xr:uid="{08E0C815-672D-4A81-B52C-709BE8206CCB}"/>
    <hyperlink ref="J228" r:id="rId12368" display="https://statiz.sporki.com/player/?m=playerinfo&amp;p_no=15073" xr:uid="{233BC051-DEA6-407D-9316-BDC4B1606DC5}"/>
    <hyperlink ref="J229" r:id="rId12369" display="https://statiz.sporki.com/player/?m=playerinfo&amp;p_no=15018" xr:uid="{61C08A7B-2376-4C09-BD82-D7B2CF994827}"/>
    <hyperlink ref="J230" r:id="rId12370" display="https://statiz.sporki.com/player/?m=playerinfo&amp;p_no=15063" xr:uid="{9F71CEA0-F145-46EE-95A2-B53073DE2A12}"/>
    <hyperlink ref="J231" r:id="rId12371" display="https://statiz.sporki.com/player/?m=playerinfo&amp;p_no=15095" xr:uid="{F030D1B8-1AA6-4674-8ECD-D3F1E2063ECC}"/>
    <hyperlink ref="J232" r:id="rId12372" display="https://statiz.sporki.com/player/?m=playerinfo&amp;p_no=15085" xr:uid="{DC889FC0-6D53-4818-BE71-093719DA5F36}"/>
    <hyperlink ref="J233" r:id="rId12373" display="https://statiz.sporki.com/player/?m=playerinfo&amp;p_no=15117" xr:uid="{26A6425D-58F1-4217-A512-56C8E347016E}"/>
    <hyperlink ref="J234" r:id="rId12374" display="https://statiz.sporki.com/player/?m=playerinfo&amp;p_no=15030" xr:uid="{05FA2C30-AE39-4F01-A237-BA366B31A38A}"/>
    <hyperlink ref="J235" r:id="rId12375" display="https://statiz.sporki.com/player/?m=playerinfo&amp;p_no=15106" xr:uid="{B0663263-3A6F-4040-8F79-F89A5C087677}"/>
    <hyperlink ref="J236" r:id="rId12376" display="https://statiz.sporki.com/player/?m=playerinfo&amp;p_no=15645" xr:uid="{F7E31016-76E6-4FB9-8884-EE67DB7812DC}"/>
    <hyperlink ref="J237" r:id="rId12377" display="https://statiz.sporki.com/player/?m=playerinfo&amp;p_no=15041" xr:uid="{1C5F7BF4-2640-4D32-9649-39DB673FD450}"/>
    <hyperlink ref="J238" r:id="rId12378" display="https://statiz.sporki.com/player/?m=playerinfo&amp;p_no=15074" xr:uid="{3F12B8E4-3EB2-41C9-ABD6-04FA26548E6E}"/>
    <hyperlink ref="J239" r:id="rId12379" display="https://statiz.sporki.com/player/?m=playerinfo&amp;p_no=15019" xr:uid="{6FC815A8-8510-4BBE-9A28-9A6A445DAB95}"/>
    <hyperlink ref="J240" r:id="rId12380" display="https://statiz.sporki.com/player/?m=playerinfo&amp;p_no=15064" xr:uid="{3BFC1580-B359-4D9F-8781-68966E8495D5}"/>
    <hyperlink ref="J241" r:id="rId12381" display="https://statiz.sporki.com/player/?m=playerinfo&amp;p_no=15096" xr:uid="{4D8C1729-1650-4F27-9EDD-37243BE3BAE4}"/>
    <hyperlink ref="J242" r:id="rId12382" display="https://statiz.sporki.com/player/?m=playerinfo&amp;p_no=15086" xr:uid="{1E86DC0A-C0B0-4669-A6B6-CEBC5A94B397}"/>
    <hyperlink ref="J243" r:id="rId12383" display="https://statiz.sporki.com/player/?m=playerinfo&amp;p_no=15118" xr:uid="{4C5CBFD6-7F05-4913-A163-69633739E38D}"/>
    <hyperlink ref="J244" r:id="rId12384" display="https://statiz.sporki.com/player/?m=playerinfo&amp;p_no=15031" xr:uid="{C61C26DB-4CB2-4F64-ADE3-33EA44AC55EC}"/>
    <hyperlink ref="J245" r:id="rId12385" display="https://statiz.sporki.com/player/?m=playerinfo&amp;p_no=15107" xr:uid="{B2F3147E-3FEA-4A2A-A59A-A009965401D8}"/>
    <hyperlink ref="J246" r:id="rId12386" display="https://statiz.sporki.com/player/?m=playerinfo&amp;p_no=15052" xr:uid="{D35B5219-13C8-45E6-9B4E-E80E277139FB}"/>
    <hyperlink ref="J247" r:id="rId12387" display="https://statiz.sporki.com/player/?m=playerinfo&amp;p_no=15042" xr:uid="{D32A622F-473D-4D6B-9BE8-6CA7D2BF396B}"/>
    <hyperlink ref="J248" r:id="rId12388" display="https://statiz.sporki.com/player/?m=playerinfo&amp;p_no=15075" xr:uid="{FF52DC26-6F98-4B10-9F77-276B380B78E6}"/>
    <hyperlink ref="J249" r:id="rId12389" display="https://statiz.sporki.com/player/?m=playerinfo&amp;p_no=15020" xr:uid="{2CCAA2E1-B63D-4DD2-88C2-DF3F43282E32}"/>
    <hyperlink ref="J250" r:id="rId12390" display="https://statiz.sporki.com/player/?m=playerinfo&amp;p_no=15065" xr:uid="{5909B8EC-BB5A-4A16-9A42-90FD19EDD822}"/>
    <hyperlink ref="J251" r:id="rId12391" display="https://statiz.sporki.com/player/?m=playerinfo&amp;p_no=15097" xr:uid="{0803865C-F3AC-4B66-90A3-FE6F2CF3CFE1}"/>
    <hyperlink ref="J252" r:id="rId12392" display="https://statiz.sporki.com/player/?m=playerinfo&amp;p_no=15087" xr:uid="{1C9E6113-CEB5-453B-A492-304317B8F765}"/>
    <hyperlink ref="J253" r:id="rId12393" display="https://statiz.sporki.com/player/?m=playerinfo&amp;p_no=15119" xr:uid="{1424B5DD-1866-4DD2-B504-87F0044A75D4}"/>
    <hyperlink ref="J254" r:id="rId12394" display="https://statiz.sporki.com/player/?m=playerinfo&amp;p_no=15032" xr:uid="{DE24C1AD-C432-4FE1-9D03-75F18B4E82A5}"/>
    <hyperlink ref="J255" r:id="rId12395" display="https://statiz.sporki.com/player/?m=playerinfo&amp;p_no=15108" xr:uid="{5DA369EF-5BD2-40A3-B757-181AE146FB43}"/>
    <hyperlink ref="J256" r:id="rId12396" display="https://statiz.sporki.com/player/?m=playerinfo&amp;p_no=15053" xr:uid="{C61D0387-72F9-4BC7-9E03-54B46CAF704E}"/>
    <hyperlink ref="J257" r:id="rId12397" display="https://statiz.sporki.com/player/?m=playerinfo&amp;p_no=15043" xr:uid="{8DD303A5-84C8-4FB8-AA8A-BCC74E20377D}"/>
    <hyperlink ref="J258" r:id="rId12398" display="https://statiz.sporki.com/player/?m=playerinfo&amp;p_no=15076" xr:uid="{5B80C86B-87D7-4596-8031-86B8E622CAA5}"/>
    <hyperlink ref="J259" r:id="rId12399" display="https://statiz.sporki.com/player/?m=playerinfo&amp;p_no=15021" xr:uid="{CC359C90-B6C1-4596-909F-3D7C561368E1}"/>
    <hyperlink ref="J260" r:id="rId12400" display="https://statiz.sporki.com/player/?m=playerinfo&amp;p_no=15066" xr:uid="{5FDD5675-B764-4CE8-8674-DCF4C1377CD3}"/>
    <hyperlink ref="J261" r:id="rId12401" display="https://statiz.sporki.com/player/?m=playerinfo&amp;p_no=15098" xr:uid="{4CF64875-4E0B-4852-A70B-B08193C668ED}"/>
    <hyperlink ref="J262" r:id="rId12402" display="https://statiz.sporki.com/player/?m=playerinfo&amp;p_no=15088" xr:uid="{DD34E7B1-D3F6-4C26-86BA-05ED3B8AAADF}"/>
    <hyperlink ref="J263" r:id="rId12403" display="https://statiz.sporki.com/player/?m=playerinfo&amp;p_no=15120" xr:uid="{A223DF8D-E937-4376-BC67-D73EB4B3C359}"/>
    <hyperlink ref="J264" r:id="rId12404" display="https://statiz.sporki.com/player/?m=playerinfo&amp;p_no=15033" xr:uid="{3D3AE8A1-E289-4ED8-9735-691D83B54A0D}"/>
    <hyperlink ref="J265" r:id="rId12405" display="https://statiz.sporki.com/player/?m=playerinfo&amp;p_no=15109" xr:uid="{C2C74BAB-A1B7-469B-9A2C-E674DC10FFB7}"/>
    <hyperlink ref="J266" r:id="rId12406" display="https://statiz.sporki.com/player/?m=playerinfo&amp;p_no=15054" xr:uid="{647F0331-E951-4841-ACC2-192A78894B8C}"/>
    <hyperlink ref="J267" r:id="rId12407" display="https://statiz.sporki.com/player/?m=playerinfo&amp;p_no=15044" xr:uid="{537DE325-4BA3-49CE-9B67-F07B0615753D}"/>
    <hyperlink ref="J268" r:id="rId12408" display="https://statiz.sporki.com/player/?m=playerinfo&amp;p_no=15077" xr:uid="{2BD3C23C-C8A3-411E-B0E5-2592D8437E51}"/>
    <hyperlink ref="J269" r:id="rId12409" display="https://statiz.sporki.com/player/?m=playerinfo&amp;p_no=15022" xr:uid="{EC4AF142-F5D9-4D8E-8823-824310DF73AA}"/>
    <hyperlink ref="J270" r:id="rId12410" display="https://statiz.sporki.com/player/?m=playerinfo&amp;p_no=15147" xr:uid="{EF9ED770-4686-43E8-BD56-19B04492181D}"/>
    <hyperlink ref="J271" r:id="rId12411" display="https://statiz.sporki.com/player/?m=playerinfo&amp;p_no=14996" xr:uid="{7C18D261-3128-49C9-968D-56A137292DE9}"/>
    <hyperlink ref="J272" r:id="rId12412" display="https://statiz.sporki.com/player/?m=playerinfo&amp;p_no=14998" xr:uid="{F838F941-8DF8-4705-A746-D9AFCD0DBE7C}"/>
    <hyperlink ref="J273" r:id="rId12413" display="https://statiz.sporki.com/player/?m=playerinfo&amp;p_no=14997" xr:uid="{B8B6EABD-25D8-4EC4-AE0D-A333E9AFDE39}"/>
    <hyperlink ref="J274" r:id="rId12414" display="https://statiz.sporki.com/player/?m=playerinfo&amp;p_no=15143" xr:uid="{1A85C157-E8C7-4BB3-85C1-2FE7364304AA}"/>
    <hyperlink ref="J275" r:id="rId12415" display="https://statiz.sporki.com/player/?m=playerinfo&amp;p_no=15144" xr:uid="{3B8397FE-C0CB-4FE5-A55C-335D65D8B390}"/>
    <hyperlink ref="J276" r:id="rId12416" display="https://statiz.sporki.com/player/?m=playerinfo&amp;p_no=15000" xr:uid="{B6315FB0-CDF8-46C1-9FD1-7757A1A4B204}"/>
    <hyperlink ref="J277" r:id="rId12417" display="https://statiz.sporki.com/player/?m=playerinfo&amp;p_no=15003" xr:uid="{494B3FDC-87A9-4662-9448-77638869C19F}"/>
    <hyperlink ref="J278" r:id="rId12418" display="https://statiz.sporki.com/player/?m=playerinfo&amp;p_no=15150" xr:uid="{2EBA9265-81A2-4B02-893B-4A737E44B8D3}"/>
    <hyperlink ref="J279" r:id="rId12419" display="https://statiz.sporki.com/player/?m=playerinfo&amp;p_no=15002" xr:uid="{1D327E2C-0071-4CE1-9B21-066081CE4705}"/>
    <hyperlink ref="J280" r:id="rId12420" display="https://statiz.sporki.com/player/?m=playerinfo&amp;p_no=15154" xr:uid="{25A8905A-514C-4D4D-A4E1-421DFBDA6A4F}"/>
    <hyperlink ref="J281" r:id="rId12421" display="https://statiz.sporki.com/player/?m=playerinfo&amp;p_no=15008" xr:uid="{FDEECA0C-BD27-4CF5-9DD0-470E3C7AE933}"/>
    <hyperlink ref="J282" r:id="rId12422" display="https://statiz.sporki.com/player/?m=playerinfo&amp;p_no=15006" xr:uid="{645E0E5D-64C3-448A-BD6D-BAE9E7BD592B}"/>
    <hyperlink ref="J283" r:id="rId12423" display="https://statiz.sporki.com/player/?m=playerinfo&amp;p_no=15149" xr:uid="{9A76BBDD-E124-40B3-A126-D463F352C933}"/>
    <hyperlink ref="J284" r:id="rId12424" display="https://statiz.sporki.com/player/?m=playerinfo&amp;p_no=15007" xr:uid="{66680B1D-9A93-4BBA-98B4-D2D4A9A5869C}"/>
    <hyperlink ref="J285" r:id="rId12425" display="https://statiz.sporki.com/player/?m=playerinfo&amp;p_no=15151" xr:uid="{4BEEFF75-1239-40AF-B324-4AF96002D053}"/>
    <hyperlink ref="J286" r:id="rId12426" display="https://statiz.sporki.com/player/?m=playerinfo&amp;p_no=14999" xr:uid="{A6FF2D88-7A3E-407C-A746-28512460BA0D}"/>
    <hyperlink ref="J287" r:id="rId12427" display="https://statiz.sporki.com/player/?m=playerinfo&amp;p_no=15153" xr:uid="{76EE4202-9144-4697-92C7-FD7B78BC92D0}"/>
    <hyperlink ref="J288" r:id="rId12428" display="https://statiz.sporki.com/player/?m=playerinfo&amp;p_no=15009" xr:uid="{1CCE0ECB-6C37-4340-A307-FAFDA911BE05}"/>
    <hyperlink ref="J289" r:id="rId12429" display="https://statiz.sporki.com/player/?m=playerinfo&amp;p_no=15011" xr:uid="{451DC098-6A19-41EB-A116-5D5582D33694}"/>
    <hyperlink ref="J290" r:id="rId12430" display="https://statiz.sporki.com/player/?m=playerinfo&amp;p_no=15152" xr:uid="{81B21EAF-2057-4565-82F4-C76D24CA5CC7}"/>
    <hyperlink ref="J291" r:id="rId12431" display="https://statiz.sporki.com/player/?m=playerinfo&amp;p_no=15010" xr:uid="{F73D334F-6699-4F82-B4AB-6AA7AD4346F0}"/>
    <hyperlink ref="J292" r:id="rId12432" display="https://statiz.sporki.com/player/?m=playerinfo&amp;p_no=15001" xr:uid="{AC007561-8C1B-4D30-B387-35A382E1244A}"/>
    <hyperlink ref="J293" r:id="rId12433" display="https://statiz.sporki.com/player/?m=playerinfo&amp;p_no=15005" xr:uid="{A52A408B-C2A3-4247-B83D-B4CCCBFB6671}"/>
    <hyperlink ref="J294" r:id="rId12434" display="https://statiz.sporki.com/player/?m=playerinfo&amp;p_no=15004" xr:uid="{50258B9B-86AF-4E51-B121-B56CA324D4B9}"/>
    <hyperlink ref="J295" r:id="rId12435" display="https://statiz.sporki.com/player/?m=playerinfo&amp;p_no=15146" xr:uid="{11DD2041-29A5-4C67-961B-E75274553A77}"/>
    <hyperlink ref="J296" r:id="rId12436" display="https://statiz.sporki.com/player/?m=playerinfo&amp;p_no=15012" xr:uid="{884653FB-4442-42EC-9646-A45F4563DB2C}"/>
    <hyperlink ref="J297" r:id="rId12437" display="https://statiz.sporki.com/player/?m=playerinfo&amp;p_no=15145" xr:uid="{2FE3E431-F94D-42A5-92AB-8C4D178660B1}"/>
    <hyperlink ref="J298" r:id="rId12438" display="https://statiz.sporki.com/player/?m=playerinfo&amp;p_no=15125" xr:uid="{6445CF7A-4257-4DAD-B543-E1EC8E3E3601}"/>
    <hyperlink ref="J299" r:id="rId12439" display="https://statiz.sporki.com/player/?m=playerinfo&amp;p_no=15124" xr:uid="{A31E6C74-1F44-4A98-BC05-854AA52302C2}"/>
    <hyperlink ref="J300" r:id="rId12440" display="https://statiz.sporki.com/player/?m=playerinfo&amp;p_no=15123" xr:uid="{B20AC468-0A46-440D-9AFD-352201BDCED3}"/>
    <hyperlink ref="J301" r:id="rId12441" display="https://statiz.sporki.com/player/?m=playerinfo&amp;p_no=15126" xr:uid="{6ACDBDA0-8E58-4B1A-B0F2-4950863D081E}"/>
    <hyperlink ref="J302" r:id="rId12442" display="https://statiz.sporki.com/player/?m=playerinfo&amp;p_no=15122" xr:uid="{360429E7-3471-40BF-8A56-E3BF85C459BB}"/>
    <hyperlink ref="J303" r:id="rId12443" display="https://statiz.sporki.com/player/?m=playerinfo&amp;p_no=15121" xr:uid="{910E04BC-B74D-4055-B3C5-84F38A50139D}"/>
    <hyperlink ref="J304" r:id="rId12444" display="https://statiz.sporki.com/player/?m=playerinfo&amp;p_no=15127" xr:uid="{CC2B8F24-F6B1-4056-9958-8A4F2DEC9270}"/>
    <hyperlink ref="J305" r:id="rId12445" display="https://statiz.sporki.com/player/?m=playerinfo&amp;p_no=15128" xr:uid="{809B8E5A-51F5-477F-9AF5-0940480DD3FD}"/>
    <hyperlink ref="J306" r:id="rId12446" display="https://statiz.sporki.com/player/?m=playerinfo&amp;p_no=15129" xr:uid="{46066321-5891-4C51-9141-7A8152CAE840}"/>
    <hyperlink ref="J307" r:id="rId12447" display="https://statiz.sporki.com/player/?m=playerinfo&amp;p_no=15133" xr:uid="{5812B9C4-485F-4157-8D88-8247F4B769CE}"/>
    <hyperlink ref="J308" r:id="rId12448" display="https://statiz.sporki.com/player/?m=playerinfo&amp;p_no=15136" xr:uid="{17455539-F473-443F-B400-9B339E60C73A}"/>
    <hyperlink ref="J309" r:id="rId12449" display="https://statiz.sporki.com/player/?m=playerinfo&amp;p_no=15134" xr:uid="{5200269F-D83E-4088-9CBE-915A694E07B4}"/>
    <hyperlink ref="J310" r:id="rId12450" display="https://statiz.sporki.com/player/?m=playerinfo&amp;p_no=15135" xr:uid="{5CE1DEB7-C008-491B-BA80-5FC8A8129067}"/>
    <hyperlink ref="J311" r:id="rId12451" display="https://statiz.sporki.com/player/?m=playerinfo&amp;p_no=15130" xr:uid="{BD2152BA-7157-4401-9B90-510082329506}"/>
    <hyperlink ref="J312" r:id="rId12452" display="https://statiz.sporki.com/player/?m=playerinfo&amp;p_no=15132" xr:uid="{FC6EDE27-E812-4DAB-996F-4505CB6F19C4}"/>
    <hyperlink ref="J313" r:id="rId12453" display="https://statiz.sporki.com/player/?m=playerinfo&amp;p_no=15131" xr:uid="{D6297795-2AD3-4DF6-B0C0-0B095A626CC6}"/>
    <hyperlink ref="J314" r:id="rId12454" display="https://statiz.sporki.com/player/?m=playerinfo&amp;p_no=15633" xr:uid="{91919585-4D20-44D6-8F54-184C3EFA45BC}"/>
    <hyperlink ref="J315" r:id="rId12455" display="https://statiz.sporki.com/player/?m=playerinfo&amp;p_no=15137" xr:uid="{4293C3EF-01C4-4A05-82AE-F3026F88EAEB}"/>
    <hyperlink ref="J316" r:id="rId12456" display="https://statiz.sporki.com/player/?m=playerinfo&amp;p_no=15138" xr:uid="{F2274CAA-1A70-4D91-9653-5D032E06D818}"/>
    <hyperlink ref="J317" r:id="rId12457" display="https://statiz.sporki.com/player/?m=playerinfo&amp;p_no=15139" xr:uid="{1749A53D-793F-48EA-8F13-AF6F8E1AD296}"/>
    <hyperlink ref="J318" r:id="rId12458" display="https://statiz.sporki.com/player/?m=playerinfo&amp;p_no=15141" xr:uid="{11D9E7B5-F9B1-4DAB-9F50-93875B48633E}"/>
    <hyperlink ref="J319" r:id="rId12459" display="https://statiz.sporki.com/player/?m=playerinfo&amp;p_no=15142" xr:uid="{D91BEC32-4B4E-4FD3-B104-9AF0DECD71C7}"/>
    <hyperlink ref="J320" r:id="rId12460" display="https://statiz.sporki.com/player/?m=playerinfo&amp;p_no=15140" xr:uid="{4D5E19AA-637F-46D4-B277-9E34B630E7E8}"/>
    <hyperlink ref="J321" r:id="rId12461" display="https://statiz.sporki.com/player/?m=playerinfo&amp;p_no=14788" xr:uid="{93CF607C-A5DE-47E5-9734-96F4F6DA3578}"/>
    <hyperlink ref="J322" r:id="rId12462" display="https://statiz.sporki.com/player/?m=playerinfo&amp;p_no=14774" xr:uid="{82FD1F83-65EB-4228-B13A-E9A3F0CA3660}"/>
    <hyperlink ref="J323" r:id="rId12463" display="https://statiz.sporki.com/player/?m=playerinfo&amp;p_no=14780" xr:uid="{E3045067-5A65-4E31-8F3B-05AA0AB0AC5C}"/>
    <hyperlink ref="J324" r:id="rId12464" display="https://statiz.sporki.com/player/?m=playerinfo&amp;p_no=14803" xr:uid="{B1E56DDC-485B-47AC-A121-0F2CBD04A102}"/>
    <hyperlink ref="J325" r:id="rId12465" display="https://statiz.sporki.com/player/?m=playerinfo&amp;p_no=14771" xr:uid="{70D5650D-AEBB-47BA-992F-D4DC51478944}"/>
    <hyperlink ref="J326" r:id="rId12466" display="https://statiz.sporki.com/player/?m=playerinfo&amp;p_no=14796" xr:uid="{F75BC160-648E-4858-BBD8-21A713A7DF72}"/>
    <hyperlink ref="J327" r:id="rId12467" display="https://statiz.sporki.com/player/?m=playerinfo&amp;p_no=14798" xr:uid="{516D34F0-C674-4E4F-925D-733C84D515E7}"/>
    <hyperlink ref="J328" r:id="rId12468" display="https://statiz.sporki.com/player/?m=playerinfo&amp;p_no=14784" xr:uid="{265CE65E-BFEC-4BF7-B02D-BC3E366A426F}"/>
    <hyperlink ref="J329" r:id="rId12469" display="https://statiz.sporki.com/player/?m=playerinfo&amp;p_no=14813" xr:uid="{5FE32F72-2FBB-4043-B64C-83D5BF44313E}"/>
    <hyperlink ref="J330" r:id="rId12470" display="https://statiz.sporki.com/player/?m=playerinfo&amp;p_no=14786" xr:uid="{AE0E6F2C-590A-436A-BB80-93A838EEB5F6}"/>
    <hyperlink ref="J331" r:id="rId12471" display="https://statiz.sporki.com/player/?m=playerinfo&amp;p_no=14777" xr:uid="{AB29A52A-AB43-445B-BEC1-4224A7E8ACD3}"/>
    <hyperlink ref="J332" r:id="rId12472" display="https://statiz.sporki.com/player/?m=playerinfo&amp;p_no=14783" xr:uid="{9EAEDBA7-0D8F-4B0F-80F4-ABA0A46975A9}"/>
    <hyperlink ref="J333" r:id="rId12473" display="https://statiz.sporki.com/player/?m=playerinfo&amp;p_no=14765" xr:uid="{908BB062-9C5F-4C75-86E3-7170E73D06CE}"/>
    <hyperlink ref="J334" r:id="rId12474" display="https://statiz.sporki.com/player/?m=playerinfo&amp;p_no=14806" xr:uid="{2295F1B6-1621-4753-BCE4-9AF4D1A9EFA6}"/>
    <hyperlink ref="J335" r:id="rId12475" display="https://statiz.sporki.com/player/?m=playerinfo&amp;p_no=14769" xr:uid="{5D2C3D24-299C-4E43-9629-C47D500F76EE}"/>
    <hyperlink ref="J336" r:id="rId12476" display="https://statiz.sporki.com/player/?m=playerinfo&amp;p_no=14792" xr:uid="{DB707314-F830-4A3E-92F3-BE4A8CFE6432}"/>
    <hyperlink ref="J337" r:id="rId12477" display="https://statiz.sporki.com/player/?m=playerinfo&amp;p_no=14799" xr:uid="{0596F325-F597-4BC9-9929-466EE9BFDA93}"/>
    <hyperlink ref="J338" r:id="rId12478" display="https://statiz.sporki.com/player/?m=playerinfo&amp;p_no=14785" xr:uid="{A37827AC-51BB-46EB-AA1D-A0D1B62197DA}"/>
    <hyperlink ref="J339" r:id="rId12479" display="https://statiz.sporki.com/player/?m=playerinfo&amp;p_no=14808" xr:uid="{17E151AB-467D-471A-84BF-4156FF390C0E}"/>
    <hyperlink ref="J340" r:id="rId12480" display="https://statiz.sporki.com/player/?m=playerinfo&amp;p_no=14789" xr:uid="{EEDA0353-52E1-4D51-A0D4-1792F72792FD}"/>
    <hyperlink ref="J341" r:id="rId12481" display="https://statiz.sporki.com/player/?m=playerinfo&amp;p_no=14776" xr:uid="{A4AAC192-4233-41DC-8C18-1771ED578EF9}"/>
    <hyperlink ref="J342" r:id="rId12482" display="https://statiz.sporki.com/player/?m=playerinfo&amp;p_no=14781" xr:uid="{C34E84FD-2E1D-45EE-8379-EDF960C765E0}"/>
    <hyperlink ref="J343" r:id="rId12483" display="https://statiz.sporki.com/player/?m=playerinfo&amp;p_no=14763" xr:uid="{839E2D8D-7412-4CA5-B975-3B0DDEAE88D6}"/>
    <hyperlink ref="J344" r:id="rId12484" display="https://statiz.sporki.com/player/?m=playerinfo&amp;p_no=14807" xr:uid="{12046211-7B01-4F68-A16D-B567377740A9}"/>
    <hyperlink ref="J345" r:id="rId12485" display="https://statiz.sporki.com/player/?m=playerinfo&amp;p_no=14770" xr:uid="{24B18BCF-D83A-4FDD-800D-F4EE77742126}"/>
    <hyperlink ref="J346" r:id="rId12486" display="https://statiz.sporki.com/player/?m=playerinfo&amp;p_no=14797" xr:uid="{34B98CF3-B095-46EC-8173-28C083A4B2E8}"/>
    <hyperlink ref="J347" r:id="rId12487" display="https://statiz.sporki.com/player/?m=playerinfo&amp;p_no=14800" xr:uid="{BFB49D56-3BD5-44BC-8B33-6ACBD09B48A1}"/>
    <hyperlink ref="J348" r:id="rId12488" display="https://statiz.sporki.com/player/?m=playerinfo&amp;p_no=14848" xr:uid="{D9DBA201-F5CA-4BBB-B9DD-02E810B39EA9}"/>
    <hyperlink ref="J349" r:id="rId12489" display="https://statiz.sporki.com/player/?m=playerinfo&amp;p_no=14812" xr:uid="{277D56FD-7DAB-4BC9-8CB5-9709F51CDD3A}"/>
    <hyperlink ref="J350" r:id="rId12490" display="https://statiz.sporki.com/player/?m=playerinfo&amp;p_no=14787" xr:uid="{13ECB3DA-FF33-41BD-8BD9-B3563002E876}"/>
    <hyperlink ref="J351" r:id="rId12491" display="https://statiz.sporki.com/player/?m=playerinfo&amp;p_no=14778" xr:uid="{D175C4D0-0E37-4FD8-9AEB-F355C3716871}"/>
    <hyperlink ref="J352" r:id="rId12492" display="https://statiz.sporki.com/player/?m=playerinfo&amp;p_no=14782" xr:uid="{F7C38E85-C11F-4C11-9689-F1B05CA71DBE}"/>
    <hyperlink ref="J353" r:id="rId12493" display="https://statiz.sporki.com/player/?m=playerinfo&amp;p_no=14767" xr:uid="{097B5D1B-838A-40B0-96D9-EBBFCA0DBC55}"/>
    <hyperlink ref="J354" r:id="rId12494" display="https://statiz.sporki.com/player/?m=playerinfo&amp;p_no=14805" xr:uid="{07453F0D-3469-47EE-8B6C-FDE1A242514C}"/>
    <hyperlink ref="J355" r:id="rId12495" display="https://statiz.sporki.com/player/?m=playerinfo&amp;p_no=14773" xr:uid="{D86D8651-70C8-4E4C-8A7A-B0E4F7F5B92C}"/>
    <hyperlink ref="J356" r:id="rId12496" display="https://statiz.sporki.com/player/?m=playerinfo&amp;p_no=14793" xr:uid="{89F489EA-E8AB-4266-A6B2-BA93C35CCE25}"/>
    <hyperlink ref="J357" r:id="rId12497" display="https://statiz.sporki.com/player/?m=playerinfo&amp;p_no=14801" xr:uid="{D0B66A73-D47E-4522-BF2F-6405CD07C86F}"/>
    <hyperlink ref="J358" r:id="rId12498" display="https://statiz.sporki.com/player/?m=playerinfo&amp;p_no=14849" xr:uid="{B2CEE654-9606-48F5-A270-C550A96EA62A}"/>
    <hyperlink ref="J359" r:id="rId12499" display="https://statiz.sporki.com/player/?m=playerinfo&amp;p_no=14810" xr:uid="{F055321F-8FFF-4FA9-AD82-95C4A07E1AB7}"/>
    <hyperlink ref="J360" r:id="rId12500" display="https://statiz.sporki.com/player/?m=playerinfo&amp;p_no=14790" xr:uid="{5194C31E-ADEB-4180-9023-E8EFD8FEE4A4}"/>
    <hyperlink ref="J361" r:id="rId12501" display="https://statiz.sporki.com/player/?m=playerinfo&amp;p_no=14775" xr:uid="{95DEB515-FE15-4720-896B-9A2A0E0C901D}"/>
    <hyperlink ref="J362" r:id="rId12502" display="https://statiz.sporki.com/player/?m=playerinfo&amp;p_no=14847" xr:uid="{0B1930AD-530C-4ADD-8C0E-E2E1A22C6B65}"/>
    <hyperlink ref="J363" r:id="rId12503" display="https://statiz.sporki.com/player/?m=playerinfo&amp;p_no=14764" xr:uid="{C2241EDE-D7F7-44C5-9A19-E6EA3973D7F0}"/>
    <hyperlink ref="J364" r:id="rId12504" display="https://statiz.sporki.com/player/?m=playerinfo&amp;p_no=14804" xr:uid="{3FBB679D-A3EF-42B0-90A0-24B21919566C}"/>
    <hyperlink ref="J365" r:id="rId12505" display="https://statiz.sporki.com/player/?m=playerinfo&amp;p_no=14768" xr:uid="{F47C1C18-77B9-470D-ADA5-CEF99BA4346C}"/>
    <hyperlink ref="J366" r:id="rId12506" display="https://statiz.sporki.com/player/?m=playerinfo&amp;p_no=14794" xr:uid="{D1E05D21-5AA8-41F9-849B-8DA59749550C}"/>
    <hyperlink ref="J367" r:id="rId12507" display="https://statiz.sporki.com/player/?m=playerinfo&amp;p_no=14802" xr:uid="{81405D3E-8E20-4D56-82A5-B233EA9ECBE0}"/>
    <hyperlink ref="J368" r:id="rId12508" display="https://statiz.sporki.com/player/?m=playerinfo&amp;p_no=14855" xr:uid="{3AD6832B-06CA-4780-84D3-038CD826BC7A}"/>
    <hyperlink ref="J369" r:id="rId12509" display="https://statiz.sporki.com/player/?m=playerinfo&amp;p_no=14811" xr:uid="{1BD1785B-04B5-49CC-A18A-7295DF6ABCAD}"/>
    <hyperlink ref="J370" r:id="rId12510" display="https://statiz.sporki.com/player/?m=playerinfo&amp;p_no=14826" xr:uid="{8C92AF1B-024E-40CC-8D0F-E13903B60EC1}"/>
    <hyperlink ref="J371" r:id="rId12511" display="https://statiz.sporki.com/player/?m=playerinfo&amp;p_no=14869" xr:uid="{C957E4B2-D931-4EC9-A5A4-10C56508C615}"/>
    <hyperlink ref="J372" r:id="rId12512" display="https://statiz.sporki.com/player/?m=playerinfo&amp;p_no=14844" xr:uid="{C07D1866-68CF-4B0A-A37B-DB5595DF14CB}"/>
    <hyperlink ref="J373" r:id="rId12513" display="https://statiz.sporki.com/player/?m=playerinfo&amp;p_no=14766" xr:uid="{AC393A74-5170-4668-B33D-88836D9FA875}"/>
    <hyperlink ref="J374" r:id="rId12514" display="https://statiz.sporki.com/player/?m=playerinfo&amp;p_no=14862" xr:uid="{812E625E-201F-4471-ABA0-D33231087346}"/>
    <hyperlink ref="J375" r:id="rId12515" display="https://statiz.sporki.com/player/?m=playerinfo&amp;p_no=14772" xr:uid="{3789BF9F-2CD6-441B-808C-C25DCA020FA7}"/>
    <hyperlink ref="J376" r:id="rId12516" display="https://statiz.sporki.com/player/?m=playerinfo&amp;p_no=14816" xr:uid="{BCC187FD-6F1D-47BE-8270-2456B06E21EE}"/>
    <hyperlink ref="J377" r:id="rId12517" display="https://statiz.sporki.com/player/?m=playerinfo&amp;p_no=14863" xr:uid="{B1D8B9DB-0412-42DD-A196-862435A3B8B7}"/>
    <hyperlink ref="J378" r:id="rId12518" display="https://statiz.sporki.com/player/?m=playerinfo&amp;p_no=14851" xr:uid="{813DC799-F4DD-42D5-AD75-FE9B9DDFC496}"/>
    <hyperlink ref="J379" r:id="rId12519" display="https://statiz.sporki.com/player/?m=playerinfo&amp;p_no=14809" xr:uid="{EDBFFD98-B980-4726-8991-475ED209672E}"/>
    <hyperlink ref="J380" r:id="rId12520" display="https://statiz.sporki.com/player/?m=playerinfo&amp;p_no=14791" xr:uid="{98416BE4-04C3-4248-A7EC-FD36F57EA2B9}"/>
    <hyperlink ref="J381" r:id="rId12521" display="https://statiz.sporki.com/player/?m=playerinfo&amp;p_no=14870" xr:uid="{2240E5C2-3E40-4D8D-A877-0D3E0E2FE86F}"/>
    <hyperlink ref="J382" r:id="rId12522" display="https://statiz.sporki.com/player/?m=playerinfo&amp;p_no=14843" xr:uid="{482636C8-42EC-40E4-9B88-2FD755C58A3E}"/>
    <hyperlink ref="J383" r:id="rId12523" display="https://statiz.sporki.com/player/?m=playerinfo&amp;p_no=14827" xr:uid="{43516A1F-96F4-4415-9327-23A4A785DE27}"/>
    <hyperlink ref="J384" r:id="rId12524" display="https://statiz.sporki.com/player/?m=playerinfo&amp;p_no=14861" xr:uid="{C3E40F0B-4A7D-430A-8BB6-9FA3E945A965}"/>
    <hyperlink ref="J385" r:id="rId12525" display="https://statiz.sporki.com/player/?m=playerinfo&amp;p_no=14836" xr:uid="{B11F8473-55D4-45CD-82D5-52C21009EC13}"/>
    <hyperlink ref="J386" r:id="rId12526" display="https://statiz.sporki.com/player/?m=playerinfo&amp;p_no=14795" xr:uid="{58FC0619-79B3-43F4-A898-30EA28C50D5D}"/>
    <hyperlink ref="J387" r:id="rId12527" display="https://statiz.sporki.com/player/?m=playerinfo&amp;p_no=14864" xr:uid="{F82AB005-5987-4B48-8E1A-C736A2C6FDE7}"/>
    <hyperlink ref="J388" r:id="rId12528" display="https://statiz.sporki.com/player/?m=playerinfo&amp;p_no=14856" xr:uid="{85D30808-96E1-4708-B9BF-10D8DD4295E9}"/>
    <hyperlink ref="J389" r:id="rId12529" display="https://statiz.sporki.com/player/?m=playerinfo&amp;p_no=14877" xr:uid="{DF87FBCE-399B-4863-875B-DE1D9CB76103}"/>
    <hyperlink ref="J390" r:id="rId12530" display="https://statiz.sporki.com/player/?m=playerinfo&amp;p_no=14824" xr:uid="{AD4EB037-9800-419F-8E33-10503D003B6C}"/>
    <hyperlink ref="J391" r:id="rId12531" display="https://statiz.sporki.com/player/?m=playerinfo&amp;p_no=14881" xr:uid="{7FB9CE35-7A82-4A80-BD1B-DAEDBEB82EB7}"/>
    <hyperlink ref="J392" r:id="rId12532" display="https://statiz.sporki.com/player/?m=playerinfo&amp;p_no=14842" xr:uid="{21BC7767-74E0-42EF-A1FE-06A145913B8C}"/>
    <hyperlink ref="J393" r:id="rId12533" display="https://statiz.sporki.com/player/?m=playerinfo&amp;p_no=14828" xr:uid="{319AA804-89DF-4816-84AF-D572862317F2}"/>
    <hyperlink ref="J394" r:id="rId12534" display="https://statiz.sporki.com/player/?m=playerinfo&amp;p_no=14858" xr:uid="{498FC9A6-3F24-413E-8C41-AD430B201959}"/>
    <hyperlink ref="J395" r:id="rId12535" display="https://statiz.sporki.com/player/?m=playerinfo&amp;p_no=14832" xr:uid="{13BF7638-A893-4A04-B8F9-F61411C0C108}"/>
    <hyperlink ref="J396" r:id="rId12536" display="https://statiz.sporki.com/player/?m=playerinfo&amp;p_no=14817" xr:uid="{EFD04352-C6A0-4C3D-85E7-82F609F2B054}"/>
    <hyperlink ref="J397" r:id="rId12537" display="https://statiz.sporki.com/player/?m=playerinfo&amp;p_no=14865" xr:uid="{B356A866-8A0D-4630-B466-05FFE5B6EC0D}"/>
    <hyperlink ref="J398" r:id="rId12538" display="https://statiz.sporki.com/player/?m=playerinfo&amp;p_no=14853" xr:uid="{C82BDEB9-7040-4B1B-AFEE-A866FF7D8231}"/>
    <hyperlink ref="J399" r:id="rId12539" display="https://statiz.sporki.com/player/?m=playerinfo&amp;p_no=14875" xr:uid="{7B1342B9-5AE9-41C2-8917-151CA3E811CD}"/>
    <hyperlink ref="J400" r:id="rId12540" display="https://statiz.sporki.com/player/?m=playerinfo&amp;p_no=14823" xr:uid="{0419F426-FFBE-474B-A4F4-0A1560681FA9}"/>
    <hyperlink ref="J401" r:id="rId12541" display="https://statiz.sporki.com/player/?m=playerinfo&amp;p_no=14779" xr:uid="{93B74C0F-3755-4EFD-9D36-42A179287C36}"/>
    <hyperlink ref="J402" r:id="rId12542" display="https://statiz.sporki.com/player/?m=playerinfo&amp;p_no=14841" xr:uid="{3C171A3B-42CF-438B-9BAB-9A7F71488910}"/>
    <hyperlink ref="J403" r:id="rId12543" display="https://statiz.sporki.com/player/?m=playerinfo&amp;p_no=14829" xr:uid="{BAA122D6-FA45-4C80-BA93-44D3B6BE7EFF}"/>
    <hyperlink ref="J404" r:id="rId12544" display="https://statiz.sporki.com/player/?m=playerinfo&amp;p_no=14857" xr:uid="{B9AA8D2D-667F-46A2-8BA8-919A3749C429}"/>
    <hyperlink ref="J405" r:id="rId12545" display="https://statiz.sporki.com/player/?m=playerinfo&amp;p_no=14838" xr:uid="{033A5959-C2C6-433D-8BD3-31B0C6295177}"/>
    <hyperlink ref="J406" r:id="rId12546" display="https://statiz.sporki.com/player/?m=playerinfo&amp;p_no=14818" xr:uid="{11819D45-7B6F-455D-9D73-D577F89E6B43}"/>
    <hyperlink ref="J407" r:id="rId12547" display="https://statiz.sporki.com/player/?m=playerinfo&amp;p_no=14866" xr:uid="{8A45FA81-5036-4D02-9D59-53B802CCAC04}"/>
    <hyperlink ref="J408" r:id="rId12548" display="https://statiz.sporki.com/player/?m=playerinfo&amp;p_no=14850" xr:uid="{9377D3FE-AD79-4E28-BAA3-DA638E81F983}"/>
    <hyperlink ref="J409" r:id="rId12549" display="https://statiz.sporki.com/player/?m=playerinfo&amp;p_no=14871" xr:uid="{548D3302-5F51-46C9-9EDF-7DDB6764F4C3}"/>
    <hyperlink ref="J410" r:id="rId12550" display="https://statiz.sporki.com/player/?m=playerinfo&amp;p_no=14822" xr:uid="{6D339D90-1757-4E98-A7BA-CC759626A81E}"/>
    <hyperlink ref="J411" r:id="rId12551" display="https://statiz.sporki.com/player/?m=playerinfo&amp;p_no=14882" xr:uid="{1881A530-0A41-418C-BFD7-BF82B5D82D8A}"/>
    <hyperlink ref="J412" r:id="rId12552" display="https://statiz.sporki.com/player/?m=playerinfo&amp;p_no=14846" xr:uid="{A827C18C-DAF1-4F65-B0A6-020C14D8A5D5}"/>
    <hyperlink ref="J413" r:id="rId12553" display="https://statiz.sporki.com/player/?m=playerinfo&amp;p_no=14830" xr:uid="{4522AEF4-5BA8-4285-A93A-0DA03872BCE2}"/>
    <hyperlink ref="J414" r:id="rId12554" display="https://statiz.sporki.com/player/?m=playerinfo&amp;p_no=14859" xr:uid="{4F2B24AA-A908-4990-8340-91B78E4CFCAE}"/>
    <hyperlink ref="J415" r:id="rId12555" display="https://statiz.sporki.com/player/?m=playerinfo&amp;p_no=14833" xr:uid="{6D2CED39-7E99-46A7-BCCF-8E30B7D2718C}"/>
    <hyperlink ref="J416" r:id="rId12556" display="https://statiz.sporki.com/player/?m=playerinfo&amp;p_no=14815" xr:uid="{89199BFB-9F9E-48A9-9BDB-2F1CF8E87488}"/>
    <hyperlink ref="J417" r:id="rId12557" display="https://statiz.sporki.com/player/?m=playerinfo&amp;p_no=14867" xr:uid="{BC860A1C-D68F-4579-8917-989D1103BCA6}"/>
    <hyperlink ref="J418" r:id="rId12558" display="https://statiz.sporki.com/player/?m=playerinfo&amp;p_no=14854" xr:uid="{F96B1859-A5E9-4B31-87FB-9119425966FA}"/>
    <hyperlink ref="J419" r:id="rId12559" display="https://statiz.sporki.com/player/?m=playerinfo&amp;p_no=14876" xr:uid="{BE5EB678-CD89-4606-BAA5-6C3467FA882B}"/>
    <hyperlink ref="J420" r:id="rId12560" display="https://statiz.sporki.com/player/?m=playerinfo&amp;p_no=14821" xr:uid="{D142CFDA-C546-4995-8224-F01657FD33B3}"/>
    <hyperlink ref="J421" r:id="rId12561" display="https://statiz.sporki.com/player/?m=playerinfo&amp;p_no=14884" xr:uid="{7527ADA3-6EA1-425E-9736-449AF5BAA647}"/>
    <hyperlink ref="J422" r:id="rId12562" display="https://statiz.sporki.com/player/?m=playerinfo&amp;p_no=14845" xr:uid="{C3D5D171-5AFC-4B6E-9730-944E789F9D18}"/>
    <hyperlink ref="J423" r:id="rId12563" display="https://statiz.sporki.com/player/?m=playerinfo&amp;p_no=14831" xr:uid="{7BD836F2-810E-4062-9578-DE980B857905}"/>
    <hyperlink ref="J424" r:id="rId12564" display="https://statiz.sporki.com/player/?m=playerinfo&amp;p_no=14860" xr:uid="{71A27FF0-5037-4B35-AE6F-F5EE8FA6F176}"/>
    <hyperlink ref="J425" r:id="rId12565" display="https://statiz.sporki.com/player/?m=playerinfo&amp;p_no=14840" xr:uid="{40C24290-376B-4C80-9B4E-28E40BA35E9B}"/>
    <hyperlink ref="J426" r:id="rId12566" display="https://statiz.sporki.com/player/?m=playerinfo&amp;p_no=14814" xr:uid="{75601D5D-6B92-478A-AFC5-ECF772B9CB43}"/>
    <hyperlink ref="J427" r:id="rId12567" display="https://statiz.sporki.com/player/?m=playerinfo&amp;p_no=14868" xr:uid="{48C74B43-3C9F-43D1-ACAB-E30589FF416A}"/>
    <hyperlink ref="J428" r:id="rId12568" display="https://statiz.sporki.com/player/?m=playerinfo&amp;p_no=14874" xr:uid="{24301772-A5EB-4EFE-81EA-1F5D0B530654}"/>
    <hyperlink ref="J429" r:id="rId12569" display="https://statiz.sporki.com/player/?m=playerinfo&amp;p_no=14755" xr:uid="{41969ACF-B631-4D53-99B7-D107F7570508}"/>
    <hyperlink ref="J430" r:id="rId12570" display="https://statiz.sporki.com/player/?m=playerinfo&amp;p_no=14994" xr:uid="{11044C5D-908E-4592-9D03-924210611DB3}"/>
    <hyperlink ref="J431" r:id="rId12571" display="https://statiz.sporki.com/player/?m=playerinfo&amp;p_no=14752" xr:uid="{B32F4860-FFF3-498C-A3D5-14D2B1F840C6}"/>
    <hyperlink ref="J432" r:id="rId12572" display="https://statiz.sporki.com/player/?m=playerinfo&amp;p_no=14988" xr:uid="{5D0E703E-DDD5-4407-9579-A33D20EE4193}"/>
    <hyperlink ref="J433" r:id="rId12573" display="https://statiz.sporki.com/player/?m=playerinfo&amp;p_no=14753" xr:uid="{359D96F8-A702-492D-843D-48565F46C22B}"/>
    <hyperlink ref="J434" r:id="rId12574" display="https://statiz.sporki.com/player/?m=playerinfo&amp;p_no=14749" xr:uid="{D07C845F-7A0B-405F-A80A-E50E8EECE537}"/>
    <hyperlink ref="J435" r:id="rId12575" display="https://statiz.sporki.com/player/?m=playerinfo&amp;p_no=14759" xr:uid="{94724E05-6A8C-43A7-936B-B1C738AD9C1A}"/>
    <hyperlink ref="J436" r:id="rId12576" display="https://statiz.sporki.com/player/?m=playerinfo&amp;p_no=14758" xr:uid="{6C34E1D8-1D5E-4D7E-B146-DC294EDA5AF5}"/>
    <hyperlink ref="J437" r:id="rId12577" display="https://statiz.sporki.com/player/?m=playerinfo&amp;p_no=14896" xr:uid="{D1736B17-F457-4082-82E3-0BF9AC216CE4}"/>
    <hyperlink ref="J438" r:id="rId12578" display="https://statiz.sporki.com/player/?m=playerinfo&amp;p_no=14750" xr:uid="{6ABBE37D-3D67-42D7-83D5-617849F09CB4}"/>
    <hyperlink ref="J439" r:id="rId12579" display="https://statiz.sporki.com/player/?m=playerinfo&amp;p_no=14751" xr:uid="{DA5FFC97-55C5-47A2-A686-F28CCDBE3429}"/>
    <hyperlink ref="J440" r:id="rId12580" display="https://statiz.sporki.com/player/?m=playerinfo&amp;p_no=14756" xr:uid="{5F7DC036-E13B-45AA-973B-6BB61B468561}"/>
    <hyperlink ref="J441" r:id="rId12581" display="https://statiz.sporki.com/player/?m=playerinfo&amp;p_no=14757" xr:uid="{83F2B0F4-CD50-496C-9252-194AEA73C9AF}"/>
    <hyperlink ref="J442" r:id="rId12582" display="https://statiz.sporki.com/player/?m=playerinfo&amp;p_no=14898" xr:uid="{6F848ECC-1983-40E4-800F-C30AE42B8205}"/>
    <hyperlink ref="J443" r:id="rId12583" display="https://statiz.sporki.com/player/?m=playerinfo&amp;p_no=14754" xr:uid="{7889D618-23CD-4566-BFDA-EEB24FF75014}"/>
    <hyperlink ref="J444" r:id="rId12584" display="https://statiz.sporki.com/player/?m=playerinfo&amp;p_no=14990" xr:uid="{0ED50061-4B49-4DA0-9288-3054A2C0A5C4}"/>
    <hyperlink ref="J445" r:id="rId12585" display="https://statiz.sporki.com/player/?m=playerinfo&amp;p_no=14762" xr:uid="{C79387FF-E492-4EE7-87B6-0B777387D6D1}"/>
    <hyperlink ref="J446" r:id="rId12586" display="https://statiz.sporki.com/player/?m=playerinfo&amp;p_no=14991" xr:uid="{9B1E89A1-7685-48F2-BCEB-F26568868AF7}"/>
    <hyperlink ref="J447" r:id="rId12587" display="https://statiz.sporki.com/player/?m=playerinfo&amp;p_no=14761" xr:uid="{1465FAB4-7F37-4167-8E33-1B79607E0B0C}"/>
    <hyperlink ref="J448" r:id="rId12588" display="https://statiz.sporki.com/player/?m=playerinfo&amp;p_no=14760" xr:uid="{6F2150B6-03A3-4FF7-B1C7-3BAEF3C2F521}"/>
    <hyperlink ref="J449" r:id="rId12589" display="https://statiz.sporki.com/player/?m=playerinfo&amp;p_no=14885" xr:uid="{4EF208C4-A7A8-4786-8608-033DA894931B}"/>
    <hyperlink ref="J450" r:id="rId12590" display="https://statiz.sporki.com/player/?m=playerinfo&amp;p_no=14883" xr:uid="{6B5F07F3-9F10-43E6-BE68-FE37AF62BFF5}"/>
    <hyperlink ref="J451" r:id="rId12591" display="https://statiz.sporki.com/player/?m=playerinfo&amp;p_no=14839" xr:uid="{1C562FEA-D10D-460E-BA68-3BAC78E46D39}"/>
    <hyperlink ref="J452" r:id="rId12592" display="https://statiz.sporki.com/player/?m=playerinfo&amp;p_no=14835" xr:uid="{DDA248A1-013C-4DDB-8ECF-B2AC6E45CE40}"/>
    <hyperlink ref="J453" r:id="rId12593" display="https://statiz.sporki.com/player/?m=playerinfo&amp;p_no=14837" xr:uid="{7E4B592A-D251-498E-8BE8-934AE4278405}"/>
    <hyperlink ref="J454" r:id="rId12594" display="https://statiz.sporki.com/player/?m=playerinfo&amp;p_no=14834" xr:uid="{C8115C2B-82D2-4692-8CEE-CE64BB338330}"/>
    <hyperlink ref="J455" r:id="rId12595" display="https://statiz.sporki.com/player/?m=playerinfo&amp;p_no=14995" xr:uid="{7AC208F8-BFF5-42D7-9777-DC8B22934851}"/>
    <hyperlink ref="J456" r:id="rId12596" display="https://statiz.sporki.com/player/?m=playerinfo&amp;p_no=14820" xr:uid="{B74AA9A5-83DF-42D2-9EA2-39F5D7530A64}"/>
    <hyperlink ref="J457" r:id="rId12597" display="https://statiz.sporki.com/player/?m=playerinfo&amp;p_no=14819" xr:uid="{99F1A67E-9307-4D95-845F-0F9A520F1F3A}"/>
    <hyperlink ref="J458" r:id="rId12598" display="https://statiz.sporki.com/player/?m=playerinfo&amp;p_no=14852" xr:uid="{C90EBAD1-E34F-4E25-A4C4-8DA9FA530CFC}"/>
    <hyperlink ref="J459" r:id="rId12599" display="https://statiz.sporki.com/player/?m=playerinfo&amp;p_no=14880" xr:uid="{13675BDB-0D21-4558-B4B1-2E77D8E467BF}"/>
    <hyperlink ref="J460" r:id="rId12600" display="https://statiz.sporki.com/player/?m=playerinfo&amp;p_no=14879" xr:uid="{CF7605D4-F5FC-43FD-B863-2871DEBE4F1A}"/>
    <hyperlink ref="J461" r:id="rId12601" display="https://statiz.sporki.com/player/?m=playerinfo&amp;p_no=14878" xr:uid="{CCFE2660-C2B4-4BF5-85A9-77F8D923C0FD}"/>
    <hyperlink ref="J462" r:id="rId12602" display="https://statiz.sporki.com/player/?m=playerinfo&amp;p_no=14608" xr:uid="{E819EBC5-6CC4-4B9B-AA73-F7A9569094B1}"/>
    <hyperlink ref="J463" r:id="rId12603" display="https://statiz.sporki.com/player/?m=playerinfo&amp;p_no=14600" xr:uid="{B11C65C3-301B-41B5-9D76-FD9DFC97E662}"/>
    <hyperlink ref="J464" r:id="rId12604" display="https://statiz.sporki.com/player/?m=playerinfo&amp;p_no=14589" xr:uid="{972E63DB-ED76-4C6A-B97C-6F9AB2ED61C4}"/>
    <hyperlink ref="J465" r:id="rId12605" display="https://statiz.sporki.com/player/?m=playerinfo&amp;p_no=14593" xr:uid="{9630D8F8-2DB5-4C0E-A5C0-8AA1DF6FF86C}"/>
    <hyperlink ref="J466" r:id="rId12606" display="https://statiz.sporki.com/player/?m=playerinfo&amp;p_no=14581" xr:uid="{00DDAA91-86E6-4CDE-BF91-B91719C7348C}"/>
    <hyperlink ref="J467" r:id="rId12607" display="https://statiz.sporki.com/player/?m=playerinfo&amp;p_no=14572" xr:uid="{F2352536-B484-40ED-8BEF-B0957E3904D5}"/>
    <hyperlink ref="J468" r:id="rId12608" display="https://statiz.sporki.com/player/?m=playerinfo&amp;p_no=14624" xr:uid="{6DDDDE8B-593A-4867-AC6E-D8B179325AE3}"/>
    <hyperlink ref="J469" r:id="rId12609" display="https://statiz.sporki.com/player/?m=playerinfo&amp;p_no=14615" xr:uid="{A13FA676-C059-4E5A-AC03-E13C34869559}"/>
    <hyperlink ref="J470" r:id="rId12610" display="https://statiz.sporki.com/player/?m=playerinfo&amp;p_no=14580" xr:uid="{8F212690-74C6-4793-9ACB-7588FDD43754}"/>
    <hyperlink ref="J471" r:id="rId12611" display="https://statiz.sporki.com/player/?m=playerinfo&amp;p_no=14620" xr:uid="{B2B26110-4181-44AD-A1D5-8AC9967D94B8}"/>
    <hyperlink ref="J472" r:id="rId12612" display="https://statiz.sporki.com/player/?m=playerinfo&amp;p_no=14611" xr:uid="{F9A3ABD1-7843-4BE5-8EBC-52B51E88F4E7}"/>
    <hyperlink ref="J473" r:id="rId12613" display="https://statiz.sporki.com/player/?m=playerinfo&amp;p_no=14603" xr:uid="{277F9369-9CBB-4BB5-998E-D49C54BCD702}"/>
    <hyperlink ref="J474" r:id="rId12614" display="https://statiz.sporki.com/player/?m=playerinfo&amp;p_no=14588" xr:uid="{D15892D4-88E7-44A1-B7C8-4852E5E973B3}"/>
    <hyperlink ref="J475" r:id="rId12615" display="https://statiz.sporki.com/player/?m=playerinfo&amp;p_no=14595" xr:uid="{DEED3376-70EC-4358-8176-7D0AFCA4CC52}"/>
    <hyperlink ref="J476" r:id="rId12616" display="https://statiz.sporki.com/player/?m=playerinfo&amp;p_no=14699" xr:uid="{7D1B64E4-029D-4656-A07D-4E6669CA124F}"/>
    <hyperlink ref="J477" r:id="rId12617" display="https://statiz.sporki.com/player/?m=playerinfo&amp;p_no=14570" xr:uid="{BA9F763C-73B9-4A5D-A01B-ECED743D61EC}"/>
    <hyperlink ref="J478" r:id="rId12618" display="https://statiz.sporki.com/player/?m=playerinfo&amp;p_no=14625" xr:uid="{53395973-AE6D-4458-A07C-82BC6DE23708}"/>
    <hyperlink ref="J479" r:id="rId12619" display="https://statiz.sporki.com/player/?m=playerinfo&amp;p_no=14613" xr:uid="{F252F1C4-0BD1-49D2-B96B-46043C69DE9D}"/>
    <hyperlink ref="J480" r:id="rId12620" display="https://statiz.sporki.com/player/?m=playerinfo&amp;p_no=14576" xr:uid="{D8499CB7-B33A-4702-8A33-B4B7558EE4D6}"/>
    <hyperlink ref="J481" r:id="rId12621" display="https://statiz.sporki.com/player/?m=playerinfo&amp;p_no=14619" xr:uid="{30175DC0-481D-4313-BB04-3FD085E0BB0F}"/>
    <hyperlink ref="J482" r:id="rId12622" display="https://statiz.sporki.com/player/?m=playerinfo&amp;p_no=14612" xr:uid="{33EE7702-8EEC-4EBC-9F70-F2229ABE1FB4}"/>
    <hyperlink ref="J483" r:id="rId12623" display="https://statiz.sporki.com/player/?m=playerinfo&amp;p_no=14606" xr:uid="{841F61E0-2447-4D54-B4DC-019FC730E462}"/>
    <hyperlink ref="J484" r:id="rId12624" display="https://statiz.sporki.com/player/?m=playerinfo&amp;p_no=14591" xr:uid="{0FBA2BC4-306C-4643-B89E-7D0485DA5451}"/>
    <hyperlink ref="J485" r:id="rId12625" display="https://statiz.sporki.com/player/?m=playerinfo&amp;p_no=14597" xr:uid="{9793FFAB-98BE-4970-BDAD-3F4CCB0BBE81}"/>
    <hyperlink ref="J486" r:id="rId12626" display="https://statiz.sporki.com/player/?m=playerinfo&amp;p_no=14585" xr:uid="{4F3A0F51-D7BF-4A9A-B8EA-61D9E8B1BF0D}"/>
    <hyperlink ref="J487" r:id="rId12627" display="https://statiz.sporki.com/player/?m=playerinfo&amp;p_no=14573" xr:uid="{21218C15-7AB2-4936-9392-05A47A83DA43}"/>
    <hyperlink ref="J488" r:id="rId12628" display="https://statiz.sporki.com/player/?m=playerinfo&amp;p_no=14623" xr:uid="{B978857B-C579-4326-B7E6-5A70E0043CBD}"/>
    <hyperlink ref="J489" r:id="rId12629" display="https://statiz.sporki.com/player/?m=playerinfo&amp;p_no=14618" xr:uid="{48714C68-C0A5-4AC7-B634-621B47EB316A}"/>
    <hyperlink ref="J490" r:id="rId12630" display="https://statiz.sporki.com/player/?m=playerinfo&amp;p_no=14695" xr:uid="{7CEE9269-9D59-4D2A-B38F-580FEFCC395B}"/>
    <hyperlink ref="J491" r:id="rId12631" display="https://statiz.sporki.com/player/?m=playerinfo&amp;p_no=14621" xr:uid="{83A4A218-E18F-4DEC-B12C-C5E9EF3B38B2}"/>
    <hyperlink ref="J492" r:id="rId12632" display="https://statiz.sporki.com/player/?m=playerinfo&amp;p_no=14655" xr:uid="{3AD74FB7-BFA4-49B2-8273-591975A2C2C2}"/>
    <hyperlink ref="J493" r:id="rId12633" display="https://statiz.sporki.com/player/?m=playerinfo&amp;p_no=14601" xr:uid="{8278145F-A3AE-40C6-B384-FEF3937DF9A1}"/>
    <hyperlink ref="J494" r:id="rId12634" display="https://statiz.sporki.com/player/?m=playerinfo&amp;p_no=14590" xr:uid="{0DF77AFD-5B32-4D40-A829-F55E823C58E4}"/>
    <hyperlink ref="J495" r:id="rId12635" display="https://statiz.sporki.com/player/?m=playerinfo&amp;p_no=14598" xr:uid="{945C616F-D5D5-4551-9B56-F4A8C5734094}"/>
    <hyperlink ref="J496" r:id="rId12636" display="https://statiz.sporki.com/player/?m=playerinfo&amp;p_no=14587" xr:uid="{C62B376D-EC47-440A-9993-DFBC8A500314}"/>
    <hyperlink ref="J497" r:id="rId12637" display="https://statiz.sporki.com/player/?m=playerinfo&amp;p_no=14574" xr:uid="{FE879E2C-83EE-4239-BBC5-F48FE14F83B5}"/>
    <hyperlink ref="J498" r:id="rId12638" display="https://statiz.sporki.com/player/?m=playerinfo&amp;p_no=14622" xr:uid="{46765FA4-2269-4237-AF4F-E9D98734BB50}"/>
    <hyperlink ref="J499" r:id="rId12639" display="https://statiz.sporki.com/player/?m=playerinfo&amp;p_no=14614" xr:uid="{15936310-5BEA-49AE-9438-2F3788C6AA98}"/>
    <hyperlink ref="J500" r:id="rId12640" display="https://statiz.sporki.com/player/?m=playerinfo&amp;p_no=14674" xr:uid="{969F0EC7-CDE8-492A-A49A-81A5CC640B1C}"/>
    <hyperlink ref="J501" r:id="rId12641" display="https://statiz.sporki.com/player/?m=playerinfo&amp;p_no=14706" xr:uid="{4930E46F-0468-4D65-81DA-FE23058C1C69}"/>
    <hyperlink ref="J502" r:id="rId12642" display="https://statiz.sporki.com/player/?m=playerinfo&amp;p_no=14607" xr:uid="{E986824D-05FF-4857-9BEC-8F8BA1E5FA2B}"/>
    <hyperlink ref="J503" r:id="rId12643" display="https://statiz.sporki.com/player/?m=playerinfo&amp;p_no=14605" xr:uid="{A22707DD-5DB5-4450-A4BE-DE89DBC6D4E2}"/>
    <hyperlink ref="J504" r:id="rId12644" display="https://statiz.sporki.com/player/?m=playerinfo&amp;p_no=14660" xr:uid="{3EF4DFD0-9F48-4828-8D31-235EDEA13192}"/>
    <hyperlink ref="J505" r:id="rId12645" display="https://statiz.sporki.com/player/?m=playerinfo&amp;p_no=14594" xr:uid="{BE84FE9A-4B48-4B79-9110-F6B1C2C55754}"/>
    <hyperlink ref="J506" r:id="rId12646" display="https://statiz.sporki.com/player/?m=playerinfo&amp;p_no=14584" xr:uid="{20AF3D7E-7754-47C5-AFD4-3CE0F8C86297}"/>
    <hyperlink ref="J507" r:id="rId12647" display="https://statiz.sporki.com/player/?m=playerinfo&amp;p_no=14732" xr:uid="{5BAC9C4A-FD64-4AD0-866C-44F9315C8BD4}"/>
    <hyperlink ref="J508" r:id="rId12648" display="https://statiz.sporki.com/player/?m=playerinfo&amp;p_no=14628" xr:uid="{B1620D07-F1EA-4539-8808-80AA593491C1}"/>
    <hyperlink ref="J509" r:id="rId12649" display="https://statiz.sporki.com/player/?m=playerinfo&amp;p_no=14616" xr:uid="{AF5BDFBA-8136-4864-ABFF-C599A2AB9D24}"/>
    <hyperlink ref="J510" r:id="rId12650" display="https://statiz.sporki.com/player/?m=playerinfo&amp;p_no=14577" xr:uid="{124AACD9-9BCF-473A-A7A9-0F9E5F38955B}"/>
    <hyperlink ref="J511" r:id="rId12651" display="https://statiz.sporki.com/player/?m=playerinfo&amp;p_no=14708" xr:uid="{1C87991C-10FB-4049-AF59-B9CD51008EFD}"/>
    <hyperlink ref="J512" r:id="rId12652" display="https://statiz.sporki.com/player/?m=playerinfo&amp;p_no=14645" xr:uid="{68A62918-D68E-4669-9A62-AC01E7863A38}"/>
    <hyperlink ref="J513" r:id="rId12653" display="https://statiz.sporki.com/player/?m=playerinfo&amp;p_no=14723" xr:uid="{1D9B093C-CF29-479E-81BC-25520CD75A0D}"/>
    <hyperlink ref="J514" r:id="rId12654" display="https://statiz.sporki.com/player/?m=playerinfo&amp;p_no=14669" xr:uid="{744DC6CC-B9C4-474F-9864-0097E62732E4}"/>
    <hyperlink ref="J515" r:id="rId12655" display="https://statiz.sporki.com/player/?m=playerinfo&amp;p_no=14647" xr:uid="{B4B4BF56-9EDD-4F75-8DF1-E767344E6970}"/>
    <hyperlink ref="J516" r:id="rId12656" display="https://statiz.sporki.com/player/?m=playerinfo&amp;p_no=14684" xr:uid="{44515A09-8984-4DFB-A879-ADE97B1C7F4D}"/>
    <hyperlink ref="J517" r:id="rId12657" display="https://statiz.sporki.com/player/?m=playerinfo&amp;p_no=14736" xr:uid="{A74C1219-F1CD-4FDB-BF5B-2807612FE436}"/>
    <hyperlink ref="J518" r:id="rId12658" display="https://statiz.sporki.com/player/?m=playerinfo&amp;p_no=14642" xr:uid="{6730A508-689A-45ED-952F-93B6BEA8B1AB}"/>
    <hyperlink ref="J519" r:id="rId12659" display="https://statiz.sporki.com/player/?m=playerinfo&amp;p_no=14668" xr:uid="{9EB0FDF9-167C-4605-893C-6E80ED8F4843}"/>
    <hyperlink ref="J520" r:id="rId12660" display="https://statiz.sporki.com/player/?m=playerinfo&amp;p_no=14693" xr:uid="{F23E4DEA-E247-4D59-A1AC-08302506A071}"/>
    <hyperlink ref="J521" r:id="rId12661" display="https://statiz.sporki.com/player/?m=playerinfo&amp;p_no=14714" xr:uid="{D13EE123-6FA6-4524-9CED-5BDAB3B575AC}"/>
    <hyperlink ref="J522" r:id="rId12662" display="https://statiz.sporki.com/player/?m=playerinfo&amp;p_no=14657" xr:uid="{74CE28E7-EFBF-427C-ACE7-5D817832F3DA}"/>
    <hyperlink ref="J523" r:id="rId12663" display="https://statiz.sporki.com/player/?m=playerinfo&amp;p_no=14717" xr:uid="{6F37F959-E16C-4688-BC9D-C8CE2F0394DC}"/>
    <hyperlink ref="J524" r:id="rId12664" display="https://statiz.sporki.com/player/?m=playerinfo&amp;p_no=14671" xr:uid="{F7BD37B3-922E-4544-820A-207D7FDB1F56}"/>
    <hyperlink ref="J525" r:id="rId12665" display="https://statiz.sporki.com/player/?m=playerinfo&amp;p_no=14656" xr:uid="{4D3ED542-CD2A-4620-86F9-9A4A4BC6F42B}"/>
    <hyperlink ref="J526" r:id="rId12666" display="https://statiz.sporki.com/player/?m=playerinfo&amp;p_no=14586" xr:uid="{098E1DF6-D741-4549-A9F8-B708BBF5388F}"/>
    <hyperlink ref="J527" r:id="rId12667" display="https://statiz.sporki.com/player/?m=playerinfo&amp;p_no=14737" xr:uid="{9A92370F-A006-4B62-A12D-522727E27662}"/>
    <hyperlink ref="J528" r:id="rId12668" display="https://statiz.sporki.com/player/?m=playerinfo&amp;p_no=14640" xr:uid="{26E48578-5396-4791-BA5D-0A5B7D2BEFED}"/>
    <hyperlink ref="J529" r:id="rId12669" display="https://statiz.sporki.com/player/?m=playerinfo&amp;p_no=14666" xr:uid="{913AD0E4-DFFF-4000-B5BE-76D446C763D8}"/>
    <hyperlink ref="J530" r:id="rId12670" display="https://statiz.sporki.com/player/?m=playerinfo&amp;p_no=14578" xr:uid="{B3CACA88-D09C-49D3-91C9-C4B253FD2DE5}"/>
    <hyperlink ref="J531" r:id="rId12671" display="https://statiz.sporki.com/player/?m=playerinfo&amp;p_no=14707" xr:uid="{C5319B78-8BE9-4A3D-8E97-9B861D2402BF}"/>
    <hyperlink ref="J532" r:id="rId12672" display="https://statiz.sporki.com/player/?m=playerinfo&amp;p_no=14673" xr:uid="{DC2AF74D-B35D-4822-B05C-44A46E0D68A2}"/>
    <hyperlink ref="J533" r:id="rId12673" display="https://statiz.sporki.com/player/?m=playerinfo&amp;p_no=14604" xr:uid="{CAFBDB72-AB19-4C8C-AC81-7077CD474C35}"/>
    <hyperlink ref="J534" r:id="rId12674" display="https://statiz.sporki.com/player/?m=playerinfo&amp;p_no=14680" xr:uid="{BC9EE92A-3100-474A-9536-AEF4A9F3DD76}"/>
    <hyperlink ref="J535" r:id="rId12675" display="https://statiz.sporki.com/player/?m=playerinfo&amp;p_no=14716" xr:uid="{E403FF3A-7AE8-4E69-95CF-7E2DEFBCADE7}"/>
    <hyperlink ref="J536" r:id="rId12676" display="https://statiz.sporki.com/player/?m=playerinfo&amp;p_no=14685" xr:uid="{21D0EDDF-16BC-40D6-88B6-94D3A04ABF09}"/>
    <hyperlink ref="J537" r:id="rId12677" display="https://statiz.sporki.com/player/?m=playerinfo&amp;p_no=14730" xr:uid="{4E04790A-F6E4-4857-A6EA-110B1A2FA32C}"/>
    <hyperlink ref="J538" r:id="rId12678" display="https://statiz.sporki.com/player/?m=playerinfo&amp;p_no=14631" xr:uid="{C9151FCC-2BCE-4703-BE1A-3D07C0035507}"/>
    <hyperlink ref="J539" r:id="rId12679" display="https://statiz.sporki.com/player/?m=playerinfo&amp;p_no=14698" xr:uid="{BCC0AE31-AAAA-4BAA-94CA-A7A2843483C5}"/>
    <hyperlink ref="J540" r:id="rId12680" display="https://statiz.sporki.com/player/?m=playerinfo&amp;p_no=14701" xr:uid="{804BEAB3-64DD-4A73-9437-E75D3CDACE8E}"/>
    <hyperlink ref="J541" r:id="rId12681" display="https://statiz.sporki.com/player/?m=playerinfo&amp;p_no=14715" xr:uid="{3CD9C0FD-5885-4A44-973E-53B3BECF714D}"/>
    <hyperlink ref="J542" r:id="rId12682" display="https://statiz.sporki.com/player/?m=playerinfo&amp;p_no=14644" xr:uid="{40998190-9B0D-4048-803D-B1F57B3A4CA9}"/>
    <hyperlink ref="J543" r:id="rId12683" display="https://statiz.sporki.com/player/?m=playerinfo&amp;p_no=14720" xr:uid="{65191EF5-025C-4515-9028-2F0EFBA7DC7C}"/>
    <hyperlink ref="J544" r:id="rId12684" display="https://statiz.sporki.com/player/?m=playerinfo&amp;p_no=14667" xr:uid="{44E2E4B3-85C0-4BD4-85F7-83038B665C2C}"/>
    <hyperlink ref="J545" r:id="rId12685" display="https://statiz.sporki.com/player/?m=playerinfo&amp;p_no=14659" xr:uid="{648F3FAF-F4C7-4415-AA4E-67F737644E62}"/>
    <hyperlink ref="J546" r:id="rId12686" display="https://statiz.sporki.com/player/?m=playerinfo&amp;p_no=14689" xr:uid="{93318057-F7BF-49E6-A81F-810851D896FF}"/>
    <hyperlink ref="J547" r:id="rId12687" display="https://statiz.sporki.com/player/?m=playerinfo&amp;p_no=14738" xr:uid="{79CE7247-D447-434B-963B-C0B448E2696C}"/>
    <hyperlink ref="J548" r:id="rId12688" display="https://statiz.sporki.com/player/?m=playerinfo&amp;p_no=14643" xr:uid="{67E2997F-704E-495B-B5E2-21DAA5FF77E8}"/>
    <hyperlink ref="J549" r:id="rId12689" display="https://statiz.sporki.com/player/?m=playerinfo&amp;p_no=14696" xr:uid="{2B89545F-725A-4558-9FAC-0DDDD291B2F3}"/>
    <hyperlink ref="J550" r:id="rId12690" display="https://statiz.sporki.com/player/?m=playerinfo&amp;p_no=14683" xr:uid="{349373C0-EC88-49B1-A451-D9AC4E0385E9}"/>
    <hyperlink ref="J551" r:id="rId12691" display="https://statiz.sporki.com/player/?m=playerinfo&amp;p_no=14704" xr:uid="{98FF4D63-3260-4051-A05D-09411AE39576}"/>
    <hyperlink ref="J552" r:id="rId12692" display="https://statiz.sporki.com/player/?m=playerinfo&amp;p_no=14690" xr:uid="{F2E2C8CD-C51E-467D-BF2B-D86218CBC1A5}"/>
    <hyperlink ref="J553" r:id="rId12693" display="https://statiz.sporki.com/player/?m=playerinfo&amp;p_no=14718" xr:uid="{6C510917-765B-4FCE-9B1E-85CC9666AFA2}"/>
    <hyperlink ref="J554" r:id="rId12694" display="https://statiz.sporki.com/player/?m=playerinfo&amp;p_no=14678" xr:uid="{CD49E87B-5CF1-412A-B1FC-A99FEEBF665B}"/>
    <hyperlink ref="J555" r:id="rId12695" display="https://statiz.sporki.com/player/?m=playerinfo&amp;p_no=14651" xr:uid="{9924939C-2E46-4532-B578-2F7F80638286}"/>
    <hyperlink ref="J556" r:id="rId12696" display="https://statiz.sporki.com/player/?m=playerinfo&amp;p_no=14692" xr:uid="{56E97BA2-D5BF-45D0-AECF-89D6235831B4}"/>
    <hyperlink ref="J557" r:id="rId12697" display="https://statiz.sporki.com/player/?m=playerinfo&amp;p_no=14733" xr:uid="{8B0B228F-A457-42FB-ADA9-A7F5B6861D75}"/>
    <hyperlink ref="J558" r:id="rId12698" display="https://statiz.sporki.com/player/?m=playerinfo&amp;p_no=14638" xr:uid="{C477C549-7687-4392-A6B0-540F0FA8063F}"/>
    <hyperlink ref="J559" r:id="rId12699" display="https://statiz.sporki.com/player/?m=playerinfo&amp;p_no=14664" xr:uid="{DD2FCE37-C54D-4597-8CF1-C0C90C2D41B0}"/>
    <hyperlink ref="J560" r:id="rId12700" display="https://statiz.sporki.com/player/?m=playerinfo&amp;p_no=14700" xr:uid="{3FB53BFD-A98C-4E9C-9834-FB648DF5CED5}"/>
    <hyperlink ref="J561" r:id="rId12701" display="https://statiz.sporki.com/player/?m=playerinfo&amp;p_no=14710" xr:uid="{9A958CDD-EFC0-4DFC-A66A-9773D26C91AB}"/>
    <hyperlink ref="J562" r:id="rId12702" display="https://statiz.sporki.com/player/?m=playerinfo&amp;p_no=14658" xr:uid="{53439FDA-47CB-422D-9054-332FE16F84CA}"/>
    <hyperlink ref="J563" r:id="rId12703" display="https://statiz.sporki.com/player/?m=playerinfo&amp;p_no=14724" xr:uid="{4E70982B-B213-444B-8828-97F14E0E0A37}"/>
    <hyperlink ref="J564" r:id="rId12704" display="https://statiz.sporki.com/player/?m=playerinfo&amp;p_no=14665" xr:uid="{EB0BB369-7E5B-4F17-B4B9-484594BFE254}"/>
    <hyperlink ref="J565" r:id="rId12705" display="https://statiz.sporki.com/player/?m=playerinfo&amp;p_no=14648" xr:uid="{C2CE6893-8A7D-4DB8-BA8E-215809ECBDFD}"/>
    <hyperlink ref="J566" r:id="rId12706" display="https://statiz.sporki.com/player/?m=playerinfo&amp;p_no=14687" xr:uid="{04B90693-AD56-4EC7-827F-3E1A82ED8CE5}"/>
    <hyperlink ref="J567" r:id="rId12707" display="https://statiz.sporki.com/player/?m=playerinfo&amp;p_no=14571" xr:uid="{84271C92-908B-4F74-A37E-09E30A35E1E9}"/>
    <hyperlink ref="J568" r:id="rId12708" display="https://statiz.sporki.com/player/?m=playerinfo&amp;p_no=14637" xr:uid="{F5AB2530-11BA-461A-B6C5-CBF545B9C442}"/>
    <hyperlink ref="J569" r:id="rId12709" display="https://statiz.sporki.com/player/?m=playerinfo&amp;p_no=14694" xr:uid="{6FE91021-E7E2-4A28-9349-503ECAE22CE2}"/>
    <hyperlink ref="J570" r:id="rId12710" display="https://statiz.sporki.com/player/?m=playerinfo&amp;p_no=14681" xr:uid="{62BF1A82-516B-4FB7-9062-57114EAD53A3}"/>
    <hyperlink ref="J571" r:id="rId12711" display="https://statiz.sporki.com/player/?m=playerinfo&amp;p_no=14711" xr:uid="{C14EE558-0747-41B4-899E-6667DF57BF91}"/>
    <hyperlink ref="J572" r:id="rId12712" display="https://statiz.sporki.com/player/?m=playerinfo&amp;p_no=14609" xr:uid="{79D23DB8-481A-47B0-9281-DCDDB9EFA55E}"/>
    <hyperlink ref="J573" r:id="rId12713" display="https://statiz.sporki.com/player/?m=playerinfo&amp;p_no=14610" xr:uid="{0997489E-CD55-4634-B7A1-1F9CB4AAABC0}"/>
    <hyperlink ref="J574" r:id="rId12714" display="https://statiz.sporki.com/player/?m=playerinfo&amp;p_no=14602" xr:uid="{4CCBC368-74BE-4E66-9490-47D50487DB24}"/>
    <hyperlink ref="J575" r:id="rId12715" display="https://statiz.sporki.com/player/?m=playerinfo&amp;p_no=14592" xr:uid="{BA2D4C17-68AE-460A-BC02-A8D6A3777F22}"/>
    <hyperlink ref="J576" r:id="rId12716" display="https://statiz.sporki.com/player/?m=playerinfo&amp;p_no=14596" xr:uid="{C60C789C-4189-433E-B686-73EBC93B284B}"/>
    <hyperlink ref="J577" r:id="rId12717" display="https://statiz.sporki.com/player/?m=playerinfo&amp;p_no=14599" xr:uid="{56F5196E-2B76-41C6-B41A-7FC2A7088B1B}"/>
    <hyperlink ref="J578" r:id="rId12718" display="https://statiz.sporki.com/player/?m=playerinfo&amp;p_no=14582" xr:uid="{E3B1671C-E955-434D-829E-B853112249CC}"/>
    <hyperlink ref="J579" r:id="rId12719" display="https://statiz.sporki.com/player/?m=playerinfo&amp;p_no=14583" xr:uid="{860F416E-0DAA-42CC-AA98-A7179E7A8A0A}"/>
    <hyperlink ref="J580" r:id="rId12720" display="https://statiz.sporki.com/player/?m=playerinfo&amp;p_no=14744" xr:uid="{69F0FF2F-4AFD-47CC-9DAA-629A5A987CB8}"/>
    <hyperlink ref="J581" r:id="rId12721" display="https://statiz.sporki.com/player/?m=playerinfo&amp;p_no=14575" xr:uid="{67A688FA-47D1-4019-B89C-D1777FAC863F}"/>
    <hyperlink ref="J582" r:id="rId12722" display="https://statiz.sporki.com/player/?m=playerinfo&amp;p_no=14626" xr:uid="{0D4AA945-7147-472D-96CB-09BA2E584E34}"/>
    <hyperlink ref="J583" r:id="rId12723" display="https://statiz.sporki.com/player/?m=playerinfo&amp;p_no=14629" xr:uid="{BBA40099-95F6-4A3E-83A1-AAA86208DEF8}"/>
    <hyperlink ref="J584" r:id="rId12724" display="https://statiz.sporki.com/player/?m=playerinfo&amp;p_no=14627" xr:uid="{75A0D287-D2B9-4454-97D5-40F35B909EE9}"/>
    <hyperlink ref="J585" r:id="rId12725" display="https://statiz.sporki.com/player/?m=playerinfo&amp;p_no=14630" xr:uid="{325B841F-653B-46E5-BBE0-5714FAC8F0AF}"/>
    <hyperlink ref="J586" r:id="rId12726" display="https://statiz.sporki.com/player/?m=playerinfo&amp;p_no=14617" xr:uid="{83B7726B-5C4A-4667-9F0D-A527072BBA01}"/>
    <hyperlink ref="J587" r:id="rId12727" display="https://statiz.sporki.com/player/?m=playerinfo&amp;p_no=14743" xr:uid="{ACA95FBE-C5ED-4B2C-BC52-1FBEFCEA63C0}"/>
    <hyperlink ref="J588" r:id="rId12728" display="https://statiz.sporki.com/player/?m=playerinfo&amp;p_no=14742" xr:uid="{EFEA595A-E59D-430B-9204-ABA55D05313D}"/>
    <hyperlink ref="J589" r:id="rId12729" display="https://statiz.sporki.com/player/?m=playerinfo&amp;p_no=14579" xr:uid="{9E4C63D8-06C0-4153-B258-A6F76CB5F303}"/>
    <hyperlink ref="J590" r:id="rId12730" display="https://statiz.sporki.com/player/?m=playerinfo&amp;p_no=14741" xr:uid="{5F0361CE-A570-4D8D-B08F-0CD14A2FF9EA}"/>
    <hyperlink ref="J591" r:id="rId12731" display="https://statiz.sporki.com/player/?m=playerinfo&amp;p_no=14825" xr:uid="{2FCC7AB3-86A0-4B5D-A20F-E956150FD3AF}"/>
    <hyperlink ref="J592" r:id="rId12732" display="https://statiz.sporki.com/player/?m=playerinfo&amp;p_no=14727" xr:uid="{4B8189D2-FF1C-4A00-8061-B33FC6021BCF}"/>
    <hyperlink ref="J593" r:id="rId12733" display="https://statiz.sporki.com/player/?m=playerinfo&amp;p_no=14728" xr:uid="{2C3530B3-901A-4D45-8025-DCD9E07E68ED}"/>
    <hyperlink ref="J594" r:id="rId12734" display="https://statiz.sporki.com/player/?m=playerinfo&amp;p_no=14729" xr:uid="{94D2C872-F629-4CBE-871B-B49B931502E8}"/>
    <hyperlink ref="J595" r:id="rId12735" display="https://statiz.sporki.com/player/?m=playerinfo&amp;p_no=14726" xr:uid="{E7853194-28DC-4F9E-BE26-69E07391DE72}"/>
    <hyperlink ref="J596" r:id="rId12736" display="https://statiz.sporki.com/player/?m=playerinfo&amp;p_no=14725" xr:uid="{B4648AEA-C883-4AC4-87B7-1880A1F6E340}"/>
    <hyperlink ref="J597" r:id="rId12737" display="https://statiz.sporki.com/player/?m=playerinfo&amp;p_no=14719" xr:uid="{07248B7F-F6CA-4C9C-92EE-F32564AE09CF}"/>
    <hyperlink ref="J598" r:id="rId12738" display="https://statiz.sporki.com/player/?m=playerinfo&amp;p_no=14672" xr:uid="{70CB4316-B5F2-467C-8259-D9CEA528F658}"/>
    <hyperlink ref="J599" r:id="rId12739" display="https://statiz.sporki.com/player/?m=playerinfo&amp;p_no=14670" xr:uid="{11A64EF9-9F74-4F8B-B28C-6A634E30063C}"/>
    <hyperlink ref="J600" r:id="rId12740" display="https://statiz.sporki.com/player/?m=playerinfo&amp;p_no=14675" xr:uid="{C9C81AD6-5BAA-4F88-8BFA-625C85ECBFE9}"/>
    <hyperlink ref="J601" r:id="rId12741" display="https://statiz.sporki.com/player/?m=playerinfo&amp;p_no=14661" xr:uid="{936920F4-7BC5-46CB-8709-E840740A0A30}"/>
    <hyperlink ref="J602" r:id="rId12742" display="https://statiz.sporki.com/player/?m=playerinfo&amp;p_no=13677" xr:uid="{45539EF0-4824-4779-BF38-5A0327C9FE52}"/>
    <hyperlink ref="J603" r:id="rId12743" display="https://statiz.sporki.com/player/?m=playerinfo&amp;p_no=14691" xr:uid="{3A0A50B2-43F0-46E6-B552-9931BB11F846}"/>
    <hyperlink ref="J604" r:id="rId12744" display="https://statiz.sporki.com/player/?m=playerinfo&amp;p_no=14688" xr:uid="{95174AC8-88CA-4DB3-BAAE-377B32694415}"/>
    <hyperlink ref="J605" r:id="rId12745" display="https://statiz.sporki.com/player/?m=playerinfo&amp;p_no=14682" xr:uid="{570F18C2-E187-49E6-9A60-7594F397291A}"/>
    <hyperlink ref="J606" r:id="rId12746" display="https://statiz.sporki.com/player/?m=playerinfo&amp;p_no=14886" xr:uid="{8292F517-A49C-4E36-95A1-4FA95EDE8BA4}"/>
    <hyperlink ref="J607" r:id="rId12747" display="https://statiz.sporki.com/player/?m=playerinfo&amp;p_no=14735" xr:uid="{4CD14CFD-D0B2-41BB-8197-32DCB5FF01BA}"/>
    <hyperlink ref="J608" r:id="rId12748" display="https://statiz.sporki.com/player/?m=playerinfo&amp;p_no=14731" xr:uid="{B1DD7B7C-8DF8-4094-8B66-0899881219D6}"/>
    <hyperlink ref="J609" r:id="rId12749" display="https://statiz.sporki.com/player/?m=playerinfo&amp;p_no=14734" xr:uid="{4F94CCF0-6E57-4967-8575-980F64922889}"/>
    <hyperlink ref="J610" r:id="rId12750" display="https://statiz.sporki.com/player/?m=playerinfo&amp;p_no=13665" xr:uid="{4675341F-B854-48F2-B58A-4D522B77FB9B}"/>
    <hyperlink ref="J611" r:id="rId12751" display="https://statiz.sporki.com/player/?m=playerinfo&amp;p_no=14636" xr:uid="{3A5FCD9C-F3F5-4D04-8DF4-556F6ABF02B7}"/>
    <hyperlink ref="J612" r:id="rId12752" display="https://statiz.sporki.com/player/?m=playerinfo&amp;p_no=14635" xr:uid="{D27813D3-887D-4EE3-90AF-13DD775E8F30}"/>
    <hyperlink ref="J613" r:id="rId12753" display="https://statiz.sporki.com/player/?m=playerinfo&amp;p_no=14641" xr:uid="{0902DCFC-DB19-4336-858C-21B6B1E301BC}"/>
    <hyperlink ref="J614" r:id="rId12754" display="https://statiz.sporki.com/player/?m=playerinfo&amp;p_no=14703" xr:uid="{DE36B16E-CAA7-4AF9-9605-8DFFB7DE4191}"/>
    <hyperlink ref="J615" r:id="rId12755" display="https://statiz.sporki.com/player/?m=playerinfo&amp;p_no=14705" xr:uid="{D785D43E-71B5-487E-80F5-230EBA68FD75}"/>
    <hyperlink ref="J616" r:id="rId12756" display="https://statiz.sporki.com/player/?m=playerinfo&amp;p_no=14712" xr:uid="{5D3F635D-2596-461F-A60E-A8878CF207FC}"/>
    <hyperlink ref="J617" r:id="rId12757" display="https://statiz.sporki.com/player/?m=playerinfo&amp;p_no=14176" xr:uid="{C5611C12-5F46-4857-824F-07220CDECEF8}"/>
    <hyperlink ref="J618" r:id="rId12758" display="https://statiz.sporki.com/player/?m=playerinfo&amp;p_no=14106" xr:uid="{C6698A9E-09EC-4B30-BD53-BF30B4E2A343}"/>
    <hyperlink ref="J619" r:id="rId12759" display="https://statiz.sporki.com/player/?m=playerinfo&amp;p_no=14134" xr:uid="{6483FEB9-FC38-4277-B180-15685E3C05F2}"/>
    <hyperlink ref="J620" r:id="rId12760" display="https://statiz.sporki.com/player/?m=playerinfo&amp;p_no=14188" xr:uid="{6011AD08-EE5E-4BD4-963B-0D350700F16D}"/>
    <hyperlink ref="J621" r:id="rId12761" display="https://statiz.sporki.com/player/?m=playerinfo&amp;p_no=14145" xr:uid="{3B714132-7A35-415C-AD41-3C9CEFE892DD}"/>
    <hyperlink ref="J622" r:id="rId12762" display="https://statiz.sporki.com/player/?m=playerinfo&amp;p_no=14130" xr:uid="{30141677-48AB-41CB-8524-D08BB6B2127A}"/>
    <hyperlink ref="J623" r:id="rId12763" display="https://statiz.sporki.com/player/?m=playerinfo&amp;p_no=14170" xr:uid="{60ED8819-E7C2-473B-B995-3BDCB39B052C}"/>
    <hyperlink ref="J624" r:id="rId12764" display="https://statiz.sporki.com/player/?m=playerinfo&amp;p_no=14159" xr:uid="{0BC4D156-1CD7-4BA9-AA47-AFE1FA307A0E}"/>
    <hyperlink ref="J625" r:id="rId12765" display="https://statiz.sporki.com/player/?m=playerinfo&amp;p_no=14113" xr:uid="{8AF57140-B29F-4A52-A941-A51CDEF70539}"/>
    <hyperlink ref="J626" r:id="rId12766" display="https://statiz.sporki.com/player/?m=playerinfo&amp;p_no=14124" xr:uid="{FDB9243C-614B-4DFE-8589-EC3984E9E17F}"/>
    <hyperlink ref="J627" r:id="rId12767" display="https://statiz.sporki.com/player/?m=playerinfo&amp;p_no=14177" xr:uid="{77478F63-5E28-49D6-8E5C-F7D707E7A7DA}"/>
    <hyperlink ref="J628" r:id="rId12768" display="https://statiz.sporki.com/player/?m=playerinfo&amp;p_no=11907" xr:uid="{DD4904CD-C8D1-4B68-A268-0BC3D5CA66BA}"/>
    <hyperlink ref="J629" r:id="rId12769" display="https://statiz.sporki.com/player/?m=playerinfo&amp;p_no=14135" xr:uid="{0E4E119F-B267-4443-8894-F6C9152CF54A}"/>
    <hyperlink ref="J630" r:id="rId12770" display="https://statiz.sporki.com/player/?m=playerinfo&amp;p_no=14155" xr:uid="{220C92D3-816A-4155-A62B-1FDC1FD07257}"/>
    <hyperlink ref="J631" r:id="rId12771" display="https://statiz.sporki.com/player/?m=playerinfo&amp;p_no=14146" xr:uid="{692C33B2-1169-44EC-80A5-F0F3AAA7925F}"/>
    <hyperlink ref="J632" r:id="rId12772" display="https://statiz.sporki.com/player/?m=playerinfo&amp;p_no=14131" xr:uid="{D658FE90-3212-4021-A48C-CB0724D98BC2}"/>
    <hyperlink ref="J633" r:id="rId12773" display="https://statiz.sporki.com/player/?m=playerinfo&amp;p_no=14171" xr:uid="{CF87034B-012C-40B7-8766-D9E1B2CBEF6E}"/>
    <hyperlink ref="J634" r:id="rId12774" display="https://statiz.sporki.com/player/?m=playerinfo&amp;p_no=14160" xr:uid="{29BD3412-BD64-41EC-AA51-DDA7B0F2B73E}"/>
    <hyperlink ref="J635" r:id="rId12775" display="https://statiz.sporki.com/player/?m=playerinfo&amp;p_no=14114" xr:uid="{C40A3D11-5EE0-4CAC-8034-789DF3DA05CB}"/>
    <hyperlink ref="J636" r:id="rId12776" display="https://statiz.sporki.com/player/?m=playerinfo&amp;p_no=14125" xr:uid="{A48E39BD-DC10-4ECE-873D-6429FA8771EB}"/>
    <hyperlink ref="J637" r:id="rId12777" display="https://statiz.sporki.com/player/?m=playerinfo&amp;p_no=14178" xr:uid="{66884EEE-0E25-47C3-BF30-C05E08030814}"/>
    <hyperlink ref="J638" r:id="rId12778" display="https://statiz.sporki.com/player/?m=playerinfo&amp;p_no=14107" xr:uid="{4367EA0E-9859-4CE2-B689-DAFA311DA014}"/>
    <hyperlink ref="J639" r:id="rId12779" display="https://statiz.sporki.com/player/?m=playerinfo&amp;p_no=14136" xr:uid="{04A68450-6931-49D9-804A-AEA8B85169FC}"/>
    <hyperlink ref="J640" r:id="rId12780" display="https://statiz.sporki.com/player/?m=playerinfo&amp;p_no=14156" xr:uid="{A067314A-9E7F-416A-85B6-9983D58B59C4}"/>
    <hyperlink ref="J641" r:id="rId12781" display="https://statiz.sporki.com/player/?m=playerinfo&amp;p_no=14147" xr:uid="{01E4284C-EBA1-4C16-BFEE-61BE23A691BB}"/>
    <hyperlink ref="J642" r:id="rId12782" display="https://statiz.sporki.com/player/?m=playerinfo&amp;p_no=14132" xr:uid="{90A248F0-AF24-43E7-B2A9-9D2749B22255}"/>
    <hyperlink ref="J643" r:id="rId12783" display="https://statiz.sporki.com/player/?m=playerinfo&amp;p_no=14172" xr:uid="{BF683CA2-1146-44A8-B4C7-8E5AFABA7527}"/>
    <hyperlink ref="J644" r:id="rId12784" display="https://statiz.sporki.com/player/?m=playerinfo&amp;p_no=14161" xr:uid="{35E91FA4-2EB4-431C-A11D-44AAF016E898}"/>
    <hyperlink ref="J645" r:id="rId12785" display="https://statiz.sporki.com/player/?m=playerinfo&amp;p_no=14115" xr:uid="{FB393CF9-9266-4B8E-A11A-C9EC55073483}"/>
    <hyperlink ref="J646" r:id="rId12786" display="https://statiz.sporki.com/player/?m=playerinfo&amp;p_no=14126" xr:uid="{383A53AC-A2CB-40A2-BEA9-7155DA7ECCFA}"/>
    <hyperlink ref="J647" r:id="rId12787" display="https://statiz.sporki.com/player/?m=playerinfo&amp;p_no=14179" xr:uid="{079607E2-E880-4E85-BD4C-AE310B33C2D8}"/>
    <hyperlink ref="J648" r:id="rId12788" display="https://statiz.sporki.com/player/?m=playerinfo&amp;p_no=14108" xr:uid="{13058FA2-22BA-480F-B59A-93C13A45FFE9}"/>
    <hyperlink ref="J649" r:id="rId12789" display="https://statiz.sporki.com/player/?m=playerinfo&amp;p_no=14137" xr:uid="{1EDD278A-1814-450B-8DCE-B012C73D710E}"/>
    <hyperlink ref="J650" r:id="rId12790" display="https://statiz.sporki.com/player/?m=playerinfo&amp;p_no=14157" xr:uid="{06D5BD02-BD02-4B07-ADAB-51E4226A8BDF}"/>
    <hyperlink ref="J651" r:id="rId12791" display="https://statiz.sporki.com/player/?m=playerinfo&amp;p_no=14148" xr:uid="{FBC6F2D4-E40B-49B0-AE7F-AE34008CCAAF}"/>
    <hyperlink ref="J652" r:id="rId12792" display="https://statiz.sporki.com/player/?m=playerinfo&amp;p_no=14133" xr:uid="{34A48C2C-F370-4BCC-AC4B-BDF1AF9A736A}"/>
    <hyperlink ref="J653" r:id="rId12793" display="https://statiz.sporki.com/player/?m=playerinfo&amp;p_no=14173" xr:uid="{94E650EF-A3FC-4FB9-9081-2E21802DD43D}"/>
    <hyperlink ref="J654" r:id="rId12794" display="https://statiz.sporki.com/player/?m=playerinfo&amp;p_no=14162" xr:uid="{D8B38CE6-571D-4698-86EE-48938796506A}"/>
    <hyperlink ref="J655" r:id="rId12795" display="https://statiz.sporki.com/player/?m=playerinfo&amp;p_no=14116" xr:uid="{E2B5A1C2-17C1-415D-88DC-C40C8AEC8745}"/>
    <hyperlink ref="J656" r:id="rId12796" display="https://statiz.sporki.com/player/?m=playerinfo&amp;p_no=14127" xr:uid="{D77F2488-EFB7-434F-BB63-A27299DC8EFC}"/>
    <hyperlink ref="J657" r:id="rId12797" display="https://statiz.sporki.com/player/?m=playerinfo&amp;p_no=14180" xr:uid="{1D69E67D-AA8E-449F-93FA-76273D0CD513}"/>
    <hyperlink ref="J658" r:id="rId12798" display="https://statiz.sporki.com/player/?m=playerinfo&amp;p_no=14109" xr:uid="{C170B94F-89BC-452F-9C4F-505782B5A826}"/>
    <hyperlink ref="J659" r:id="rId12799" display="https://statiz.sporki.com/player/?m=playerinfo&amp;p_no=14138" xr:uid="{6AEA4838-CF90-40DA-A8A1-A07084D0F484}"/>
    <hyperlink ref="J660" r:id="rId12800" display="https://statiz.sporki.com/player/?m=playerinfo&amp;p_no=14158" xr:uid="{D440FC98-7243-4CF4-940B-9F767E80AA89}"/>
    <hyperlink ref="J661" r:id="rId12801" display="https://statiz.sporki.com/player/?m=playerinfo&amp;p_no=14149" xr:uid="{6AD7133F-CB46-4659-88D0-5D2A067CE0F2}"/>
    <hyperlink ref="J662" r:id="rId12802" display="https://statiz.sporki.com/player/?m=playerinfo&amp;p_no=14480" xr:uid="{B66A79C7-B60C-4849-A5DA-FBD8177B856F}"/>
    <hyperlink ref="J663" r:id="rId12803" display="https://statiz.sporki.com/player/?m=playerinfo&amp;p_no=14174" xr:uid="{9A4E7527-F2C8-4AD1-A241-8EB16011F227}"/>
    <hyperlink ref="J664" r:id="rId12804" display="https://statiz.sporki.com/player/?m=playerinfo&amp;p_no=14163" xr:uid="{9201C073-75BE-4FDD-8FB2-F718EB0FD01A}"/>
    <hyperlink ref="J665" r:id="rId12805" display="https://statiz.sporki.com/player/?m=playerinfo&amp;p_no=14117" xr:uid="{78D8834E-6812-4D83-B50B-FEA401154089}"/>
    <hyperlink ref="J666" r:id="rId12806" display="https://statiz.sporki.com/player/?m=playerinfo&amp;p_no=14128" xr:uid="{8A7F032B-8600-4D06-951D-D467DD560F64}"/>
    <hyperlink ref="J667" r:id="rId12807" display="https://statiz.sporki.com/player/?m=playerinfo&amp;p_no=14181" xr:uid="{8913FA42-01C1-42D9-A996-C0AD2FC016EE}"/>
    <hyperlink ref="J668" r:id="rId12808" display="https://statiz.sporki.com/player/?m=playerinfo&amp;p_no=14110" xr:uid="{4570814F-2C5F-43C2-8189-5A2E5F661EAC}"/>
    <hyperlink ref="J669" r:id="rId12809" display="https://statiz.sporki.com/player/?m=playerinfo&amp;p_no=14139" xr:uid="{B1EAB082-6A46-42F6-9C5D-23F6FE9F7D5B}"/>
    <hyperlink ref="J670" r:id="rId12810" display="https://statiz.sporki.com/player/?m=playerinfo&amp;p_no=14222" xr:uid="{6846E2F1-1CB3-4C64-A8B9-659B8C935C42}"/>
    <hyperlink ref="J671" r:id="rId12811" display="https://statiz.sporki.com/player/?m=playerinfo&amp;p_no=14150" xr:uid="{C36138A1-C08F-478C-A896-FC45233F810F}"/>
    <hyperlink ref="J672" r:id="rId12812" display="https://statiz.sporki.com/player/?m=playerinfo&amp;p_no=14212" xr:uid="{784FF2C7-A6E9-4494-A68D-7CF3C8D36F5D}"/>
    <hyperlink ref="J673" r:id="rId12813" display="https://statiz.sporki.com/player/?m=playerinfo&amp;p_no=14175" xr:uid="{83A079FD-8DC7-48CE-9BDC-13AEED8739E1}"/>
    <hyperlink ref="J674" r:id="rId12814" display="https://statiz.sporki.com/player/?m=playerinfo&amp;p_no=14164" xr:uid="{35CA65DE-26DA-43ED-99E9-FF8FA51484A6}"/>
    <hyperlink ref="J675" r:id="rId12815" display="https://statiz.sporki.com/player/?m=playerinfo&amp;p_no=14118" xr:uid="{455E6BE2-4254-4790-B9D7-89A4EB139718}"/>
    <hyperlink ref="J676" r:id="rId12816" display="https://statiz.sporki.com/player/?m=playerinfo&amp;p_no=14209" xr:uid="{6142CA09-C06D-492F-A33B-32F194349A83}"/>
    <hyperlink ref="J677" r:id="rId12817" display="https://statiz.sporki.com/player/?m=playerinfo&amp;p_no=14182" xr:uid="{D605F677-64CD-4197-9E50-72540BBF8FA8}"/>
    <hyperlink ref="J678" r:id="rId12818" display="https://statiz.sporki.com/player/?m=playerinfo&amp;p_no=14191" xr:uid="{D3E343C7-4264-4A0F-B080-24B1F0CA59F6}"/>
    <hyperlink ref="J679" r:id="rId12819" display="https://statiz.sporki.com/player/?m=playerinfo&amp;p_no=14140" xr:uid="{80834828-2D9A-4B85-8F78-4BE50306834F}"/>
    <hyperlink ref="J680" r:id="rId12820" display="https://statiz.sporki.com/player/?m=playerinfo&amp;p_no=14654" xr:uid="{5D9F3B47-6C7A-4272-9773-E72B02EB87AA}"/>
    <hyperlink ref="J681" r:id="rId12821" display="https://statiz.sporki.com/player/?m=playerinfo&amp;p_no=14151" xr:uid="{8AEE9CFB-9558-4A22-94B4-9B6D92651E9D}"/>
    <hyperlink ref="J682" r:id="rId12822" display="https://statiz.sporki.com/player/?m=playerinfo&amp;p_no=14211" xr:uid="{5798650B-058F-4CCC-9851-E56A4FFC5506}"/>
    <hyperlink ref="J683" r:id="rId12823" display="https://statiz.sporki.com/player/?m=playerinfo&amp;p_no=14569" xr:uid="{4E354454-EE8B-4378-AF20-EC79A17F44F9}"/>
    <hyperlink ref="J684" r:id="rId12824" display="https://statiz.sporki.com/player/?m=playerinfo&amp;p_no=14165" xr:uid="{B252081A-3F87-4255-BEB2-DDF1305D43A3}"/>
    <hyperlink ref="J685" r:id="rId12825" display="https://statiz.sporki.com/player/?m=playerinfo&amp;p_no=14119" xr:uid="{4E860E98-6848-4621-BC60-C3D137A56263}"/>
    <hyperlink ref="J686" r:id="rId12826" display="https://statiz.sporki.com/player/?m=playerinfo&amp;p_no=14713" xr:uid="{DCEC7BF5-BFA1-4ACA-86FD-7B061ABA5A85}"/>
    <hyperlink ref="J687" r:id="rId12827" display="https://statiz.sporki.com/player/?m=playerinfo&amp;p_no=14183" xr:uid="{8C78A0C9-9B08-445B-B8CF-76069D77D4F4}"/>
    <hyperlink ref="J688" r:id="rId12828" display="https://statiz.sporki.com/player/?m=playerinfo&amp;p_no=14111" xr:uid="{1EBC88BE-F1DC-439B-8A67-37D24EF82F29}"/>
    <hyperlink ref="J689" r:id="rId12829" display="https://statiz.sporki.com/player/?m=playerinfo&amp;p_no=14141" xr:uid="{3B672FA3-9DEE-49C7-8C7B-6C5DCE76F465}"/>
    <hyperlink ref="J690" r:id="rId12830" display="https://statiz.sporki.com/player/?m=playerinfo&amp;p_no=14221" xr:uid="{E3DAF118-8849-4631-B223-E92FF2AE427F}"/>
    <hyperlink ref="J691" r:id="rId12831" display="https://statiz.sporki.com/player/?m=playerinfo&amp;p_no=14152" xr:uid="{CEAD5ECD-2819-4D6F-B237-25CA02E1B91D}"/>
    <hyperlink ref="J692" r:id="rId12832" display="https://statiz.sporki.com/player/?m=playerinfo&amp;p_no=14677" xr:uid="{B8F30539-E1FC-45BD-ABD7-EBEC2EBE7621}"/>
    <hyperlink ref="J693" r:id="rId12833" display="https://statiz.sporki.com/player/?m=playerinfo&amp;p_no=14166" xr:uid="{35AF162E-BA94-4011-80EA-C342DE389E91}"/>
    <hyperlink ref="J694" r:id="rId12834" display="https://statiz.sporki.com/player/?m=playerinfo&amp;p_no=14120" xr:uid="{6E2100F5-4811-4B2D-BB14-C78F64BAB96F}"/>
    <hyperlink ref="J695" r:id="rId12835" display="https://statiz.sporki.com/player/?m=playerinfo&amp;p_no=14709" xr:uid="{37EACD53-3078-4D88-84AD-3EF5DFFE7A1B}"/>
    <hyperlink ref="J696" r:id="rId12836" display="https://statiz.sporki.com/player/?m=playerinfo&amp;p_no=14184" xr:uid="{F7687AB1-B90C-42FE-AE46-311FD8FC8DFF}"/>
    <hyperlink ref="J697" r:id="rId12837" display="https://statiz.sporki.com/player/?m=playerinfo&amp;p_no=14112" xr:uid="{13116A49-B00E-4379-8686-AEA67C36B2C8}"/>
    <hyperlink ref="J698" r:id="rId12838" display="https://statiz.sporki.com/player/?m=playerinfo&amp;p_no=14142" xr:uid="{3F21763C-E952-4903-9911-9D953564B647}"/>
    <hyperlink ref="J699" r:id="rId12839" display="https://statiz.sporki.com/player/?m=playerinfo&amp;p_no=14650" xr:uid="{49A3BEA3-9F29-4B10-B1C5-0095F5CD47F3}"/>
    <hyperlink ref="J700" r:id="rId12840" display="https://statiz.sporki.com/player/?m=playerinfo&amp;p_no=14153" xr:uid="{D5FA6213-8720-41AB-BD31-0891D999BB92}"/>
    <hyperlink ref="J701" r:id="rId12841" display="https://statiz.sporki.com/player/?m=playerinfo&amp;p_no=14218" xr:uid="{B43212C8-83E5-4B64-92DA-EB11DF02B5A3}"/>
    <hyperlink ref="J702" r:id="rId12842" display="https://statiz.sporki.com/player/?m=playerinfo&amp;p_no=14205" xr:uid="{D8B85FA7-BA3B-4A95-86F0-2F62CE14CA78}"/>
    <hyperlink ref="J703" r:id="rId12843" display="https://statiz.sporki.com/player/?m=playerinfo&amp;p_no=14167" xr:uid="{19316594-8DE8-4C22-B5A6-24A36156EB4C}"/>
    <hyperlink ref="J704" r:id="rId12844" display="https://statiz.sporki.com/player/?m=playerinfo&amp;p_no=14121" xr:uid="{68C1DBD8-7DA9-4506-970D-6D6BDBD11727}"/>
    <hyperlink ref="J705" r:id="rId12845" display="https://statiz.sporki.com/player/?m=playerinfo&amp;p_no=14210" xr:uid="{55FFBB3D-6B92-407B-8AC1-FD7FA04ED302}"/>
    <hyperlink ref="J706" r:id="rId12846" display="https://statiz.sporki.com/player/?m=playerinfo&amp;p_no=14185" xr:uid="{905996D9-D82E-4869-9F08-2CE26634394D}"/>
    <hyperlink ref="J707" r:id="rId12847" display="https://statiz.sporki.com/player/?m=playerinfo&amp;p_no=14190" xr:uid="{6DD96498-127A-467C-B9A4-53983326A105}"/>
    <hyperlink ref="J708" r:id="rId12848" display="https://statiz.sporki.com/player/?m=playerinfo&amp;p_no=14143" xr:uid="{E7E000E9-F397-4EB2-9082-54BC56F52CF0}"/>
    <hyperlink ref="J709" r:id="rId12849" display="https://statiz.sporki.com/player/?m=playerinfo&amp;p_no=14220" xr:uid="{57C5F303-4B0D-443A-B14F-74E5B1D33C6F}"/>
    <hyperlink ref="J710" r:id="rId12850" display="https://statiz.sporki.com/player/?m=playerinfo&amp;p_no=14154" xr:uid="{4A87AF2D-D2C3-4812-89BA-F8DFEC2A5D2F}"/>
    <hyperlink ref="J711" r:id="rId12851" display="https://statiz.sporki.com/player/?m=playerinfo&amp;p_no=14216" xr:uid="{9EB875B6-88D1-4C20-9DA8-79E9291F7498}"/>
    <hyperlink ref="J712" r:id="rId12852" display="https://statiz.sporki.com/player/?m=playerinfo&amp;p_no=14652" xr:uid="{0888FC4B-1E03-4F8F-AF8C-CD80806445E0}"/>
    <hyperlink ref="J713" r:id="rId12853" display="https://statiz.sporki.com/player/?m=playerinfo&amp;p_no=14168" xr:uid="{2FDD773F-8018-4280-894C-2AD320DF2ED5}"/>
    <hyperlink ref="J714" r:id="rId12854" display="https://statiz.sporki.com/player/?m=playerinfo&amp;p_no=14122" xr:uid="{76A51284-18D2-45A6-BB6D-D6BABC01A6AE}"/>
    <hyperlink ref="J715" r:id="rId12855" display="https://statiz.sporki.com/player/?m=playerinfo&amp;p_no=14204" xr:uid="{5F775EFB-6C64-4D49-AA11-0F1B0A0F4E7A}"/>
    <hyperlink ref="J716" r:id="rId12856" display="https://statiz.sporki.com/player/?m=playerinfo&amp;p_no=14186" xr:uid="{979A9150-560F-45A1-83B0-42AC4DB99814}"/>
    <hyperlink ref="J717" r:id="rId12857" display="https://statiz.sporki.com/player/?m=playerinfo&amp;p_no=14192" xr:uid="{BC7A50A4-C455-49E2-AEE2-445D12B4EF9D}"/>
    <hyperlink ref="J718" r:id="rId12858" display="https://statiz.sporki.com/player/?m=playerinfo&amp;p_no=14144" xr:uid="{28660399-26CE-484A-BB18-D447DB72E8BB}"/>
    <hyperlink ref="J719" r:id="rId12859" display="https://statiz.sporki.com/player/?m=playerinfo&amp;p_no=14649" xr:uid="{0500AE0E-7108-4164-AB98-45AADC7EC565}"/>
    <hyperlink ref="J720" r:id="rId12860" display="https://statiz.sporki.com/player/?m=playerinfo&amp;p_no=14214" xr:uid="{5D448D14-8BE9-42D5-885D-180412DDCBB8}"/>
    <hyperlink ref="J721" r:id="rId12861" display="https://statiz.sporki.com/player/?m=playerinfo&amp;p_no=14653" xr:uid="{5A6964A6-70B4-487A-A011-83B4E13D01A4}"/>
    <hyperlink ref="J722" r:id="rId12862" display="https://statiz.sporki.com/player/?m=playerinfo&amp;p_no=14169" xr:uid="{FA0E549D-18CD-44D0-900A-74AEA39162C9}"/>
    <hyperlink ref="J723" r:id="rId12863" display="https://statiz.sporki.com/player/?m=playerinfo&amp;p_no=14123" xr:uid="{02F4F9C5-38D4-434D-918E-B3A4FC8B1064}"/>
    <hyperlink ref="J724" r:id="rId12864" display="https://statiz.sporki.com/player/?m=playerinfo&amp;p_no=14129" xr:uid="{7F2958C0-63F4-4067-8520-7CA4958C81F5}"/>
    <hyperlink ref="J725" r:id="rId12865" display="https://statiz.sporki.com/player/?m=playerinfo&amp;p_no=14224" xr:uid="{16135E36-27E2-4EB5-B46D-FC96967AB4A3}"/>
    <hyperlink ref="J726" r:id="rId12866" display="https://statiz.sporki.com/player/?m=playerinfo&amp;p_no=13924" xr:uid="{167CDEF3-23CB-4B52-BA47-91DCCC583D97}"/>
    <hyperlink ref="J727" r:id="rId12867" display="https://statiz.sporki.com/player/?m=playerinfo&amp;p_no=13926" xr:uid="{DCABCD90-FFEA-4F2D-8DAE-4FCD182E081E}"/>
    <hyperlink ref="J728" r:id="rId12868" display="https://statiz.sporki.com/player/?m=playerinfo&amp;p_no=13925" xr:uid="{6CE8F539-1F6F-48A8-A376-8DCF3A542463}"/>
    <hyperlink ref="J729" r:id="rId12869" display="https://statiz.sporki.com/player/?m=playerinfo&amp;p_no=13942" xr:uid="{21C97040-E3CE-419D-BE30-9D3FB2CE100D}"/>
    <hyperlink ref="J730" r:id="rId12870" display="https://statiz.sporki.com/player/?m=playerinfo&amp;p_no=13941" xr:uid="{B88D0D54-8B05-424B-A768-3C49B9649980}"/>
    <hyperlink ref="J731" r:id="rId12871" display="https://statiz.sporki.com/player/?m=playerinfo&amp;p_no=13934" xr:uid="{134F9EFE-0334-460C-BBA9-F8CA1AB35160}"/>
    <hyperlink ref="J732" r:id="rId12872" display="https://statiz.sporki.com/player/?m=playerinfo&amp;p_no=14228" xr:uid="{2074E41C-A196-49EF-93C5-15D4B12CE443}"/>
    <hyperlink ref="J733" r:id="rId12873" display="https://statiz.sporki.com/player/?m=playerinfo&amp;p_no=13935" xr:uid="{11FCCF6C-CC4C-493C-A20D-561394D8D1A6}"/>
    <hyperlink ref="J734" r:id="rId12874" display="https://statiz.sporki.com/player/?m=playerinfo&amp;p_no=13932" xr:uid="{C3A22DD3-C6BB-4385-A0E5-D77DF7C5AC22}"/>
    <hyperlink ref="J735" r:id="rId12875" display="https://statiz.sporki.com/player/?m=playerinfo&amp;p_no=13930" xr:uid="{11E85885-A303-4B35-9744-E9523AB0484C}"/>
    <hyperlink ref="J736" r:id="rId12876" display="https://statiz.sporki.com/player/?m=playerinfo&amp;p_no=13931" xr:uid="{5E054924-9DE4-495A-AC15-09DD4F4AFC10}"/>
    <hyperlink ref="J737" r:id="rId12877" display="https://statiz.sporki.com/player/?m=playerinfo&amp;p_no=14226" xr:uid="{B64B1AFC-5EC2-45AD-B446-C89402ADDDD9}"/>
    <hyperlink ref="J738" r:id="rId12878" display="https://statiz.sporki.com/player/?m=playerinfo&amp;p_no=14227" xr:uid="{12D2B51F-E302-4DF4-8B49-7AE647E36617}"/>
    <hyperlink ref="J739" r:id="rId12879" display="https://statiz.sporki.com/player/?m=playerinfo&amp;p_no=13933" xr:uid="{A3FFEBC1-EF10-4E2E-A3C0-B773A60FBD64}"/>
    <hyperlink ref="J740" r:id="rId12880" display="https://statiz.sporki.com/player/?m=playerinfo&amp;p_no=13940" xr:uid="{4DE30994-9A73-4772-B106-9742CCEBD0E5}"/>
    <hyperlink ref="J741" r:id="rId12881" display="https://statiz.sporki.com/player/?m=playerinfo&amp;p_no=13927" xr:uid="{D7A91A5A-FF1C-422B-847C-4289D8165076}"/>
    <hyperlink ref="J742" r:id="rId12882" display="https://statiz.sporki.com/player/?m=playerinfo&amp;p_no=13929" xr:uid="{1BAE20A0-2CBB-4E28-B5CF-86900C85899C}"/>
    <hyperlink ref="J743" r:id="rId12883" display="https://statiz.sporki.com/player/?m=playerinfo&amp;p_no=13928" xr:uid="{80779095-E2D7-41C7-9D6F-E03C178B7E4C}"/>
    <hyperlink ref="J744" r:id="rId12884" display="https://statiz.sporki.com/player/?m=playerinfo&amp;p_no=14225" xr:uid="{2F942F2D-36D3-434C-A416-0C66BFA33D36}"/>
    <hyperlink ref="J745" r:id="rId12885" display="https://statiz.sporki.com/player/?m=playerinfo&amp;p_no=13936" xr:uid="{136C7EE3-B3B2-4541-AF71-9D18A30A164C}"/>
    <hyperlink ref="J746" r:id="rId12886" display="https://statiz.sporki.com/player/?m=playerinfo&amp;p_no=13937" xr:uid="{8E39E732-8216-427A-8E0E-76CBFD6A6971}"/>
    <hyperlink ref="J747" r:id="rId12887" display="https://statiz.sporki.com/player/?m=playerinfo&amp;p_no=14232" xr:uid="{0A41FC36-80F0-4BE4-9EB9-5453795A56D3}"/>
    <hyperlink ref="J748" r:id="rId12888" display="https://statiz.sporki.com/player/?m=playerinfo&amp;p_no=14230" xr:uid="{7FED2750-C7B3-4643-9946-B68EF0DEF5B7}"/>
    <hyperlink ref="J749" r:id="rId12889" display="https://statiz.sporki.com/player/?m=playerinfo&amp;p_no=13939" xr:uid="{4BC9AB4D-9172-40D4-AA7F-F49F3DB04666}"/>
    <hyperlink ref="J750" r:id="rId12890" display="https://statiz.sporki.com/player/?m=playerinfo&amp;p_no=13938" xr:uid="{66DF943B-9415-4970-8E29-D22F4ED3B769}"/>
    <hyperlink ref="J751" r:id="rId12891" display="https://statiz.sporki.com/player/?m=playerinfo&amp;p_no=14679" xr:uid="{160726CA-A6E0-463E-A952-1F013AE4F560}"/>
    <hyperlink ref="J752" r:id="rId12892" display="https://statiz.sporki.com/player/?m=playerinfo&amp;p_no=14189" xr:uid="{C82C894B-D38A-47BC-BF58-07A176F892DC}"/>
    <hyperlink ref="J753" r:id="rId12893" display="https://statiz.sporki.com/player/?m=playerinfo&amp;p_no=14219" xr:uid="{74DD3E0D-F87B-493D-9A21-F2DC68B9D93B}"/>
    <hyperlink ref="J754" r:id="rId12894" display="https://statiz.sporki.com/player/?m=playerinfo&amp;p_no=14200" xr:uid="{B631EDFB-9EEC-4F09-B22F-F5C949F854C3}"/>
    <hyperlink ref="J755" r:id="rId12895" display="https://statiz.sporki.com/player/?m=playerinfo&amp;p_no=14199" xr:uid="{93AD4072-1633-499D-B7A8-C270032EDF34}"/>
    <hyperlink ref="J756" r:id="rId12896" display="https://statiz.sporki.com/player/?m=playerinfo&amp;p_no=14198" xr:uid="{31E58593-252E-46E7-9042-064C3FD14F73}"/>
    <hyperlink ref="J757" r:id="rId12897" display="https://statiz.sporki.com/player/?m=playerinfo&amp;p_no=14213" xr:uid="{4E953277-F3DA-44F4-BD53-583AA5E8ED26}"/>
    <hyperlink ref="J758" r:id="rId12898" display="https://statiz.sporki.com/player/?m=playerinfo&amp;p_no=14196" xr:uid="{DE4942B9-64D2-486F-B0EE-8A9AA70800D5}"/>
    <hyperlink ref="J759" r:id="rId12899" display="https://statiz.sporki.com/player/?m=playerinfo&amp;p_no=14195" xr:uid="{5038433A-E531-49AC-B93E-FEEA4E4705E3}"/>
    <hyperlink ref="J760" r:id="rId12900" display="https://statiz.sporki.com/player/?m=playerinfo&amp;p_no=14202" xr:uid="{E658A2A0-42DA-4633-A0F0-AB0C106B161F}"/>
    <hyperlink ref="J761" r:id="rId12901" display="https://statiz.sporki.com/player/?m=playerinfo&amp;p_no=14201" xr:uid="{69D55B0B-1A54-42EE-BE2B-ECF8C3038F9E}"/>
    <hyperlink ref="J762" r:id="rId12902" display="https://statiz.sporki.com/player/?m=playerinfo&amp;p_no=14215" xr:uid="{1D6A20DD-FDE4-4CE3-98C2-9F2A83EBD848}"/>
    <hyperlink ref="J763" r:id="rId12903" display="https://statiz.sporki.com/player/?m=playerinfo&amp;p_no=14206" xr:uid="{B196D337-367C-4D99-98FB-F7D400984CA5}"/>
    <hyperlink ref="J764" r:id="rId12904" display="https://statiz.sporki.com/player/?m=playerinfo&amp;p_no=14207" xr:uid="{3158F7C1-A2EF-4732-9DA0-CD61B96B96A4}"/>
    <hyperlink ref="J765" r:id="rId12905" display="https://statiz.sporki.com/player/?m=playerinfo&amp;p_no=13113" xr:uid="{71E6D0EA-5D7F-4DC4-AA4A-C8D8A18AAC94}"/>
    <hyperlink ref="J766" r:id="rId12906" display="https://statiz.sporki.com/player/?m=playerinfo&amp;p_no=13167" xr:uid="{803C3D3C-32FD-4DE8-8C91-9B045EA9A71D}"/>
    <hyperlink ref="J767" r:id="rId12907" display="https://statiz.sporki.com/player/?m=playerinfo&amp;p_no=13102" xr:uid="{6B5B4C56-45A3-466C-ADB4-DA129FE665C9}"/>
    <hyperlink ref="J768" r:id="rId12908" display="https://statiz.sporki.com/player/?m=playerinfo&amp;p_no=13080" xr:uid="{C83A50A4-9CF1-48E8-B12A-F3400D91675E}"/>
    <hyperlink ref="J769" r:id="rId12909" display="https://statiz.sporki.com/player/?m=playerinfo&amp;p_no=13124" xr:uid="{D594B4C8-074F-4505-9824-20B338552972}"/>
    <hyperlink ref="J770" r:id="rId12910" display="https://statiz.sporki.com/player/?m=playerinfo&amp;p_no=13091" xr:uid="{1217BACC-B4D0-46E1-8FB3-0B48B55E234C}"/>
    <hyperlink ref="J771" r:id="rId12911" display="https://statiz.sporki.com/player/?m=playerinfo&amp;p_no=13061" xr:uid="{FA978BC7-1D36-4474-B505-4C72C963A7CC}"/>
    <hyperlink ref="J772" r:id="rId12912" display="https://statiz.sporki.com/player/?m=playerinfo&amp;p_no=13145" xr:uid="{BF756A86-E63D-47E4-9E0A-21E44D697CF9}"/>
    <hyperlink ref="J773" r:id="rId12913" display="https://statiz.sporki.com/player/?m=playerinfo&amp;p_no=13156" xr:uid="{AF49E3B0-650E-41D8-9AE9-A01D3545E017}"/>
    <hyperlink ref="J774" r:id="rId12914" display="https://statiz.sporki.com/player/?m=playerinfo&amp;p_no=13134" xr:uid="{2963DEC5-AEE1-49DD-8F66-264BAEE79CA6}"/>
    <hyperlink ref="J775" r:id="rId12915" display="https://statiz.sporki.com/player/?m=playerinfo&amp;p_no=13114" xr:uid="{929480FD-C3E0-4F83-8A9C-1AC8CC06FB59}"/>
    <hyperlink ref="J776" r:id="rId12916" display="https://statiz.sporki.com/player/?m=playerinfo&amp;p_no=13168" xr:uid="{D760BAA9-CA00-48B5-B283-4FCB3E2B0575}"/>
    <hyperlink ref="J777" r:id="rId12917" display="https://statiz.sporki.com/player/?m=playerinfo&amp;p_no=13103" xr:uid="{A93ECC6E-8788-4D08-BEAE-20EEBC086BA2}"/>
    <hyperlink ref="J778" r:id="rId12918" display="https://statiz.sporki.com/player/?m=playerinfo&amp;p_no=13081" xr:uid="{B9B66164-5B8A-458D-860E-FF821F4D68E3}"/>
    <hyperlink ref="J779" r:id="rId12919" display="https://statiz.sporki.com/player/?m=playerinfo&amp;p_no=13125" xr:uid="{46F8A2A4-3243-4E36-8087-3AD3DD139642}"/>
    <hyperlink ref="J780" r:id="rId12920" display="https://statiz.sporki.com/player/?m=playerinfo&amp;p_no=13092" xr:uid="{D061FE39-70A8-4A03-BC64-50BC61E2CCE0}"/>
    <hyperlink ref="J781" r:id="rId12921" display="https://statiz.sporki.com/player/?m=playerinfo&amp;p_no=13070" xr:uid="{0F325BA1-9AB1-4C25-85FA-29179DA65F98}"/>
    <hyperlink ref="J782" r:id="rId12922" display="https://statiz.sporki.com/player/?m=playerinfo&amp;p_no=13146" xr:uid="{54086AE4-71FC-4CED-A744-05FABE61ACDD}"/>
    <hyperlink ref="J783" r:id="rId12923" display="https://statiz.sporki.com/player/?m=playerinfo&amp;p_no=13157" xr:uid="{145A0776-9DC1-4346-84D5-F690962BE946}"/>
    <hyperlink ref="J784" r:id="rId12924" display="https://statiz.sporki.com/player/?m=playerinfo&amp;p_no=13135" xr:uid="{1AAF6582-349A-4B61-8FEC-AABDDF2CA9E8}"/>
    <hyperlink ref="J785" r:id="rId12925" display="https://statiz.sporki.com/player/?m=playerinfo&amp;p_no=13115" xr:uid="{F50379C6-B226-473C-AD51-15E9BF27C37D}"/>
    <hyperlink ref="J786" r:id="rId12926" display="https://statiz.sporki.com/player/?m=playerinfo&amp;p_no=13169" xr:uid="{65E6963F-A634-4E78-B6B7-986BCA6B891B}"/>
    <hyperlink ref="J787" r:id="rId12927" display="https://statiz.sporki.com/player/?m=playerinfo&amp;p_no=13104" xr:uid="{7BB5BF39-99CB-4D3A-A41C-88E951605108}"/>
    <hyperlink ref="J788" r:id="rId12928" display="https://statiz.sporki.com/player/?m=playerinfo&amp;p_no=13082" xr:uid="{BF3BDD93-09F5-45CF-91FF-7C44CCF737B6}"/>
    <hyperlink ref="J789" r:id="rId12929" display="https://statiz.sporki.com/player/?m=playerinfo&amp;p_no=13126" xr:uid="{92A57DF2-240C-4BCE-85EE-7E8D97A82CA8}"/>
    <hyperlink ref="J790" r:id="rId12930" display="https://statiz.sporki.com/player/?m=playerinfo&amp;p_no=13093" xr:uid="{71BB828D-E580-4A69-A8A2-A95B12844B1B}"/>
    <hyperlink ref="J791" r:id="rId12931" display="https://statiz.sporki.com/player/?m=playerinfo&amp;p_no=13071" xr:uid="{C7FF5D9E-F065-4263-96FF-F4454CEC15C2}"/>
    <hyperlink ref="J792" r:id="rId12932" display="https://statiz.sporki.com/player/?m=playerinfo&amp;p_no=13147" xr:uid="{9CFFCB46-F597-423D-B782-1C8F184036E9}"/>
    <hyperlink ref="J793" r:id="rId12933" display="https://statiz.sporki.com/player/?m=playerinfo&amp;p_no=13158" xr:uid="{F8D2431E-B147-4B0F-9BC8-1FBC218197E8}"/>
    <hyperlink ref="J794" r:id="rId12934" display="https://statiz.sporki.com/player/?m=playerinfo&amp;p_no=13136" xr:uid="{79E0BB7C-A4F5-4131-AEAA-0664D364966E}"/>
    <hyperlink ref="J795" r:id="rId12935" display="https://statiz.sporki.com/player/?m=playerinfo&amp;p_no=13116" xr:uid="{1016D830-7FEA-45E4-9EC5-34741E756E59}"/>
    <hyperlink ref="J796" r:id="rId12936" display="https://statiz.sporki.com/player/?m=playerinfo&amp;p_no=13170" xr:uid="{7BF9294A-1CE1-4149-ACE4-481D4777194A}"/>
    <hyperlink ref="J797" r:id="rId12937" display="https://statiz.sporki.com/player/?m=playerinfo&amp;p_no=13105" xr:uid="{331544BC-9CDA-41FF-AD40-E2878B8360EE}"/>
    <hyperlink ref="J798" r:id="rId12938" display="https://statiz.sporki.com/player/?m=playerinfo&amp;p_no=13083" xr:uid="{EAC5D781-9229-4637-AD13-F1864CFF4849}"/>
    <hyperlink ref="J799" r:id="rId12939" display="https://statiz.sporki.com/player/?m=playerinfo&amp;p_no=13127" xr:uid="{60D3CC65-8489-451D-9C37-3CFEAEF65FDB}"/>
    <hyperlink ref="J800" r:id="rId12940" display="https://statiz.sporki.com/player/?m=playerinfo&amp;p_no=13094" xr:uid="{5F8530BA-C243-475A-AA60-0BB8204F515E}"/>
    <hyperlink ref="J801" r:id="rId12941" display="https://statiz.sporki.com/player/?m=playerinfo&amp;p_no=13072" xr:uid="{2318242F-0C01-4E48-A1FD-1885B26C1051}"/>
    <hyperlink ref="J802" r:id="rId12942" display="https://statiz.sporki.com/player/?m=playerinfo&amp;p_no=13148" xr:uid="{F5F65E71-2B06-4FBA-8FA6-74F4B4DA9A74}"/>
    <hyperlink ref="J803" r:id="rId12943" display="https://statiz.sporki.com/player/?m=playerinfo&amp;p_no=13159" xr:uid="{F21FD859-93B0-4EAC-8DE7-48CB5F119D4B}"/>
    <hyperlink ref="J804" r:id="rId12944" display="https://statiz.sporki.com/player/?m=playerinfo&amp;p_no=13137" xr:uid="{B775E6F6-C770-4521-AA2F-A272EB738AB1}"/>
    <hyperlink ref="J805" r:id="rId12945" display="https://statiz.sporki.com/player/?m=playerinfo&amp;p_no=13117" xr:uid="{EDBCF036-8A31-41B8-AB75-98CED052F5FE}"/>
    <hyperlink ref="J806" r:id="rId12946" display="https://statiz.sporki.com/player/?m=playerinfo&amp;p_no=13171" xr:uid="{87C0B791-D308-4E0A-A43D-F7D5CBB3D3C1}"/>
    <hyperlink ref="J807" r:id="rId12947" display="https://statiz.sporki.com/player/?m=playerinfo&amp;p_no=13106" xr:uid="{CF7A667D-DC4E-4718-8C2D-7608A95BD8D4}"/>
    <hyperlink ref="J808" r:id="rId12948" display="https://statiz.sporki.com/player/?m=playerinfo&amp;p_no=13084" xr:uid="{D8819962-BE0A-4A2D-A64E-9FD1134E27BE}"/>
    <hyperlink ref="J809" r:id="rId12949" display="https://statiz.sporki.com/player/?m=playerinfo&amp;p_no=13128" xr:uid="{4AE10C28-89C8-40EF-A92B-4D3622806151}"/>
    <hyperlink ref="J810" r:id="rId12950" display="https://statiz.sporki.com/player/?m=playerinfo&amp;p_no=13095" xr:uid="{FEA33628-98F2-4294-96FC-D143ABDB938E}"/>
    <hyperlink ref="J811" r:id="rId12951" display="https://statiz.sporki.com/player/?m=playerinfo&amp;p_no=13073" xr:uid="{DDECAEDE-FB9A-413F-B27F-F1105C82B878}"/>
    <hyperlink ref="J812" r:id="rId12952" display="https://statiz.sporki.com/player/?m=playerinfo&amp;p_no=13149" xr:uid="{657DC3BB-8E98-40C6-88E8-07B022C696AC}"/>
    <hyperlink ref="J813" r:id="rId12953" display="https://statiz.sporki.com/player/?m=playerinfo&amp;p_no=13160" xr:uid="{C04B401D-6EF4-4FFB-9AE1-C60D3D9B9A88}"/>
    <hyperlink ref="J814" r:id="rId12954" display="https://statiz.sporki.com/player/?m=playerinfo&amp;p_no=13138" xr:uid="{AC31C03C-88B1-4FF7-90E7-350D0782E5F9}"/>
    <hyperlink ref="J815" r:id="rId12955" display="https://statiz.sporki.com/player/?m=playerinfo&amp;p_no=13118" xr:uid="{2A74048B-C9AC-43AE-8AED-4D88587D65EB}"/>
    <hyperlink ref="J816" r:id="rId12956" display="https://statiz.sporki.com/player/?m=playerinfo&amp;p_no=13172" xr:uid="{D82F82AA-5FB0-4203-97D6-019DC914808A}"/>
    <hyperlink ref="J817" r:id="rId12957" display="https://statiz.sporki.com/player/?m=playerinfo&amp;p_no=13107" xr:uid="{D9E7A137-607E-49DC-BC9C-EED9E418E534}"/>
    <hyperlink ref="J818" r:id="rId12958" display="https://statiz.sporki.com/player/?m=playerinfo&amp;p_no=13085" xr:uid="{220E7C0F-3EC7-4513-B93E-F62359E6D333}"/>
    <hyperlink ref="J819" r:id="rId12959" display="https://statiz.sporki.com/player/?m=playerinfo&amp;p_no=13129" xr:uid="{6008DA53-F74C-44BB-AA88-8CBE92D39B8F}"/>
    <hyperlink ref="J820" r:id="rId12960" display="https://statiz.sporki.com/player/?m=playerinfo&amp;p_no=13096" xr:uid="{193606E8-EDBB-4432-A31D-D702030C8E68}"/>
    <hyperlink ref="J821" r:id="rId12961" display="https://statiz.sporki.com/player/?m=playerinfo&amp;p_no=13074" xr:uid="{DAF411E8-A398-4CD2-A97D-EBA51E963429}"/>
    <hyperlink ref="J822" r:id="rId12962" display="https://statiz.sporki.com/player/?m=playerinfo&amp;p_no=13150" xr:uid="{B7FD4443-6264-47F4-B516-D1329C6992A8}"/>
    <hyperlink ref="J823" r:id="rId12963" display="https://statiz.sporki.com/player/?m=playerinfo&amp;p_no=13161" xr:uid="{A39BBC90-FBEA-4688-AEFC-EC7C760C3BC0}"/>
    <hyperlink ref="J824" r:id="rId12964" display="https://statiz.sporki.com/player/?m=playerinfo&amp;p_no=13139" xr:uid="{ACE30E26-CA95-40B9-9A87-5CBDCF680462}"/>
    <hyperlink ref="J825" r:id="rId12965" display="https://statiz.sporki.com/player/?m=playerinfo&amp;p_no=13119" xr:uid="{29DBC35A-5014-4133-9AF8-7A4879D7EC6B}"/>
    <hyperlink ref="J826" r:id="rId12966" display="https://statiz.sporki.com/player/?m=playerinfo&amp;p_no=13173" xr:uid="{05088B76-71FD-41FB-AC31-99C3759A7F60}"/>
    <hyperlink ref="J827" r:id="rId12967" display="https://statiz.sporki.com/player/?m=playerinfo&amp;p_no=13108" xr:uid="{C2628FE0-53EA-48BB-9723-4204F6CB6B7E}"/>
    <hyperlink ref="J828" r:id="rId12968" display="https://statiz.sporki.com/player/?m=playerinfo&amp;p_no=13086" xr:uid="{277DED90-28D5-4FF9-B6D7-158597C0A5E8}"/>
    <hyperlink ref="J829" r:id="rId12969" display="https://statiz.sporki.com/player/?m=playerinfo&amp;p_no=13130" xr:uid="{56C22E50-11E6-4035-9554-A8BDFF8E36F5}"/>
    <hyperlink ref="J830" r:id="rId12970" display="https://statiz.sporki.com/player/?m=playerinfo&amp;p_no=13097" xr:uid="{8D9CBFE4-D8BF-480C-82F0-CD4809B4BCF7}"/>
    <hyperlink ref="J831" r:id="rId12971" display="https://statiz.sporki.com/player/?m=playerinfo&amp;p_no=13075" xr:uid="{BF903813-47F2-4BF9-BDB4-585E937D96EC}"/>
    <hyperlink ref="J832" r:id="rId12972" display="https://statiz.sporki.com/player/?m=playerinfo&amp;p_no=13151" xr:uid="{CD83E6DD-04B2-4F6B-9908-E059077A44C7}"/>
    <hyperlink ref="J833" r:id="rId12973" display="https://statiz.sporki.com/player/?m=playerinfo&amp;p_no=13162" xr:uid="{E3D8C360-D188-4384-A1F9-2C494E3A0E31}"/>
    <hyperlink ref="J834" r:id="rId12974" display="https://statiz.sporki.com/player/?m=playerinfo&amp;p_no=13140" xr:uid="{6B8160C8-5284-4303-9F38-0CBC3D2D30E5}"/>
    <hyperlink ref="J835" r:id="rId12975" display="https://statiz.sporki.com/player/?m=playerinfo&amp;p_no=13120" xr:uid="{BF422BD7-0331-4D35-958F-336C779AD104}"/>
    <hyperlink ref="J836" r:id="rId12976" display="https://statiz.sporki.com/player/?m=playerinfo&amp;p_no=13174" xr:uid="{EABECD40-020B-438F-A71E-14399BA0FF8A}"/>
    <hyperlink ref="J837" r:id="rId12977" display="https://statiz.sporki.com/player/?m=playerinfo&amp;p_no=13109" xr:uid="{5D818F5D-BC44-4D3E-A43E-F9D37D3FB914}"/>
    <hyperlink ref="J838" r:id="rId12978" display="https://statiz.sporki.com/player/?m=playerinfo&amp;p_no=13087" xr:uid="{F278691D-2BCC-4AB3-927D-4A4454444743}"/>
    <hyperlink ref="J839" r:id="rId12979" display="https://statiz.sporki.com/player/?m=playerinfo&amp;p_no=13131" xr:uid="{35BDD987-E645-4AB2-884D-52BBE35F2506}"/>
    <hyperlink ref="J840" r:id="rId12980" display="https://statiz.sporki.com/player/?m=playerinfo&amp;p_no=13098" xr:uid="{446473E0-884C-4953-AA1F-F56EAA1CEB17}"/>
    <hyperlink ref="J841" r:id="rId12981" display="https://statiz.sporki.com/player/?m=playerinfo&amp;p_no=13076" xr:uid="{580D2CD4-934D-4A1E-BC14-75E1F522E148}"/>
    <hyperlink ref="J842" r:id="rId12982" display="https://statiz.sporki.com/player/?m=playerinfo&amp;p_no=13152" xr:uid="{69874EFC-4077-41F5-B5A7-B86B0C892404}"/>
    <hyperlink ref="J843" r:id="rId12983" display="https://statiz.sporki.com/player/?m=playerinfo&amp;p_no=13163" xr:uid="{971F520C-4245-4420-BF46-87098C38FABA}"/>
    <hyperlink ref="J844" r:id="rId12984" display="https://statiz.sporki.com/player/?m=playerinfo&amp;p_no=13141" xr:uid="{8F6D3497-A5C3-4CF0-8CF7-8BCFE5D1DFB4}"/>
    <hyperlink ref="J845" r:id="rId12985" display="https://statiz.sporki.com/player/?m=playerinfo&amp;p_no=13121" xr:uid="{F9747812-C60A-4C0F-9D7D-396F741E529C}"/>
    <hyperlink ref="J846" r:id="rId12986" display="https://statiz.sporki.com/player/?m=playerinfo&amp;p_no=13175" xr:uid="{9B9B366E-C4A1-4F7B-9565-81396F4F09C1}"/>
    <hyperlink ref="J847" r:id="rId12987" display="https://statiz.sporki.com/player/?m=playerinfo&amp;p_no=13110" xr:uid="{943B29EB-21BB-4175-9420-60BBF10A3D49}"/>
    <hyperlink ref="J848" r:id="rId12988" display="https://statiz.sporki.com/player/?m=playerinfo&amp;p_no=13088" xr:uid="{5BD3F4F2-E9D0-45C0-8219-47A7170005D2}"/>
    <hyperlink ref="J849" r:id="rId12989" display="https://statiz.sporki.com/player/?m=playerinfo&amp;p_no=13132" xr:uid="{9A73361C-6DD9-495B-93BB-B40225CCE8DB}"/>
    <hyperlink ref="J850" r:id="rId12990" display="https://statiz.sporki.com/player/?m=playerinfo&amp;p_no=13099" xr:uid="{94359971-C812-4478-B01B-0B8068D29AA1}"/>
    <hyperlink ref="J851" r:id="rId12991" display="https://statiz.sporki.com/player/?m=playerinfo&amp;p_no=13077" xr:uid="{9DC4EC60-3F03-46BB-AC67-B043A66FF76C}"/>
    <hyperlink ref="J852" r:id="rId12992" display="https://statiz.sporki.com/player/?m=playerinfo&amp;p_no=13153" xr:uid="{8314CBD0-7515-4E45-99D1-BB73C21FC5E9}"/>
    <hyperlink ref="J853" r:id="rId12993" display="https://statiz.sporki.com/player/?m=playerinfo&amp;p_no=13164" xr:uid="{E7ED43C7-9B73-400C-8F60-3A39ED28A21D}"/>
    <hyperlink ref="J854" r:id="rId12994" display="https://statiz.sporki.com/player/?m=playerinfo&amp;p_no=13142" xr:uid="{7589E15F-4479-4E35-9D14-271BC575A5A3}"/>
    <hyperlink ref="J855" r:id="rId12995" display="https://statiz.sporki.com/player/?m=playerinfo&amp;p_no=13122" xr:uid="{70C07AD2-7A14-4975-8D20-0510C435AAB2}"/>
    <hyperlink ref="J856" r:id="rId12996" display="https://statiz.sporki.com/player/?m=playerinfo&amp;p_no=13176" xr:uid="{A059BACC-C402-47D3-A894-1188B43D113C}"/>
    <hyperlink ref="J857" r:id="rId12997" display="https://statiz.sporki.com/player/?m=playerinfo&amp;p_no=13111" xr:uid="{88A4896A-6E05-48FB-817A-2D7F599518EB}"/>
    <hyperlink ref="J858" r:id="rId12998" display="https://statiz.sporki.com/player/?m=playerinfo&amp;p_no=13089" xr:uid="{45E78914-38B5-452B-B853-19F53C2ECA56}"/>
    <hyperlink ref="J859" r:id="rId12999" display="https://statiz.sporki.com/player/?m=playerinfo&amp;p_no=13133" xr:uid="{2E74B711-8763-47BB-91EC-F4870BF3658F}"/>
    <hyperlink ref="J860" r:id="rId13000" display="https://statiz.sporki.com/player/?m=playerinfo&amp;p_no=13100" xr:uid="{FE933BD9-A22B-4F34-83B9-13D9345EBC45}"/>
    <hyperlink ref="J861" r:id="rId13001" display="https://statiz.sporki.com/player/?m=playerinfo&amp;p_no=13078" xr:uid="{CA8771C7-921D-4A4A-9B74-9E2F9C8D9B16}"/>
    <hyperlink ref="J862" r:id="rId13002" display="https://statiz.sporki.com/player/?m=playerinfo&amp;p_no=13154" xr:uid="{6A05AAD2-61FD-4573-BC5D-D188E963F824}"/>
    <hyperlink ref="J863" r:id="rId13003" display="https://statiz.sporki.com/player/?m=playerinfo&amp;p_no=13165" xr:uid="{39EE0902-4DE8-44AD-B732-B2612218FF15}"/>
    <hyperlink ref="J864" r:id="rId13004" display="https://statiz.sporki.com/player/?m=playerinfo&amp;p_no=13143" xr:uid="{5C5D69A6-F90C-46DB-8484-855EBF0FFA1D}"/>
    <hyperlink ref="J865" r:id="rId13005" display="https://statiz.sporki.com/player/?m=playerinfo&amp;p_no=13123" xr:uid="{49C60E1F-BADE-4B36-AB67-F8604D6A0D19}"/>
    <hyperlink ref="J866" r:id="rId13006" display="https://statiz.sporki.com/player/?m=playerinfo&amp;p_no=13177" xr:uid="{AB69A86E-1053-4C55-8CD7-14D187E87420}"/>
    <hyperlink ref="J867" r:id="rId13007" display="https://statiz.sporki.com/player/?m=playerinfo&amp;p_no=13112" xr:uid="{8D97923B-B60C-4B92-8541-851E7F6B70C2}"/>
    <hyperlink ref="J868" r:id="rId13008" display="https://statiz.sporki.com/player/?m=playerinfo&amp;p_no=13090" xr:uid="{1FC57A7E-28E8-4C54-B97A-4DF70AD0965E}"/>
    <hyperlink ref="J869" r:id="rId13009" display="https://statiz.sporki.com/player/?m=playerinfo&amp;p_no=13101" xr:uid="{C0EB676C-AF3F-4E9B-A743-AF5044F86709}"/>
    <hyperlink ref="J870" r:id="rId13010" display="https://statiz.sporki.com/player/?m=playerinfo&amp;p_no=13079" xr:uid="{EEAD4191-05DD-451C-82C5-7E2FA73DBD5C}"/>
    <hyperlink ref="J871" r:id="rId13011" display="https://statiz.sporki.com/player/?m=playerinfo&amp;p_no=13155" xr:uid="{C7E12987-7DEC-4A21-8BF0-37C0845C638A}"/>
    <hyperlink ref="J872" r:id="rId13012" display="https://statiz.sporki.com/player/?m=playerinfo&amp;p_no=13166" xr:uid="{640A2F14-1AE2-4032-8E8B-5EF7CA1462C6}"/>
    <hyperlink ref="J873" r:id="rId13013" display="https://statiz.sporki.com/player/?m=playerinfo&amp;p_no=13144" xr:uid="{B6FEDD5E-6132-4EA6-A7C8-38F42CB05135}"/>
    <hyperlink ref="J874" r:id="rId13014" display="https://statiz.sporki.com/player/?m=playerinfo&amp;p_no=13060" xr:uid="{998B43BB-F545-4505-B8B5-BC7054B20DCF}"/>
    <hyperlink ref="J875" r:id="rId13015" display="https://statiz.sporki.com/player/?m=playerinfo&amp;p_no=13062" xr:uid="{575C644A-ED2B-4367-BDB9-8C70A1847A69}"/>
    <hyperlink ref="J876" r:id="rId13016" display="https://statiz.sporki.com/player/?m=playerinfo&amp;p_no=13066" xr:uid="{A7D0EA16-CB0C-471C-B5F8-7D3873404C0F}"/>
    <hyperlink ref="J877" r:id="rId13017" display="https://statiz.sporki.com/player/?m=playerinfo&amp;p_no=12783" xr:uid="{769A69B3-EEA3-4057-ACE6-78440360F18F}"/>
    <hyperlink ref="J878" r:id="rId13018" display="https://statiz.sporki.com/player/?m=playerinfo&amp;p_no=13063" xr:uid="{0B60BBC8-D6C7-4D81-85BC-D4A6D35CB724}"/>
    <hyperlink ref="J879" r:id="rId13019" display="https://statiz.sporki.com/player/?m=playerinfo&amp;p_no=13288" xr:uid="{A1C539E8-1F87-4B62-82DB-5D580E574A88}"/>
    <hyperlink ref="J880" r:id="rId13020" display="https://statiz.sporki.com/player/?m=playerinfo&amp;p_no=13059" xr:uid="{6E312FFA-ABA2-4CBF-B5C4-B96F531E8DBC}"/>
    <hyperlink ref="J881" r:id="rId13021" display="https://statiz.sporki.com/player/?m=playerinfo&amp;p_no=13286" xr:uid="{941A5196-FBA5-4769-86DB-F3DBE825769B}"/>
    <hyperlink ref="J882" r:id="rId13022" display="https://statiz.sporki.com/player/?m=playerinfo&amp;p_no=13058" xr:uid="{8B7037AB-28CD-4B0F-91CE-2D3E09E81FAD}"/>
    <hyperlink ref="J883" r:id="rId13023" display="https://statiz.sporki.com/player/?m=playerinfo&amp;p_no=13067" xr:uid="{1C34CA93-37BC-4394-B3E6-C8200A689A6D}"/>
    <hyperlink ref="J884" r:id="rId13024" display="https://statiz.sporki.com/player/?m=playerinfo&amp;p_no=13178" xr:uid="{693B3C9B-1DF2-4279-AEF3-241977C92D6D}"/>
    <hyperlink ref="J885" r:id="rId13025" display="https://statiz.sporki.com/player/?m=playerinfo&amp;p_no=13064" xr:uid="{02B1C620-C632-480A-9D7F-B274F5F7123A}"/>
    <hyperlink ref="J886" r:id="rId13026" display="https://statiz.sporki.com/player/?m=playerinfo&amp;p_no=13069" xr:uid="{17940841-3DD6-4B57-889B-5385397011FB}"/>
    <hyperlink ref="J887" r:id="rId13027" display="https://statiz.sporki.com/player/?m=playerinfo&amp;p_no=13068" xr:uid="{4BA806EA-5BBE-45DE-B90D-E3313CAC47BD}"/>
    <hyperlink ref="J888" r:id="rId13028" display="https://statiz.sporki.com/player/?m=playerinfo&amp;p_no=13287" xr:uid="{C7429736-2172-4F05-B4BD-C0D3E4ECF1AF}"/>
    <hyperlink ref="J889" r:id="rId13029" display="https://statiz.sporki.com/player/?m=playerinfo&amp;p_no=13065" xr:uid="{80B79D90-898D-4678-94E0-FC60CA08984E}"/>
    <hyperlink ref="J890" r:id="rId13030" display="https://statiz.sporki.com/player/?m=playerinfo&amp;p_no=13253" xr:uid="{8FC1EF58-92AB-4DEB-9327-3B305BB5502E}"/>
    <hyperlink ref="J891" r:id="rId13031" display="https://statiz.sporki.com/player/?m=playerinfo&amp;p_no=14194" xr:uid="{F09D3330-16AD-42AE-A4E8-1685AC4DC767}"/>
    <hyperlink ref="J892" r:id="rId13032" display="https://statiz.sporki.com/player/?m=playerinfo&amp;p_no=13232" xr:uid="{D6B8F325-647D-4914-AA9E-3EA4A0A605BD}"/>
    <hyperlink ref="J893" r:id="rId13033" display="https://statiz.sporki.com/player/?m=playerinfo&amp;p_no=13228" xr:uid="{BEC83A90-D025-4C1E-8733-72E9EB49C114}"/>
    <hyperlink ref="J894" r:id="rId13034" display="https://statiz.sporki.com/player/?m=playerinfo&amp;p_no=13231" xr:uid="{5FBB27CF-67E2-4C15-BE77-F4A2C4E99EE6}"/>
    <hyperlink ref="J895" r:id="rId13035" display="https://statiz.sporki.com/player/?m=playerinfo&amp;p_no=13233" xr:uid="{E1AB2C1D-2914-4B3D-ABC5-7D37F37C8FEF}"/>
    <hyperlink ref="J896" r:id="rId13036" display="https://statiz.sporki.com/player/?m=playerinfo&amp;p_no=13252" xr:uid="{BB8FC345-7E5C-43B5-8E10-B64F789C0C28}"/>
    <hyperlink ref="J897" r:id="rId13037" display="https://statiz.sporki.com/player/?m=playerinfo&amp;p_no=13186" xr:uid="{A7C5474E-BC89-4AE9-BD90-5723307E678F}"/>
    <hyperlink ref="J898" r:id="rId13038" display="https://statiz.sporki.com/player/?m=playerinfo&amp;p_no=13254" xr:uid="{69B78D5F-120C-478F-A72C-82E58D32A2D4}"/>
    <hyperlink ref="J899" r:id="rId13039" display="https://statiz.sporki.com/player/?m=playerinfo&amp;p_no=13264" xr:uid="{F7EB52A0-DA6C-49D2-8252-1E282FA62D25}"/>
    <hyperlink ref="J900" r:id="rId13040" display="https://statiz.sporki.com/player/?m=playerinfo&amp;p_no=13195" xr:uid="{2474B1BD-7E29-4740-AC11-5A293C0FD3E9}"/>
    <hyperlink ref="J901" r:id="rId13041" display="https://statiz.sporki.com/player/?m=playerinfo&amp;p_no=13192" xr:uid="{194E7959-1E01-42A3-8783-4AE511F77792}"/>
    <hyperlink ref="J902" r:id="rId13042" display="https://statiz.sporki.com/player/?m=playerinfo&amp;p_no=13223" xr:uid="{2584B1FF-E922-40CD-83E4-8970E3B35E86}"/>
    <hyperlink ref="J903" r:id="rId13043" display="https://statiz.sporki.com/player/?m=playerinfo&amp;p_no=13433" xr:uid="{1B14A683-9795-4806-B4FD-C8C4B991C93E}"/>
    <hyperlink ref="J904" r:id="rId13044" display="https://statiz.sporki.com/player/?m=playerinfo&amp;p_no=13196" xr:uid="{BD16A9D5-6DBE-4CA6-B876-B0F44ADAF617}"/>
    <hyperlink ref="J905" r:id="rId13045" display="https://statiz.sporki.com/player/?m=playerinfo&amp;p_no=13225" xr:uid="{D9C756C2-A4F0-457B-BC74-8F86BE8F3BE9}"/>
    <hyperlink ref="J906" r:id="rId13046" display="https://statiz.sporki.com/player/?m=playerinfo&amp;p_no=13224" xr:uid="{BFB76AC4-5362-43DD-A514-305089022092}"/>
    <hyperlink ref="J907" r:id="rId13047" display="https://statiz.sporki.com/player/?m=playerinfo&amp;p_no=13271" xr:uid="{78DEC135-94AD-48C2-96EA-EE95B2CC636F}"/>
    <hyperlink ref="J908" r:id="rId13048" display="https://statiz.sporki.com/player/?m=playerinfo&amp;p_no=13268" xr:uid="{73418DBA-B48C-465A-B91E-4CA267D22ECC}"/>
    <hyperlink ref="J909" r:id="rId13049" display="https://statiz.sporki.com/player/?m=playerinfo&amp;p_no=13260" xr:uid="{D4C95D7E-35F4-41DC-AF96-A8AE476A796E}"/>
    <hyperlink ref="J910" r:id="rId13050" display="https://statiz.sporki.com/player/?m=playerinfo&amp;p_no=13259" xr:uid="{9D18EB2A-5274-41F5-860B-5EDAA16D1108}"/>
    <hyperlink ref="J911" r:id="rId13051" display="https://statiz.sporki.com/player/?m=playerinfo&amp;p_no=13258" xr:uid="{9DF5AAD3-D00F-42E7-B892-9C788E698879}"/>
    <hyperlink ref="J912" r:id="rId13052" display="https://statiz.sporki.com/player/?m=playerinfo&amp;p_no=13257" xr:uid="{ADA57C3A-3FCD-4DFC-AF35-D49EA5605AE0}"/>
    <hyperlink ref="J913" r:id="rId13053" display="https://statiz.sporki.com/player/?m=playerinfo&amp;p_no=13236" xr:uid="{94744E73-3DCF-40EB-AFE1-3658B7C6010D}"/>
    <hyperlink ref="J914" r:id="rId13054" display="https://statiz.sporki.com/player/?m=playerinfo&amp;p_no=13256" xr:uid="{91C95042-3C06-4AFD-BBB3-45E5EC5195F2}"/>
    <hyperlink ref="J915" r:id="rId13055" display="https://statiz.sporki.com/player/?m=playerinfo&amp;p_no=12914" xr:uid="{70C38220-1B5B-455A-8F7C-50565CFDB26B}"/>
    <hyperlink ref="J916" r:id="rId13056" display="https://statiz.sporki.com/player/?m=playerinfo&amp;p_no=12939" xr:uid="{5B103B05-1DB1-4D2A-86E1-4EB6259B6F47}"/>
    <hyperlink ref="J917" r:id="rId13057" display="https://statiz.sporki.com/player/?m=playerinfo&amp;p_no=12907" xr:uid="{94357F9E-02E6-401B-87E5-98D6AA5B9E7E}"/>
    <hyperlink ref="J918" r:id="rId13058" display="https://statiz.sporki.com/player/?m=playerinfo&amp;p_no=12898" xr:uid="{2A0A09C6-9E12-493C-A9AE-B07A82A7FEEB}"/>
    <hyperlink ref="J919" r:id="rId13059" display="https://statiz.sporki.com/player/?m=playerinfo&amp;p_no=12920" xr:uid="{6B1F50A5-4099-441D-9E52-D394DA8905DF}"/>
    <hyperlink ref="J920" r:id="rId13060" display="https://statiz.sporki.com/player/?m=playerinfo&amp;p_no=12906" xr:uid="{CC116EE7-CC5A-4FDE-A0E0-324D5D922BF4}"/>
    <hyperlink ref="J921" r:id="rId13061" display="https://statiz.sporki.com/player/?m=playerinfo&amp;p_no=12852" xr:uid="{AFBC96EC-7509-4AE3-9506-8E11C2E33A42}"/>
    <hyperlink ref="J922" r:id="rId13062" display="https://statiz.sporki.com/player/?m=playerinfo&amp;p_no=12928" xr:uid="{4D973A5D-0BCA-4C19-ABFC-E6E1334862F1}"/>
    <hyperlink ref="J923" r:id="rId13063" display="https://statiz.sporki.com/player/?m=playerinfo&amp;p_no=12933" xr:uid="{F3874126-26D1-45F8-B180-DAC70635446D}"/>
    <hyperlink ref="J924" r:id="rId13064" display="https://statiz.sporki.com/player/?m=playerinfo&amp;p_no=12923" xr:uid="{10F0D17E-C441-4706-942A-3AB09F343802}"/>
    <hyperlink ref="J925" r:id="rId13065" display="https://statiz.sporki.com/player/?m=playerinfo&amp;p_no=12865" xr:uid="{7528C06B-8AEA-4965-A56A-FC115B7A4EAF}"/>
    <hyperlink ref="J926" r:id="rId13066" display="https://statiz.sporki.com/player/?m=playerinfo&amp;p_no=12937" xr:uid="{1C8E099E-7C32-4BB1-BE79-B2AAE8D5BD5D}"/>
    <hyperlink ref="J927" r:id="rId13067" display="https://statiz.sporki.com/player/?m=playerinfo&amp;p_no=12908" xr:uid="{E095DEAD-E7CA-4993-A440-6E57DC8FF6CD}"/>
    <hyperlink ref="J928" r:id="rId13068" display="https://statiz.sporki.com/player/?m=playerinfo&amp;p_no=12901" xr:uid="{4FF10E99-8C7F-4580-9398-146AA50EBF5F}"/>
    <hyperlink ref="J929" r:id="rId13069" display="https://statiz.sporki.com/player/?m=playerinfo&amp;p_no=12918" xr:uid="{E7AC5218-ED0A-40BE-A516-37BBDA1ADA12}"/>
    <hyperlink ref="J930" r:id="rId13070" display="https://statiz.sporki.com/player/?m=playerinfo&amp;p_no=12905" xr:uid="{0BA560FC-0C7A-40D2-96E1-2538B05E4205}"/>
    <hyperlink ref="J931" r:id="rId13071" display="https://statiz.sporki.com/player/?m=playerinfo&amp;p_no=12850" xr:uid="{17C0EDF7-74AB-4333-AB6B-D9B1ED2570E2}"/>
    <hyperlink ref="J932" r:id="rId13072" display="https://statiz.sporki.com/player/?m=playerinfo&amp;p_no=12930" xr:uid="{CA2AF81B-05AC-4C38-8DB2-D6BEFA70F4DC}"/>
    <hyperlink ref="J933" r:id="rId13073" display="https://statiz.sporki.com/player/?m=playerinfo&amp;p_no=12934" xr:uid="{2A08B679-DB51-4EF5-BC21-1C5004245AB8}"/>
    <hyperlink ref="J934" r:id="rId13074" display="https://statiz.sporki.com/player/?m=playerinfo&amp;p_no=12926" xr:uid="{5AE8B2EA-B233-4CAF-AE79-7959A901F37E}"/>
    <hyperlink ref="J935" r:id="rId13075" display="https://statiz.sporki.com/player/?m=playerinfo&amp;p_no=12913" xr:uid="{228470D7-2D90-49C7-9E0C-671E210166A1}"/>
    <hyperlink ref="J936" r:id="rId13076" display="https://statiz.sporki.com/player/?m=playerinfo&amp;p_no=12938" xr:uid="{4399EA7E-58C4-40C8-AD7F-22FFBBCF0D75}"/>
    <hyperlink ref="J937" r:id="rId13077" display="https://statiz.sporki.com/player/?m=playerinfo&amp;p_no=12910" xr:uid="{19D8AF2C-2988-4886-9ACC-700262ACF4B7}"/>
    <hyperlink ref="J938" r:id="rId13078" display="https://statiz.sporki.com/player/?m=playerinfo&amp;p_no=12897" xr:uid="{43C713D6-D143-4048-9375-0D807D2170CF}"/>
    <hyperlink ref="J939" r:id="rId13079" display="https://statiz.sporki.com/player/?m=playerinfo&amp;p_no=12922" xr:uid="{1C4EFFF5-828A-4BF0-A2D6-44DDC4802A48}"/>
    <hyperlink ref="J940" r:id="rId13080" display="https://statiz.sporki.com/player/?m=playerinfo&amp;p_no=12854" xr:uid="{B20E1312-F837-4E06-8C91-3CF5C7134704}"/>
    <hyperlink ref="J941" r:id="rId13081" display="https://statiz.sporki.com/player/?m=playerinfo&amp;p_no=12847" xr:uid="{998347C9-0300-4882-8F57-63E4EA4D3FA3}"/>
    <hyperlink ref="J942" r:id="rId13082" display="https://statiz.sporki.com/player/?m=playerinfo&amp;p_no=12931" xr:uid="{B43E7770-83B3-435A-B8EB-823BB65691AD}"/>
    <hyperlink ref="J943" r:id="rId13083" display="https://statiz.sporki.com/player/?m=playerinfo&amp;p_no=12935" xr:uid="{1209B60A-3989-42D8-803D-B71812C90E17}"/>
    <hyperlink ref="J944" r:id="rId13084" display="https://statiz.sporki.com/player/?m=playerinfo&amp;p_no=12924" xr:uid="{F5C1B24D-43BB-4797-9601-8064D4345559}"/>
    <hyperlink ref="J945" r:id="rId13085" display="https://statiz.sporki.com/player/?m=playerinfo&amp;p_no=12917" xr:uid="{3EFBF4E6-50A4-40A9-86BC-A65ECED9D5AF}"/>
    <hyperlink ref="J946" r:id="rId13086" display="https://statiz.sporki.com/player/?m=playerinfo&amp;p_no=12941" xr:uid="{64E9F7C9-C442-4CB2-A30B-09F3FA187ED9}"/>
    <hyperlink ref="J947" r:id="rId13087" display="https://statiz.sporki.com/player/?m=playerinfo&amp;p_no=12909" xr:uid="{5BB4ECA4-AF68-4170-AD24-C4EAA2E82B16}"/>
    <hyperlink ref="J948" r:id="rId13088" display="https://statiz.sporki.com/player/?m=playerinfo&amp;p_no=12900" xr:uid="{DDC0F942-B2E6-46C3-B60B-4518EDB887FB}"/>
    <hyperlink ref="J949" r:id="rId13089" display="https://statiz.sporki.com/player/?m=playerinfo&amp;p_no=12921" xr:uid="{0C90D524-54DB-465A-B1E3-1DFB29956E93}"/>
    <hyperlink ref="J950" r:id="rId13090" display="https://statiz.sporki.com/player/?m=playerinfo&amp;p_no=12855" xr:uid="{D684DA3A-2140-4FD3-8B96-A5E9145A9439}"/>
    <hyperlink ref="J951" r:id="rId13091" display="https://statiz.sporki.com/player/?m=playerinfo&amp;p_no=12891" xr:uid="{76418E6A-3287-4869-BA3A-52CDA08358AB}"/>
    <hyperlink ref="J952" r:id="rId13092" display="https://statiz.sporki.com/player/?m=playerinfo&amp;p_no=12927" xr:uid="{1957E243-C655-47CC-A080-771E2D1127E0}"/>
    <hyperlink ref="J953" r:id="rId13093" display="https://statiz.sporki.com/player/?m=playerinfo&amp;p_no=12932" xr:uid="{F3E56882-F80F-4C87-948F-2DC0EABBB63D}"/>
    <hyperlink ref="J954" r:id="rId13094" display="https://statiz.sporki.com/player/?m=playerinfo&amp;p_no=12871" xr:uid="{E9944557-6232-4794-8624-1FA148BE37B8}"/>
    <hyperlink ref="J955" r:id="rId13095" display="https://statiz.sporki.com/player/?m=playerinfo&amp;p_no=12866" xr:uid="{3E03C7CA-4B6B-4AB2-8408-5026402CEC0C}"/>
    <hyperlink ref="J956" r:id="rId13096" display="https://statiz.sporki.com/player/?m=playerinfo&amp;p_no=13226" xr:uid="{1524C848-5993-4766-BC16-AEAA9502D06F}"/>
    <hyperlink ref="J957" r:id="rId13097" display="https://statiz.sporki.com/player/?m=playerinfo&amp;p_no=12911" xr:uid="{47DEE9C0-507F-4933-876C-0D3A08B5A443}"/>
    <hyperlink ref="J958" r:id="rId13098" display="https://statiz.sporki.com/player/?m=playerinfo&amp;p_no=12853" xr:uid="{9397E9D8-5BE9-4746-8E92-C0DDA1C57FC5}"/>
    <hyperlink ref="J959" r:id="rId13099" display="https://statiz.sporki.com/player/?m=playerinfo&amp;p_no=13189" xr:uid="{C4DF905A-C6C6-4D0A-9C40-90EEC9212336}"/>
    <hyperlink ref="J960" r:id="rId13100" display="https://statiz.sporki.com/player/?m=playerinfo&amp;p_no=12856" xr:uid="{30B778FF-D87F-41AF-8229-95CE8CBFE56D}"/>
    <hyperlink ref="J961" r:id="rId13101" display="https://statiz.sporki.com/player/?m=playerinfo&amp;p_no=12848" xr:uid="{67D211AD-6D7B-4955-8D6A-0930EE6AE7E0}"/>
    <hyperlink ref="J962" r:id="rId13102" display="https://statiz.sporki.com/player/?m=playerinfo&amp;p_no=12878" xr:uid="{04273FDE-3763-417A-8657-5BCF25C5007C}"/>
    <hyperlink ref="J963" r:id="rId13103" display="https://statiz.sporki.com/player/?m=playerinfo&amp;p_no=12936" xr:uid="{6D4D89E3-7D39-4203-ACBC-3D68029AB606}"/>
    <hyperlink ref="J964" r:id="rId13104" display="https://statiz.sporki.com/player/?m=playerinfo&amp;p_no=12872" xr:uid="{3ABC34EE-F8E4-48DE-9017-B74FCE081B59}"/>
    <hyperlink ref="J965" r:id="rId13105" display="https://statiz.sporki.com/player/?m=playerinfo&amp;p_no=13194" xr:uid="{B7E56953-53E4-4CC9-BAE8-3B650DAE86B2}"/>
    <hyperlink ref="J966" r:id="rId13106" display="https://statiz.sporki.com/player/?m=playerinfo&amp;p_no=12867" xr:uid="{BF60940A-2C20-42A6-AFF3-FDC52367DA50}"/>
    <hyperlink ref="J967" r:id="rId13107" display="https://statiz.sporki.com/player/?m=playerinfo&amp;p_no=13227" xr:uid="{88473D89-B070-4B06-B650-80187AE826A3}"/>
    <hyperlink ref="J968" r:id="rId13108" display="https://statiz.sporki.com/player/?m=playerinfo&amp;p_no=12912" xr:uid="{2EEFD84C-B6AF-445F-9B05-C50C6C89EC86}"/>
    <hyperlink ref="J969" r:id="rId13109" display="https://statiz.sporki.com/player/?m=playerinfo&amp;p_no=12902" xr:uid="{62D9CCDC-4E39-479B-B45D-0B917C0FF564}"/>
    <hyperlink ref="J970" r:id="rId13110" display="https://statiz.sporki.com/player/?m=playerinfo&amp;p_no=12857" xr:uid="{4F586221-1BE2-46D9-B2FA-9AEA20E47585}"/>
    <hyperlink ref="J971" r:id="rId13111" display="https://statiz.sporki.com/player/?m=playerinfo&amp;p_no=12894" xr:uid="{D058C92A-F2CB-440D-BA81-506B5CA667E9}"/>
    <hyperlink ref="J972" r:id="rId13112" display="https://statiz.sporki.com/player/?m=playerinfo&amp;p_no=12879" xr:uid="{C1A4F605-B6FD-40BC-A194-1D2457499246}"/>
    <hyperlink ref="J973" r:id="rId13113" display="https://statiz.sporki.com/player/?m=playerinfo&amp;p_no=12884" xr:uid="{33CAB80E-97D8-41C9-8481-1433F0A10325}"/>
    <hyperlink ref="J974" r:id="rId13114" display="https://statiz.sporki.com/player/?m=playerinfo&amp;p_no=12873" xr:uid="{ECD9D0CF-76C1-4ED6-B9FF-6F8BF117F3B2}"/>
    <hyperlink ref="J975" r:id="rId13115" display="https://statiz.sporki.com/player/?m=playerinfo&amp;p_no=12868" xr:uid="{A3869B93-22E3-4E50-9BD5-3A4DB76D7DE9}"/>
    <hyperlink ref="J976" r:id="rId13116" display="https://statiz.sporki.com/player/?m=playerinfo&amp;p_no=13006" xr:uid="{5CFA9E71-D09B-47D9-8F6C-7762B3E48C67}"/>
    <hyperlink ref="J977" r:id="rId13117" display="https://statiz.sporki.com/player/?m=playerinfo&amp;p_no=12860" xr:uid="{65DB7B07-B263-4D44-BBB0-DC0CF146FF16}"/>
    <hyperlink ref="J978" r:id="rId13118" display="https://statiz.sporki.com/player/?m=playerinfo&amp;p_no=12904" xr:uid="{233C7830-68A8-4AF0-857C-4BC0C86A21B7}"/>
    <hyperlink ref="J979" r:id="rId13119" display="https://statiz.sporki.com/player/?m=playerinfo&amp;p_no=12919" xr:uid="{08EA4F74-D78F-466F-84F1-F5F96B7E7AB4}"/>
    <hyperlink ref="J980" r:id="rId13120" display="https://statiz.sporki.com/player/?m=playerinfo&amp;p_no=12858" xr:uid="{D7226F7E-A149-4379-9442-46BF85BF309D}"/>
    <hyperlink ref="J981" r:id="rId13121" display="https://statiz.sporki.com/player/?m=playerinfo&amp;p_no=12892" xr:uid="{369E35FA-78AC-46B0-8D2F-8669B2C28408}"/>
    <hyperlink ref="J982" r:id="rId13122" display="https://statiz.sporki.com/player/?m=playerinfo&amp;p_no=12929" xr:uid="{127FFBC1-A514-4E10-AF13-416639D138CC}"/>
    <hyperlink ref="J983" r:id="rId13123" display="https://statiz.sporki.com/player/?m=playerinfo&amp;p_no=12885" xr:uid="{D4A125E9-63BF-48AD-9C35-43ABF336BAF4}"/>
    <hyperlink ref="J984" r:id="rId13124" display="https://statiz.sporki.com/player/?m=playerinfo&amp;p_no=12925" xr:uid="{A1B3376D-1CB2-4FB6-BEA9-891EFE6A6776}"/>
    <hyperlink ref="J985" r:id="rId13125" display="https://statiz.sporki.com/player/?m=playerinfo&amp;p_no=12869" xr:uid="{6A55B7D8-E15B-4E30-9D0A-DFCA0A4E61E9}"/>
    <hyperlink ref="J986" r:id="rId13126" display="https://statiz.sporki.com/player/?m=playerinfo&amp;p_no=12940" xr:uid="{769BC4B0-3760-41C3-BB56-E5C67D7CA415}"/>
    <hyperlink ref="J987" r:id="rId13127" display="https://statiz.sporki.com/player/?m=playerinfo&amp;p_no=12861" xr:uid="{D07AB81D-C126-4A43-89E8-16C64BAC2978}"/>
    <hyperlink ref="J988" r:id="rId13128" display="https://statiz.sporki.com/player/?m=playerinfo&amp;p_no=12903" xr:uid="{610A0A4C-2714-4E2A-9CD5-3C3B9036DA33}"/>
    <hyperlink ref="J989" r:id="rId13129" display="https://statiz.sporki.com/player/?m=playerinfo&amp;p_no=13193" xr:uid="{D0A9DDB7-E8DD-4BC8-980B-32C32D36620A}"/>
    <hyperlink ref="J990" r:id="rId13130" display="https://statiz.sporki.com/player/?m=playerinfo&amp;p_no=12859" xr:uid="{1E52B794-069B-4388-889D-6F266CBC1F82}"/>
    <hyperlink ref="J991" r:id="rId13131" display="https://statiz.sporki.com/player/?m=playerinfo&amp;p_no=12893" xr:uid="{699D6F27-2EA3-4578-8BD5-DB59266C7CF8}"/>
    <hyperlink ref="J992" r:id="rId13132" display="https://statiz.sporki.com/player/?m=playerinfo&amp;p_no=12880" xr:uid="{FBB59892-251D-4F29-B47F-E578CA1FFC0C}"/>
    <hyperlink ref="J993" r:id="rId13133" display="https://statiz.sporki.com/player/?m=playerinfo&amp;p_no=12886" xr:uid="{C771CBA6-061A-415B-90DD-44345C39FC86}"/>
    <hyperlink ref="J994" r:id="rId13134" display="https://statiz.sporki.com/player/?m=playerinfo&amp;p_no=12874" xr:uid="{0D76959C-31B1-4D90-B526-F22FCE0FF7D6}"/>
    <hyperlink ref="J995" r:id="rId13135" display="https://statiz.sporki.com/player/?m=playerinfo&amp;p_no=12870" xr:uid="{C2529274-41D9-433B-B4A8-F98603156AA5}"/>
    <hyperlink ref="J996" r:id="rId13136" display="https://statiz.sporki.com/player/?m=playerinfo&amp;p_no=13229" xr:uid="{F8C2BCF7-9610-4A43-BE26-4B71D255EF46}"/>
    <hyperlink ref="J997" r:id="rId13137" display="https://statiz.sporki.com/player/?m=playerinfo&amp;p_no=12862" xr:uid="{57C28D14-894C-4623-87D9-4B6880018F59}"/>
    <hyperlink ref="J998" r:id="rId13138" display="https://statiz.sporki.com/player/?m=playerinfo&amp;p_no=12899" xr:uid="{6BAB97FF-907B-4CDF-9CD6-6DCBF3CC04A6}"/>
    <hyperlink ref="J999" r:id="rId13139" display="https://statiz.sporki.com/player/?m=playerinfo&amp;p_no=12895" xr:uid="{AAC026E3-D843-4807-8988-62E97C0CDFF1}"/>
    <hyperlink ref="J1000" r:id="rId13140" display="https://statiz.sporki.com/player/?m=playerinfo&amp;p_no=12881" xr:uid="{9880E8D9-B079-4C30-8E64-83FF6C46A4AD}"/>
    <hyperlink ref="J1001" r:id="rId13141" display="https://statiz.sporki.com/player/?m=playerinfo&amp;p_no=12887" xr:uid="{DD668808-3B13-41DC-945D-73652224DB1A}"/>
    <hyperlink ref="J1002" r:id="rId13142" display="https://statiz.sporki.com/player/?m=playerinfo&amp;p_no=12875" xr:uid="{814570EC-2ECA-44A9-86FC-180ED71E8A44}"/>
    <hyperlink ref="J1003" r:id="rId13143" display="https://statiz.sporki.com/player/?m=playerinfo&amp;p_no=12915" xr:uid="{45ED3FFC-2D14-48D7-8077-8C0CC8E7BBBE}"/>
    <hyperlink ref="J1004" r:id="rId13144" display="https://statiz.sporki.com/player/?m=playerinfo&amp;p_no=13230" xr:uid="{29730FAD-7678-4311-B8DA-5D75ADBD7CDA}"/>
    <hyperlink ref="J1005" r:id="rId13145" display="https://statiz.sporki.com/player/?m=playerinfo&amp;p_no=12863" xr:uid="{1EB8853B-0BA5-46D9-B868-886A111BC4D1}"/>
    <hyperlink ref="J1006" r:id="rId13146" display="https://statiz.sporki.com/player/?m=playerinfo&amp;p_no=12896" xr:uid="{C92C35AE-61F6-4E77-9DCC-8B68C149C2F8}"/>
    <hyperlink ref="J1007" r:id="rId13147" display="https://statiz.sporki.com/player/?m=playerinfo&amp;p_no=13274" xr:uid="{75D452A5-A303-4678-B591-8C01469CE404}"/>
    <hyperlink ref="J1008" r:id="rId13148" display="https://statiz.sporki.com/player/?m=playerinfo&amp;p_no=12890" xr:uid="{1CBC45A1-7B93-4409-85DA-33033429A778}"/>
    <hyperlink ref="J1009" r:id="rId13149" display="https://statiz.sporki.com/player/?m=playerinfo&amp;p_no=12882" xr:uid="{83E3D4D2-D69C-4E03-902F-94FDF2BC68BB}"/>
    <hyperlink ref="J1010" r:id="rId13150" display="https://statiz.sporki.com/player/?m=playerinfo&amp;p_no=12888" xr:uid="{76AD68D7-AC65-4A2E-8A72-0F5589A02059}"/>
    <hyperlink ref="J1011" r:id="rId13151" display="https://statiz.sporki.com/player/?m=playerinfo&amp;p_no=12876" xr:uid="{181D5B94-3F29-449E-ABAE-ED3DD45A4BE4}"/>
    <hyperlink ref="J1012" r:id="rId13152" display="https://statiz.sporki.com/player/?m=playerinfo&amp;p_no=12916" xr:uid="{D47C07C8-96D4-4BA2-BCA5-A49B3C74551C}"/>
    <hyperlink ref="J1013" r:id="rId13153" display="https://statiz.sporki.com/player/?m=playerinfo&amp;p_no=14721" xr:uid="{C86D1D6E-702B-4424-A7E7-C45C3703071A}"/>
    <hyperlink ref="J1014" r:id="rId13154" display="https://statiz.sporki.com/player/?m=playerinfo&amp;p_no=12864" xr:uid="{5E5C5B86-8292-4149-88BC-70DDA7AEF17B}"/>
    <hyperlink ref="J1015" r:id="rId13155" display="https://statiz.sporki.com/player/?m=playerinfo&amp;p_no=12849" xr:uid="{BBD637BF-6A72-4405-AD69-6E23B9288E4E}"/>
    <hyperlink ref="J1016" r:id="rId13156" display="https://statiz.sporki.com/player/?m=playerinfo&amp;p_no=12883" xr:uid="{7BAF1913-C8C9-4D1A-AAC3-6CB8BE2EF836}"/>
    <hyperlink ref="J1017" r:id="rId13157" display="https://statiz.sporki.com/player/?m=playerinfo&amp;p_no=12889" xr:uid="{A266BBB7-692B-4F42-BBF4-4978B438B28A}"/>
    <hyperlink ref="J1018" r:id="rId13158" display="https://statiz.sporki.com/player/?m=playerinfo&amp;p_no=12877" xr:uid="{0FEEA4E2-703B-4E48-8170-6E8DBEFA85A4}"/>
    <hyperlink ref="J1019" r:id="rId13159" display="https://statiz.sporki.com/player/?m=playerinfo&amp;p_no=12950" xr:uid="{33418F6E-FA3F-4C7F-BD0B-CE51CCE89AC4}"/>
    <hyperlink ref="J1020" r:id="rId13160" display="https://statiz.sporki.com/player/?m=playerinfo&amp;p_no=12949" xr:uid="{66733B62-64CC-49E5-A927-99452718B412}"/>
    <hyperlink ref="J1021" r:id="rId13161" display="https://statiz.sporki.com/player/?m=playerinfo&amp;p_no=12995" xr:uid="{0946B79C-21B0-41CE-9314-427C402E0644}"/>
    <hyperlink ref="J1022" r:id="rId13162" display="https://statiz.sporki.com/player/?m=playerinfo&amp;p_no=12960" xr:uid="{69F7B1DD-BE78-4D38-B110-377E55E0A44F}"/>
    <hyperlink ref="J1023" r:id="rId13163" display="https://statiz.sporki.com/player/?m=playerinfo&amp;p_no=12959" xr:uid="{63B3A53A-B59D-4238-8225-2BF4FAE843A9}"/>
    <hyperlink ref="J1024" r:id="rId13164" display="https://statiz.sporki.com/player/?m=playerinfo&amp;p_no=13005" xr:uid="{AC4F45ED-39F5-40BD-AE65-ACA73988E3A5}"/>
    <hyperlink ref="J1025" r:id="rId13165" display="https://statiz.sporki.com/player/?m=playerinfo&amp;p_no=12946" xr:uid="{6A62B581-AF05-4FA2-A276-BDB0A74C7582}"/>
    <hyperlink ref="J1026" r:id="rId13166" display="https://statiz.sporki.com/player/?m=playerinfo&amp;p_no=12947" xr:uid="{DA08D4E7-38FC-4BE6-BC4C-CE35D4E2D645}"/>
    <hyperlink ref="J1027" r:id="rId13167" display="https://statiz.sporki.com/player/?m=playerinfo&amp;p_no=12991" xr:uid="{0BF56899-E7C2-4F54-BDAC-373D85D95959}"/>
    <hyperlink ref="J1028" r:id="rId13168" display="https://statiz.sporki.com/player/?m=playerinfo&amp;p_no=12951" xr:uid="{061C0B31-6AA2-449E-AFBE-A4ED4CB5823F}"/>
    <hyperlink ref="J1029" r:id="rId13169" display="https://statiz.sporki.com/player/?m=playerinfo&amp;p_no=12952" xr:uid="{2D376A99-6E82-4064-8682-9ADE94DB3427}"/>
    <hyperlink ref="J1030" r:id="rId13170" display="https://statiz.sporki.com/player/?m=playerinfo&amp;p_no=12948" xr:uid="{9330C28B-B1BD-4075-97EE-0B0072742AC8}"/>
    <hyperlink ref="J1031" r:id="rId13171" display="https://statiz.sporki.com/player/?m=playerinfo&amp;p_no=13007" xr:uid="{8780D94F-BC2D-4366-9919-5E1F255B224F}"/>
    <hyperlink ref="J1032" r:id="rId13172" display="https://statiz.sporki.com/player/?m=playerinfo&amp;p_no=12992" xr:uid="{86F97727-E057-4B7A-9756-F1D41EDB2B0A}"/>
    <hyperlink ref="J1033" r:id="rId13173" display="https://statiz.sporki.com/player/?m=playerinfo&amp;p_no=12990" xr:uid="{387E45D9-292A-4AC1-9F64-DC408890D2F9}"/>
    <hyperlink ref="J1034" r:id="rId13174" display="https://statiz.sporki.com/player/?m=playerinfo&amp;p_no=12955" xr:uid="{2DD33FD4-78DC-4B75-9387-15627874CD17}"/>
    <hyperlink ref="J1035" r:id="rId13175" display="https://statiz.sporki.com/player/?m=playerinfo&amp;p_no=12956" xr:uid="{68EC2DB5-0E17-499A-BA28-4F9F051AE942}"/>
    <hyperlink ref="J1036" r:id="rId13176" display="https://statiz.sporki.com/player/?m=playerinfo&amp;p_no=12961" xr:uid="{F711BEE6-8E5C-442F-915E-D9F5553D226B}"/>
    <hyperlink ref="J1037" r:id="rId13177" display="https://statiz.sporki.com/player/?m=playerinfo&amp;p_no=12957" xr:uid="{18779622-3AFB-4BE6-9A7E-E63D260BBFBC}"/>
    <hyperlink ref="J1038" r:id="rId13178" display="https://statiz.sporki.com/player/?m=playerinfo&amp;p_no=12958" xr:uid="{B5687886-820B-49B5-9B3D-56DC111F0A55}"/>
    <hyperlink ref="J1039" r:id="rId13179" display="https://statiz.sporki.com/player/?m=playerinfo&amp;p_no=12954" xr:uid="{A7398ADE-EA88-477C-A486-86264BF96069}"/>
    <hyperlink ref="J1040" r:id="rId13180" display="https://statiz.sporki.com/player/?m=playerinfo&amp;p_no=12953" xr:uid="{696851D0-4F1A-48E3-8587-B2FD20181468}"/>
    <hyperlink ref="J1041" r:id="rId13181" display="https://statiz.sporki.com/player/?m=playerinfo&amp;p_no=13002" xr:uid="{DB736164-9938-4C06-AF6F-09257BBB655C}"/>
    <hyperlink ref="J1042" r:id="rId13182" display="https://statiz.sporki.com/player/?m=playerinfo&amp;p_no=13265" xr:uid="{01FA6AF8-B6C2-45DB-A033-B4B81A40D33D}"/>
    <hyperlink ref="J1043" r:id="rId13183" display="https://statiz.sporki.com/player/?m=playerinfo&amp;p_no=13263" xr:uid="{9401A8A6-E21B-4A34-9EE5-F2BEF8C90BCF}"/>
    <hyperlink ref="J1044" r:id="rId13184" display="https://statiz.sporki.com/player/?m=playerinfo&amp;p_no=13261" xr:uid="{E4A670A8-B8A3-4DC6-9ECF-15A25509D04D}"/>
    <hyperlink ref="J1045" r:id="rId13185" display="https://statiz.sporki.com/player/?m=playerinfo&amp;p_no=13267" xr:uid="{1AD54E6F-66D2-40EF-9E71-B87BAB48D76A}"/>
    <hyperlink ref="J1046" r:id="rId13186" display="https://statiz.sporki.com/player/?m=playerinfo&amp;p_no=13269" xr:uid="{AF0B5FAB-36D3-44D7-8F3A-3A5D89542E15}"/>
    <hyperlink ref="J1047" r:id="rId13187" display="https://statiz.sporki.com/player/?m=playerinfo&amp;p_no=13270" xr:uid="{62267997-4057-4CF7-994B-33F1583BBA54}"/>
    <hyperlink ref="J1048" r:id="rId13188" display="https://statiz.sporki.com/player/?m=playerinfo&amp;p_no=13266" xr:uid="{52611548-B393-43A3-9D47-BA463D05BA12}"/>
    <hyperlink ref="J1049" r:id="rId13189" display="https://statiz.sporki.com/player/?m=playerinfo&amp;p_no=13277" xr:uid="{0E3D4405-A7B3-4F09-851A-D88BA7F3DB05}"/>
    <hyperlink ref="J1050" r:id="rId13190" display="https://statiz.sporki.com/player/?m=playerinfo&amp;p_no=13243" xr:uid="{45E441FE-DC21-4843-BE25-FC57CBB2BAB6}"/>
    <hyperlink ref="J1051" r:id="rId13191" display="https://statiz.sporki.com/player/?m=playerinfo&amp;p_no=12533" xr:uid="{2479A3BB-00CD-4DCD-A016-76FC138DF095}"/>
    <hyperlink ref="J1052" r:id="rId13192" display="https://statiz.sporki.com/player/?m=playerinfo&amp;p_no=12572" xr:uid="{537ED682-F6E5-4CF5-999D-652A54A989C2}"/>
    <hyperlink ref="J1053" r:id="rId13193" display="https://statiz.sporki.com/player/?m=playerinfo&amp;p_no=12532" xr:uid="{8AD80C70-9D3C-44DE-A98C-BD0318E40B54}"/>
    <hyperlink ref="J1054" r:id="rId13194" display="https://statiz.sporki.com/player/?m=playerinfo&amp;p_no=12522" xr:uid="{A805A213-DBDE-41E8-ABB3-3FDC80B2E191}"/>
    <hyperlink ref="J1055" r:id="rId13195" display="https://statiz.sporki.com/player/?m=playerinfo&amp;p_no=12571" xr:uid="{67A1C27E-7083-4FEC-8BF0-B37A06F355A2}"/>
    <hyperlink ref="J1056" r:id="rId13196" display="https://statiz.sporki.com/player/?m=playerinfo&amp;p_no=12567" xr:uid="{F24E3C4D-ED6A-4C84-96BF-C65328B45947}"/>
    <hyperlink ref="J1057" r:id="rId13197" display="https://statiz.sporki.com/player/?m=playerinfo&amp;p_no=12568" xr:uid="{248EFF81-700B-49F6-9A65-8A77D2E7DC16}"/>
    <hyperlink ref="J1058" r:id="rId13198" display="https://statiz.sporki.com/player/?m=playerinfo&amp;p_no=12569" xr:uid="{8F78443C-25EC-4872-A2AB-B6B5C95B0ED8}"/>
    <hyperlink ref="J1059" r:id="rId13199" display="https://statiz.sporki.com/player/?m=playerinfo&amp;p_no=12530" xr:uid="{5FAF8308-F89B-4B7B-BC4E-910A8F2E61DA}"/>
    <hyperlink ref="J1060" r:id="rId13200" display="https://statiz.sporki.com/player/?m=playerinfo&amp;p_no=12570" xr:uid="{676D0EE5-C932-40B9-93E5-81B629D252B6}"/>
    <hyperlink ref="J1061" r:id="rId13201" display="https://statiz.sporki.com/player/?m=playerinfo&amp;p_no=12534" xr:uid="{5B1E4E9C-E1F0-44A1-AA07-07F9132B2562}"/>
    <hyperlink ref="J1062" r:id="rId13202" display="https://statiz.sporki.com/player/?m=playerinfo&amp;p_no=12521" xr:uid="{38A50C52-FDBF-47ED-A49F-2C7911F2ED0B}"/>
    <hyperlink ref="J1063" r:id="rId13203" display="https://statiz.sporki.com/player/?m=playerinfo&amp;p_no=12544" xr:uid="{8B91EF9C-E8EB-44AB-90BA-41BA785D15BD}"/>
    <hyperlink ref="J1064" r:id="rId13204" display="https://statiz.sporki.com/player/?m=playerinfo&amp;p_no=12561" xr:uid="{9A762318-B6CF-43E2-88E5-6410C7646256}"/>
    <hyperlink ref="J1065" r:id="rId13205" display="https://statiz.sporki.com/player/?m=playerinfo&amp;p_no=12612" xr:uid="{6E0E3451-FEBA-4E18-8BD5-D00B7D3C07E8}"/>
    <hyperlink ref="J1066" r:id="rId13206" display="https://statiz.sporki.com/player/?m=playerinfo&amp;p_no=12627" xr:uid="{04C2B0CD-BAD4-467D-9627-20AF2D7240ED}"/>
    <hyperlink ref="J1067" r:id="rId13207" display="https://statiz.sporki.com/player/?m=playerinfo&amp;p_no=12524" xr:uid="{25F3D5A7-C8D1-4921-A513-43EA7C46EE42}"/>
    <hyperlink ref="J1068" r:id="rId13208" display="https://statiz.sporki.com/player/?m=playerinfo&amp;p_no=12590" xr:uid="{A5F1ECB6-9011-4C0C-A180-A3900A0FBB8C}"/>
    <hyperlink ref="J1069" r:id="rId13209" display="https://statiz.sporki.com/player/?m=playerinfo&amp;p_no=12637" xr:uid="{AF5A3EBF-08B8-450C-99BA-6172BDECF276}"/>
    <hyperlink ref="J1070" r:id="rId13210" display="https://statiz.sporki.com/player/?m=playerinfo&amp;p_no=12547" xr:uid="{33930F74-B065-440A-BBEC-A2F53D2238C3}"/>
    <hyperlink ref="J1071" r:id="rId13211" display="https://statiz.sporki.com/player/?m=playerinfo&amp;p_no=12535" xr:uid="{448899AE-22B8-4475-814D-57C10E9DC0E1}"/>
    <hyperlink ref="J1072" r:id="rId13212" display="https://statiz.sporki.com/player/?m=playerinfo&amp;p_no=12573" xr:uid="{AA780EBD-1DA3-4337-92B7-421F8E9081C3}"/>
    <hyperlink ref="J1073" r:id="rId13213" display="https://statiz.sporki.com/player/?m=playerinfo&amp;p_no=12545" xr:uid="{2D76AEE5-58B0-40B6-A44F-35854C83C1FA}"/>
    <hyperlink ref="J1074" r:id="rId13214" display="https://statiz.sporki.com/player/?m=playerinfo&amp;p_no=12565" xr:uid="{FA182D54-7871-47BA-8BC5-5C6C9A7EFF75}"/>
    <hyperlink ref="J1075" r:id="rId13215" display="https://statiz.sporki.com/player/?m=playerinfo&amp;p_no=12531" xr:uid="{F0E7557C-B2B4-4121-A90C-CD99F96D1E89}"/>
    <hyperlink ref="J1076" r:id="rId13216" display="https://statiz.sporki.com/player/?m=playerinfo&amp;p_no=12628" xr:uid="{0480D81E-B915-4BF2-BEB0-D9EA1ED6B1C3}"/>
    <hyperlink ref="J1077" r:id="rId13217" display="https://statiz.sporki.com/player/?m=playerinfo&amp;p_no=12604" xr:uid="{6C761CD3-386B-4549-B0C3-CDD71BCF39A7}"/>
    <hyperlink ref="J1078" r:id="rId13218" display="https://statiz.sporki.com/player/?m=playerinfo&amp;p_no=12591" xr:uid="{8F2A796D-EA0C-4895-B534-6978692FC283}"/>
    <hyperlink ref="J1079" r:id="rId13219" display="https://statiz.sporki.com/player/?m=playerinfo&amp;p_no=12550" xr:uid="{32A6B295-E371-4781-A4D7-DE8E1DE847AD}"/>
    <hyperlink ref="J1080" r:id="rId13220" display="https://statiz.sporki.com/player/?m=playerinfo&amp;p_no=12526" xr:uid="{5341B481-9465-42FC-AC1E-6EA93028C88C}"/>
    <hyperlink ref="J1081" r:id="rId13221" display="https://statiz.sporki.com/player/?m=playerinfo&amp;p_no=12536" xr:uid="{8395351B-FB87-4E23-B82D-CE340A5E29BA}"/>
    <hyperlink ref="J1082" r:id="rId13222" display="https://statiz.sporki.com/player/?m=playerinfo&amp;p_no=12574" xr:uid="{0EA6BD15-019B-4BF1-ACB6-91447DB52618}"/>
    <hyperlink ref="J1083" r:id="rId13223" display="https://statiz.sporki.com/player/?m=playerinfo&amp;p_no=12546" xr:uid="{369252FF-BE0E-45C2-91B2-009F25569456}"/>
    <hyperlink ref="J1084" r:id="rId13224" display="https://statiz.sporki.com/player/?m=playerinfo&amp;p_no=12620" xr:uid="{1C2A5D8B-9B4D-44FA-9E99-A1475E732D35}"/>
    <hyperlink ref="J1085" r:id="rId13225" display="https://statiz.sporki.com/player/?m=playerinfo&amp;p_no=12613" xr:uid="{C07B6324-03A1-4407-A973-09EDDA9EAA62}"/>
    <hyperlink ref="J1086" r:id="rId13226" display="https://statiz.sporki.com/player/?m=playerinfo&amp;p_no=12629" xr:uid="{7F9D0D4E-FCF9-4242-8163-FF615747B25E}"/>
    <hyperlink ref="J1087" r:id="rId13227" display="https://statiz.sporki.com/player/?m=playerinfo&amp;p_no=12605" xr:uid="{9D1183C8-25B1-4C40-9A16-A4AB95224512}"/>
    <hyperlink ref="J1088" r:id="rId13228" display="https://statiz.sporki.com/player/?m=playerinfo&amp;p_no=12592" xr:uid="{B264CD1E-E1CF-44D3-8510-D55B6C3AE073}"/>
    <hyperlink ref="J1089" r:id="rId13229" display="https://statiz.sporki.com/player/?m=playerinfo&amp;p_no=12558" xr:uid="{FA54E648-81E8-4889-886A-6EF991D0F043}"/>
    <hyperlink ref="J1090" r:id="rId13230" display="https://statiz.sporki.com/player/?m=playerinfo&amp;p_no=12582" xr:uid="{41445E35-0C2D-4927-A610-751B4FDB16F5}"/>
    <hyperlink ref="J1091" r:id="rId13231" display="https://statiz.sporki.com/player/?m=playerinfo&amp;p_no=12537" xr:uid="{549441D3-DEAF-4AB0-8F22-AAFE3EB61AAC}"/>
    <hyperlink ref="J1092" r:id="rId13232" display="https://statiz.sporki.com/player/?m=playerinfo&amp;p_no=12576" xr:uid="{786580C6-EDED-4828-92AD-A68A98CFD835}"/>
    <hyperlink ref="J1093" r:id="rId13233" display="https://statiz.sporki.com/player/?m=playerinfo&amp;p_no=12549" xr:uid="{DF08CE3B-E205-4BBE-8B42-9F98F2EF1883}"/>
    <hyperlink ref="J1094" r:id="rId13234" display="https://statiz.sporki.com/player/?m=playerinfo&amp;p_no=12525" xr:uid="{F675DCAB-DFD1-4AA5-81E6-6AA1D39D21DA}"/>
    <hyperlink ref="J1095" r:id="rId13235" display="https://statiz.sporki.com/player/?m=playerinfo&amp;p_no=12614" xr:uid="{9C015B92-A985-44A1-B681-E66FB4396FFA}"/>
    <hyperlink ref="J1096" r:id="rId13236" display="https://statiz.sporki.com/player/?m=playerinfo&amp;p_no=12630" xr:uid="{C069F7CD-9927-4946-9A33-2FC540D202DA}"/>
    <hyperlink ref="J1097" r:id="rId13237" display="https://statiz.sporki.com/player/?m=playerinfo&amp;p_no=12606" xr:uid="{AFEFE554-D87C-41E9-A5A0-FF309F909D77}"/>
    <hyperlink ref="J1098" r:id="rId13238" display="https://statiz.sporki.com/player/?m=playerinfo&amp;p_no=12593" xr:uid="{560CF89A-8D79-4EB2-BA84-A072B32A443B}"/>
    <hyperlink ref="J1099" r:id="rId13239" display="https://statiz.sporki.com/player/?m=playerinfo&amp;p_no=12562" xr:uid="{BDA72FF7-0ACE-4DD3-8E6C-00D8911174FB}"/>
    <hyperlink ref="J1100" r:id="rId13240" display="https://statiz.sporki.com/player/?m=playerinfo&amp;p_no=12583" xr:uid="{5088D9F0-65F9-445F-8E92-F80A7E41B33B}"/>
    <hyperlink ref="J1101" r:id="rId13241" display="https://statiz.sporki.com/player/?m=playerinfo&amp;p_no=12538" xr:uid="{F9D87507-B7C6-4A9D-91C1-74E4270DB941}"/>
    <hyperlink ref="J1102" r:id="rId13242" display="https://statiz.sporki.com/player/?m=playerinfo&amp;p_no=12577" xr:uid="{EFB180C8-E5F0-4B6D-A170-DF21FCCF81F3}"/>
    <hyperlink ref="J1103" r:id="rId13243" display="https://statiz.sporki.com/player/?m=playerinfo&amp;p_no=12551" xr:uid="{2762E5BA-931D-48CA-A886-F9679F24988C}"/>
    <hyperlink ref="J1104" r:id="rId13244" display="https://statiz.sporki.com/player/?m=playerinfo&amp;p_no=12621" xr:uid="{0A9FD1EE-198E-447E-9FCA-6BE18221386C}"/>
    <hyperlink ref="J1105" r:id="rId13245" display="https://statiz.sporki.com/player/?m=playerinfo&amp;p_no=12615" xr:uid="{82C6777C-9BE2-4905-92AC-ED38FA6ECB80}"/>
    <hyperlink ref="J1106" r:id="rId13246" display="https://statiz.sporki.com/player/?m=playerinfo&amp;p_no=12631" xr:uid="{67056A7E-3046-472F-B769-22C043251E72}"/>
    <hyperlink ref="J1107" r:id="rId13247" display="https://statiz.sporki.com/player/?m=playerinfo&amp;p_no=12607" xr:uid="{6AD67C8F-737F-43A2-8047-9B0E173590F7}"/>
    <hyperlink ref="J1108" r:id="rId13248" display="https://statiz.sporki.com/player/?m=playerinfo&amp;p_no=12594" xr:uid="{573CB2A7-1E73-412A-B2B9-2E423C3FEE96}"/>
    <hyperlink ref="J1109" r:id="rId13249" display="https://statiz.sporki.com/player/?m=playerinfo&amp;p_no=12638" xr:uid="{15A925A9-A169-4599-999E-E8575AFA6D11}"/>
    <hyperlink ref="J1110" r:id="rId13250" display="https://statiz.sporki.com/player/?m=playerinfo&amp;p_no=12584" xr:uid="{C78C2B36-3A07-42FA-9C5D-834FD94B0C80}"/>
    <hyperlink ref="J1111" r:id="rId13251" display="https://statiz.sporki.com/player/?m=playerinfo&amp;p_no=12539" xr:uid="{A9A2A28A-9D02-491D-937F-CA0A6C31A802}"/>
    <hyperlink ref="J1112" r:id="rId13252" display="https://statiz.sporki.com/player/?m=playerinfo&amp;p_no=12578" xr:uid="{F132C1C7-4CF6-4A57-903C-9730FDAC5E27}"/>
    <hyperlink ref="J1113" r:id="rId13253" display="https://statiz.sporki.com/player/?m=playerinfo&amp;p_no=12553" xr:uid="{96BE5C0D-AC41-409E-8735-5BC23A64F106}"/>
    <hyperlink ref="J1114" r:id="rId13254" display="https://statiz.sporki.com/player/?m=playerinfo&amp;p_no=12622" xr:uid="{20C49911-7326-4510-BE32-592092392105}"/>
    <hyperlink ref="J1115" r:id="rId13255" display="https://statiz.sporki.com/player/?m=playerinfo&amp;p_no=12616" xr:uid="{C0A2B2A6-1297-422F-8427-E135BCFEAB92}"/>
    <hyperlink ref="J1116" r:id="rId13256" display="https://statiz.sporki.com/player/?m=playerinfo&amp;p_no=12632" xr:uid="{BC40FDA5-680A-48AB-9BD5-1056841A341D}"/>
    <hyperlink ref="J1117" r:id="rId13257" display="https://statiz.sporki.com/player/?m=playerinfo&amp;p_no=12523" xr:uid="{8FC96524-1FB4-4E0C-8BA8-10860B59804F}"/>
    <hyperlink ref="J1118" r:id="rId13258" display="https://statiz.sporki.com/player/?m=playerinfo&amp;p_no=12595" xr:uid="{3865E707-907E-4A54-99CF-16B0DB21C503}"/>
    <hyperlink ref="J1119" r:id="rId13259" display="https://statiz.sporki.com/player/?m=playerinfo&amp;p_no=12639" xr:uid="{61CC552A-B614-4113-ACB0-859F45685D84}"/>
    <hyperlink ref="J1120" r:id="rId13260" display="https://statiz.sporki.com/player/?m=playerinfo&amp;p_no=12585" xr:uid="{F343FE50-5E10-456B-A26B-15053FDA5CE1}"/>
    <hyperlink ref="J1121" r:id="rId13261" display="https://statiz.sporki.com/player/?m=playerinfo&amp;p_no=12540" xr:uid="{52411FA8-A9AB-4554-9DCF-9272D0F76FCB}"/>
    <hyperlink ref="J1122" r:id="rId13262" display="https://statiz.sporki.com/player/?m=playerinfo&amp;p_no=12579" xr:uid="{AF77DA7A-B14D-4A68-8EE8-68BE8C4D81A9}"/>
    <hyperlink ref="J1123" r:id="rId13263" display="https://statiz.sporki.com/player/?m=playerinfo&amp;p_no=12554" xr:uid="{D19E65E1-C31A-42E4-A31B-523136CC2AEF}"/>
    <hyperlink ref="J1124" r:id="rId13264" display="https://statiz.sporki.com/player/?m=playerinfo&amp;p_no=12623" xr:uid="{5480E2C4-7A7B-439A-BCE3-B1E15F340CE6}"/>
    <hyperlink ref="J1125" r:id="rId13265" display="https://statiz.sporki.com/player/?m=playerinfo&amp;p_no=12617" xr:uid="{AED4B514-4F51-42FB-9DBA-7048205C5772}"/>
    <hyperlink ref="J1126" r:id="rId13266" display="https://statiz.sporki.com/player/?m=playerinfo&amp;p_no=12633" xr:uid="{E9E08EB8-84A1-4515-B883-4AD14F4E957D}"/>
    <hyperlink ref="J1127" r:id="rId13267" display="https://statiz.sporki.com/player/?m=playerinfo&amp;p_no=12608" xr:uid="{05748F74-C008-4C03-94C4-70497E6F5212}"/>
    <hyperlink ref="J1128" r:id="rId13268" display="https://statiz.sporki.com/player/?m=playerinfo&amp;p_no=12596" xr:uid="{F34FF5F5-CA6A-4385-A3D9-5D16459F538A}"/>
    <hyperlink ref="J1129" r:id="rId13269" display="https://statiz.sporki.com/player/?m=playerinfo&amp;p_no=12640" xr:uid="{109B34C8-46FA-4DAE-BAD9-E1599B4988F2}"/>
    <hyperlink ref="J1130" r:id="rId13270" display="https://statiz.sporki.com/player/?m=playerinfo&amp;p_no=12586" xr:uid="{E37C72F7-B439-42AA-801A-AAE395CF1EE8}"/>
    <hyperlink ref="J1131" r:id="rId13271" display="https://statiz.sporki.com/player/?m=playerinfo&amp;p_no=12541" xr:uid="{5662EA87-B59F-4A97-B168-C61F7BFA712D}"/>
    <hyperlink ref="J1132" r:id="rId13272" display="https://statiz.sporki.com/player/?m=playerinfo&amp;p_no=12559" xr:uid="{ED6519F1-4C43-4D0D-A68E-EA0BF683199A}"/>
    <hyperlink ref="J1133" r:id="rId13273" display="https://statiz.sporki.com/player/?m=playerinfo&amp;p_no=12555" xr:uid="{51DA90A4-7BD4-4B3B-AA0D-F881564BF8AD}"/>
    <hyperlink ref="J1134" r:id="rId13274" display="https://statiz.sporki.com/player/?m=playerinfo&amp;p_no=12624" xr:uid="{8C1CB7DE-4763-40EA-96BE-D08B7752E4E3}"/>
    <hyperlink ref="J1135" r:id="rId13275" display="https://statiz.sporki.com/player/?m=playerinfo&amp;p_no=12618" xr:uid="{0EA2EDC0-98A6-4162-8383-E881B7BF0F0D}"/>
    <hyperlink ref="J1136" r:id="rId13276" display="https://statiz.sporki.com/player/?m=playerinfo&amp;p_no=12634" xr:uid="{BA2853E4-EE58-4E41-B8F1-BDF39A15812B}"/>
    <hyperlink ref="J1137" r:id="rId13277" display="https://statiz.sporki.com/player/?m=playerinfo&amp;p_no=12609" xr:uid="{64F1DB3D-037F-49CB-94D6-02713EEA743C}"/>
    <hyperlink ref="J1138" r:id="rId13278" display="https://statiz.sporki.com/player/?m=playerinfo&amp;p_no=12597" xr:uid="{E9CE99EE-6B8D-43CF-89F3-9952CF347038}"/>
    <hyperlink ref="J1139" r:id="rId13279" display="https://statiz.sporki.com/player/?m=playerinfo&amp;p_no=12641" xr:uid="{E252230C-18C8-4873-A9C0-E647404C8118}"/>
    <hyperlink ref="J1140" r:id="rId13280" display="https://statiz.sporki.com/player/?m=playerinfo&amp;p_no=12587" xr:uid="{6DD9E0C4-22CB-42AD-A9C7-C6823D5387E9}"/>
    <hyperlink ref="J1141" r:id="rId13281" display="https://statiz.sporki.com/player/?m=playerinfo&amp;p_no=12542" xr:uid="{22D55AFD-38BC-427E-8C49-24AD83743FCC}"/>
    <hyperlink ref="J1142" r:id="rId13282" display="https://statiz.sporki.com/player/?m=playerinfo&amp;p_no=12580" xr:uid="{3A8891C8-872A-4D2E-9DE0-5ECC33959614}"/>
    <hyperlink ref="J1143" r:id="rId13283" display="https://statiz.sporki.com/player/?m=playerinfo&amp;p_no=12556" xr:uid="{45521C30-00C7-47BD-A9AF-C753E36587EA}"/>
    <hyperlink ref="J1144" r:id="rId13284" display="https://statiz.sporki.com/player/?m=playerinfo&amp;p_no=12625" xr:uid="{C118BD1F-13E6-4927-9171-4214351D47D7}"/>
    <hyperlink ref="J1145" r:id="rId13285" display="https://statiz.sporki.com/player/?m=playerinfo&amp;p_no=12548" xr:uid="{F3D45043-F0B9-4C67-A6F4-7E819EE2657A}"/>
    <hyperlink ref="J1146" r:id="rId13286" display="https://statiz.sporki.com/player/?m=playerinfo&amp;p_no=12635" xr:uid="{5BB280ED-664B-452C-9011-209AF16D0550}"/>
    <hyperlink ref="J1147" r:id="rId13287" display="https://statiz.sporki.com/player/?m=playerinfo&amp;p_no=12610" xr:uid="{34FA59CE-04C6-424D-BCF2-3F2B1841D121}"/>
    <hyperlink ref="J1148" r:id="rId13288" display="https://statiz.sporki.com/player/?m=playerinfo&amp;p_no=12598" xr:uid="{F202FFC0-71D9-44AC-9C46-E13E357DC5F2}"/>
    <hyperlink ref="J1149" r:id="rId13289" display="https://statiz.sporki.com/player/?m=playerinfo&amp;p_no=12642" xr:uid="{A68057D3-797E-4602-B63A-7035EC06CCEE}"/>
    <hyperlink ref="J1150" r:id="rId13290" display="https://statiz.sporki.com/player/?m=playerinfo&amp;p_no=12588" xr:uid="{D75407E7-4A97-40BE-B3FA-E37F82D209DE}"/>
    <hyperlink ref="J1151" r:id="rId13291" display="https://statiz.sporki.com/player/?m=playerinfo&amp;p_no=12543" xr:uid="{D58C02DC-B0AD-4974-BA57-78D58FF8A471}"/>
    <hyperlink ref="J1152" r:id="rId13292" display="https://statiz.sporki.com/player/?m=playerinfo&amp;p_no=12581" xr:uid="{FBE9F579-631B-4542-A8AC-D469FF5112AF}"/>
    <hyperlink ref="J1153" r:id="rId13293" display="https://statiz.sporki.com/player/?m=playerinfo&amp;p_no=12557" xr:uid="{195CDF1D-17A0-45D3-9613-A1E5AC63153F}"/>
    <hyperlink ref="J1154" r:id="rId13294" display="https://statiz.sporki.com/player/?m=playerinfo&amp;p_no=12626" xr:uid="{646ECA79-A62F-46E2-B535-823097E20B8F}"/>
    <hyperlink ref="J1155" r:id="rId13295" display="https://statiz.sporki.com/player/?m=playerinfo&amp;p_no=12619" xr:uid="{C38651FB-EC62-4559-A38F-792ED5FE0E09}"/>
    <hyperlink ref="J1156" r:id="rId13296" display="https://statiz.sporki.com/player/?m=playerinfo&amp;p_no=12636" xr:uid="{0A9E9504-16D3-4576-AE64-2AD577909068}"/>
    <hyperlink ref="J1157" r:id="rId13297" display="https://statiz.sporki.com/player/?m=playerinfo&amp;p_no=12611" xr:uid="{C0449701-41FE-43EC-95E0-2D97633C8DA6}"/>
    <hyperlink ref="J1158" r:id="rId13298" display="https://statiz.sporki.com/player/?m=playerinfo&amp;p_no=12599" xr:uid="{327AC5E7-5B43-4F73-B582-B7EBB833BDCF}"/>
    <hyperlink ref="J1159" r:id="rId13299" display="https://statiz.sporki.com/player/?m=playerinfo&amp;p_no=12643" xr:uid="{DAC749E2-6AC7-4398-B484-DEBC9BA80B8F}"/>
    <hyperlink ref="J1160" r:id="rId13300" display="https://statiz.sporki.com/player/?m=playerinfo&amp;p_no=12564" xr:uid="{E8C68925-99E2-4150-ACA7-58FF2A0629C4}"/>
    <hyperlink ref="J1161" r:id="rId13301" display="https://statiz.sporki.com/player/?m=playerinfo&amp;p_no=12509" xr:uid="{BD786966-93D1-4EFB-9B69-540AC673CB41}"/>
    <hyperlink ref="J1162" r:id="rId13302" display="https://statiz.sporki.com/player/?m=playerinfo&amp;p_no=12510" xr:uid="{0869A77C-D303-4BDD-9A23-3CECFE57275C}"/>
    <hyperlink ref="J1163" r:id="rId13303" display="https://statiz.sporki.com/player/?m=playerinfo&amp;p_no=12689" xr:uid="{201D2D18-CBAF-4EC2-873A-23DC7C9048D1}"/>
    <hyperlink ref="J1164" r:id="rId13304" display="https://statiz.sporki.com/player/?m=playerinfo&amp;p_no=12507" xr:uid="{AEBF4627-2C62-4580-9C06-378436501666}"/>
    <hyperlink ref="J1165" r:id="rId13305" display="https://statiz.sporki.com/player/?m=playerinfo&amp;p_no=12508" xr:uid="{9B412691-9E7A-4BFE-B12C-0A65A5CB4949}"/>
    <hyperlink ref="J1166" r:id="rId13306" display="https://statiz.sporki.com/player/?m=playerinfo&amp;p_no=12682" xr:uid="{32360C40-3B37-4049-B4BD-3273CF4F75F4}"/>
    <hyperlink ref="J1167" r:id="rId13307" display="https://statiz.sporki.com/player/?m=playerinfo&amp;p_no=12658" xr:uid="{95CC12CD-75AA-42E9-AA5A-D848345894E8}"/>
    <hyperlink ref="J1168" r:id="rId13308" display="https://statiz.sporki.com/player/?m=playerinfo&amp;p_no=12672" xr:uid="{DDD57685-3749-4EA5-A9C9-38E3D374815A}"/>
    <hyperlink ref="J1169" r:id="rId13309" display="https://statiz.sporki.com/player/?m=playerinfo&amp;p_no=12514" xr:uid="{43F99ABF-7968-4432-B1C6-A45694C69FF7}"/>
    <hyperlink ref="J1170" r:id="rId13310" display="https://statiz.sporki.com/player/?m=playerinfo&amp;p_no=12670" xr:uid="{7B655ED1-83C8-4760-A3C4-D152673B5C95}"/>
    <hyperlink ref="J1171" r:id="rId13311" display="https://statiz.sporki.com/player/?m=playerinfo&amp;p_no=12518" xr:uid="{82C11344-072C-4A3A-909E-B6F5884D50E8}"/>
    <hyperlink ref="J1172" r:id="rId13312" display="https://statiz.sporki.com/player/?m=playerinfo&amp;p_no=12519" xr:uid="{816312CC-B407-4F2A-A885-23AB681DECA4}"/>
    <hyperlink ref="J1173" r:id="rId13313" display="https://statiz.sporki.com/player/?m=playerinfo&amp;p_no=12515" xr:uid="{05CC6DB0-5D9C-4DA7-BC35-57E76679FA08}"/>
    <hyperlink ref="J1174" r:id="rId13314" display="https://statiz.sporki.com/player/?m=playerinfo&amp;p_no=12517" xr:uid="{436EF699-2F8D-4A65-BD2C-F5CF01A5B5AD}"/>
    <hyperlink ref="J1175" r:id="rId13315" display="https://statiz.sporki.com/player/?m=playerinfo&amp;p_no=12693" xr:uid="{AC56E98A-B174-4F5F-AA91-5344533A80E8}"/>
    <hyperlink ref="J1176" r:id="rId13316" display="https://statiz.sporki.com/player/?m=playerinfo&amp;p_no=12506" xr:uid="{F0183564-DFAF-493C-97B4-525A46EC5BAE}"/>
    <hyperlink ref="J1177" r:id="rId13317" display="https://statiz.sporki.com/player/?m=playerinfo&amp;p_no=12504" xr:uid="{1A6E5F16-4230-4DCC-A6FC-2C0FA01EE2A7}"/>
    <hyperlink ref="J1178" r:id="rId13318" display="https://statiz.sporki.com/player/?m=playerinfo&amp;p_no=12695" xr:uid="{1E658565-421D-4639-850F-27A0A20BA4B0}"/>
    <hyperlink ref="J1179" r:id="rId13319" display="https://statiz.sporki.com/player/?m=playerinfo&amp;p_no=12666" xr:uid="{CC588070-BE3C-41A8-9FEF-B04D26CFD2D8}"/>
    <hyperlink ref="J1180" r:id="rId13320" display="https://statiz.sporki.com/player/?m=playerinfo&amp;p_no=12505" xr:uid="{B5963BF2-75B3-4809-A3A1-4163C3839179}"/>
    <hyperlink ref="J1181" r:id="rId13321" display="https://statiz.sporki.com/player/?m=playerinfo&amp;p_no=12511" xr:uid="{7376AEB6-F484-476A-B7C1-04BD553E8639}"/>
    <hyperlink ref="J1182" r:id="rId13322" display="https://statiz.sporki.com/player/?m=playerinfo&amp;p_no=12668" xr:uid="{A7D5F47C-78AF-4E04-8CB8-BB4F5DAF5D6A}"/>
    <hyperlink ref="J1183" r:id="rId13323" display="https://statiz.sporki.com/player/?m=playerinfo&amp;p_no=12680" xr:uid="{6CA5509A-7A9D-485B-82C1-AFA2AEB95B18}"/>
    <hyperlink ref="J1184" r:id="rId13324" display="https://statiz.sporki.com/player/?m=playerinfo&amp;p_no=12648" xr:uid="{A9C13009-DFB7-4596-958F-81D0A4AB57EC}"/>
    <hyperlink ref="J1185" r:id="rId13325" display="https://statiz.sporki.com/player/?m=playerinfo&amp;p_no=13181" xr:uid="{BD323BFF-A506-4406-B53D-40DCBA925FE2}"/>
    <hyperlink ref="J1186" r:id="rId13326" display="https://statiz.sporki.com/player/?m=playerinfo&amp;p_no=14193" xr:uid="{C816DD08-05F1-4E49-A569-F953ED9AAF42}"/>
    <hyperlink ref="J1187" r:id="rId13327" display="https://statiz.sporki.com/player/?m=playerinfo&amp;p_no=13183" xr:uid="{AE12F7B2-DAA6-4AC1-8A9A-FAA36B230840}"/>
    <hyperlink ref="J1188" r:id="rId13328" display="https://statiz.sporki.com/player/?m=playerinfo&amp;p_no=12945" xr:uid="{C6D2F276-756E-4506-A46A-5A7DA8D5AD3D}"/>
    <hyperlink ref="J1189" r:id="rId13329" display="https://statiz.sporki.com/player/?m=playerinfo&amp;p_no=12560" xr:uid="{009D451E-749B-434A-92BD-25F4377A29DB}"/>
    <hyperlink ref="J1190" r:id="rId13330" display="https://statiz.sporki.com/player/?m=playerinfo&amp;p_no=13922" xr:uid="{8CB22AD2-D063-4707-A556-A7F47B141A4F}"/>
    <hyperlink ref="J1191" r:id="rId13331" display="https://statiz.sporki.com/player/?m=playerinfo&amp;p_no=14887" xr:uid="{FAC0C151-BC16-480B-B59C-018A5683B565}"/>
    <hyperlink ref="J1192" r:id="rId13332" display="https://statiz.sporki.com/player/?m=playerinfo&amp;p_no=13000" xr:uid="{EB73EC44-F433-46A0-970A-5134B6F95CDB}"/>
    <hyperlink ref="J1193" r:id="rId13333" display="https://statiz.sporki.com/player/?m=playerinfo&amp;p_no=12987" xr:uid="{D8C2FB20-B11F-4627-AD35-AA3692062B97}"/>
    <hyperlink ref="J1194" r:id="rId13334" display="https://statiz.sporki.com/player/?m=playerinfo&amp;p_no=12989" xr:uid="{3CDE3FA6-2D76-4B5A-8279-E40742A3A7A6}"/>
    <hyperlink ref="J1195" r:id="rId13335" display="https://statiz.sporki.com/player/?m=playerinfo&amp;p_no=12974" xr:uid="{6136AC46-BD6F-47F7-9DE1-2C749DF03983}"/>
    <hyperlink ref="J1196" r:id="rId13336" display="https://statiz.sporki.com/player/?m=playerinfo&amp;p_no=12603" xr:uid="{FADFA12F-C530-4F6C-918C-041E13571A0F}"/>
    <hyperlink ref="J1197" r:id="rId13337" display="https://statiz.sporki.com/player/?m=playerinfo&amp;p_no=12602" xr:uid="{EA12D1B3-1F3B-4937-91E4-0C82AA89C476}"/>
    <hyperlink ref="J1198" r:id="rId13338" display="https://statiz.sporki.com/player/?m=playerinfo&amp;p_no=12601" xr:uid="{B465DB03-412F-4D8A-8BF7-7BF2B93BAAB4}"/>
    <hyperlink ref="J1199" r:id="rId13339" display="https://statiz.sporki.com/player/?m=playerinfo&amp;p_no=12988" xr:uid="{50C06B85-2166-4AE3-8380-5F3645DF28E9}"/>
    <hyperlink ref="J1200" r:id="rId13340" display="https://statiz.sporki.com/player/?m=playerinfo&amp;p_no=12983" xr:uid="{473FC435-09DF-4732-86F5-FE988E34747B}"/>
    <hyperlink ref="J1201" r:id="rId13341" display="https://statiz.sporki.com/player/?m=playerinfo&amp;p_no=12982" xr:uid="{8D1DD791-8C5E-450B-9FA1-93C335609FC4}"/>
    <hyperlink ref="J1202" r:id="rId13342" display="https://statiz.sporki.com/player/?m=playerinfo&amp;p_no=12981" xr:uid="{5A66DEE9-F432-4F5E-9C60-646C9D9AA3E8}"/>
    <hyperlink ref="J1203" r:id="rId13343" display="https://statiz.sporki.com/player/?m=playerinfo&amp;p_no=12589" xr:uid="{B37DB3BB-9932-484A-A367-690A6F8D9B6E}"/>
    <hyperlink ref="J1204" r:id="rId13344" display="https://statiz.sporki.com/player/?m=playerinfo&amp;p_no=12996" xr:uid="{CF1A3FD4-4AC4-41F6-845F-DB4A06249BDA}"/>
    <hyperlink ref="J1205" r:id="rId13345" display="https://statiz.sporki.com/player/?m=playerinfo&amp;p_no=13003" xr:uid="{48469A13-8931-476B-940F-0063B74E6E28}"/>
    <hyperlink ref="J1206" r:id="rId13346" display="https://statiz.sporki.com/player/?m=playerinfo&amp;p_no=11318" xr:uid="{82E341E9-1771-4BBD-8966-B4C58E8B851B}"/>
    <hyperlink ref="J1207" r:id="rId13347" display="https://statiz.sporki.com/player/?m=playerinfo&amp;p_no=11344" xr:uid="{17837C71-9A0C-4FF0-8E35-D6CE6D01E399}"/>
    <hyperlink ref="J1208" r:id="rId13348" display="https://statiz.sporki.com/player/?m=playerinfo&amp;p_no=11361" xr:uid="{59FF3285-83B8-44BE-9809-161574DC7AA7}"/>
    <hyperlink ref="J1209" r:id="rId13349" display="https://statiz.sporki.com/player/?m=playerinfo&amp;p_no=11369" xr:uid="{08657994-86C8-4929-A1AE-9394515E3DCF}"/>
    <hyperlink ref="J1210" r:id="rId13350" display="https://statiz.sporki.com/player/?m=playerinfo&amp;p_no=11379" xr:uid="{A7125DBF-CB43-4B29-967F-F452EF9F132D}"/>
    <hyperlink ref="J1211" r:id="rId13351" display="https://statiz.sporki.com/player/?m=playerinfo&amp;p_no=11381" xr:uid="{34D1B56D-67B9-43D5-A8C0-45EF5375E31D}"/>
    <hyperlink ref="J1212" r:id="rId13352" display="https://statiz.sporki.com/player/?m=playerinfo&amp;p_no=11388" xr:uid="{E925E741-BF3C-424F-8AE2-9F73E5BB112F}"/>
    <hyperlink ref="J1213" r:id="rId13353" display="https://statiz.sporki.com/player/?m=playerinfo&amp;p_no=13239" xr:uid="{565BEF4F-65C6-4771-8DC9-AE99F5E1D213}"/>
    <hyperlink ref="J1214" r:id="rId13354" display="https://statiz.sporki.com/player/?m=playerinfo&amp;p_no=11411" xr:uid="{7E4123F6-F38A-425B-B41A-7D4C66EA4747}"/>
    <hyperlink ref="J1215" r:id="rId13355" display="https://statiz.sporki.com/player/?m=playerinfo&amp;p_no=11306" xr:uid="{2D30A704-9C56-44EB-B636-12CA80344F7B}"/>
    <hyperlink ref="J1216" r:id="rId13356" display="https://statiz.sporki.com/player/?m=playerinfo&amp;p_no=11320" xr:uid="{14333041-FAF9-401E-9DB8-CAB0ED3C678D}"/>
    <hyperlink ref="J1217" r:id="rId13357" display="https://statiz.sporki.com/player/?m=playerinfo&amp;p_no=11317" xr:uid="{9C70B0E4-9CBE-4545-A7DC-7D473D361CA9}"/>
    <hyperlink ref="J1218" r:id="rId13358" display="https://statiz.sporki.com/player/?m=playerinfo&amp;p_no=11319" xr:uid="{9D267473-77BA-4528-8FF7-E0BDAA897A68}"/>
    <hyperlink ref="J1219" r:id="rId13359" display="https://statiz.sporki.com/player/?m=playerinfo&amp;p_no=11489" xr:uid="{9695CC8F-59FF-480E-B662-044212FE19C8}"/>
    <hyperlink ref="J1220" r:id="rId13360" display="https://statiz.sporki.com/player/?m=playerinfo&amp;p_no=11347" xr:uid="{D375D59A-ADF6-4DEA-90FC-86533128D033}"/>
    <hyperlink ref="J1221" r:id="rId13361" display="https://statiz.sporki.com/player/?m=playerinfo&amp;p_no=11353" xr:uid="{96AC7E2C-DDF8-425F-AD7A-38B4221F58CA}"/>
    <hyperlink ref="J1222" r:id="rId13362" display="https://statiz.sporki.com/player/?m=playerinfo&amp;p_no=11366" xr:uid="{D74A920F-ABD0-4C3C-866B-E75E359C5516}"/>
    <hyperlink ref="J1223" r:id="rId13363" display="https://statiz.sporki.com/player/?m=playerinfo&amp;p_no=11374" xr:uid="{F0CD240A-3784-4D13-8AAD-8A7E149EE5B6}"/>
    <hyperlink ref="J1224" r:id="rId13364" display="https://statiz.sporki.com/player/?m=playerinfo&amp;p_no=11387" xr:uid="{254FF613-1C02-4259-B195-F28D4A1BFFAC}"/>
    <hyperlink ref="J1225" r:id="rId13365" display="https://statiz.sporki.com/player/?m=playerinfo&amp;p_no=11396" xr:uid="{A3B8F2D5-7AEB-4013-9AEB-1E1A760B9C7E}"/>
    <hyperlink ref="J1226" r:id="rId13366" display="https://statiz.sporki.com/player/?m=playerinfo&amp;p_no=11404" xr:uid="{6F3B10A3-EC64-4D0C-96AE-754C11F2FE08}"/>
    <hyperlink ref="J1227" r:id="rId13367" display="https://statiz.sporki.com/player/?m=playerinfo&amp;p_no=11410" xr:uid="{86635B21-3688-4A49-B553-93FA31975583}"/>
    <hyperlink ref="J1228" r:id="rId13368" display="https://statiz.sporki.com/player/?m=playerinfo&amp;p_no=11299" xr:uid="{57FCB163-4142-4235-95BF-FDB03BE8AADD}"/>
    <hyperlink ref="J1229" r:id="rId13369" display="https://statiz.sporki.com/player/?m=playerinfo&amp;p_no=11321" xr:uid="{6304FEA4-D3B6-4CD9-BB4F-AD7984FD49F2}"/>
    <hyperlink ref="J1230" r:id="rId13370" display="https://statiz.sporki.com/player/?m=playerinfo&amp;p_no=11351" xr:uid="{19CBE9F6-C0F6-405E-9AE5-F95E5044B875}"/>
    <hyperlink ref="J1231" r:id="rId13371" display="https://statiz.sporki.com/player/?m=playerinfo&amp;p_no=11355" xr:uid="{6670D7D8-617D-42B0-8BF6-1FE2B0D0412C}"/>
    <hyperlink ref="J1232" r:id="rId13372" display="https://statiz.sporki.com/player/?m=playerinfo&amp;p_no=11367" xr:uid="{3BA0A502-C352-425A-A51E-C6B79A6DEF9B}"/>
    <hyperlink ref="J1233" r:id="rId13373" display="https://statiz.sporki.com/player/?m=playerinfo&amp;p_no=11373" xr:uid="{D609700E-6EED-4561-BCC1-21FC590C9167}"/>
    <hyperlink ref="J1234" r:id="rId13374" display="https://statiz.sporki.com/player/?m=playerinfo&amp;p_no=12970" xr:uid="{FF5B4775-409A-46F4-8E49-4F79795C73D6}"/>
    <hyperlink ref="J1235" r:id="rId13375" display="https://statiz.sporki.com/player/?m=playerinfo&amp;p_no=11399" xr:uid="{F87DC560-0D69-4D95-8887-465630D9F15F}"/>
    <hyperlink ref="J1236" r:id="rId13376" display="https://statiz.sporki.com/player/?m=playerinfo&amp;p_no=11407" xr:uid="{0F67D00D-E093-48C7-BD5D-B6C5D49C4950}"/>
    <hyperlink ref="J1237" r:id="rId13377" display="https://statiz.sporki.com/player/?m=playerinfo&amp;p_no=11412" xr:uid="{BA6D5EE9-1856-4128-A6C7-51E76A63CF11}"/>
    <hyperlink ref="J1238" r:id="rId13378" display="https://statiz.sporki.com/player/?m=playerinfo&amp;p_no=11302" xr:uid="{DBC3972B-2EAD-4950-AE82-8B89FFF90889}"/>
    <hyperlink ref="J1239" r:id="rId13379" display="https://statiz.sporki.com/player/?m=playerinfo&amp;p_no=11337" xr:uid="{B667DFA7-45A4-4865-8768-E249DA8D7DD2}"/>
    <hyperlink ref="J1240" r:id="rId13380" display="https://statiz.sporki.com/player/?m=playerinfo&amp;p_no=13009" xr:uid="{C8135E32-28D7-4B2C-823C-F9DF7041C22C}"/>
    <hyperlink ref="J1241" r:id="rId13381" display="https://statiz.sporki.com/player/?m=playerinfo&amp;p_no=13283" xr:uid="{8044C336-E312-4A31-8C47-3101E27D796E}"/>
    <hyperlink ref="J1242" r:id="rId13382" display="https://statiz.sporki.com/player/?m=playerinfo&amp;p_no=12503" xr:uid="{00D3304A-1D1D-447E-B3DD-17CD94F5D31C}"/>
    <hyperlink ref="J1243" r:id="rId13383" display="https://statiz.sporki.com/player/?m=playerinfo&amp;p_no=11375" xr:uid="{EBC53059-7CE5-40F1-A0C5-75DA66052222}"/>
    <hyperlink ref="J1244" r:id="rId13384" display="https://statiz.sporki.com/player/?m=playerinfo&amp;p_no=11385" xr:uid="{7FF7B1DF-3DCC-47EA-BE4F-B02C44A2EB0B}"/>
    <hyperlink ref="J1245" r:id="rId13385" display="https://statiz.sporki.com/player/?m=playerinfo&amp;p_no=11422" xr:uid="{5FC15635-49F4-49EF-886A-092526B0EF98}"/>
    <hyperlink ref="J1246" r:id="rId13386" display="https://statiz.sporki.com/player/?m=playerinfo&amp;p_no=11400" xr:uid="{F72E6988-9CEF-4ECB-826A-ACD9D521CD30}"/>
    <hyperlink ref="J1247" r:id="rId13387" display="https://statiz.sporki.com/player/?m=playerinfo&amp;p_no=11414" xr:uid="{13629AF2-0A68-45AE-A2A4-41D00E3F9A28}"/>
    <hyperlink ref="J1248" r:id="rId13388" display="https://statiz.sporki.com/player/?m=playerinfo&amp;p_no=11303" xr:uid="{F4B152B6-F020-40BE-BE27-CEA3461C19B4}"/>
    <hyperlink ref="J1249" r:id="rId13389" display="https://statiz.sporki.com/player/?m=playerinfo&amp;p_no=12646" xr:uid="{31551E18-DAFA-445E-98E7-7FA73E0E8CD6}"/>
    <hyperlink ref="J1250" r:id="rId13390" display="https://statiz.sporki.com/player/?m=playerinfo&amp;p_no=11349" xr:uid="{8BF586B9-E515-4D8F-9F6A-AF28EF387755}"/>
    <hyperlink ref="J1251" r:id="rId13391" display="https://statiz.sporki.com/player/?m=playerinfo&amp;p_no=11362" xr:uid="{0A417C31-8678-4F26-B06D-9F485B5E245D}"/>
    <hyperlink ref="J1252" r:id="rId13392" display="https://statiz.sporki.com/player/?m=playerinfo&amp;p_no=12651" xr:uid="{0FFB728E-8763-4CDE-BD1D-F9CF23DAE3A6}"/>
    <hyperlink ref="J1253" r:id="rId13393" display="https://statiz.sporki.com/player/?m=playerinfo&amp;p_no=11378" xr:uid="{8151EEC4-DA5E-4DF0-845B-8F53CA0C976D}"/>
    <hyperlink ref="J1254" r:id="rId13394" display="https://statiz.sporki.com/player/?m=playerinfo&amp;p_no=12978" xr:uid="{90049B11-B48D-4DB0-A8E4-C4E9748F0FF6}"/>
    <hyperlink ref="J1255" r:id="rId13395" display="https://statiz.sporki.com/player/?m=playerinfo&amp;p_no=13242" xr:uid="{7E51592E-FBE6-41A7-9A3B-B1AF14AF638D}"/>
    <hyperlink ref="J1256" r:id="rId13396" display="https://statiz.sporki.com/player/?m=playerinfo&amp;p_no=13180" xr:uid="{D91D917C-7116-4D0F-836E-283790F2019E}"/>
    <hyperlink ref="J1257" r:id="rId13397" display="https://statiz.sporki.com/player/?m=playerinfo&amp;p_no=11336" xr:uid="{8EA8073C-C370-45EF-87B4-D5EA4137E8C2}"/>
    <hyperlink ref="J1258" r:id="rId13398" display="https://statiz.sporki.com/player/?m=playerinfo&amp;p_no=11346" xr:uid="{20CFFDB0-90E8-429F-8B13-BB3C0D6A4C0C}"/>
    <hyperlink ref="J1259" r:id="rId13399" display="https://statiz.sporki.com/player/?m=playerinfo&amp;p_no=13008" xr:uid="{2AA541CB-961B-4F7C-897C-D7FC80ACAFFE}"/>
    <hyperlink ref="J1260" r:id="rId13400" display="https://statiz.sporki.com/player/?m=playerinfo&amp;p_no=11365" xr:uid="{C3335421-433D-4FE9-A381-5AD76F40DE02}"/>
    <hyperlink ref="J1261" r:id="rId13401" display="https://statiz.sporki.com/player/?m=playerinfo&amp;p_no=11376" xr:uid="{580C492D-1BB8-467F-8534-8AF06048E001}"/>
    <hyperlink ref="J1262" r:id="rId13402" display="https://statiz.sporki.com/player/?m=playerinfo&amp;p_no=11384" xr:uid="{EE3C5252-DA2A-4D41-BDA3-818755C3985A}"/>
    <hyperlink ref="J1263" r:id="rId13403" display="https://statiz.sporki.com/player/?m=playerinfo&amp;p_no=11390" xr:uid="{70FF9D92-15B1-43A7-88BF-697DEE2F6045}"/>
    <hyperlink ref="J1264" r:id="rId13404" display="https://statiz.sporki.com/player/?m=playerinfo&amp;p_no=11405" xr:uid="{DF385256-DB91-4838-9D1B-F57837DA3905}"/>
    <hyperlink ref="J1265" r:id="rId13405" display="https://statiz.sporki.com/player/?m=playerinfo&amp;p_no=14702" xr:uid="{940F36C9-6902-4801-9114-30716E6352FF}"/>
    <hyperlink ref="J1266" r:id="rId13406" display="https://statiz.sporki.com/player/?m=playerinfo&amp;p_no=11297" xr:uid="{4FDF1353-28D5-4253-9413-3D476CCE5233}"/>
    <hyperlink ref="J1267" r:id="rId13407" display="https://statiz.sporki.com/player/?m=playerinfo&amp;p_no=11322" xr:uid="{9FEC7EE7-71E1-48C9-BD2C-A31D959A0B6A}"/>
    <hyperlink ref="J1268" r:id="rId13408" display="https://statiz.sporki.com/player/?m=playerinfo&amp;p_no=11350" xr:uid="{7FED2872-9205-4FD0-8BF8-1A86C92E507E}"/>
    <hyperlink ref="J1269" r:id="rId13409" display="https://statiz.sporki.com/player/?m=playerinfo&amp;p_no=11360" xr:uid="{E7A2C222-3540-432E-97DE-A5E858390AC9}"/>
    <hyperlink ref="J1270" r:id="rId13410" display="https://statiz.sporki.com/player/?m=playerinfo&amp;p_no=13272" xr:uid="{B6BB53E2-38C9-4423-9E3A-2F81E1097B00}"/>
    <hyperlink ref="J1271" r:id="rId13411" display="https://statiz.sporki.com/player/?m=playerinfo&amp;p_no=11377" xr:uid="{82A813D7-8958-48F7-BDAB-26DABC5BF458}"/>
    <hyperlink ref="J1272" r:id="rId13412" display="https://statiz.sporki.com/player/?m=playerinfo&amp;p_no=11383" xr:uid="{DC2096A8-0E8B-4DF1-8036-CFBFF6B0EAE0}"/>
    <hyperlink ref="J1273" r:id="rId13413" display="https://statiz.sporki.com/player/?m=playerinfo&amp;p_no=11391" xr:uid="{57277F5D-840C-4550-AE39-E31FC10C503F}"/>
    <hyperlink ref="J1274" r:id="rId13414" display="https://statiz.sporki.com/player/?m=playerinfo&amp;p_no=12529" xr:uid="{EE4E49D8-FF4E-4D5C-9B9E-35748E23AA92}"/>
    <hyperlink ref="J1275" r:id="rId13415" display="https://statiz.sporki.com/player/?m=playerinfo&amp;p_no=11300" xr:uid="{4B60BCFA-77E2-4755-B564-B2B23B72AD53}"/>
    <hyperlink ref="J1276" r:id="rId13416" display="https://statiz.sporki.com/player/?m=playerinfo&amp;p_no=13245" xr:uid="{4862F7D3-E349-46FD-9AB8-1BC8925A6841}"/>
    <hyperlink ref="J1277" r:id="rId13417" display="https://statiz.sporki.com/player/?m=playerinfo&amp;p_no=11356" xr:uid="{AB033462-9628-4B9F-AA45-0455244F675C}"/>
    <hyperlink ref="J1278" r:id="rId13418" display="https://statiz.sporki.com/player/?m=playerinfo&amp;p_no=13273" xr:uid="{4991FC88-E8B9-4080-8CB3-514464B3F291}"/>
    <hyperlink ref="J1279" r:id="rId13419" display="https://statiz.sporki.com/player/?m=playerinfo&amp;p_no=11531" xr:uid="{5A7FD83B-A016-4C38-913B-630CFBA69B70}"/>
    <hyperlink ref="J1280" r:id="rId13420" display="https://statiz.sporki.com/player/?m=playerinfo&amp;p_no=11389" xr:uid="{41E413AE-9AF4-48C6-B0C4-0A291272494C}"/>
    <hyperlink ref="J1281" r:id="rId13421" display="https://statiz.sporki.com/player/?m=playerinfo&amp;p_no=13057" xr:uid="{80EAEF5B-6E6D-4A5F-AEC0-20A11B13416D}"/>
    <hyperlink ref="J1282" r:id="rId13422" display="https://statiz.sporki.com/player/?m=playerinfo&amp;p_no=11415" xr:uid="{C691075A-95C1-47B0-82A2-568FC10456E8}"/>
    <hyperlink ref="J1283" r:id="rId13423" display="https://statiz.sporki.com/player/?m=playerinfo&amp;p_no=14686" xr:uid="{5B9DBAE9-B9FE-43E0-9B16-E315D0C8645B}"/>
    <hyperlink ref="J1284" r:id="rId13424" display="https://statiz.sporki.com/player/?m=playerinfo&amp;p_no=12563" xr:uid="{D6C200E5-A28E-443A-9149-9BE9751CD6C9}"/>
    <hyperlink ref="J1285" r:id="rId13425" display="https://statiz.sporki.com/player/?m=playerinfo&amp;p_no=13190" xr:uid="{4B4ED624-89E2-4310-BF5C-FF2E401A5170}"/>
    <hyperlink ref="J1286" r:id="rId13426" display="https://statiz.sporki.com/player/?m=playerinfo&amp;p_no=11386" xr:uid="{94F92F51-D108-4701-A764-5D65B2639BB6}"/>
    <hyperlink ref="J1287" r:id="rId13427" display="https://statiz.sporki.com/player/?m=playerinfo&amp;p_no=11423" xr:uid="{45E2E9F9-34C2-44E9-B65F-0DD569805608}"/>
    <hyperlink ref="J1288" r:id="rId13428" display="https://statiz.sporki.com/player/?m=playerinfo&amp;p_no=15853" xr:uid="{CECA3A23-AA39-4505-83C0-92066F5967F0}"/>
    <hyperlink ref="J1289" r:id="rId13429" display="https://statiz.sporki.com/player/?m=playerinfo&amp;p_no=13235" xr:uid="{FF692667-8937-4C3B-A197-137609A7015F}"/>
    <hyperlink ref="J1290" r:id="rId13430" display="https://statiz.sporki.com/player/?m=playerinfo&amp;p_no=13276" xr:uid="{A038B929-70D2-41E4-9648-8BF31E867596}"/>
    <hyperlink ref="J1291" r:id="rId13431" display="https://statiz.sporki.com/player/?m=playerinfo&amp;p_no=13010" xr:uid="{A066CCC1-A1ED-49F1-88BD-2058CDA2B866}"/>
    <hyperlink ref="J1292" r:id="rId13432" display="https://statiz.sporki.com/player/?m=playerinfo&amp;p_no=12977" xr:uid="{A8247B58-B2A5-44AA-B2A6-4EA89428EE77}"/>
    <hyperlink ref="J1293" r:id="rId13433" display="https://statiz.sporki.com/player/?m=playerinfo&amp;p_no=11394" xr:uid="{A48DDD56-8A4E-4BEC-9C90-BFF9D6B2F82A}"/>
    <hyperlink ref="J1294" r:id="rId13434" display="https://statiz.sporki.com/player/?m=playerinfo&amp;p_no=11298" xr:uid="{B7FD11D8-0653-463E-A9C4-D99C30493076}"/>
    <hyperlink ref="J1295" r:id="rId13435" display="https://statiz.sporki.com/player/?m=playerinfo&amp;p_no=11550" xr:uid="{A2C44068-3FE0-4140-9920-4C7F91E985F3}"/>
    <hyperlink ref="J1296" r:id="rId13436" display="https://statiz.sporki.com/player/?m=playerinfo&amp;p_no=11421" xr:uid="{187494D5-9A91-45D7-94F1-9ECD36C06234}"/>
    <hyperlink ref="J1297" r:id="rId13437" display="https://statiz.sporki.com/player/?m=playerinfo&amp;p_no=11323" xr:uid="{3FCE191F-3A3B-41B7-B7C7-9EC26F5C4FF3}"/>
    <hyperlink ref="J1298" r:id="rId13438" display="https://statiz.sporki.com/player/?m=playerinfo&amp;p_no=11324" xr:uid="{2BF2FD46-4D1F-4056-AAD1-307ABFB39101}"/>
    <hyperlink ref="J1299" r:id="rId13439" display="https://statiz.sporki.com/player/?m=playerinfo&amp;p_no=11548" xr:uid="{2784D870-B3BB-4343-A988-3AE56F28043F}"/>
    <hyperlink ref="J1300" r:id="rId13440" display="https://statiz.sporki.com/player/?m=playerinfo&amp;p_no=11305" xr:uid="{3BE20154-5F23-425E-B351-96684CC748D1}"/>
    <hyperlink ref="J1301" r:id="rId13441" display="https://statiz.sporki.com/player/?m=playerinfo&amp;p_no=11301" xr:uid="{B22490A3-42A4-4EE5-97B8-B34A3391DD52}"/>
    <hyperlink ref="J1302" r:id="rId13442" display="https://statiz.sporki.com/player/?m=playerinfo&amp;p_no=11493" xr:uid="{EE7BC221-AE4A-4F2B-A8D3-04C13370DDD9}"/>
    <hyperlink ref="J1303" r:id="rId13443" display="https://statiz.sporki.com/player/?m=playerinfo&amp;p_no=11338" xr:uid="{4F6133C2-DC5D-4397-84BB-B7EDD4C5A584}"/>
    <hyperlink ref="J1304" r:id="rId13444" display="https://statiz.sporki.com/player/?m=playerinfo&amp;p_no=11326" xr:uid="{732B0589-CE86-4843-ABF2-9E7CF026A0D0}"/>
    <hyperlink ref="J1305" r:id="rId13445" display="https://statiz.sporki.com/player/?m=playerinfo&amp;p_no=11495" xr:uid="{E2BB718A-C50C-4FFB-A4D4-008F40245BCB}"/>
    <hyperlink ref="J1306" r:id="rId13446" display="https://statiz.sporki.com/player/?m=playerinfo&amp;p_no=11352" xr:uid="{7B59661A-B010-43A4-A1D0-0F7B2F4BCCCE}"/>
    <hyperlink ref="J1307" r:id="rId13447" display="https://statiz.sporki.com/player/?m=playerinfo&amp;p_no=11345" xr:uid="{AB27644A-0B42-4727-B470-D9403A40145C}"/>
    <hyperlink ref="J1308" r:id="rId13448" display="https://statiz.sporki.com/player/?m=playerinfo&amp;p_no=11497" xr:uid="{E9792E96-F06C-42D7-9D32-68582A87C282}"/>
    <hyperlink ref="J1309" r:id="rId13449" display="https://statiz.sporki.com/player/?m=playerinfo&amp;p_no=11372" xr:uid="{1B023A67-5BB1-42EF-8505-371089B6DC97}"/>
    <hyperlink ref="J1310" r:id="rId13450" display="https://statiz.sporki.com/player/?m=playerinfo&amp;p_no=11368" xr:uid="{0DCEAAAC-A6DE-4171-8811-62ACAD3CA407}"/>
    <hyperlink ref="J1311" r:id="rId13451" display="https://statiz.sporki.com/player/?m=playerinfo&amp;p_no=11380" xr:uid="{2FADCA2A-E9EC-4B28-A0C3-7864F1A21D6B}"/>
    <hyperlink ref="J1312" r:id="rId13452" display="https://statiz.sporki.com/player/?m=playerinfo&amp;p_no=11382" xr:uid="{8F2A03A5-7418-4F3F-8085-4267BBCFF851}"/>
    <hyperlink ref="J1313" r:id="rId13453" display="https://statiz.sporki.com/player/?m=playerinfo&amp;p_no=11496" xr:uid="{6FF9AA1E-6EBF-40A5-83D9-B85C1A48DD13}"/>
    <hyperlink ref="J1314" r:id="rId13454" display="https://statiz.sporki.com/player/?m=playerinfo&amp;p_no=11494" xr:uid="{EECF26BF-2384-40C2-B174-C9A47D53773F}"/>
    <hyperlink ref="J1315" r:id="rId13455" display="https://statiz.sporki.com/player/?m=playerinfo&amp;p_no=11395" xr:uid="{6519DEC0-B425-4BB5-8949-28CAF78BEA92}"/>
    <hyperlink ref="J1316" r:id="rId13456" display="https://statiz.sporki.com/player/?m=playerinfo&amp;p_no=11393" xr:uid="{C272FCAE-F4A4-424C-924E-7FF25AFF3771}"/>
    <hyperlink ref="J1317" r:id="rId13457" display="https://statiz.sporki.com/player/?m=playerinfo&amp;p_no=11392" xr:uid="{6C38DEB6-0100-4A2B-BF89-8E36C58198A6}"/>
    <hyperlink ref="J1318" r:id="rId13458" display="https://statiz.sporki.com/player/?m=playerinfo&amp;p_no=11408" xr:uid="{D704ABB8-A39F-4DAE-8124-2D1B26AA7357}"/>
    <hyperlink ref="J1319" r:id="rId13459" display="https://statiz.sporki.com/player/?m=playerinfo&amp;p_no=11409" xr:uid="{C667FA22-F67C-45BE-AEB0-38DE551A5F4E}"/>
    <hyperlink ref="J1320" r:id="rId13460" display="https://statiz.sporki.com/player/?m=playerinfo&amp;p_no=11549" xr:uid="{37BF90E0-3F3F-4AF7-8C0A-B2213326AC3F}"/>
    <hyperlink ref="J1321" r:id="rId13461" display="https://statiz.sporki.com/player/?m=playerinfo&amp;p_no=11416" xr:uid="{D2C0E62A-BE71-4C41-B976-D4D27732DF8A}"/>
    <hyperlink ref="J1322" r:id="rId13462" display="https://statiz.sporki.com/player/?m=playerinfo&amp;p_no=11490" xr:uid="{F02943B4-B125-4F08-806F-089C7314C644}"/>
    <hyperlink ref="J1323" r:id="rId13463" display="https://statiz.sporki.com/player/?m=playerinfo&amp;p_no=12520" xr:uid="{552B1043-102C-4620-AFAD-9D8D8DB04C84}"/>
    <hyperlink ref="J1324" r:id="rId13464" display="https://statiz.sporki.com/player/?m=playerinfo&amp;p_no=14187" xr:uid="{FF24BD71-81C3-414F-9A79-85F736039A13}"/>
    <hyperlink ref="J1325" r:id="rId13465" display="https://statiz.sporki.com/player/?m=playerinfo&amp;p_no=14197" xr:uid="{D77EC41E-25D0-42EA-BBE8-0909CEDCD893}"/>
    <hyperlink ref="J1326" r:id="rId13466" display="https://statiz.sporki.com/player/?m=playerinfo&amp;p_no=11498" xr:uid="{1EF1FE8C-33AA-43A9-A4AD-CD546E745500}"/>
    <hyperlink ref="J1327" r:id="rId13467" display="https://statiz.sporki.com/player/?m=playerinfo&amp;p_no=14217" xr:uid="{5C964129-4C37-48BD-8AFD-563C8EA936D9}"/>
    <hyperlink ref="J1328" r:id="rId13468" display="https://statiz.sporki.com/player/?m=playerinfo&amp;p_no=12683" xr:uid="{0B32E985-8FC5-41E9-B14C-83FF0C948CB9}"/>
    <hyperlink ref="J1329" r:id="rId13469" display="https://statiz.sporki.com/player/?m=playerinfo&amp;p_no=13056" xr:uid="{555693E2-57D8-49EB-A1EF-F5A0E3A1E696}"/>
    <hyperlink ref="J1330" r:id="rId13470" display="https://statiz.sporki.com/player/?m=playerinfo&amp;p_no=12687" xr:uid="{1D325672-55E1-4318-8658-30C84B5ED915}"/>
    <hyperlink ref="J1331" r:id="rId13471" display="https://statiz.sporki.com/player/?m=playerinfo&amp;p_no=12662" xr:uid="{92548C00-5E3E-443B-B4F2-699CD74109C4}"/>
    <hyperlink ref="J1332" r:id="rId13472" display="https://statiz.sporki.com/player/?m=playerinfo&amp;p_no=14203" xr:uid="{2C74F940-BC0D-4187-B674-4ACE6BD3B795}"/>
    <hyperlink ref="J1333" r:id="rId13473" display="https://statiz.sporki.com/player/?m=playerinfo&amp;p_no=12699" xr:uid="{B5001B0F-CFD4-4BBF-95CC-FFF15832EFEC}"/>
    <hyperlink ref="J1334" r:id="rId13474" display="https://statiz.sporki.com/player/?m=playerinfo&amp;p_no=11483" xr:uid="{CFBDD8FF-151E-4D8C-91E3-5CB6E4B6C329}"/>
    <hyperlink ref="J1335" r:id="rId13475" display="https://statiz.sporki.com/player/?m=playerinfo&amp;p_no=12644" xr:uid="{4E5BCDF2-2D7E-4413-B241-79C74877174B}"/>
    <hyperlink ref="J1336" r:id="rId13476" display="https://statiz.sporki.com/player/?m=playerinfo&amp;p_no=11418" xr:uid="{480BF311-FC11-497F-B067-36B302FABE61}"/>
    <hyperlink ref="J1337" r:id="rId13477" display="https://statiz.sporki.com/player/?m=playerinfo&amp;p_no=11419" xr:uid="{E33AE85D-EA52-49E9-AD5C-A9250923631E}"/>
    <hyperlink ref="J1338" r:id="rId13478" display="https://statiz.sporki.com/player/?m=playerinfo&amp;p_no=11492" xr:uid="{A2034F17-D159-4E4F-8095-212CBACEEBFF}"/>
    <hyperlink ref="J1339" r:id="rId13479" display="https://statiz.sporki.com/player/?m=playerinfo&amp;p_no=11263" xr:uid="{98F07587-0938-4F41-B0BA-A78A4404163A}"/>
    <hyperlink ref="J1340" r:id="rId13480" display="https://statiz.sporki.com/player/?m=playerinfo&amp;p_no=11310" xr:uid="{3DF94719-2A6F-4047-A3BB-B4135A76055E}"/>
    <hyperlink ref="J1341" r:id="rId13481" display="https://statiz.sporki.com/player/?m=playerinfo&amp;p_no=11211" xr:uid="{A3C606FF-71A0-4F8B-847B-200742604A28}"/>
    <hyperlink ref="J1342" r:id="rId13482" display="https://statiz.sporki.com/player/?m=playerinfo&amp;p_no=11243" xr:uid="{07F75182-32E1-46D0-A299-F6E5BA3012F5}"/>
    <hyperlink ref="J1343" r:id="rId13483" display="https://statiz.sporki.com/player/?m=playerinfo&amp;p_no=11242" xr:uid="{294A9221-77E6-4D5C-9F2A-284FFE1AEE54}"/>
    <hyperlink ref="J1344" r:id="rId13484" display="https://statiz.sporki.com/player/?m=playerinfo&amp;p_no=11226" xr:uid="{1D918FC2-7CD9-4443-8209-5B5A798D997E}"/>
    <hyperlink ref="J1345" r:id="rId13485" display="https://statiz.sporki.com/player/?m=playerinfo&amp;p_no=11203" xr:uid="{856FB85D-F0F7-4475-A976-AE4EE04A9564}"/>
    <hyperlink ref="J1346" r:id="rId13486" display="https://statiz.sporki.com/player/?m=playerinfo&amp;p_no=11229" xr:uid="{4C7D53A7-47FF-47B5-8748-9E02D2FB6D8D}"/>
    <hyperlink ref="J1347" r:id="rId13487" display="https://statiz.sporki.com/player/?m=playerinfo&amp;p_no=11196" xr:uid="{C0B92735-599E-4703-B014-267E09221FCB}"/>
    <hyperlink ref="J1348" r:id="rId13488" display="https://statiz.sporki.com/player/?m=playerinfo&amp;p_no=11278" xr:uid="{F6CA326B-A0DE-4F59-9ECA-651855E5EAB6}"/>
    <hyperlink ref="J1349" r:id="rId13489" display="https://statiz.sporki.com/player/?m=playerinfo&amp;p_no=11255" xr:uid="{DA40BA1F-C8C2-46AF-8973-46DCBF4E08AF}"/>
    <hyperlink ref="J1350" r:id="rId13490" display="https://statiz.sporki.com/player/?m=playerinfo&amp;p_no=11308" xr:uid="{627A8505-7BD3-43B7-B220-EC715404410D}"/>
    <hyperlink ref="J1351" r:id="rId13491" display="https://statiz.sporki.com/player/?m=playerinfo&amp;p_no=11333" xr:uid="{05E713C1-5D2D-4FBF-A4DA-A6FC165932EE}"/>
    <hyperlink ref="J1352" r:id="rId13492" display="https://statiz.sporki.com/player/?m=playerinfo&amp;p_no=11328" xr:uid="{9B469169-7A36-4C46-B00F-B35759419A76}"/>
    <hyperlink ref="J1353" r:id="rId13493" display="https://statiz.sporki.com/player/?m=playerinfo&amp;p_no=11330" xr:uid="{3CCDDC84-5E2D-4BBC-998D-028D7033DBF7}"/>
    <hyperlink ref="J1354" r:id="rId13494" display="https://statiz.sporki.com/player/?m=playerinfo&amp;p_no=11334" xr:uid="{4A6435E0-FC9E-47D8-8EEC-6B41A8490DF9}"/>
    <hyperlink ref="J1355" r:id="rId13495" display="https://statiz.sporki.com/player/?m=playerinfo&amp;p_no=11329" xr:uid="{96A65C07-512C-47A6-AC21-8D133B2EE2BD}"/>
    <hyperlink ref="J1356" r:id="rId13496" display="https://statiz.sporki.com/player/?m=playerinfo&amp;p_no=11212" xr:uid="{1FD3EA9B-65D9-47B6-80D1-3CFE3DEC4889}"/>
    <hyperlink ref="J1357" r:id="rId13497" display="https://statiz.sporki.com/player/?m=playerinfo&amp;p_no=11248" xr:uid="{954D3BE0-145A-4A67-9974-3571114FAE97}"/>
    <hyperlink ref="J1358" r:id="rId13498" display="https://statiz.sporki.com/player/?m=playerinfo&amp;p_no=11235" xr:uid="{DE0E5C6D-30CD-4649-BD03-3A83FD164FAD}"/>
    <hyperlink ref="J1359" r:id="rId13499" display="https://statiz.sporki.com/player/?m=playerinfo&amp;p_no=11222" xr:uid="{1B8DC80B-BA03-4274-B7DF-F84825B32FF0}"/>
    <hyperlink ref="J1360" r:id="rId13500" display="https://statiz.sporki.com/player/?m=playerinfo&amp;p_no=11204" xr:uid="{AB977034-C51F-4050-97EA-376594EFFCBB}"/>
    <hyperlink ref="J1361" r:id="rId13501" display="https://statiz.sporki.com/player/?m=playerinfo&amp;p_no=11230" xr:uid="{FBC9B244-F4F0-4AA2-9729-1CC276FC9CB8}"/>
    <hyperlink ref="J1362" r:id="rId13502" display="https://statiz.sporki.com/player/?m=playerinfo&amp;p_no=11197" xr:uid="{563B9334-B7D5-4C61-867F-54B57F58FD1E}"/>
    <hyperlink ref="J1363" r:id="rId13503" display="https://statiz.sporki.com/player/?m=playerinfo&amp;p_no=11276" xr:uid="{E90DA61B-4280-4907-A14D-AB64C2E6122B}"/>
    <hyperlink ref="J1364" r:id="rId13504" display="https://statiz.sporki.com/player/?m=playerinfo&amp;p_no=11259" xr:uid="{470B9E16-B776-4433-93B3-625E09A090C6}"/>
    <hyperlink ref="J1365" r:id="rId13505" display="https://statiz.sporki.com/player/?m=playerinfo&amp;p_no=11316" xr:uid="{F152497B-526F-4A9C-9A4B-08C17375DA5C}"/>
    <hyperlink ref="J1366" r:id="rId13506" display="https://statiz.sporki.com/player/?m=playerinfo&amp;p_no=11214" xr:uid="{706EEAD0-09EC-4C32-A761-ABDD3FA62D61}"/>
    <hyperlink ref="J1367" r:id="rId13507" display="https://statiz.sporki.com/player/?m=playerinfo&amp;p_no=11246" xr:uid="{8E8B8391-B8CF-4AFA-B640-51F70262CB72}"/>
    <hyperlink ref="J1368" r:id="rId13508" display="https://statiz.sporki.com/player/?m=playerinfo&amp;p_no=11240" xr:uid="{F4606857-F876-4EB6-ACC6-16DAF10B4EB6}"/>
    <hyperlink ref="J1369" r:id="rId13509" display="https://statiz.sporki.com/player/?m=playerinfo&amp;p_no=11225" xr:uid="{E6E37705-DFBB-49FF-828C-7AB59A024DED}"/>
    <hyperlink ref="J1370" r:id="rId13510" display="https://statiz.sporki.com/player/?m=playerinfo&amp;p_no=11205" xr:uid="{1938CB74-D208-4571-B6B8-DE19F41E5481}"/>
    <hyperlink ref="J1371" r:id="rId13511" display="https://statiz.sporki.com/player/?m=playerinfo&amp;p_no=11232" xr:uid="{3FDB7978-0E14-40CD-8415-038587D4A137}"/>
    <hyperlink ref="J1372" r:id="rId13512" display="https://statiz.sporki.com/player/?m=playerinfo&amp;p_no=11198" xr:uid="{CA99D751-017A-4ADF-8870-0648AAF460EF}"/>
    <hyperlink ref="J1373" r:id="rId13513" display="https://statiz.sporki.com/player/?m=playerinfo&amp;p_no=11266" xr:uid="{125FFE3B-E053-4969-ABC2-00FA4D870AC3}"/>
    <hyperlink ref="J1374" r:id="rId13514" display="https://statiz.sporki.com/player/?m=playerinfo&amp;p_no=11257" xr:uid="{7703696C-3A8F-41D3-9820-9FD16C68193C}"/>
    <hyperlink ref="J1375" r:id="rId13515" display="https://statiz.sporki.com/player/?m=playerinfo&amp;p_no=11340" xr:uid="{F4AEE519-B2C3-42D3-AF63-A0DC1FF09D01}"/>
    <hyperlink ref="J1376" r:id="rId13516" display="https://statiz.sporki.com/player/?m=playerinfo&amp;p_no=11213" xr:uid="{18142DE8-F258-4C54-9752-AB4540BA2A43}"/>
    <hyperlink ref="J1377" r:id="rId13517" display="https://statiz.sporki.com/player/?m=playerinfo&amp;p_no=11250" xr:uid="{A96AE784-1A7A-4432-AF37-1CDE5F87865B}"/>
    <hyperlink ref="J1378" r:id="rId13518" display="https://statiz.sporki.com/player/?m=playerinfo&amp;p_no=11236" xr:uid="{9635989D-977A-4B42-B1F5-21B878BFB9F7}"/>
    <hyperlink ref="J1379" r:id="rId13519" display="https://statiz.sporki.com/player/?m=playerinfo&amp;p_no=11224" xr:uid="{F17D8E62-39F6-46F2-8D4B-5BED8E59513C}"/>
    <hyperlink ref="J1380" r:id="rId13520" display="https://statiz.sporki.com/player/?m=playerinfo&amp;p_no=11206" xr:uid="{B9EE52BA-531C-4330-9D8B-EF0864A2D279}"/>
    <hyperlink ref="J1381" r:id="rId13521" display="https://statiz.sporki.com/player/?m=playerinfo&amp;p_no=11231" xr:uid="{BD00755F-CA2C-444D-B80B-ADE587CA3CA3}"/>
    <hyperlink ref="J1382" r:id="rId13522" display="https://statiz.sporki.com/player/?m=playerinfo&amp;p_no=11403" xr:uid="{4651A315-898E-4649-8798-C30510854AD3}"/>
    <hyperlink ref="J1383" r:id="rId13523" display="https://statiz.sporki.com/player/?m=playerinfo&amp;p_no=11270" xr:uid="{E8848786-14E7-406D-8D9A-CEA39F79BEE0}"/>
    <hyperlink ref="J1384" r:id="rId13524" display="https://statiz.sporki.com/player/?m=playerinfo&amp;p_no=11256" xr:uid="{6C551BA7-AD88-4B00-AAB3-D107335BDAF3}"/>
    <hyperlink ref="J1385" r:id="rId13525" display="https://statiz.sporki.com/player/?m=playerinfo&amp;p_no=11312" xr:uid="{3B440CEB-1E34-4BED-BC99-17D44A1921CA}"/>
    <hyperlink ref="J1386" r:id="rId13526" display="https://statiz.sporki.com/player/?m=playerinfo&amp;p_no=13247" xr:uid="{282A7D55-68C3-459A-BAE6-38B6732724B7}"/>
    <hyperlink ref="J1387" r:id="rId13527" display="https://statiz.sporki.com/player/?m=playerinfo&amp;p_no=11244" xr:uid="{9D747DAE-3B39-4DD4-AF6B-48EC3692F765}"/>
    <hyperlink ref="J1388" r:id="rId13528" display="https://statiz.sporki.com/player/?m=playerinfo&amp;p_no=11371" xr:uid="{A5F9AC82-FD92-4230-A610-A73B6130A58A}"/>
    <hyperlink ref="J1389" r:id="rId13529" display="https://statiz.sporki.com/player/?m=playerinfo&amp;p_no=11219" xr:uid="{E5AF6A8B-C135-4EEB-961D-88C67BF4F683}"/>
    <hyperlink ref="J1390" r:id="rId13530" display="https://statiz.sporki.com/player/?m=playerinfo&amp;p_no=13279" xr:uid="{B8B68152-7D03-4E95-B157-E84D81C20610}"/>
    <hyperlink ref="J1391" r:id="rId13531" display="https://statiz.sporki.com/player/?m=playerinfo&amp;p_no=11503" xr:uid="{1A1A1FE6-E61C-4F14-BC32-15F808D25DEC}"/>
    <hyperlink ref="J1392" r:id="rId13532" display="https://statiz.sporki.com/player/?m=playerinfo&amp;p_no=11261" xr:uid="{C448142A-6C3D-4606-8FBD-CE736E1D5D42}"/>
    <hyperlink ref="J1393" r:id="rId13533" display="https://statiz.sporki.com/player/?m=playerinfo&amp;p_no=11313" xr:uid="{C66AF9FE-E06E-4BCA-9C7D-6B8668DC608A}"/>
    <hyperlink ref="J1394" r:id="rId13534" display="https://statiz.sporki.com/player/?m=playerinfo&amp;p_no=13250" xr:uid="{6F18159C-E6DF-4B81-A902-A672018DD19B}"/>
    <hyperlink ref="J1395" r:id="rId13535" display="https://statiz.sporki.com/player/?m=playerinfo&amp;p_no=11254" xr:uid="{0326F9F4-8329-4ED2-B753-0F1CED3EC59B}"/>
    <hyperlink ref="J1396" r:id="rId13536" display="https://statiz.sporki.com/player/?m=playerinfo&amp;p_no=12527" xr:uid="{D6DFFBB4-5455-49A6-A5F0-3A237B94DAB6}"/>
    <hyperlink ref="J1397" r:id="rId13537" display="https://statiz.sporki.com/player/?m=playerinfo&amp;p_no=11221" xr:uid="{43DA4CE4-0E6E-4E01-BFAB-CAD0DE5B62AC}"/>
    <hyperlink ref="J1398" r:id="rId13538" display="https://statiz.sporki.com/player/?m=playerinfo&amp;p_no=12985" xr:uid="{4969F382-56D1-467F-BF8A-D5EEA5FCE78C}"/>
    <hyperlink ref="J1399" r:id="rId13539" display="https://statiz.sporki.com/player/?m=playerinfo&amp;p_no=11234" xr:uid="{7B043FAC-8177-4043-8DCB-7A51A2FDFE8C}"/>
    <hyperlink ref="J1400" r:id="rId13540" display="https://statiz.sporki.com/player/?m=playerinfo&amp;p_no=11289" xr:uid="{EDD89449-8265-427F-A291-87687AFC38FE}"/>
    <hyperlink ref="J1401" r:id="rId13541" display="https://statiz.sporki.com/player/?m=playerinfo&amp;p_no=11284" xr:uid="{F92D018C-ED8E-48E6-BAF2-60880E76DC72}"/>
    <hyperlink ref="J1402" r:id="rId13542" display="https://statiz.sporki.com/player/?m=playerinfo&amp;p_no=11260" xr:uid="{1761D606-0519-42E0-AB97-37B7E7B2FFBB}"/>
    <hyperlink ref="J1403" r:id="rId13543" display="https://statiz.sporki.com/player/?m=playerinfo&amp;p_no=11339" xr:uid="{7859F830-617A-4FE7-A358-2B70BB7B6BD6}"/>
    <hyperlink ref="J1404" r:id="rId13544" display="https://statiz.sporki.com/player/?m=playerinfo&amp;p_no=13248" xr:uid="{63BFB3BB-293D-4FB0-98E1-92079FBAF828}"/>
    <hyperlink ref="J1405" r:id="rId13545" display="https://statiz.sporki.com/player/?m=playerinfo&amp;p_no=13191" xr:uid="{C7ACDF72-5D27-4988-93C5-338D5A063DF4}"/>
    <hyperlink ref="J1406" r:id="rId13546" display="https://statiz.sporki.com/player/?m=playerinfo&amp;p_no=11223" xr:uid="{6627C492-7596-495B-B94E-3EE9F0CD6CA9}"/>
    <hyperlink ref="J1407" r:id="rId13547" display="https://statiz.sporki.com/player/?m=playerinfo&amp;p_no=11207" xr:uid="{26B01B3E-B5B4-49F0-B83E-70D96AA38F99}"/>
    <hyperlink ref="J1408" r:id="rId13548" display="https://statiz.sporki.com/player/?m=playerinfo&amp;p_no=11233" xr:uid="{BB9294E3-1CDE-4532-B8FB-989528986E7F}"/>
    <hyperlink ref="J1409" r:id="rId13549" display="https://statiz.sporki.com/player/?m=playerinfo&amp;p_no=12645" xr:uid="{F4A469E7-B776-4BB3-B5B0-B360BA29B477}"/>
    <hyperlink ref="J1410" r:id="rId13550" display="https://statiz.sporki.com/player/?m=playerinfo&amp;p_no=11274" xr:uid="{F5C6A5A2-38B0-4179-8B79-F687FA7CEF43}"/>
    <hyperlink ref="J1411" r:id="rId13551" display="https://statiz.sporki.com/player/?m=playerinfo&amp;p_no=13182" xr:uid="{992D75C1-50D1-4700-8246-C108F45CE6DC}"/>
    <hyperlink ref="J1412" r:id="rId13552" display="https://statiz.sporki.com/player/?m=playerinfo&amp;p_no=12997" xr:uid="{4C09BDDD-24C5-4591-A633-F1C2ACA4B3B5}"/>
    <hyperlink ref="J1413" r:id="rId13553" display="https://statiz.sporki.com/player/?m=playerinfo&amp;p_no=11295" xr:uid="{FE602AF3-B30D-438A-9CFF-5389D0EFFE05}"/>
    <hyperlink ref="J1414" r:id="rId13554" display="https://statiz.sporki.com/player/?m=playerinfo&amp;p_no=12678" xr:uid="{7DDC276D-F73C-422B-B9EE-799AE8C51CEE}"/>
    <hyperlink ref="J1415" r:id="rId13555" display="https://statiz.sporki.com/player/?m=playerinfo&amp;p_no=14747" xr:uid="{F95F4CC8-A5B7-4D24-A530-E48A843F1636}"/>
    <hyperlink ref="J1416" r:id="rId13556" display="https://statiz.sporki.com/player/?m=playerinfo&amp;p_no=11406" xr:uid="{479059D0-5357-4224-8174-DFF8C0058D72}"/>
    <hyperlink ref="J1417" r:id="rId13557" display="https://statiz.sporki.com/player/?m=playerinfo&amp;p_no=11273" xr:uid="{EB3DA68B-A264-4E74-9953-3B02C0BA7378}"/>
    <hyperlink ref="J1418" r:id="rId13558" display="https://statiz.sporki.com/player/?m=playerinfo&amp;p_no=11424" xr:uid="{DAABC5D5-9048-4FBF-9110-85D7A644712C}"/>
    <hyperlink ref="J1419" r:id="rId13559" display="https://statiz.sporki.com/player/?m=playerinfo&amp;p_no=11335" xr:uid="{48B9F5CE-E2E0-4D0C-9AEE-15EE1BD1924B}"/>
    <hyperlink ref="J1420" r:id="rId13560" display="https://statiz.sporki.com/player/?m=playerinfo&amp;p_no=13246" xr:uid="{A823F19B-CF1C-4717-9CD2-910209E0DE75}"/>
    <hyperlink ref="J1421" r:id="rId13561" display="https://statiz.sporki.com/player/?m=playerinfo&amp;p_no=14697" xr:uid="{DF78FFEC-4DB9-446E-BE53-36CD52F6DB2C}"/>
    <hyperlink ref="J1422" r:id="rId13562" display="https://statiz.sporki.com/player/?m=playerinfo&amp;p_no=11208" xr:uid="{AEAEEE52-1094-4741-AEED-1EF28632956F}"/>
    <hyperlink ref="J1423" r:id="rId13563" display="https://statiz.sporki.com/player/?m=playerinfo&amp;p_no=11199" xr:uid="{31D92A5F-25C0-40CF-8D00-CD858A28A2B4}"/>
    <hyperlink ref="J1424" r:id="rId13564" display="https://statiz.sporki.com/player/?m=playerinfo&amp;p_no=11271" xr:uid="{FEAA5A76-283A-48B3-A8E6-5CE565098007}"/>
    <hyperlink ref="J1425" r:id="rId13565" display="https://statiz.sporki.com/player/?m=playerinfo&amp;p_no=13262" xr:uid="{0924EFDF-C1AE-41AE-98F6-815B371E7958}"/>
    <hyperlink ref="J1426" r:id="rId13566" display="https://statiz.sporki.com/player/?m=playerinfo&amp;p_no=11209" xr:uid="{FCA5AE7A-58C5-4353-A414-C3EDD0028DCB}"/>
    <hyperlink ref="J1427" r:id="rId13567" display="https://statiz.sporki.com/player/?m=playerinfo&amp;p_no=13255" xr:uid="{32851ACE-1F42-49C8-A15D-574772F4DD84}"/>
    <hyperlink ref="J1428" r:id="rId13568" display="https://statiz.sporki.com/player/?m=playerinfo&amp;p_no=11258" xr:uid="{0A2E9376-37F9-454A-956C-ED5E409592A4}"/>
    <hyperlink ref="J1429" r:id="rId13569" display="https://statiz.sporki.com/player/?m=playerinfo&amp;p_no=12512" xr:uid="{D5AACFB5-78CD-4EAD-A78C-4B550DBE5715}"/>
    <hyperlink ref="J1430" r:id="rId13570" display="https://statiz.sporki.com/player/?m=playerinfo&amp;p_no=11245" xr:uid="{04228C68-9DA7-4104-8DE4-67307EB38605}"/>
    <hyperlink ref="J1431" r:id="rId13571" display="https://statiz.sporki.com/player/?m=playerinfo&amp;p_no=12703" xr:uid="{24B47037-2D06-40F0-B77A-1C9AFAAF5495}"/>
    <hyperlink ref="J1432" r:id="rId13572" display="https://statiz.sporki.com/player/?m=playerinfo&amp;p_no=13241" xr:uid="{07972566-0F22-4324-BD4A-B768BE88CA6E}"/>
    <hyperlink ref="J1433" r:id="rId13573" display="https://statiz.sporki.com/player/?m=playerinfo&amp;p_no=11269" xr:uid="{9438220B-36E3-44F8-8A2E-66738C68ECC8}"/>
    <hyperlink ref="J1434" r:id="rId13574" display="https://statiz.sporki.com/player/?m=playerinfo&amp;p_no=12655" xr:uid="{D24D43A2-7035-4C62-8307-56EB27BA416B}"/>
    <hyperlink ref="J1435" r:id="rId13575" display="https://statiz.sporki.com/player/?m=playerinfo&amp;p_no=11311" xr:uid="{4E06BF01-7003-4BBB-9FF8-5AEDB6CD8FC1}"/>
    <hyperlink ref="J1436" r:id="rId13576" display="https://statiz.sporki.com/player/?m=playerinfo&amp;p_no=11265" xr:uid="{437EA82C-A58B-4826-8F68-A303750A341A}"/>
    <hyperlink ref="J1437" r:id="rId13577" display="https://statiz.sporki.com/player/?m=playerinfo&amp;p_no=11292" xr:uid="{F4599268-66AB-4BAE-BD76-9206413201DD}"/>
    <hyperlink ref="J1438" r:id="rId13578" display="https://statiz.sporki.com/player/?m=playerinfo&amp;p_no=11262" xr:uid="{C2C4668B-E84E-4152-AD3A-3252E94779B8}"/>
    <hyperlink ref="J1439" r:id="rId13579" display="https://statiz.sporki.com/player/?m=playerinfo&amp;p_no=11264" xr:uid="{0248991B-E2FF-452C-A17A-E4618C9E25B6}"/>
    <hyperlink ref="J1440" r:id="rId13580" display="https://statiz.sporki.com/player/?m=playerinfo&amp;p_no=11325" xr:uid="{7511B18E-F871-4703-AA47-357E0792C19F}"/>
    <hyperlink ref="J1441" r:id="rId13581" display="https://statiz.sporki.com/player/?m=playerinfo&amp;p_no=12647" xr:uid="{D59F3800-6354-4A5C-974B-0BB40FD5F527}"/>
    <hyperlink ref="J1442" r:id="rId13582" display="https://statiz.sporki.com/player/?m=playerinfo&amp;p_no=11343" xr:uid="{C2E7372C-85EC-4FA1-B3C2-D91B3EEFF7A1}"/>
    <hyperlink ref="J1443" r:id="rId13583" display="https://statiz.sporki.com/player/?m=playerinfo&amp;p_no=11217" xr:uid="{E0B45BA7-7B98-4D7D-9446-6C7975F229E2}"/>
    <hyperlink ref="J1444" r:id="rId13584" display="https://statiz.sporki.com/player/?m=playerinfo&amp;p_no=11287" xr:uid="{E9A7F481-DB43-449F-A333-A6FF54C2D77D}"/>
    <hyperlink ref="J1445" r:id="rId13585" display="https://statiz.sporki.com/player/?m=playerinfo&amp;p_no=11216" xr:uid="{CF2404E6-3106-4253-94AB-AA95AC8E54D3}"/>
    <hyperlink ref="J1446" r:id="rId13586" display="https://statiz.sporki.com/player/?m=playerinfo&amp;p_no=11282" xr:uid="{C43A9630-E551-4ED0-998C-1785600D3FAF}"/>
    <hyperlink ref="J1447" r:id="rId13587" display="https://statiz.sporki.com/player/?m=playerinfo&amp;p_no=11249" xr:uid="{34C1FB39-D989-4346-8719-D2E28115D024}"/>
    <hyperlink ref="J1448" r:id="rId13588" display="https://statiz.sporki.com/player/?m=playerinfo&amp;p_no=11252" xr:uid="{6C127363-33EA-469F-B2E9-6F517EEEAFE4}"/>
    <hyperlink ref="J1449" r:id="rId13589" display="https://statiz.sporki.com/player/?m=playerinfo&amp;p_no=11288" xr:uid="{3A0C7C38-BDBD-477C-908E-C22A133EBFC7}"/>
    <hyperlink ref="J1450" r:id="rId13590" display="https://statiz.sporki.com/player/?m=playerinfo&amp;p_no=11237" xr:uid="{B2180889-231C-45B8-A5EF-403ACD9E0D1B}"/>
    <hyperlink ref="J1451" r:id="rId13591" display="https://statiz.sporki.com/player/?m=playerinfo&amp;p_no=11239" xr:uid="{C68837AA-C128-4980-A6E3-74DB4BD0E15F}"/>
    <hyperlink ref="J1452" r:id="rId13592" display="https://statiz.sporki.com/player/?m=playerinfo&amp;p_no=11218" xr:uid="{D5A8E246-F04C-4C0D-B53F-2034EE133923}"/>
    <hyperlink ref="J1453" r:id="rId13593" display="https://statiz.sporki.com/player/?m=playerinfo&amp;p_no=11201" xr:uid="{20372B0F-747B-4E39-9C5B-5BAEB41191B2}"/>
    <hyperlink ref="J1454" r:id="rId13594" display="https://statiz.sporki.com/player/?m=playerinfo&amp;p_no=11202" xr:uid="{A592F080-4B5A-491E-A498-A054C236B84A}"/>
    <hyperlink ref="J1455" r:id="rId13595" display="https://statiz.sporki.com/player/?m=playerinfo&amp;p_no=11293" xr:uid="{A0A9EDF7-5B2D-43A2-9D05-1463C1837480}"/>
    <hyperlink ref="J1456" r:id="rId13596" display="https://statiz.sporki.com/player/?m=playerinfo&amp;p_no=11228" xr:uid="{509D861D-43D6-44BC-A1F6-AFC1B05BDC09}"/>
    <hyperlink ref="J1457" r:id="rId13597" display="https://statiz.sporki.com/player/?m=playerinfo&amp;p_no=11195" xr:uid="{7B98E31E-1360-41F4-A35F-5576B6442D48}"/>
    <hyperlink ref="J1458" r:id="rId13598" display="https://statiz.sporki.com/player/?m=playerinfo&amp;p_no=11194" xr:uid="{9DBF704B-C60E-41C0-99BE-3F1BA3DF1CCE}"/>
    <hyperlink ref="J1459" r:id="rId13599" display="https://statiz.sporki.com/player/?m=playerinfo&amp;p_no=11286" xr:uid="{54AA8A2F-D3A0-4BB4-BA80-48BF55DE02EA}"/>
    <hyperlink ref="J1460" r:id="rId13600" display="https://statiz.sporki.com/player/?m=playerinfo&amp;p_no=11275" xr:uid="{B9DF600C-010B-4725-AA9B-CF8F26B924D2}"/>
    <hyperlink ref="J1461" r:id="rId13601" display="https://statiz.sporki.com/player/?m=playerinfo&amp;p_no=11277" xr:uid="{7A26E557-B2A1-44A8-8D7F-BA139D7C9089}"/>
    <hyperlink ref="J1462" r:id="rId13602" display="https://statiz.sporki.com/player/?m=playerinfo&amp;p_no=11272" xr:uid="{65045CFA-0AF7-4345-AC14-D22F267231FC}"/>
    <hyperlink ref="J1463" r:id="rId13603" display="https://statiz.sporki.com/player/?m=playerinfo&amp;p_no=11482" xr:uid="{B6FC0768-07EB-4435-953E-A09F4F98B2A5}"/>
    <hyperlink ref="J1464" r:id="rId13604" display="https://statiz.sporki.com/player/?m=playerinfo&amp;p_no=11296" xr:uid="{D470D0A9-A79A-4768-8289-183A7B5F05ED}"/>
    <hyperlink ref="J1465" r:id="rId13605" display="https://statiz.sporki.com/player/?m=playerinfo&amp;p_no=13234" xr:uid="{E4F0D5F4-8FCE-4855-A252-1D67DCA99405}"/>
    <hyperlink ref="J1466" r:id="rId13606" display="https://statiz.sporki.com/player/?m=playerinfo&amp;p_no=11342" xr:uid="{0ED2EE8F-7B57-4B6D-AF24-E6660A2714E5}"/>
    <hyperlink ref="J1467" r:id="rId13607" display="https://statiz.sporki.com/player/?m=playerinfo&amp;p_no=11348" xr:uid="{35425422-CB50-4C2A-9B02-C2A9CA5870D7}"/>
    <hyperlink ref="J1468" r:id="rId13608" display="https://statiz.sporki.com/player/?m=playerinfo&amp;p_no=11279" xr:uid="{CF807FB5-E7DC-4CD3-AD61-4DF7DD710B0A}"/>
    <hyperlink ref="J1469" r:id="rId13609" display="https://statiz.sporki.com/player/?m=playerinfo&amp;p_no=13275" xr:uid="{206DFFED-5062-420C-AAE5-73CE5E73DEFA}"/>
    <hyperlink ref="J1470" r:id="rId13610" display="https://statiz.sporki.com/player/?m=playerinfo&amp;p_no=12943" xr:uid="{5880CBDB-E0C8-463D-AB0C-6AD60F950A84}"/>
    <hyperlink ref="J1471" r:id="rId13611" display="https://statiz.sporki.com/player/?m=playerinfo&amp;p_no=12528" xr:uid="{4D983A01-5A90-4E6B-9EC5-280CAD0E7358}"/>
    <hyperlink ref="J1472" r:id="rId13612" display="https://statiz.sporki.com/player/?m=playerinfo&amp;p_no=11370" xr:uid="{3FD16E5C-54AD-40CD-94DF-B8AB5119ED5A}"/>
    <hyperlink ref="J1473" r:id="rId13613" display="https://statiz.sporki.com/player/?m=playerinfo&amp;p_no=12649" xr:uid="{F807D704-26F9-456B-A0C6-510E5030ED50}"/>
    <hyperlink ref="J1474" r:id="rId13614" display="https://statiz.sporki.com/player/?m=playerinfo&amp;p_no=12665" xr:uid="{AB794823-5D86-4A32-95B3-47ABA7951E1E}"/>
    <hyperlink ref="J1475" r:id="rId13615" display="https://statiz.sporki.com/player/?m=playerinfo&amp;p_no=11397" xr:uid="{C4225939-0E99-45C1-BEEF-0A5C6082662C}"/>
    <hyperlink ref="J1476" r:id="rId13616" display="https://statiz.sporki.com/player/?m=playerinfo&amp;p_no=11402" xr:uid="{5683AEBA-9F84-4375-B0B0-85288984ABB4}"/>
    <hyperlink ref="J1477" r:id="rId13617" display="https://statiz.sporki.com/player/?m=playerinfo&amp;p_no=13240" xr:uid="{79053058-035C-40DE-9A6C-874B8234AA6C}"/>
    <hyperlink ref="J1478" r:id="rId13618" display="https://statiz.sporki.com/player/?m=playerinfo&amp;p_no=11413" xr:uid="{7D207055-A863-4A58-9C43-58DEAA55BE66}"/>
    <hyperlink ref="J1479" r:id="rId13619" display="https://statiz.sporki.com/player/?m=playerinfo&amp;p_no=11164" xr:uid="{45A499BF-3A36-4009-8160-4AC1273FAE7F}"/>
    <hyperlink ref="J1480" r:id="rId13620" display="https://statiz.sporki.com/player/?m=playerinfo&amp;p_no=11078" xr:uid="{8B8B1986-EDA2-4927-B0F6-73AA3EC463BC}"/>
    <hyperlink ref="J1481" r:id="rId13621" display="https://statiz.sporki.com/player/?m=playerinfo&amp;p_no=11126" xr:uid="{52048E3C-E8A1-494B-99C1-1D6B7C94E426}"/>
    <hyperlink ref="J1482" r:id="rId13622" display="https://statiz.sporki.com/player/?m=playerinfo&amp;p_no=11098" xr:uid="{4FC85265-4AC1-44CD-A858-4852BB8E81A7}"/>
    <hyperlink ref="J1483" r:id="rId13623" display="https://statiz.sporki.com/player/?m=playerinfo&amp;p_no=11115" xr:uid="{33C5BA4D-694A-405A-B572-4DB37DBA12A5}"/>
    <hyperlink ref="J1484" r:id="rId13624" display="https://statiz.sporki.com/player/?m=playerinfo&amp;p_no=11087" xr:uid="{1C8073B5-7D68-498E-AEBA-A783FA34FAAE}"/>
    <hyperlink ref="J1485" r:id="rId13625" display="https://statiz.sporki.com/player/?m=playerinfo&amp;p_no=11069" xr:uid="{531692E9-A9C8-466C-81DE-922D945C37CC}"/>
    <hyperlink ref="J1486" r:id="rId13626" display="https://statiz.sporki.com/player/?m=playerinfo&amp;p_no=11082" xr:uid="{9587FC7D-C896-4919-9FA5-E54C84907D7B}"/>
    <hyperlink ref="J1487" r:id="rId13627" display="https://statiz.sporki.com/player/?m=playerinfo&amp;p_no=11111" xr:uid="{1BEAEEB5-7573-4065-847B-91E68DE41C1D}"/>
    <hyperlink ref="J1488" r:id="rId13628" display="https://statiz.sporki.com/player/?m=playerinfo&amp;p_no=11142" xr:uid="{325E4160-EDA8-497A-A5CF-23B5C0C3E475}"/>
    <hyperlink ref="J1489" r:id="rId13629" display="https://statiz.sporki.com/player/?m=playerinfo&amp;p_no=11077" xr:uid="{1552B99D-314A-47AB-8D1E-4FBF24018DFE}"/>
    <hyperlink ref="J1490" r:id="rId13630" display="https://statiz.sporki.com/player/?m=playerinfo&amp;p_no=11127" xr:uid="{92DE859C-9530-4892-81BD-821EBA3761D5}"/>
    <hyperlink ref="J1491" r:id="rId13631" display="https://statiz.sporki.com/player/?m=playerinfo&amp;p_no=11099" xr:uid="{B1604CCC-9179-4A7D-9B99-0178221797CF}"/>
    <hyperlink ref="J1492" r:id="rId13632" display="https://statiz.sporki.com/player/?m=playerinfo&amp;p_no=13237" xr:uid="{274ED495-E64A-4E86-8006-0151A25C84AA}"/>
    <hyperlink ref="J1493" r:id="rId13633" display="https://statiz.sporki.com/player/?m=playerinfo&amp;p_no=11332" xr:uid="{559D9253-83A0-4FF1-9597-E5B61AB4D49D}"/>
    <hyperlink ref="J1494" r:id="rId13634" display="https://statiz.sporki.com/player/?m=playerinfo&amp;p_no=11425" xr:uid="{12B08294-22F6-40D3-8892-80F8E44CA96A}"/>
    <hyperlink ref="J1495" r:id="rId13635" display="https://statiz.sporki.com/player/?m=playerinfo&amp;p_no=11071" xr:uid="{E057D289-1024-43AB-9C83-2EF1706D8F6E}"/>
    <hyperlink ref="J1496" r:id="rId13636" display="https://statiz.sporki.com/player/?m=playerinfo&amp;p_no=12697" xr:uid="{D0A7DD4E-EFC6-436B-A5E2-96EF2C9D8599}"/>
    <hyperlink ref="J1497" r:id="rId13637" display="https://statiz.sporki.com/player/?m=playerinfo&amp;p_no=11168" xr:uid="{6F9A4D0A-46A0-4634-A015-58BD45344861}"/>
    <hyperlink ref="J1498" r:id="rId13638" display="https://statiz.sporki.com/player/?m=playerinfo&amp;p_no=11364" xr:uid="{78150555-A169-4B3A-92A8-06B2FFE16FD6}"/>
    <hyperlink ref="J1499" r:id="rId13639" display="https://statiz.sporki.com/player/?m=playerinfo&amp;p_no=11131" xr:uid="{F3DFC042-5AF0-49D5-AD3E-7DB917FDDAFC}"/>
    <hyperlink ref="J1500" r:id="rId13640" display="https://statiz.sporki.com/player/?m=playerinfo&amp;p_no=11093" xr:uid="{A9C877A3-823F-4569-A365-E9D789609659}"/>
    <hyperlink ref="J1501" r:id="rId13641" display="https://statiz.sporki.com/player/?m=playerinfo&amp;p_no=11119" xr:uid="{61EA8266-4C53-411A-BE61-AA02C18E7317}"/>
    <hyperlink ref="J1502" r:id="rId13642" display="https://statiz.sporki.com/player/?m=playerinfo&amp;p_no=11314" xr:uid="{E20003C7-DDA2-47CE-BB5A-6DE25FBA8DB6}"/>
    <hyperlink ref="J1503" r:id="rId13643" display="https://statiz.sporki.com/player/?m=playerinfo&amp;p_no=11067" xr:uid="{DBE8731A-C463-42BB-A177-094592B6A4FA}"/>
    <hyperlink ref="J1504" r:id="rId13644" display="https://statiz.sporki.com/player/?m=playerinfo&amp;p_no=11118" xr:uid="{2115C8AD-E152-4048-8614-8F9E1D9FE86C}"/>
    <hyperlink ref="J1505" r:id="rId13645" display="https://statiz.sporki.com/player/?m=playerinfo&amp;p_no=11089" xr:uid="{37A411FB-E2BC-42F1-A1A0-307B5DEF2379}"/>
    <hyperlink ref="J1506" r:id="rId13646" display="https://statiz.sporki.com/player/?m=playerinfo&amp;p_no=11135" xr:uid="{6652EEEA-2006-480C-B5A9-7721C90A7203}"/>
    <hyperlink ref="J1507" r:id="rId13647" display="https://statiz.sporki.com/player/?m=playerinfo&amp;p_no=13004" xr:uid="{172DE0D5-813D-4871-A96E-07F5D7DFB732}"/>
    <hyperlink ref="J1508" r:id="rId13648" display="https://statiz.sporki.com/player/?m=playerinfo&amp;p_no=11128" xr:uid="{A1CCF6E7-57C3-4CFD-813E-FC8F31777201}"/>
    <hyperlink ref="J1509" r:id="rId13649" display="https://statiz.sporki.com/player/?m=playerinfo&amp;p_no=11097" xr:uid="{20E7D5C6-C0BF-4F6D-BF87-C405AD9D3D62}"/>
    <hyperlink ref="J1510" r:id="rId13650" display="https://statiz.sporki.com/player/?m=playerinfo&amp;p_no=11116" xr:uid="{108C08DE-BA9D-420E-BB18-5A4C0CDCF809}"/>
    <hyperlink ref="J1511" r:id="rId13651" display="https://statiz.sporki.com/player/?m=playerinfo&amp;p_no=11200" xr:uid="{842E6AE6-2B42-40BA-B7FB-07A1B8910B43}"/>
    <hyperlink ref="J1512" r:id="rId13652" display="https://statiz.sporki.com/player/?m=playerinfo&amp;p_no=11086" xr:uid="{22680257-DE8D-42EA-B94C-95AC270A3F5A}"/>
    <hyperlink ref="J1513" r:id="rId13653" display="https://statiz.sporki.com/player/?m=playerinfo&amp;p_no=11072" xr:uid="{6E156620-94F5-454B-9B78-D9CC124EA447}"/>
    <hyperlink ref="J1514" r:id="rId13654" display="https://statiz.sporki.com/player/?m=playerinfo&amp;p_no=11088" xr:uid="{86E5C246-B197-40F6-B23A-F725630ACA0A}"/>
    <hyperlink ref="J1515" r:id="rId13655" display="https://statiz.sporki.com/player/?m=playerinfo&amp;p_no=11134" xr:uid="{CDDEACA4-5152-4963-990A-75BD00178E81}"/>
    <hyperlink ref="J1516" r:id="rId13656" display="https://statiz.sporki.com/player/?m=playerinfo&amp;p_no=13001" xr:uid="{D4F0FA9C-51D1-46EC-93B8-070EF667A0E9}"/>
    <hyperlink ref="J1517" r:id="rId13657" display="https://statiz.sporki.com/player/?m=playerinfo&amp;p_no=11129" xr:uid="{6BBCC414-1E6C-4B29-94D6-2FC1B1872507}"/>
    <hyperlink ref="J1518" r:id="rId13658" display="https://statiz.sporki.com/player/?m=playerinfo&amp;p_no=11094" xr:uid="{623DB502-489E-4A63-8130-67422B94E72C}"/>
    <hyperlink ref="J1519" r:id="rId13659" display="https://statiz.sporki.com/player/?m=playerinfo&amp;p_no=11121" xr:uid="{58C59954-8EE0-4160-823B-1C867DF3FF73}"/>
    <hyperlink ref="J1520" r:id="rId13660" display="https://statiz.sporki.com/player/?m=playerinfo&amp;p_no=11073" xr:uid="{C489E91E-CEA6-4952-94F6-A1D5A908E1C3}"/>
    <hyperlink ref="J1521" r:id="rId13661" display="https://statiz.sporki.com/player/?m=playerinfo&amp;p_no=11084" xr:uid="{EA9D657A-727A-4EA1-ACC5-BD9136CB65EE}"/>
    <hyperlink ref="J1522" r:id="rId13662" display="https://statiz.sporki.com/player/?m=playerinfo&amp;p_no=11108" xr:uid="{0BC4F275-4977-40B1-AC33-966E7F0A28BD}"/>
    <hyperlink ref="J1523" r:id="rId13663" display="https://statiz.sporki.com/player/?m=playerinfo&amp;p_no=13249" xr:uid="{8523E0A2-FC08-4674-9F81-A44EDA548059}"/>
    <hyperlink ref="J1524" r:id="rId13664" display="https://statiz.sporki.com/player/?m=playerinfo&amp;p_no=11241" xr:uid="{131BCD89-4CEA-4086-AA3F-71455C9E71BB}"/>
    <hyperlink ref="J1525" r:id="rId13665" display="https://statiz.sporki.com/player/?m=playerinfo&amp;p_no=11096" xr:uid="{4F59D3EE-B67E-42C0-A0E1-D983EAA6C2BA}"/>
    <hyperlink ref="J1526" r:id="rId13666" display="https://statiz.sporki.com/player/?m=playerinfo&amp;p_no=11122" xr:uid="{566B25A1-CBD2-4B03-AA25-02EBA43316A3}"/>
    <hyperlink ref="J1527" r:id="rId13667" display="https://statiz.sporki.com/player/?m=playerinfo&amp;p_no=11109" xr:uid="{0D8B997C-AA4A-424F-904C-10F8BAD376BE}"/>
    <hyperlink ref="J1528" r:id="rId13668" display="https://statiz.sporki.com/player/?m=playerinfo&amp;p_no=11291" xr:uid="{57481629-03B7-4321-962A-F95839486B70}"/>
    <hyperlink ref="J1529" r:id="rId13669" display="https://statiz.sporki.com/player/?m=playerinfo&amp;p_no=11068" xr:uid="{918A031B-60F3-4553-A811-EEB644A6DD1E}"/>
    <hyperlink ref="J1530" r:id="rId13670" display="https://statiz.sporki.com/player/?m=playerinfo&amp;p_no=12942" xr:uid="{AE0D0494-0CC1-4527-9CA5-4DC1FDFEC585}"/>
    <hyperlink ref="J1531" r:id="rId13671" display="https://statiz.sporki.com/player/?m=playerinfo&amp;p_no=11169" xr:uid="{C5F24DC5-DCD3-49CE-95A6-0648842A56B7}"/>
    <hyperlink ref="J1532" r:id="rId13672" display="https://statiz.sporki.com/player/?m=playerinfo&amp;p_no=11130" xr:uid="{9FAABC0E-6BC3-4C57-8224-02873FC82118}"/>
    <hyperlink ref="J1533" r:id="rId13673" display="https://statiz.sporki.com/player/?m=playerinfo&amp;p_no=11095" xr:uid="{3B84EEC5-8F3B-4A0E-ADCB-CA6271E1F5FD}"/>
    <hyperlink ref="J1534" r:id="rId13674" display="https://statiz.sporki.com/player/?m=playerinfo&amp;p_no=11070" xr:uid="{6EF5E83C-E89C-4643-A5E0-865F06911F33}"/>
    <hyperlink ref="J1535" r:id="rId13675" display="https://statiz.sporki.com/player/?m=playerinfo&amp;p_no=11085" xr:uid="{E8D6B63E-1DD3-4D19-9334-4B91D43772AD}"/>
    <hyperlink ref="J1536" r:id="rId13676" display="https://statiz.sporki.com/player/?m=playerinfo&amp;p_no=11110" xr:uid="{444EF4BC-5D2B-4408-BEC0-E9BA18DE0EF0}"/>
    <hyperlink ref="J1537" r:id="rId13677" display="https://statiz.sporki.com/player/?m=playerinfo&amp;p_no=11091" xr:uid="{6D76461B-5286-4E62-B3A4-88D4B7B2DCCF}"/>
    <hyperlink ref="J1538" r:id="rId13678" display="https://statiz.sporki.com/player/?m=playerinfo&amp;p_no=11141" xr:uid="{5A6D8815-26F8-4C6C-AD3A-E4A0D3D023B7}"/>
    <hyperlink ref="J1539" r:id="rId13679" display="https://statiz.sporki.com/player/?m=playerinfo&amp;p_no=11227" xr:uid="{A4D0077B-5BE7-4566-998B-A763AEBECAD5}"/>
    <hyperlink ref="J1540" r:id="rId13680" display="https://statiz.sporki.com/player/?m=playerinfo&amp;p_no=11117" xr:uid="{4BFDCD59-9CBE-4CE4-8221-0D80B76D4232}"/>
    <hyperlink ref="J1541" r:id="rId13681" display="https://statiz.sporki.com/player/?m=playerinfo&amp;p_no=13244" xr:uid="{08202989-D60D-4CC3-AEAF-FEB7848B077A}"/>
    <hyperlink ref="J1542" r:id="rId13682" display="https://statiz.sporki.com/player/?m=playerinfo&amp;p_no=11074" xr:uid="{4244BC81-9920-4D04-A457-F68CFC9A89C0}"/>
    <hyperlink ref="J1543" r:id="rId13683" display="https://statiz.sporki.com/player/?m=playerinfo&amp;p_no=11172" xr:uid="{41F241E8-9730-4FEA-854E-E8D3B832A0E1}"/>
    <hyperlink ref="J1544" r:id="rId13684" display="https://statiz.sporki.com/player/?m=playerinfo&amp;p_no=11075" xr:uid="{1596F346-0936-455D-97B4-131786ACED42}"/>
    <hyperlink ref="J1545" r:id="rId13685" display="https://statiz.sporki.com/player/?m=playerinfo&amp;p_no=11083" xr:uid="{4C9810F9-B065-4370-B318-BAA6FECAEEBD}"/>
    <hyperlink ref="J1546" r:id="rId13686" display="https://statiz.sporki.com/player/?m=playerinfo&amp;p_no=13238" xr:uid="{4C867D89-2CEA-4BD0-A870-E9495024465F}"/>
    <hyperlink ref="J1547" r:id="rId13687" display="https://statiz.sporki.com/player/?m=playerinfo&amp;p_no=11179" xr:uid="{F12DEAE0-285A-4C42-B569-7A70927E2C0C}"/>
    <hyperlink ref="J1548" r:id="rId13688" display="https://statiz.sporki.com/player/?m=playerinfo&amp;p_no=11176" xr:uid="{65D983D5-ACAF-4B88-BD70-3F947E6DD796}"/>
    <hyperlink ref="J1549" r:id="rId13689" display="https://statiz.sporki.com/player/?m=playerinfo&amp;p_no=13184" xr:uid="{29AE1269-E671-4A1E-806C-21000F1254D1}"/>
    <hyperlink ref="J1550" r:id="rId13690" display="https://statiz.sporki.com/player/?m=playerinfo&amp;p_no=13281" xr:uid="{DEEDB433-B938-4D52-95F0-F2ADF3D72A35}"/>
    <hyperlink ref="J1551" r:id="rId13691" display="https://statiz.sporki.com/player/?m=playerinfo&amp;p_no=11076" xr:uid="{8D1130D4-2FA4-4801-BBEE-14C0709CC38E}"/>
    <hyperlink ref="J1552" r:id="rId13692" display="https://statiz.sporki.com/player/?m=playerinfo&amp;p_no=11154" xr:uid="{8BF13BD0-F6A0-4818-868E-2EC8C9E54585}"/>
    <hyperlink ref="J1553" r:id="rId13693" display="https://statiz.sporki.com/player/?m=playerinfo&amp;p_no=11170" xr:uid="{06D1887E-A1BD-4322-B5AA-17A40416D9DB}"/>
    <hyperlink ref="J1554" r:id="rId13694" display="https://statiz.sporki.com/player/?m=playerinfo&amp;p_no=11155" xr:uid="{8408CEE0-2908-4F3D-9FC2-7BEEA20FBD2E}"/>
    <hyperlink ref="J1555" r:id="rId13695" display="https://statiz.sporki.com/player/?m=playerinfo&amp;p_no=11175" xr:uid="{85C8B8F8-7F5A-4450-8335-32E4212767BF}"/>
    <hyperlink ref="J1556" r:id="rId13696" display="https://statiz.sporki.com/player/?m=playerinfo&amp;p_no=11184" xr:uid="{1407EE1D-39E5-47BE-BC2D-D0489046515E}"/>
    <hyperlink ref="J1557" r:id="rId13697" display="https://statiz.sporki.com/player/?m=playerinfo&amp;p_no=11156" xr:uid="{2EE4F5AB-D8F3-42A1-823A-93C7353D8CF7}"/>
    <hyperlink ref="J1558" r:id="rId13698" display="https://statiz.sporki.com/player/?m=playerinfo&amp;p_no=11158" xr:uid="{BED53154-FF40-4312-AD49-CCE4585F9878}"/>
    <hyperlink ref="J1559" r:id="rId13699" display="https://statiz.sporki.com/player/?m=playerinfo&amp;p_no=11157" xr:uid="{1A686806-84C9-48B9-9E0A-BC1014F68F24}"/>
    <hyperlink ref="J1560" r:id="rId13700" display="https://statiz.sporki.com/player/?m=playerinfo&amp;p_no=11080" xr:uid="{4A379495-39C9-4708-A6B8-D084C3FF2CBB}"/>
    <hyperlink ref="J1561" r:id="rId13701" display="https://statiz.sporki.com/player/?m=playerinfo&amp;p_no=11081" xr:uid="{58A60AAE-678B-4F75-9D1D-2FE281082A8D}"/>
    <hyperlink ref="J1562" r:id="rId13702" display="https://statiz.sporki.com/player/?m=playerinfo&amp;p_no=11181" xr:uid="{9D638DE7-5B3C-469D-95D0-3E0E43A7D1D4}"/>
    <hyperlink ref="J1563" r:id="rId13703" display="https://statiz.sporki.com/player/?m=playerinfo&amp;p_no=11177" xr:uid="{6F68FD64-655C-4D70-B0D8-5740DE61F28C}"/>
    <hyperlink ref="J1564" r:id="rId13704" display="https://statiz.sporki.com/player/?m=playerinfo&amp;p_no=11104" xr:uid="{79807DF1-BDF3-4E76-947D-C5841C5D66BF}"/>
    <hyperlink ref="J1565" r:id="rId13705" display="https://statiz.sporki.com/player/?m=playerinfo&amp;p_no=11103" xr:uid="{FCF95B1F-59FD-460C-B1D6-DB052C870DAD}"/>
    <hyperlink ref="J1566" r:id="rId13706" display="https://statiz.sporki.com/player/?m=playerinfo&amp;p_no=11183" xr:uid="{A25CF187-5546-42F5-8B37-1DC0DE03BD5D}"/>
    <hyperlink ref="J1567" r:id="rId13707" display="https://statiz.sporki.com/player/?m=playerinfo&amp;p_no=11113" xr:uid="{4A5CF472-E4AB-487B-ABCE-BE9A94BF8552}"/>
    <hyperlink ref="J1568" r:id="rId13708" display="https://statiz.sporki.com/player/?m=playerinfo&amp;p_no=11307" xr:uid="{1F35E207-765C-4C30-87D6-ACACFD2EB42C}"/>
    <hyperlink ref="J1569" r:id="rId13709" display="https://statiz.sporki.com/player/?m=playerinfo&amp;p_no=11192" xr:uid="{7D657BA2-A8D8-4513-A5D9-E6B16EFF9A6A}"/>
    <hyperlink ref="J1570" r:id="rId13710" display="https://statiz.sporki.com/player/?m=playerinfo&amp;p_no=11191" xr:uid="{264EA6CD-6124-4D74-96CF-B039A58920E1}"/>
    <hyperlink ref="J1571" r:id="rId13711" display="https://statiz.sporki.com/player/?m=playerinfo&amp;p_no=11186" xr:uid="{18A0E00E-B910-4613-90CF-F81BC83993DE}"/>
    <hyperlink ref="J1572" r:id="rId13712" display="https://statiz.sporki.com/player/?m=playerinfo&amp;p_no=12993" xr:uid="{D472CFD8-2008-4440-BC0F-3021EFEBA2D0}"/>
    <hyperlink ref="J1573" r:id="rId13713" display="https://statiz.sporki.com/player/?m=playerinfo&amp;p_no=13251" xr:uid="{3242973D-4DBD-47CE-9A4E-71829AEADF9B}"/>
    <hyperlink ref="J1574" r:id="rId13714" display="https://statiz.sporki.com/player/?m=playerinfo&amp;p_no=11290" xr:uid="{7D529F20-E57C-4546-B611-303B684DEBAE}"/>
    <hyperlink ref="J1575" r:id="rId13715" display="https://statiz.sporki.com/player/?m=playerinfo&amp;p_no=11251" xr:uid="{B212D12B-41E6-4118-A867-7C56F32F0811}"/>
    <hyperlink ref="J1576" r:id="rId13716" display="https://statiz.sporki.com/player/?m=playerinfo&amp;p_no=11182" xr:uid="{3415E19E-069E-4620-A510-A626DA7F1B72}"/>
    <hyperlink ref="J1577" r:id="rId13717" display="https://statiz.sporki.com/player/?m=playerinfo&amp;p_no=12972" xr:uid="{3E46A9E4-90D7-425E-B3CF-4DF2BCB5F600}"/>
    <hyperlink ref="J1578" r:id="rId13718" display="https://statiz.sporki.com/player/?m=playerinfo&amp;p_no=11359" xr:uid="{65096B0B-D693-4F43-83FE-C44353FB2BBB}"/>
    <hyperlink ref="J1579" r:id="rId13719" display="https://statiz.sporki.com/player/?m=playerinfo&amp;p_no=11152" xr:uid="{CF246E36-8485-4267-98E1-D262E8EFD6A1}"/>
    <hyperlink ref="J1580" r:id="rId13720" display="https://statiz.sporki.com/player/?m=playerinfo&amp;p_no=11358" xr:uid="{382B07E1-21F4-4240-9B68-00A494AC8FF0}"/>
    <hyperlink ref="J1581" r:id="rId13721" display="https://statiz.sporki.com/player/?m=playerinfo&amp;p_no=13185" xr:uid="{AE141073-0808-4EA3-BA1C-2691CD96A031}"/>
    <hyperlink ref="J1582" r:id="rId13722" display="https://statiz.sporki.com/player/?m=playerinfo&amp;p_no=12999" xr:uid="{D84A59D5-805C-4AEF-BF51-873482398154}"/>
    <hyperlink ref="J1583" r:id="rId13723" display="https://statiz.sporki.com/player/?m=playerinfo&amp;p_no=13188" xr:uid="{30B6C902-CD94-4B3A-AC4C-82832B67A18A}"/>
    <hyperlink ref="J1584" r:id="rId13724" display="https://statiz.sporki.com/player/?m=playerinfo&amp;p_no=11417" xr:uid="{E468DE4D-84A2-4420-BF30-540A1D8DCA5E}"/>
    <hyperlink ref="J1585" r:id="rId13725" display="https://statiz.sporki.com/player/?m=playerinfo&amp;p_no=11491" xr:uid="{A690E4BB-ED94-477E-B4C4-58CC361CFB90}"/>
    <hyperlink ref="J1586" r:id="rId13726" display="https://statiz.sporki.com/player/?m=playerinfo&amp;p_no=11185" xr:uid="{89F82F48-C2A2-4950-B348-7B5480BB036E}"/>
    <hyperlink ref="J1587" r:id="rId13727" display="https://statiz.sporki.com/player/?m=playerinfo&amp;p_no=11420" xr:uid="{63FA31B6-0B69-4557-89DB-152E2EBAF5FB}"/>
    <hyperlink ref="J1588" r:id="rId13728" display="https://statiz.sporki.com/player/?m=playerinfo&amp;p_no=11268" xr:uid="{EE1F9683-DCEE-45EC-A29E-52E054741782}"/>
    <hyperlink ref="J1589" r:id="rId13729" display="https://statiz.sporki.com/player/?m=playerinfo&amp;p_no=10913" xr:uid="{BF447A21-8746-4403-A4CB-2C0D5B5D43B8}"/>
    <hyperlink ref="J1590" r:id="rId13730" display="https://statiz.sporki.com/player/?m=playerinfo&amp;p_no=10863" xr:uid="{79654AA1-D0E9-4B83-97BB-654F58CFADEE}"/>
    <hyperlink ref="J1591" r:id="rId13731" display="https://statiz.sporki.com/player/?m=playerinfo&amp;p_no=10854" xr:uid="{2496A490-6B6A-4A5D-97F9-E348DAA786A3}"/>
    <hyperlink ref="J1592" r:id="rId13732" display="https://statiz.sporki.com/player/?m=playerinfo&amp;p_no=10789" xr:uid="{2498CA88-6AF4-452D-8045-98E50CAECC9B}"/>
    <hyperlink ref="J1593" r:id="rId13733" display="https://statiz.sporki.com/player/?m=playerinfo&amp;p_no=10825" xr:uid="{AC5102EC-9BB0-4F7B-B624-07DB624FF139}"/>
    <hyperlink ref="J1594" r:id="rId13734" display="https://statiz.sporki.com/player/?m=playerinfo&amp;p_no=10885" xr:uid="{6698AC96-0D66-4A2F-BB2A-9F9494B1452A}"/>
    <hyperlink ref="J1595" r:id="rId13735" display="https://statiz.sporki.com/player/?m=playerinfo&amp;p_no=10879" xr:uid="{82F7C34C-EB9D-4293-A3B5-6B73E72735FB}"/>
    <hyperlink ref="J1596" r:id="rId13736" display="https://statiz.sporki.com/player/?m=playerinfo&amp;p_no=10783" xr:uid="{70EC1439-04D5-4815-BA55-ECB01BDB9415}"/>
    <hyperlink ref="J1597" r:id="rId13737" display="https://statiz.sporki.com/player/?m=playerinfo&amp;p_no=11137" xr:uid="{A149C43D-65D5-4BF8-A8A8-2A47E2422F24}"/>
    <hyperlink ref="J1598" r:id="rId13738" display="https://statiz.sporki.com/player/?m=playerinfo&amp;p_no=11162" xr:uid="{A99269BF-B87C-4D0B-8B12-71F60BD747CF}"/>
    <hyperlink ref="J1599" r:id="rId13739" display="https://statiz.sporki.com/player/?m=playerinfo&amp;p_no=10707" xr:uid="{74E067C1-8B01-4E04-ABCD-C9AFBAD2DB49}"/>
    <hyperlink ref="J1600" r:id="rId13740" display="https://statiz.sporki.com/player/?m=playerinfo&amp;p_no=10892" xr:uid="{1C07F5EB-C56F-4318-9D6B-3B6AA99A185F}"/>
    <hyperlink ref="J1601" r:id="rId13741" display="https://statiz.sporki.com/player/?m=playerinfo&amp;p_no=10882" xr:uid="{1DD62697-C12B-48D5-AB1A-0529314F819F}"/>
    <hyperlink ref="J1602" r:id="rId13742" display="https://statiz.sporki.com/player/?m=playerinfo&amp;p_no=10840" xr:uid="{E342BC78-8059-4CA2-8C89-229709468586}"/>
    <hyperlink ref="J1603" r:id="rId13743" display="https://statiz.sporki.com/player/?m=playerinfo&amp;p_no=10795" xr:uid="{DDFE4659-0AAA-49F0-91CE-F9B67333BBD8}"/>
    <hyperlink ref="J1604" r:id="rId13744" display="https://statiz.sporki.com/player/?m=playerinfo&amp;p_no=10851" xr:uid="{B976442A-9DB3-488D-98AF-A8123E821712}"/>
    <hyperlink ref="J1605" r:id="rId13745" display="https://statiz.sporki.com/player/?m=playerinfo&amp;p_no=10864" xr:uid="{9A978EB1-6E79-4620-84A9-0B113375FDAA}"/>
    <hyperlink ref="J1606" r:id="rId13746" display="https://statiz.sporki.com/player/?m=playerinfo&amp;p_no=10909" xr:uid="{DD07964D-7F41-4AE4-8C3E-654DD5CCB684}"/>
    <hyperlink ref="J1607" r:id="rId13747" display="https://statiz.sporki.com/player/?m=playerinfo&amp;p_no=10910" xr:uid="{322FBA13-128D-499C-AE68-B4B8FC2D9709}"/>
    <hyperlink ref="J1608" r:id="rId13748" display="https://statiz.sporki.com/player/?m=playerinfo&amp;p_no=10865" xr:uid="{104BC885-6E25-4867-B75C-2B194F6F360A}"/>
    <hyperlink ref="J1609" r:id="rId13749" display="https://statiz.sporki.com/player/?m=playerinfo&amp;p_no=10847" xr:uid="{BA63E0FE-84CA-4DF5-B8A6-2CB5959C2777}"/>
    <hyperlink ref="J1610" r:id="rId13750" display="https://statiz.sporki.com/player/?m=playerinfo&amp;p_no=10817" xr:uid="{D150FA10-8BBC-4017-96A8-0C0EF3DB4A85}"/>
    <hyperlink ref="J1611" r:id="rId13751" display="https://statiz.sporki.com/player/?m=playerinfo&amp;p_no=10824" xr:uid="{91A9F72F-4156-4307-A142-9FD1F5950527}"/>
    <hyperlink ref="J1612" r:id="rId13752" display="https://statiz.sporki.com/player/?m=playerinfo&amp;p_no=10878" xr:uid="{64804820-70D9-4FAE-87ED-49E244610950}"/>
    <hyperlink ref="J1613" r:id="rId13753" display="https://statiz.sporki.com/player/?m=playerinfo&amp;p_no=10804" xr:uid="{4BB6EB4D-901A-4E4B-BF56-6AA71EC60ACA}"/>
    <hyperlink ref="J1614" r:id="rId13754" display="https://statiz.sporki.com/player/?m=playerinfo&amp;p_no=11153" xr:uid="{FB42C8DE-D843-4B77-BF95-8A8AF141EAAC}"/>
    <hyperlink ref="J1615" r:id="rId13755" display="https://statiz.sporki.com/player/?m=playerinfo&amp;p_no=11148" xr:uid="{20EF8993-075D-40B6-9483-D3AA01B796E2}"/>
    <hyperlink ref="J1616" r:id="rId13756" display="https://statiz.sporki.com/player/?m=playerinfo&amp;p_no=10792" xr:uid="{4D7DC9F5-17F7-401F-813B-2E7BDE45A053}"/>
    <hyperlink ref="J1617" r:id="rId13757" display="https://statiz.sporki.com/player/?m=playerinfo&amp;p_no=10899" xr:uid="{6CB426D9-6E81-4EB7-9210-C39F006C26C1}"/>
    <hyperlink ref="J1618" r:id="rId13758" display="https://statiz.sporki.com/player/?m=playerinfo&amp;p_no=10894" xr:uid="{DF70FF96-C2E6-443E-9B83-001DE6D2DF08}"/>
    <hyperlink ref="J1619" r:id="rId13759" display="https://statiz.sporki.com/player/?m=playerinfo&amp;p_no=10827" xr:uid="{8825AA78-A0B2-4B2A-88F4-C3F2DFCE1F1C}"/>
    <hyperlink ref="J1620" r:id="rId13760" display="https://statiz.sporki.com/player/?m=playerinfo&amp;p_no=10821" xr:uid="{71D7729C-3D1A-4E70-AB59-EFE7A1B06948}"/>
    <hyperlink ref="J1621" r:id="rId13761" display="https://statiz.sporki.com/player/?m=playerinfo&amp;p_no=10857" xr:uid="{6E8FD9D9-ED5A-45B6-96DC-61B8B9F0BB36}"/>
    <hyperlink ref="J1622" r:id="rId13762" display="https://statiz.sporki.com/player/?m=playerinfo&amp;p_no=10866" xr:uid="{A8DF103D-4F20-4C5A-963E-B4EEF96F43B2}"/>
    <hyperlink ref="J1623" r:id="rId13763" display="https://statiz.sporki.com/player/?m=playerinfo&amp;p_no=10916" xr:uid="{FF38C830-FECD-4668-8745-B0208011083C}"/>
    <hyperlink ref="J1624" r:id="rId13764" display="https://statiz.sporki.com/player/?m=playerinfo&amp;p_no=10918" xr:uid="{BD0945FC-540C-44A9-B75D-145373884FBC}"/>
    <hyperlink ref="J1625" r:id="rId13765" display="https://statiz.sporki.com/player/?m=playerinfo&amp;p_no=10867" xr:uid="{2E3D764E-EA94-4241-985C-2F19CD5023DD}"/>
    <hyperlink ref="J1626" r:id="rId13766" display="https://statiz.sporki.com/player/?m=playerinfo&amp;p_no=10848" xr:uid="{50AFC35E-486B-4B39-B6BE-34108AF6F30B}"/>
    <hyperlink ref="J1627" r:id="rId13767" display="https://statiz.sporki.com/player/?m=playerinfo&amp;p_no=10818" xr:uid="{966FF490-861E-4315-ABE7-F69720042B93}"/>
    <hyperlink ref="J1628" r:id="rId13768" display="https://statiz.sporki.com/player/?m=playerinfo&amp;p_no=10830" xr:uid="{FFA1D7E0-9D3A-4592-80C1-84E3E4B18AB6}"/>
    <hyperlink ref="J1629" r:id="rId13769" display="https://statiz.sporki.com/player/?m=playerinfo&amp;p_no=10891" xr:uid="{AFFF01EB-8497-44BE-8E58-7E5185BC0A5A}"/>
    <hyperlink ref="J1630" r:id="rId13770" display="https://statiz.sporki.com/player/?m=playerinfo&amp;p_no=10902" xr:uid="{912512D1-CA92-4AE8-99EE-D937B8DB3199}"/>
    <hyperlink ref="J1631" r:id="rId13771" display="https://statiz.sporki.com/player/?m=playerinfo&amp;p_no=10808" xr:uid="{683FEF30-7138-45C7-A9E6-B3E439DCB16D}"/>
    <hyperlink ref="J1632" r:id="rId13772" display="https://statiz.sporki.com/player/?m=playerinfo&amp;p_no=11357" xr:uid="{6F3A0238-8790-4C29-90AF-C07CB917B531}"/>
    <hyperlink ref="J1633" r:id="rId13773" display="https://statiz.sporki.com/player/?m=playerinfo&amp;p_no=10813" xr:uid="{6793E884-7496-48AC-9624-BAFFE8FB91DD}"/>
    <hyperlink ref="J1634" r:id="rId13774" display="https://statiz.sporki.com/player/?m=playerinfo&amp;p_no=10903" xr:uid="{31BD2E23-CBF5-405F-A614-1A24A608D6A0}"/>
    <hyperlink ref="J1635" r:id="rId13775" display="https://statiz.sporki.com/player/?m=playerinfo&amp;p_no=10884" xr:uid="{38E90F6D-8728-443A-B008-D1AADD31B178}"/>
    <hyperlink ref="J1636" r:id="rId13776" display="https://statiz.sporki.com/player/?m=playerinfo&amp;p_no=10814" xr:uid="{B50F9C85-D1E7-49E6-AE57-28FBE58FE7C1}"/>
    <hyperlink ref="J1637" r:id="rId13777" display="https://statiz.sporki.com/player/?m=playerinfo&amp;p_no=10849" xr:uid="{C1E61B61-6985-4FA9-B53A-EC76ADD37071}"/>
    <hyperlink ref="J1638" r:id="rId13778" display="https://statiz.sporki.com/player/?m=playerinfo&amp;p_no=10868" xr:uid="{F1ABE4A2-47FD-403C-BC4B-8D70F4CFF721}"/>
    <hyperlink ref="J1639" r:id="rId13779" display="https://statiz.sporki.com/player/?m=playerinfo&amp;p_no=10914" xr:uid="{B4306ECA-8E95-44A1-A922-C6DA8D3FC0D9}"/>
    <hyperlink ref="J1640" r:id="rId13780" display="https://statiz.sporki.com/player/?m=playerinfo&amp;p_no=10911" xr:uid="{25102C2B-BBD0-45DB-AC59-54C70FA59677}"/>
    <hyperlink ref="J1641" r:id="rId13781" display="https://statiz.sporki.com/player/?m=playerinfo&amp;p_no=10869" xr:uid="{33F19F30-74C1-47E8-B329-A96462F12349}"/>
    <hyperlink ref="J1642" r:id="rId13782" display="https://statiz.sporki.com/player/?m=playerinfo&amp;p_no=10856" xr:uid="{F5A64EAA-4D59-4B45-B92E-55E3BE252C8F}"/>
    <hyperlink ref="J1643" r:id="rId13783" display="https://statiz.sporki.com/player/?m=playerinfo&amp;p_no=10820" xr:uid="{5B6F27C7-A140-4F0E-BAB8-BD5D75FC1A8B}"/>
    <hyperlink ref="J1644" r:id="rId13784" display="https://statiz.sporki.com/player/?m=playerinfo&amp;p_no=10837" xr:uid="{C7B61CDD-8CA1-47B6-AD53-7E84F79E9A3C}"/>
    <hyperlink ref="J1645" r:id="rId13785" display="https://statiz.sporki.com/player/?m=playerinfo&amp;p_no=10895" xr:uid="{05EFC47A-D33F-4BAE-95D0-6162CAEE1E4F}"/>
    <hyperlink ref="J1646" r:id="rId13786" display="https://statiz.sporki.com/player/?m=playerinfo&amp;p_no=10904" xr:uid="{3EDD9A6C-E805-473E-9247-94778D166ECA}"/>
    <hyperlink ref="J1647" r:id="rId13787" display="https://statiz.sporki.com/player/?m=playerinfo&amp;p_no=10788" xr:uid="{42C1A668-DD40-4CC3-8822-9E5FB85FFAD3}"/>
    <hyperlink ref="J1648" r:id="rId13788" display="https://statiz.sporki.com/player/?m=playerinfo&amp;p_no=11163" xr:uid="{4AA720A1-B914-4B10-9E31-A766240375D6}"/>
    <hyperlink ref="J1649" r:id="rId13789" display="https://statiz.sporki.com/player/?m=playerinfo&amp;p_no=11149" xr:uid="{EF89CB75-AF9B-402C-B6C9-524EEF9A2B7C}"/>
    <hyperlink ref="J1650" r:id="rId13790" display="https://statiz.sporki.com/player/?m=playerinfo&amp;p_no=10810" xr:uid="{023DC0A8-5BCA-474D-84EA-CB447FCC149D}"/>
    <hyperlink ref="J1651" r:id="rId13791" display="https://statiz.sporki.com/player/?m=playerinfo&amp;p_no=10905" xr:uid="{A81332AB-6773-46CB-A70A-8C79211FB263}"/>
    <hyperlink ref="J1652" r:id="rId13792" display="https://statiz.sporki.com/player/?m=playerinfo&amp;p_no=10896" xr:uid="{5DAA6A77-0DF9-4C1B-B1A9-C47D2C694783}"/>
    <hyperlink ref="J1653" r:id="rId13793" display="https://statiz.sporki.com/player/?m=playerinfo&amp;p_no=10819" xr:uid="{D1A55BB8-53C2-40F3-9D1C-ABD5321228E7}"/>
    <hyperlink ref="J1654" r:id="rId13794" display="https://statiz.sporki.com/player/?m=playerinfo&amp;p_no=10870" xr:uid="{C1FE9BA0-D317-4CD5-AA75-566AD69A089E}"/>
    <hyperlink ref="J1655" r:id="rId13795" display="https://statiz.sporki.com/player/?m=playerinfo&amp;p_no=10912" xr:uid="{1D6DD976-9BDA-4142-9DDF-604F882F2C21}"/>
    <hyperlink ref="J1656" r:id="rId13796" display="https://statiz.sporki.com/player/?m=playerinfo&amp;p_no=10917" xr:uid="{84EC4627-2C79-4A0A-AAB5-835709CF278D}"/>
    <hyperlink ref="J1657" r:id="rId13797" display="https://statiz.sporki.com/player/?m=playerinfo&amp;p_no=10871" xr:uid="{19D99E93-A35D-4218-8641-4079E4707676}"/>
    <hyperlink ref="J1658" r:id="rId13798" display="https://statiz.sporki.com/player/?m=playerinfo&amp;p_no=10906" xr:uid="{3602C576-1397-49BF-8C51-906839C7651B}"/>
    <hyperlink ref="J1659" r:id="rId13799" display="https://statiz.sporki.com/player/?m=playerinfo&amp;p_no=10859" xr:uid="{60B3DE25-5B65-40FE-920E-38C27C7C3E6A}"/>
    <hyperlink ref="J1660" r:id="rId13800" display="https://statiz.sporki.com/player/?m=playerinfo&amp;p_no=10836" xr:uid="{BA5D59AD-31D3-4CA0-BA75-6CE229333BBE}"/>
    <hyperlink ref="J1661" r:id="rId13801" display="https://statiz.sporki.com/player/?m=playerinfo&amp;p_no=10799" xr:uid="{91251428-8D81-42CB-B647-FBFD85912E93}"/>
    <hyperlink ref="J1662" r:id="rId13802" display="https://statiz.sporki.com/player/?m=playerinfo&amp;p_no=10889" xr:uid="{9DADF4BB-0BD7-4D63-BC31-E301972F447B}"/>
    <hyperlink ref="J1663" r:id="rId13803" display="https://statiz.sporki.com/player/?m=playerinfo&amp;p_no=10815" xr:uid="{4FCDDDCF-457F-4CED-A36A-B6AF675D8022}"/>
    <hyperlink ref="J1664" r:id="rId13804" display="https://statiz.sporki.com/player/?m=playerinfo&amp;p_no=11138" xr:uid="{B810C67E-F37F-4E93-8A67-A887B766E856}"/>
    <hyperlink ref="J1665" r:id="rId13805" display="https://statiz.sporki.com/player/?m=playerinfo&amp;p_no=10901" xr:uid="{CA56D715-67B5-4C12-A4EA-CD2EF9CA9EA9}"/>
    <hyperlink ref="J1666" r:id="rId13806" display="https://statiz.sporki.com/player/?m=playerinfo&amp;p_no=11363" xr:uid="{813346FC-8DC4-43C4-85A2-B8BE63DD2804}"/>
    <hyperlink ref="J1667" r:id="rId13807" display="https://statiz.sporki.com/player/?m=playerinfo&amp;p_no=10816" xr:uid="{CB0AA25E-BCF0-4B12-96A6-09E68D816A59}"/>
    <hyperlink ref="J1668" r:id="rId13808" display="https://statiz.sporki.com/player/?m=playerinfo&amp;p_no=10872" xr:uid="{B9F2F8D4-9B98-4F48-8044-64CEB1351573}"/>
    <hyperlink ref="J1669" r:id="rId13809" display="https://statiz.sporki.com/player/?m=playerinfo&amp;p_no=10915" xr:uid="{1BFAD972-2593-4BAE-A5F2-D737CAC28F92}"/>
    <hyperlink ref="J1670" r:id="rId13810" display="https://statiz.sporki.com/player/?m=playerinfo&amp;p_no=11165" xr:uid="{2BEB48BC-7161-4989-931E-07DE5ED23400}"/>
    <hyperlink ref="J1671" r:id="rId13811" display="https://statiz.sporki.com/player/?m=playerinfo&amp;p_no=11159" xr:uid="{5B0DFC99-E711-47FC-9F6D-08305D9D9AA4}"/>
    <hyperlink ref="J1672" r:id="rId13812" display="https://statiz.sporki.com/player/?m=playerinfo&amp;p_no=10907" xr:uid="{0649D11C-6420-4A6A-BA25-BF1014037A8A}"/>
    <hyperlink ref="J1673" r:id="rId13813" display="https://statiz.sporki.com/player/?m=playerinfo&amp;p_no=11145" xr:uid="{8DABC3EA-5569-4F7F-9722-A439B5D34649}"/>
    <hyperlink ref="J1674" r:id="rId13814" display="https://statiz.sporki.com/player/?m=playerinfo&amp;p_no=11125" xr:uid="{14467CEA-8D40-418A-9913-15874542AE6C}"/>
    <hyperlink ref="J1675" r:id="rId13815" display="https://statiz.sporki.com/player/?m=playerinfo&amp;p_no=11151" xr:uid="{D532D396-7968-464C-B36E-A2B0C9179DEC}"/>
    <hyperlink ref="J1676" r:id="rId13816" display="https://statiz.sporki.com/player/?m=playerinfo&amp;p_no=11146" xr:uid="{3C909362-F4A7-4C50-B410-45087193AFD2}"/>
    <hyperlink ref="J1677" r:id="rId13817" display="https://statiz.sporki.com/player/?m=playerinfo&amp;p_no=11144" xr:uid="{268D60F5-1A92-481B-96A2-562815A4C3CF}"/>
    <hyperlink ref="J1678" r:id="rId13818" display="https://statiz.sporki.com/player/?m=playerinfo&amp;p_no=10794" xr:uid="{7ED2E628-16E1-4920-A2B2-D99C07E2807B}"/>
    <hyperlink ref="J1679" r:id="rId13819" display="https://statiz.sporki.com/player/?m=playerinfo&amp;p_no=10933" xr:uid="{533F5883-C272-4A6E-9022-9591DCBAC7A4}"/>
    <hyperlink ref="J1680" r:id="rId13820" display="https://statiz.sporki.com/player/?m=playerinfo&amp;p_no=10926" xr:uid="{D65B53B9-6259-43DA-B9D6-B7526E93716B}"/>
    <hyperlink ref="J1681" r:id="rId13821" display="https://statiz.sporki.com/player/?m=playerinfo&amp;p_no=11140" xr:uid="{4CD1E987-0338-4220-806F-D93E974FCCAD}"/>
    <hyperlink ref="J1682" r:id="rId13822" display="https://statiz.sporki.com/player/?m=playerinfo&amp;p_no=11315" xr:uid="{564F4786-18E6-4B47-AE2D-7BF80390A526}"/>
    <hyperlink ref="J1683" r:id="rId13823" display="https://statiz.sporki.com/player/?m=playerinfo&amp;p_no=11133" xr:uid="{CE9DB726-0F4B-45BF-B851-30CF4DB95476}"/>
    <hyperlink ref="J1684" r:id="rId13824" display="https://statiz.sporki.com/player/?m=playerinfo&amp;p_no=10782" xr:uid="{A24D23BC-A242-4BE6-9A33-82440B0B0806}"/>
    <hyperlink ref="J1685" r:id="rId13825" display="https://statiz.sporki.com/player/?m=playerinfo&amp;p_no=10937" xr:uid="{B2AEFE36-80E6-4906-AD76-68EFD6FB06CA}"/>
    <hyperlink ref="J1686" r:id="rId13826" display="https://statiz.sporki.com/player/?m=playerinfo&amp;p_no=10844" xr:uid="{EA0A8480-55FE-457B-A2CA-F521CBFE9B46}"/>
    <hyperlink ref="J1687" r:id="rId13827" display="https://statiz.sporki.com/player/?m=playerinfo&amp;p_no=10919" xr:uid="{F3745B98-0F0B-46E2-9215-E80BDBD20A18}"/>
    <hyperlink ref="J1688" r:id="rId13828" display="https://statiz.sporki.com/player/?m=playerinfo&amp;p_no=10828" xr:uid="{95F2368B-44EE-4536-8DB3-59CAEDC7B834}"/>
    <hyperlink ref="J1689" r:id="rId13829" display="https://statiz.sporki.com/player/?m=playerinfo&amp;p_no=10880" xr:uid="{52C4D224-22A0-4EE7-B56A-D69B3E409B7F}"/>
    <hyperlink ref="J1690" r:id="rId13830" display="https://statiz.sporki.com/player/?m=playerinfo&amp;p_no=10936" xr:uid="{FDB9AB9D-0263-4C40-AC58-22717CC3AFD3}"/>
    <hyperlink ref="J1691" r:id="rId13831" display="https://statiz.sporki.com/player/?m=playerinfo&amp;p_no=10908" xr:uid="{BB78B5C7-D437-482A-94CE-A90D673123B7}"/>
    <hyperlink ref="J1692" r:id="rId13832" display="https://statiz.sporki.com/player/?m=playerinfo&amp;p_no=10822" xr:uid="{0B1502E9-84D2-4BB4-9E32-FBB4AE1B118A}"/>
    <hyperlink ref="J1693" r:id="rId13833" display="https://statiz.sporki.com/player/?m=playerinfo&amp;p_no=10942" xr:uid="{EFA2D6E5-9C6C-4B9B-B4F2-253A7DBC40C7}"/>
    <hyperlink ref="J1694" r:id="rId13834" display="https://statiz.sporki.com/player/?m=playerinfo&amp;p_no=10823" xr:uid="{212EA067-0721-4570-A060-5B8B693F14B9}"/>
    <hyperlink ref="J1695" r:id="rId13835" display="https://statiz.sporki.com/player/?m=playerinfo&amp;p_no=10787" xr:uid="{89B224EB-B3FC-4255-B0BF-5C6B196BE957}"/>
    <hyperlink ref="J1696" r:id="rId13836" display="https://statiz.sporki.com/player/?m=playerinfo&amp;p_no=10940" xr:uid="{ED8436D6-B7A4-43F4-BFFE-0052FCC85F82}"/>
    <hyperlink ref="J1697" r:id="rId13837" display="https://statiz.sporki.com/player/?m=playerinfo&amp;p_no=11174" xr:uid="{F19A7067-F3F9-49A3-9F2B-2F3F2DD9312E}"/>
    <hyperlink ref="J1698" r:id="rId13838" display="https://statiz.sporki.com/player/?m=playerinfo&amp;p_no=11210" xr:uid="{B146559F-F16D-4BE6-B730-0598708F79F8}"/>
    <hyperlink ref="J1699" r:id="rId13839" display="https://statiz.sporki.com/player/?m=playerinfo&amp;p_no=11267" xr:uid="{D92A7198-6025-4E18-A1A6-F3E5AD98B7E6}"/>
    <hyperlink ref="J1700" r:id="rId13840" display="https://statiz.sporki.com/player/?m=playerinfo&amp;p_no=10807" xr:uid="{F7DB38CC-0FCB-4404-ACBD-CB3815B77DB0}"/>
    <hyperlink ref="J1701" r:id="rId13841" display="https://statiz.sporki.com/player/?m=playerinfo&amp;p_no=10811" xr:uid="{424676CE-9291-4C31-82C0-7FDCD4F16238}"/>
    <hyperlink ref="J1702" r:id="rId13842" display="https://statiz.sporki.com/player/?m=playerinfo&amp;p_no=10806" xr:uid="{5A112A13-0799-4F5E-BF57-8E56AC7CAAAF}"/>
    <hyperlink ref="J1703" r:id="rId13843" display="https://statiz.sporki.com/player/?m=playerinfo&amp;p_no=10858" xr:uid="{DDBC085D-FEEE-44D7-A330-42577294AD81}"/>
    <hyperlink ref="J1704" r:id="rId13844" display="https://statiz.sporki.com/player/?m=playerinfo&amp;p_no=10846" xr:uid="{BDE12643-0979-48F4-9AFE-4817F590F6B2}"/>
    <hyperlink ref="J1705" r:id="rId13845" display="https://statiz.sporki.com/player/?m=playerinfo&amp;p_no=10842" xr:uid="{D385B97F-0F53-4202-8ADB-85D7B7E46B32}"/>
    <hyperlink ref="J1706" r:id="rId13846" display="https://statiz.sporki.com/player/?m=playerinfo&amp;p_no=10861" xr:uid="{6C899386-6745-4384-9CAF-265B67D910A3}"/>
    <hyperlink ref="J1707" r:id="rId13847" display="https://statiz.sporki.com/player/?m=playerinfo&amp;p_no=10862" xr:uid="{947A30A8-1D86-428E-81B6-FEB1A062C4F2}"/>
    <hyperlink ref="J1708" r:id="rId13848" display="https://statiz.sporki.com/player/?m=playerinfo&amp;p_no=10887" xr:uid="{7F23C88D-8277-4F38-ACE2-7E61640C66DE}"/>
    <hyperlink ref="J1709" r:id="rId13849" display="https://statiz.sporki.com/player/?m=playerinfo&amp;p_no=10897" xr:uid="{F1B0180B-B8F4-4783-B612-ADFF8E113E6D}"/>
    <hyperlink ref="J1710" r:id="rId13850" display="https://statiz.sporki.com/player/?m=playerinfo&amp;p_no=10835" xr:uid="{74C1C68F-98FA-44E3-B8F1-303A5C2343E0}"/>
    <hyperlink ref="J1711" r:id="rId13851" display="https://statiz.sporki.com/player/?m=playerinfo&amp;p_no=10833" xr:uid="{FFAFD599-8539-4947-A7AA-D2345824779A}"/>
    <hyperlink ref="J1712" r:id="rId13852" display="https://statiz.sporki.com/player/?m=playerinfo&amp;p_no=10930" xr:uid="{0C7E787E-03E0-4207-A8A8-271D7006788F}"/>
    <hyperlink ref="J1713" r:id="rId13853" display="https://statiz.sporki.com/player/?m=playerinfo&amp;p_no=11190" xr:uid="{8C8B3F4D-FDD2-42E0-B52C-882C30012A9E}"/>
    <hyperlink ref="J1714" r:id="rId13854" display="https://statiz.sporki.com/player/?m=playerinfo&amp;p_no=12674" xr:uid="{E51CBE41-2A7B-4C9C-BD82-7E6F476DA50F}"/>
    <hyperlink ref="J1715" r:id="rId13855" display="https://statiz.sporki.com/player/?m=playerinfo&amp;p_no=11107" xr:uid="{DAB2EC0A-6325-4E5D-A6C1-E86D0B3A5A8C}"/>
    <hyperlink ref="J1716" r:id="rId13856" display="https://statiz.sporki.com/player/?m=playerinfo&amp;p_no=10943" xr:uid="{91536393-54B5-4C9B-A313-7670AFF5012E}"/>
    <hyperlink ref="J1717" r:id="rId13857" display="https://statiz.sporki.com/player/?m=playerinfo&amp;p_no=11124" xr:uid="{F314EE75-CABA-4368-95B9-CB5810183B49}"/>
    <hyperlink ref="J1718" r:id="rId13858" display="https://statiz.sporki.com/player/?m=playerinfo&amp;p_no=11114" xr:uid="{7405E41F-6324-4DC7-99D6-75F9B8D74041}"/>
    <hyperlink ref="J1719" r:id="rId13859" display="https://statiz.sporki.com/player/?m=playerinfo&amp;p_no=10678" xr:uid="{A682D5C9-CD99-4D42-9AF3-0270EFE1C031}"/>
    <hyperlink ref="J1720" r:id="rId13860" display="https://statiz.sporki.com/player/?m=playerinfo&amp;p_no=10652" xr:uid="{B61031EF-97CA-40BF-A8CE-16AE21B60513}"/>
    <hyperlink ref="J1721" r:id="rId13861" display="https://statiz.sporki.com/player/?m=playerinfo&amp;p_no=10657" xr:uid="{B9F5D38E-6F5C-4D7A-B483-386FB6BC1E54}"/>
    <hyperlink ref="J1722" r:id="rId13862" display="https://statiz.sporki.com/player/?m=playerinfo&amp;p_no=10720" xr:uid="{0C0D8677-8752-4508-924D-F4CFC64D5130}"/>
    <hyperlink ref="J1723" r:id="rId13863" display="https://statiz.sporki.com/player/?m=playerinfo&amp;p_no=10680" xr:uid="{5C2A6F92-E474-4B87-870F-C1AC645FFF9C}"/>
    <hyperlink ref="J1724" r:id="rId13864" display="https://statiz.sporki.com/player/?m=playerinfo&amp;p_no=10733" xr:uid="{A2CE5A52-89F9-4D06-9FBC-D9F264A09DB5}"/>
    <hyperlink ref="J1725" r:id="rId13865" display="https://statiz.sporki.com/player/?m=playerinfo&amp;p_no=10784" xr:uid="{1C46737A-AB9E-4627-8AF1-F3BBCC018F21}"/>
    <hyperlink ref="J1726" r:id="rId13866" display="https://statiz.sporki.com/player/?m=playerinfo&amp;p_no=10812" xr:uid="{703B97FF-D49C-4F0B-8B19-B4BABDC3A9AB}"/>
    <hyperlink ref="J1727" r:id="rId13867" display="https://statiz.sporki.com/player/?m=playerinfo&amp;p_no=10696" xr:uid="{7740426B-3356-44A9-86EF-EF94DFBEB1E4}"/>
    <hyperlink ref="J1728" r:id="rId13868" display="https://statiz.sporki.com/player/?m=playerinfo&amp;p_no=11309" xr:uid="{C2458BAB-3574-4199-9EBA-32AE21B33AA4}"/>
    <hyperlink ref="J1729" r:id="rId13869" display="https://statiz.sporki.com/player/?m=playerinfo&amp;p_no=10677" xr:uid="{B619BC34-A92C-48F6-B598-2BAC938769CE}"/>
    <hyperlink ref="J1730" r:id="rId13870" display="https://statiz.sporki.com/player/?m=playerinfo&amp;p_no=10692" xr:uid="{7A5B5C85-9ACA-41B7-87BA-6ABC2CFB9159}"/>
    <hyperlink ref="J1731" r:id="rId13871" display="https://statiz.sporki.com/player/?m=playerinfo&amp;p_no=10722" xr:uid="{96992505-2BEF-4B76-8EDA-8D0AAA1A8BAE}"/>
    <hyperlink ref="J1732" r:id="rId13872" display="https://statiz.sporki.com/player/?m=playerinfo&amp;p_no=10681" xr:uid="{16BAFA8B-2DB8-4039-9655-CFD14836D3F7}"/>
    <hyperlink ref="J1733" r:id="rId13873" display="https://statiz.sporki.com/player/?m=playerinfo&amp;p_no=10749" xr:uid="{068AE1AE-4446-4223-ABD7-8A8EE77512A5}"/>
    <hyperlink ref="J1734" r:id="rId13874" display="https://statiz.sporki.com/player/?m=playerinfo&amp;p_no=10676" xr:uid="{BE07B7B2-4A0C-42CB-9FC4-D294E241B5DD}"/>
    <hyperlink ref="J1735" r:id="rId13875" display="https://statiz.sporki.com/player/?m=playerinfo&amp;p_no=10662" xr:uid="{76BBAD7E-346C-4EC3-83DF-23D2107B348A}"/>
    <hyperlink ref="J1736" r:id="rId13876" display="https://statiz.sporki.com/player/?m=playerinfo&amp;p_no=10751" xr:uid="{3B89D868-44E6-4AF2-BFAA-A97519C29B86}"/>
    <hyperlink ref="J1737" r:id="rId13877" display="https://statiz.sporki.com/player/?m=playerinfo&amp;p_no=10659" xr:uid="{564442E7-37DC-493E-BF06-EF36EE1AC98B}"/>
    <hyperlink ref="J1738" r:id="rId13878" display="https://statiz.sporki.com/player/?m=playerinfo&amp;p_no=10721" xr:uid="{26142AAB-5B3F-469B-A425-B7B180D450F3}"/>
    <hyperlink ref="J1739" r:id="rId13879" display="https://statiz.sporki.com/player/?m=playerinfo&amp;p_no=10739" xr:uid="{75078A66-734C-44C2-B48C-FA7E94537F27}"/>
    <hyperlink ref="J1740" r:id="rId13880" display="https://statiz.sporki.com/player/?m=playerinfo&amp;p_no=10735" xr:uid="{CA7E29B9-9A96-4F76-BFDF-30F867DC5B7C}"/>
    <hyperlink ref="J1741" r:id="rId13881" display="https://statiz.sporki.com/player/?m=playerinfo&amp;p_no=10717" xr:uid="{0EFFFAE0-712A-4403-A197-63F6716450AE}"/>
    <hyperlink ref="J1742" r:id="rId13882" display="https://statiz.sporki.com/player/?m=playerinfo&amp;p_no=10651" xr:uid="{61276CE7-6E3D-4DFE-914B-2417B77F52D1}"/>
    <hyperlink ref="J1743" r:id="rId13883" display="https://statiz.sporki.com/player/?m=playerinfo&amp;p_no=10700" xr:uid="{2AD4CDFD-7BBA-4AE2-828F-C176767F22C2}"/>
    <hyperlink ref="J1744" r:id="rId13884" display="https://statiz.sporki.com/player/?m=playerinfo&amp;p_no=10713" xr:uid="{B4535555-4F4F-4BB5-BFC3-7DC64ECBBCAD}"/>
    <hyperlink ref="J1745" r:id="rId13885" display="https://statiz.sporki.com/player/?m=playerinfo&amp;p_no=10729" xr:uid="{E59F7B9D-EF3E-4BE2-BF7C-260C5288C253}"/>
    <hyperlink ref="J1746" r:id="rId13886" display="https://statiz.sporki.com/player/?m=playerinfo&amp;p_no=10746" xr:uid="{61FCB1D3-570D-4F73-A7B3-C0B3C2166499}"/>
    <hyperlink ref="J1747" r:id="rId13887" display="https://statiz.sporki.com/player/?m=playerinfo&amp;p_no=10637" xr:uid="{6D518C6E-56AE-4C1A-A6F9-83546312C457}"/>
    <hyperlink ref="J1748" r:id="rId13888" display="https://statiz.sporki.com/player/?m=playerinfo&amp;p_no=10761" xr:uid="{A0F5FF95-FC53-457F-8EC2-975658CCBEA0}"/>
    <hyperlink ref="J1749" r:id="rId13889" display="https://statiz.sporki.com/player/?m=playerinfo&amp;p_no=10748" xr:uid="{1DE0E8B1-E05B-43B4-B0B6-BE4B735264E0}"/>
    <hyperlink ref="J1750" r:id="rId13890" display="https://statiz.sporki.com/player/?m=playerinfo&amp;p_no=10771" xr:uid="{8367CE39-2D16-4B14-BFB0-560BE76E97AA}"/>
    <hyperlink ref="J1751" r:id="rId13891" display="https://statiz.sporki.com/player/?m=playerinfo&amp;p_no=10673" xr:uid="{73BBBE32-8C14-476B-A822-F5392DB6B87E}"/>
    <hyperlink ref="J1752" r:id="rId13892" display="https://statiz.sporki.com/player/?m=playerinfo&amp;p_no=10929" xr:uid="{A471D0B5-D1B2-4AA2-94FA-AEB12BB20295}"/>
    <hyperlink ref="J1753" r:id="rId13893" display="https://statiz.sporki.com/player/?m=playerinfo&amp;p_no=11220" xr:uid="{7E335A83-1992-4781-841C-6ABE84C10CB6}"/>
    <hyperlink ref="J1754" r:id="rId13894" display="https://statiz.sporki.com/player/?m=playerinfo&amp;p_no=10640" xr:uid="{9788BF8C-21F0-4295-BAE8-8078F2B411FD}"/>
    <hyperlink ref="J1755" r:id="rId13895" display="https://statiz.sporki.com/player/?m=playerinfo&amp;p_no=10742" xr:uid="{99C7F9DC-9DB3-4CB1-86D2-70ED1FDEC46D}"/>
    <hyperlink ref="J1756" r:id="rId13896" display="https://statiz.sporki.com/player/?m=playerinfo&amp;p_no=10645" xr:uid="{B95F49B3-8756-41F7-B796-C882369B260C}"/>
    <hyperlink ref="J1757" r:id="rId13897" display="https://statiz.sporki.com/player/?m=playerinfo&amp;p_no=10705" xr:uid="{273456B8-755D-4A6B-B7D9-3AD82A4F727F}"/>
    <hyperlink ref="J1758" r:id="rId13898" display="https://statiz.sporki.com/player/?m=playerinfo&amp;p_no=10702" xr:uid="{5696D373-3099-4709-8623-60BB9E535509}"/>
    <hyperlink ref="J1759" r:id="rId13899" display="https://statiz.sporki.com/player/?m=playerinfo&amp;p_no=10803" xr:uid="{2EA22EDF-1F5C-41A9-BF8E-F4F40F8BA8E2}"/>
    <hyperlink ref="J1760" r:id="rId13900" display="https://statiz.sporki.com/player/?m=playerinfo&amp;p_no=10736" xr:uid="{C3D7326D-D0BE-4087-8560-9965BDD220E5}"/>
    <hyperlink ref="J1761" r:id="rId13901" display="https://statiz.sporki.com/player/?m=playerinfo&amp;p_no=10738" xr:uid="{F1C8EC67-E331-41DD-917C-21ECD96E27C5}"/>
    <hyperlink ref="J1762" r:id="rId13902" display="https://statiz.sporki.com/player/?m=playerinfo&amp;p_no=10727" xr:uid="{8C2999AD-A3DB-47AD-B63D-BC7EFC0F44E8}"/>
    <hyperlink ref="J1763" r:id="rId13903" display="https://statiz.sporki.com/player/?m=playerinfo&amp;p_no=11294" xr:uid="{40ECBDD3-96C8-45A7-A7BC-B9471DC5B7E0}"/>
    <hyperlink ref="J1764" r:id="rId13904" display="https://statiz.sporki.com/player/?m=playerinfo&amp;p_no=10754" xr:uid="{A31B1EF8-88BE-4632-A57D-7E742D735B08}"/>
    <hyperlink ref="J1765" r:id="rId13905" display="https://statiz.sporki.com/player/?m=playerinfo&amp;p_no=10769" xr:uid="{9C6ADECF-915B-499C-87BD-75D6A29EF0D4}"/>
    <hyperlink ref="J1766" r:id="rId13906" display="https://statiz.sporki.com/player/?m=playerinfo&amp;p_no=10773" xr:uid="{99860AD6-404E-438F-B010-DE55FD8C3A31}"/>
    <hyperlink ref="J1767" r:id="rId13907" display="https://statiz.sporki.com/player/?m=playerinfo&amp;p_no=10753" xr:uid="{BC72ECB2-20F0-4CA0-A814-989C584CA933}"/>
    <hyperlink ref="J1768" r:id="rId13908" display="https://statiz.sporki.com/player/?m=playerinfo&amp;p_no=10764" xr:uid="{A6225718-FDAA-463A-BB24-F17CB30E17B6}"/>
    <hyperlink ref="J1769" r:id="rId13909" display="https://statiz.sporki.com/player/?m=playerinfo&amp;p_no=10745" xr:uid="{92093484-B795-4982-B3E6-F958A2455102}"/>
    <hyperlink ref="J1770" r:id="rId13910" display="https://statiz.sporki.com/player/?m=playerinfo&amp;p_no=10731" xr:uid="{1CB63C2B-D949-442E-8BC3-1DAE94EFBCB9}"/>
    <hyperlink ref="J1771" r:id="rId13911" display="https://statiz.sporki.com/player/?m=playerinfo&amp;p_no=10798" xr:uid="{20B604C5-BDBC-470B-99DA-21AB9D492B49}"/>
    <hyperlink ref="J1772" r:id="rId13912" display="https://statiz.sporki.com/player/?m=playerinfo&amp;p_no=10699" xr:uid="{0BBF6F7A-C9EE-4EF1-BF5E-2FE79FC4BA56}"/>
    <hyperlink ref="J1773" r:id="rId13913" display="https://statiz.sporki.com/player/?m=playerinfo&amp;p_no=10704" xr:uid="{6E77DA80-4FE7-4549-876A-14F7751E9774}"/>
    <hyperlink ref="J1774" r:id="rId13914" display="https://statiz.sporki.com/player/?m=playerinfo&amp;p_no=10708" xr:uid="{AF238A6C-FF0B-453F-800E-F1A2233EAE3A}"/>
    <hyperlink ref="J1775" r:id="rId13915" display="https://statiz.sporki.com/player/?m=playerinfo&amp;p_no=10734" xr:uid="{9D0ED176-351E-4A44-8F4C-DF63C230A4AB}"/>
    <hyperlink ref="J1776" r:id="rId13916" display="https://statiz.sporki.com/player/?m=playerinfo&amp;p_no=10826" xr:uid="{B6667E11-BFE4-412A-9F43-9D51249DA4DF}"/>
    <hyperlink ref="J1777" r:id="rId13917" display="https://statiz.sporki.com/player/?m=playerinfo&amp;p_no=10672" xr:uid="{87292F5B-60C5-4FCE-9176-8B20E9F887C5}"/>
    <hyperlink ref="J1778" r:id="rId13918" display="https://statiz.sporki.com/player/?m=playerinfo&amp;p_no=10767" xr:uid="{F2EF0B60-DFA1-431D-9AE2-6D3E39257B3C}"/>
    <hyperlink ref="J1779" r:id="rId13919" display="https://statiz.sporki.com/player/?m=playerinfo&amp;p_no=10756" xr:uid="{998BF732-CA51-43D1-858D-5F652F9D67D2}"/>
    <hyperlink ref="J1780" r:id="rId13920" display="https://statiz.sporki.com/player/?m=playerinfo&amp;p_no=10685" xr:uid="{0B9CA991-E898-41F6-86DA-5E360B508048}"/>
    <hyperlink ref="J1781" r:id="rId13921" display="https://statiz.sporki.com/player/?m=playerinfo&amp;p_no=10728" xr:uid="{A1167751-A854-42ED-A308-FD0D12F4533B}"/>
    <hyperlink ref="J1782" r:id="rId13922" display="https://statiz.sporki.com/player/?m=playerinfo&amp;p_no=10741" xr:uid="{48A81711-4389-4AE9-9F7F-A4F5CE0DEC83}"/>
    <hyperlink ref="J1783" r:id="rId13923" display="https://statiz.sporki.com/player/?m=playerinfo&amp;p_no=10732" xr:uid="{088E65FF-1BCA-46D2-B97D-DA76FCF8F07A}"/>
    <hyperlink ref="J1784" r:id="rId13924" display="https://statiz.sporki.com/player/?m=playerinfo&amp;p_no=10790" xr:uid="{EAF75F0A-5DAD-4A06-8971-2796A081E314}"/>
    <hyperlink ref="J1785" r:id="rId13925" display="https://statiz.sporki.com/player/?m=playerinfo&amp;p_no=10932" xr:uid="{989068A7-4EBE-432B-A465-B9AD239DA1D7}"/>
    <hyperlink ref="J1786" r:id="rId13926" display="https://statiz.sporki.com/player/?m=playerinfo&amp;p_no=10730" xr:uid="{9851D2F4-87DF-4838-B468-67D3838451A4}"/>
    <hyperlink ref="J1787" r:id="rId13927" display="https://statiz.sporki.com/player/?m=playerinfo&amp;p_no=10839" xr:uid="{8AEB135B-AF1B-4658-B73B-ACE854796E05}"/>
    <hyperlink ref="J1788" r:id="rId13928" display="https://statiz.sporki.com/player/?m=playerinfo&amp;p_no=10724" xr:uid="{B770999C-954E-4DA2-BED6-75D355A50187}"/>
    <hyperlink ref="J1789" r:id="rId13929" display="https://statiz.sporki.com/player/?m=playerinfo&amp;p_no=13187" xr:uid="{F99D013A-246B-4533-A039-FA2E94934B2D}"/>
    <hyperlink ref="J1790" r:id="rId13930" display="https://statiz.sporki.com/player/?m=playerinfo&amp;p_no=10426" xr:uid="{E3B3A713-C652-462D-B52B-8D6E95A25AAE}"/>
    <hyperlink ref="J1791" r:id="rId13931" display="https://statiz.sporki.com/player/?m=playerinfo&amp;p_no=10649" xr:uid="{0FDBE4B4-CFB2-4160-8A9C-494A2CEBBD65}"/>
    <hyperlink ref="J1792" r:id="rId13932" display="https://statiz.sporki.com/player/?m=playerinfo&amp;p_no=10670" xr:uid="{D4671FBF-D766-46F6-8760-7276797D95C1}"/>
    <hyperlink ref="J1793" r:id="rId13933" display="https://statiz.sporki.com/player/?m=playerinfo&amp;p_no=10653" xr:uid="{2E68751F-775F-4070-B6D8-D74FFE07591D}"/>
    <hyperlink ref="J1794" r:id="rId13934" display="https://statiz.sporki.com/player/?m=playerinfo&amp;p_no=10669" xr:uid="{48B3C6A6-F188-438C-BE09-9C0EEB2A6D17}"/>
    <hyperlink ref="J1795" r:id="rId13935" display="https://statiz.sporki.com/player/?m=playerinfo&amp;p_no=10715" xr:uid="{F52B6413-165E-472F-BC3A-DF60C2683A5A}"/>
    <hyperlink ref="J1796" r:id="rId13936" display="https://statiz.sporki.com/player/?m=playerinfo&amp;p_no=10658" xr:uid="{4E367DEE-0958-43B1-8A08-149F819C17FC}"/>
    <hyperlink ref="J1797" r:id="rId13937" display="https://statiz.sporki.com/player/?m=playerinfo&amp;p_no=10641" xr:uid="{80C116B1-3BF2-49FE-9C72-5713D1830709}"/>
    <hyperlink ref="J1798" r:id="rId13938" display="https://statiz.sporki.com/player/?m=playerinfo&amp;p_no=10679" xr:uid="{75F40E65-29C3-4C39-A092-6AE20188EADA}"/>
    <hyperlink ref="J1799" r:id="rId13939" display="https://statiz.sporki.com/player/?m=playerinfo&amp;p_no=10714" xr:uid="{D8369698-3905-4077-900E-24AE90A41979}"/>
    <hyperlink ref="J1800" r:id="rId13940" display="https://statiz.sporki.com/player/?m=playerinfo&amp;p_no=10646" xr:uid="{33B5C09E-C837-4449-A23E-A37B615BC50F}"/>
    <hyperlink ref="J1801" r:id="rId13941" display="https://statiz.sporki.com/player/?m=playerinfo&amp;p_no=10775" xr:uid="{46B5EDE2-502E-4D1D-B27A-73B437790171}"/>
    <hyperlink ref="J1802" r:id="rId13942" display="https://statiz.sporki.com/player/?m=playerinfo&amp;p_no=10774" xr:uid="{6863909C-97AF-4AF4-90BB-F04E165DC62C}"/>
    <hyperlink ref="J1803" r:id="rId13943" display="https://statiz.sporki.com/player/?m=playerinfo&amp;p_no=10638" xr:uid="{82249382-084E-45DA-947E-51A0809D1552}"/>
    <hyperlink ref="J1804" r:id="rId13944" display="https://statiz.sporki.com/player/?m=playerinfo&amp;p_no=10661" xr:uid="{36F702F8-C5A5-496F-AFD8-A73CAB6AE797}"/>
    <hyperlink ref="J1805" r:id="rId13945" display="https://statiz.sporki.com/player/?m=playerinfo&amp;p_no=10698" xr:uid="{9699D4EA-C08F-4B73-B0DD-A2951E226851}"/>
    <hyperlink ref="J1806" r:id="rId13946" display="https://statiz.sporki.com/player/?m=playerinfo&amp;p_no=10838" xr:uid="{45EC7DFA-4D1F-409D-A5F5-9FC696B80566}"/>
    <hyperlink ref="J1807" r:id="rId13947" display="https://statiz.sporki.com/player/?m=playerinfo&amp;p_no=10829" xr:uid="{ED85ADD6-DFE7-4E32-B023-5382855060F8}"/>
    <hyperlink ref="J1808" r:id="rId13948" display="https://statiz.sporki.com/player/?m=playerinfo&amp;p_no=10719" xr:uid="{03FC8DC9-BE01-491C-8AF6-813ACA3E1FAD}"/>
    <hyperlink ref="J1809" r:id="rId13949" display="https://statiz.sporki.com/player/?m=playerinfo&amp;p_no=10935" xr:uid="{B668403E-6BE5-4856-AE78-9005F0117516}"/>
    <hyperlink ref="J1810" r:id="rId13950" display="https://statiz.sporki.com/player/?m=playerinfo&amp;p_no=10925" xr:uid="{FC769613-FA4D-478F-BD24-FD9683998CAD}"/>
    <hyperlink ref="J1811" r:id="rId13951" display="https://statiz.sporki.com/player/?m=playerinfo&amp;p_no=10752" xr:uid="{1D134FEE-BC83-499E-BFEC-74DDA95EB7B0}"/>
    <hyperlink ref="J1812" r:id="rId13952" display="https://statiz.sporki.com/player/?m=playerinfo&amp;p_no=10934" xr:uid="{409523DA-D3A6-4C2F-9349-A9A0C68925F3}"/>
    <hyperlink ref="J1813" r:id="rId13953" display="https://statiz.sporki.com/player/?m=playerinfo&amp;p_no=10781" xr:uid="{0358C80C-F4BE-4D5F-B88E-8827582C44AE}"/>
    <hyperlink ref="J1814" r:id="rId13954" display="https://statiz.sporki.com/player/?m=playerinfo&amp;p_no=12967" xr:uid="{CE34F9BB-468D-42E8-A5A4-735CBC73F252}"/>
    <hyperlink ref="J1815" r:id="rId13955" display="https://statiz.sporki.com/player/?m=playerinfo&amp;p_no=10845" xr:uid="{E455EDF6-4455-416D-9592-F8E2C2126E19}"/>
    <hyperlink ref="J1816" r:id="rId13956" display="https://statiz.sporki.com/player/?m=playerinfo&amp;p_no=10860" xr:uid="{BD7AA6C6-DAA9-4A37-A1EE-02ACD9042A10}"/>
    <hyperlink ref="J1817" r:id="rId13957" display="https://statiz.sporki.com/player/?m=playerinfo&amp;p_no=10691" xr:uid="{9CAEFB38-02F2-4529-AC6B-BD27EF40E729}"/>
    <hyperlink ref="J1818" r:id="rId13958" display="https://statiz.sporki.com/player/?m=playerinfo&amp;p_no=10898" xr:uid="{CF8106C9-A2CF-45BC-BEFF-E9274C762BB8}"/>
    <hyperlink ref="J1819" r:id="rId13959" display="https://statiz.sporki.com/player/?m=playerinfo&amp;p_no=10883" xr:uid="{3E9A2401-C5FE-45A0-BF6E-99E180B451BD}"/>
    <hyperlink ref="J1820" r:id="rId13960" display="https://statiz.sporki.com/player/?m=playerinfo&amp;p_no=10834" xr:uid="{72617CFA-F5D2-4D04-9303-64645C7464FD}"/>
    <hyperlink ref="J1821" r:id="rId13961" display="https://statiz.sporki.com/player/?m=playerinfo&amp;p_no=10777" xr:uid="{916FAEBA-27EB-4F2F-9E6D-B785860FF8D8}"/>
    <hyperlink ref="J1822" r:id="rId13962" display="https://statiz.sporki.com/player/?m=playerinfo&amp;p_no=10877" xr:uid="{A3EA8D20-F8A4-4159-BB01-F9BFF75170A2}"/>
    <hyperlink ref="J1823" r:id="rId13963" display="https://statiz.sporki.com/player/?m=playerinfo&amp;p_no=10726" xr:uid="{434869D8-199B-492B-A93F-ACED07985F5C}"/>
    <hyperlink ref="J1824" r:id="rId13964" display="https://statiz.sporki.com/player/?m=playerinfo&amp;p_no=10516" xr:uid="{1655D3BF-FA2E-4117-8A59-425AD661BBEE}"/>
    <hyperlink ref="J1825" r:id="rId13965" display="https://statiz.sporki.com/player/?m=playerinfo&amp;p_no=10432" xr:uid="{D285893B-499B-4DDF-A731-9A5423BF3A35}"/>
    <hyperlink ref="J1826" r:id="rId13966" display="https://statiz.sporki.com/player/?m=playerinfo&amp;p_no=10056" xr:uid="{3DFD09D8-9773-4F04-9C59-03D11C9A7206}"/>
    <hyperlink ref="J1827" r:id="rId13967" display="https://statiz.sporki.com/player/?m=playerinfo&amp;p_no=10585" xr:uid="{93E9A28C-5FB3-4D00-9C1E-2E9222F73E6F}"/>
    <hyperlink ref="J1828" r:id="rId13968" display="https://statiz.sporki.com/player/?m=playerinfo&amp;p_no=10374" xr:uid="{EBAE1329-9C4E-49F8-B492-410C22A9E79F}"/>
    <hyperlink ref="J1829" r:id="rId13969" display="https://statiz.sporki.com/player/?m=playerinfo&amp;p_no=10307" xr:uid="{E6737399-177E-407C-8518-A918B1FA8B35}"/>
    <hyperlink ref="J1830" r:id="rId13970" display="https://statiz.sporki.com/player/?m=playerinfo&amp;p_no=10223" xr:uid="{12E2BDAF-DB0E-41BD-BF1F-C321965E1D94}"/>
    <hyperlink ref="J1831" r:id="rId13971" display="https://statiz.sporki.com/player/?m=playerinfo&amp;p_no=10130" xr:uid="{610429F9-5000-410A-B772-A9EDEA018D93}"/>
    <hyperlink ref="J1832" r:id="rId13972" display="https://statiz.sporki.com/player/?m=playerinfo&amp;p_no=10131" xr:uid="{7BA79C1B-0F96-45E2-959A-EC0AA6DD3DE1}"/>
    <hyperlink ref="J1833" r:id="rId13973" display="https://statiz.sporki.com/player/?m=playerinfo&amp;p_no=10220" xr:uid="{4F265856-BCE7-4E30-A573-710381431078}"/>
    <hyperlink ref="J1834" r:id="rId13974" display="https://statiz.sporki.com/player/?m=playerinfo&amp;p_no=10297" xr:uid="{7E8B8AE7-F3C1-4FD1-8590-335CFC042EE4}"/>
    <hyperlink ref="J1835" r:id="rId13975" display="https://statiz.sporki.com/player/?m=playerinfo&amp;p_no=10358" xr:uid="{87436315-8A32-4DFA-A514-7D76CB6EA4AE}"/>
    <hyperlink ref="J1836" r:id="rId13976" display="https://statiz.sporki.com/player/?m=playerinfo&amp;p_no=10567" xr:uid="{F52386A1-B157-48DE-96EF-605A16047F12}"/>
    <hyperlink ref="J1837" r:id="rId13977" display="https://statiz.sporki.com/player/?m=playerinfo&amp;p_no=10066" xr:uid="{C4F3A96E-C90E-43DB-9E7C-D10259806013}"/>
    <hyperlink ref="J1838" r:id="rId13978" display="https://statiz.sporki.com/player/?m=playerinfo&amp;p_no=10451" xr:uid="{5B99760F-CECB-41B8-8EDF-C445E150250F}"/>
    <hyperlink ref="J1839" r:id="rId13979" display="https://statiz.sporki.com/player/?m=playerinfo&amp;p_no=10527" xr:uid="{406B3672-4187-40A9-94A4-C2E69083D7F5}"/>
    <hyperlink ref="J1840" r:id="rId13980" display="https://statiz.sporki.com/player/?m=playerinfo&amp;p_no=10522" xr:uid="{E84881E2-267F-4D52-966C-0FEDF68E26A3}"/>
    <hyperlink ref="J1841" r:id="rId13981" display="https://statiz.sporki.com/player/?m=playerinfo&amp;p_no=10706" xr:uid="{E86B0FB0-C3A0-4A40-A094-74C69311792C}"/>
    <hyperlink ref="J1842" r:id="rId13982" display="https://statiz.sporki.com/player/?m=playerinfo&amp;p_no=10018" xr:uid="{C9D2EE2A-C83D-4ED7-A997-B22FC35D8CB4}"/>
    <hyperlink ref="J1843" r:id="rId13983" display="https://statiz.sporki.com/player/?m=playerinfo&amp;p_no=10629" xr:uid="{EC3412C9-2CE5-457D-809E-0CDA7365AA71}"/>
    <hyperlink ref="J1844" r:id="rId13984" display="https://statiz.sporki.com/player/?m=playerinfo&amp;p_no=10313" xr:uid="{A4FEDDEF-EDFA-4882-807C-A9E4F40EC3DE}"/>
    <hyperlink ref="J1845" r:id="rId13985" display="https://statiz.sporki.com/player/?m=playerinfo&amp;p_no=10249" xr:uid="{68E0C3F6-3C17-463F-9C2E-6CEC39403E65}"/>
    <hyperlink ref="J1846" r:id="rId13986" display="https://statiz.sporki.com/player/?m=playerinfo&amp;p_no=10224" xr:uid="{0D9F6895-7547-4110-87B3-925E2A07811A}"/>
    <hyperlink ref="J1847" r:id="rId13987" display="https://statiz.sporki.com/player/?m=playerinfo&amp;p_no=10079" xr:uid="{CC7F9388-1D8E-40C9-B0BF-865403D19874}"/>
    <hyperlink ref="J1848" r:id="rId13988" display="https://statiz.sporki.com/player/?m=playerinfo&amp;p_no=10712" xr:uid="{0C09AC46-202A-43E1-B0CB-FFC1FCA61A02}"/>
    <hyperlink ref="J1849" r:id="rId13989" display="https://statiz.sporki.com/player/?m=playerinfo&amp;p_no=10199" xr:uid="{00C2A727-DBB0-4136-8322-5F6CDB21B297}"/>
    <hyperlink ref="J1850" r:id="rId13990" display="https://statiz.sporki.com/player/?m=playerinfo&amp;p_no=10270" xr:uid="{132224F7-DDD7-4C01-8EC8-F6B289292DE5}"/>
    <hyperlink ref="J1851" r:id="rId13991" display="https://statiz.sporki.com/player/?m=playerinfo&amp;p_no=10324" xr:uid="{1DE33873-868E-495A-9772-937206EE556F}"/>
    <hyperlink ref="J1852" r:id="rId13992" display="https://statiz.sporki.com/player/?m=playerinfo&amp;p_no=10572" xr:uid="{247520B6-BA2D-47A2-B0A3-2F136457EE83}"/>
    <hyperlink ref="J1853" r:id="rId13993" display="https://statiz.sporki.com/player/?m=playerinfo&amp;p_no=10037" xr:uid="{702F15E7-E9F6-4FC4-8E24-600966BC4960}"/>
    <hyperlink ref="J1854" r:id="rId13994" display="https://statiz.sporki.com/player/?m=playerinfo&amp;p_no=10437" xr:uid="{494F6041-B758-4761-83A0-A367D26D8452}"/>
    <hyperlink ref="J1855" r:id="rId13995" display="https://statiz.sporki.com/player/?m=playerinfo&amp;p_no=10922" xr:uid="{1EE080EE-0507-4F72-87EB-50510FC57228}"/>
    <hyperlink ref="J1856" r:id="rId13996" display="https://statiz.sporki.com/player/?m=playerinfo&amp;p_no=11160" xr:uid="{40CE39DF-0AC0-45EF-B1C6-8CF7B2911EDE}"/>
    <hyperlink ref="J1857" r:id="rId13997" display="https://statiz.sporki.com/player/?m=playerinfo&amp;p_no=10403" xr:uid="{580DE9B2-0EA3-4A41-A0CA-887390BFDC23}"/>
    <hyperlink ref="J1858" r:id="rId13998" display="https://statiz.sporki.com/player/?m=playerinfo&amp;p_no=10019" xr:uid="{2913232F-C42D-43B0-B447-EFBF964AB631}"/>
    <hyperlink ref="J1859" r:id="rId13999" display="https://statiz.sporki.com/player/?m=playerinfo&amp;p_no=10609" xr:uid="{087B9569-7178-4ECA-8A7E-B98BE628F11D}"/>
    <hyperlink ref="J1860" r:id="rId14000" display="https://statiz.sporki.com/player/?m=playerinfo&amp;p_no=10356" xr:uid="{BDF0DEB3-EAFA-45EE-814F-9AD7978AD1AA}"/>
    <hyperlink ref="J1861" r:id="rId14001" display="https://statiz.sporki.com/player/?m=playerinfo&amp;p_no=10233" xr:uid="{DB64E4FF-CD20-43BD-B13E-7995150AAC9B}"/>
    <hyperlink ref="J1862" r:id="rId14002" display="https://statiz.sporki.com/player/?m=playerinfo&amp;p_no=10185" xr:uid="{6E22E2A5-6A65-47C3-AADB-E7A63702F7DA}"/>
    <hyperlink ref="J1863" r:id="rId14003" display="https://statiz.sporki.com/player/?m=playerinfo&amp;p_no=10104" xr:uid="{471B53B2-2359-47D6-9FAF-E28192670F0B}"/>
    <hyperlink ref="J1864" r:id="rId14004" display="https://statiz.sporki.com/player/?m=playerinfo&amp;p_no=10146" xr:uid="{9E5502A9-9992-4868-A69B-B7B172172B3F}"/>
    <hyperlink ref="J1865" r:id="rId14005" display="https://statiz.sporki.com/player/?m=playerinfo&amp;p_no=10308" xr:uid="{9B021044-71F0-4915-BC38-DCF941804A27}"/>
    <hyperlink ref="J1866" r:id="rId14006" display="https://statiz.sporki.com/player/?m=playerinfo&amp;p_no=10338" xr:uid="{DC0934CB-7CFC-40E2-A1EA-3A8804F5E20F}"/>
    <hyperlink ref="J1867" r:id="rId14007" display="https://statiz.sporki.com/player/?m=playerinfo&amp;p_no=10549" xr:uid="{3B63E3ED-B7C0-4BB2-B56E-8A4658DB0412}"/>
    <hyperlink ref="J1868" r:id="rId14008" display="https://statiz.sporki.com/player/?m=playerinfo&amp;p_no=10002" xr:uid="{D3102797-2307-4222-A0C3-DFA5EB8164E7}"/>
    <hyperlink ref="J1869" r:id="rId14009" display="https://statiz.sporki.com/player/?m=playerinfo&amp;p_no=10760" xr:uid="{0C063C26-D97B-475D-9E05-25403A23199D}"/>
    <hyperlink ref="J1870" r:id="rId14010" display="https://statiz.sporki.com/player/?m=playerinfo&amp;p_no=10924" xr:uid="{C0705835-41B8-450C-9209-BECA0F86F58C}"/>
    <hyperlink ref="J1871" r:id="rId14011" display="https://statiz.sporki.com/player/?m=playerinfo&amp;p_no=10757" xr:uid="{A6F768F8-DED4-4A3A-8A2C-DB7F5F7D486E}"/>
    <hyperlink ref="J1872" r:id="rId14012" display="https://statiz.sporki.com/player/?m=playerinfo&amp;p_no=10391" xr:uid="{7F9A2359-6A7E-4085-A2FB-70B1FEBC4A6C}"/>
    <hyperlink ref="J1873" r:id="rId14013" display="https://statiz.sporki.com/player/?m=playerinfo&amp;p_no=10027" xr:uid="{1B0F3DE7-957B-466C-93DD-648A6498326C}"/>
    <hyperlink ref="J1874" r:id="rId14014" display="https://statiz.sporki.com/player/?m=playerinfo&amp;p_no=10583" xr:uid="{31C6F310-B6E3-47C6-AD24-62E97FC183F3}"/>
    <hyperlink ref="J1875" r:id="rId14015" display="https://statiz.sporki.com/player/?m=playerinfo&amp;p_no=10369" xr:uid="{FA8E014B-0A71-40D2-83AB-97C3F7FE8579}"/>
    <hyperlink ref="J1876" r:id="rId14016" display="https://statiz.sporki.com/player/?m=playerinfo&amp;p_no=10801" xr:uid="{85CFFEB0-49CC-4E60-9687-A06A52A57D35}"/>
    <hyperlink ref="J1877" r:id="rId14017" display="https://statiz.sporki.com/player/?m=playerinfo&amp;p_no=10122" xr:uid="{1D5C67A1-80CC-46D2-82F5-FA625C55A601}"/>
    <hyperlink ref="J1878" r:id="rId14018" display="https://statiz.sporki.com/player/?m=playerinfo&amp;p_no=10352" xr:uid="{321B5509-9D5C-47CB-BE59-DC792461A34A}"/>
    <hyperlink ref="J1879" r:id="rId14019" display="https://statiz.sporki.com/player/?m=playerinfo&amp;p_no=10065" xr:uid="{0A86DF15-FF72-4E0B-8A78-247C33E27A60}"/>
    <hyperlink ref="J1880" r:id="rId14020" display="https://statiz.sporki.com/player/?m=playerinfo&amp;p_no=10415" xr:uid="{C3454072-1E31-40E4-B2EE-A26522158866}"/>
    <hyperlink ref="J1881" r:id="rId14021" display="https://statiz.sporki.com/player/?m=playerinfo&amp;p_no=10923" xr:uid="{2CC2F412-3F7C-48EF-8424-2ABF981ADF69}"/>
    <hyperlink ref="J1882" r:id="rId14022" display="https://statiz.sporki.com/player/?m=playerinfo&amp;p_no=10335" xr:uid="{FB8A6C7E-522F-4EE0-A2DC-A05941A013D5}"/>
    <hyperlink ref="J1883" r:id="rId14023" display="https://statiz.sporki.com/player/?m=playerinfo&amp;p_no=10747" xr:uid="{92B9C54B-7055-4BAC-AC5B-AC78495212C2}"/>
    <hyperlink ref="J1884" r:id="rId14024" display="https://statiz.sporki.com/player/?m=playerinfo&amp;p_no=10405" xr:uid="{D39D37E2-E949-41AA-9D3C-6F23F9336636}"/>
    <hyperlink ref="J1885" r:id="rId14025" display="https://statiz.sporki.com/player/?m=playerinfo&amp;p_no=10162" xr:uid="{FD2D9AC8-B77E-47CC-B849-446E7FD9B576}"/>
    <hyperlink ref="J1886" r:id="rId14026" display="https://statiz.sporki.com/player/?m=playerinfo&amp;p_no=10047" xr:uid="{728FC519-F4F9-4F93-A4A0-4DB0ADC085BC}"/>
    <hyperlink ref="J1887" r:id="rId14027" display="https://statiz.sporki.com/player/?m=playerinfo&amp;p_no=2436" xr:uid="{3C8E0A5B-D4A8-4F28-B010-0B187A12F838}"/>
    <hyperlink ref="J1888" r:id="rId14028" display="https://statiz.sporki.com/player/?m=playerinfo&amp;p_no=2433" xr:uid="{3C6E8802-90F2-43D7-A655-93F0AE30C802}"/>
    <hyperlink ref="J1889" r:id="rId14029" display="https://statiz.sporki.com/player/?m=playerinfo&amp;p_no=10520" xr:uid="{3C34EBD6-3D39-449D-B562-4E4E29711577}"/>
    <hyperlink ref="J1890" r:id="rId14030" display="https://statiz.sporki.com/player/?m=playerinfo&amp;p_no=10499" xr:uid="{2A40C07A-508C-46FD-9426-9441A55177FB}"/>
    <hyperlink ref="J1891" r:id="rId14031" display="https://statiz.sporki.com/player/?m=playerinfo&amp;p_no=2434" xr:uid="{4D9CC7D3-682B-44C4-A1DF-27CAB30924BB}"/>
    <hyperlink ref="J1892" r:id="rId14032" display="https://statiz.sporki.com/player/?m=playerinfo&amp;p_no=10441" xr:uid="{72AB7C35-3757-4EE5-A92A-285B91C0E131}"/>
    <hyperlink ref="J1893" r:id="rId14033" display="https://statiz.sporki.com/player/?m=playerinfo&amp;p_no=10231" xr:uid="{02DA80DB-C771-42F6-878B-4895DC86A8AB}"/>
    <hyperlink ref="J1894" r:id="rId14034" display="https://statiz.sporki.com/player/?m=playerinfo&amp;p_no=10282" xr:uid="{631ADA16-AD03-4880-9E00-D776C0D3D02E}"/>
    <hyperlink ref="J1895" r:id="rId14035" display="https://statiz.sporki.com/player/?m=playerinfo&amp;p_no=2432" xr:uid="{5FB00080-EE44-4467-906B-4317DD5C8296}"/>
    <hyperlink ref="J1896" r:id="rId14036" display="https://statiz.sporki.com/player/?m=playerinfo&amp;p_no=10589" xr:uid="{48AD51AB-D77A-4F1B-A0D6-6B7F7DDBCCE6}"/>
    <hyperlink ref="J1897" r:id="rId14037" display="https://statiz.sporki.com/player/?m=playerinfo&amp;p_no=2435" xr:uid="{D4F71087-E331-45AC-A6EC-A6E4EB1B4C13}"/>
    <hyperlink ref="J1898" r:id="rId14038" display="https://statiz.sporki.com/player/?m=playerinfo&amp;p_no=10619" xr:uid="{E2C0B9A6-7549-4F07-96E2-91B7E62DE135}"/>
    <hyperlink ref="J1899" r:id="rId14039" display="https://statiz.sporki.com/player/?m=playerinfo&amp;p_no=11466" xr:uid="{F0B5878B-385D-4DCA-81FF-A33D09B7E528}"/>
    <hyperlink ref="J1900" r:id="rId14040" display="https://statiz.sporki.com/player/?m=playerinfo&amp;p_no=13280" xr:uid="{6C15065B-5349-4BC5-A9AF-664842EB8F5A}"/>
    <hyperlink ref="J1901" r:id="rId14041" display="https://statiz.sporki.com/player/?m=playerinfo&amp;p_no=13278" xr:uid="{1A390E8E-B70E-4494-B13E-D8289EA9AA5C}"/>
    <hyperlink ref="J1902" r:id="rId14042" display="https://statiz.sporki.com/player/?m=playerinfo&amp;p_no=10875" xr:uid="{DA0D4FF4-DDBC-43F5-8A7B-8772C7DA8E1B}"/>
    <hyperlink ref="J1903" r:id="rId14043" display="https://statiz.sporki.com/player/?m=playerinfo&amp;p_no=11304" xr:uid="{7E396D5F-424A-46D8-93D6-CAA55AB8E6FD}"/>
    <hyperlink ref="J1904" r:id="rId14044" display="https://statiz.sporki.com/player/?m=playerinfo&amp;p_no=10703" xr:uid="{FF421F15-5DC3-4CD5-B8BE-36461CFAB24A}"/>
    <hyperlink ref="J1905" r:id="rId14045" display="https://statiz.sporki.com/player/?m=playerinfo&amp;p_no=10797" xr:uid="{9A3F18DB-A0BA-4A71-8D59-7FBDC3B899FF}"/>
    <hyperlink ref="J1906" r:id="rId14046" display="https://statiz.sporki.com/player/?m=playerinfo&amp;p_no=10874" xr:uid="{D44529F6-7E68-4417-8BA8-1C446D3CB5B5}"/>
    <hyperlink ref="J1907" r:id="rId14047" display="https://statiz.sporki.com/player/?m=playerinfo&amp;p_no=10688" xr:uid="{7F175F70-1010-458D-BFC8-9CD1286C7A82}"/>
    <hyperlink ref="J1908" r:id="rId14048" display="https://statiz.sporki.com/player/?m=playerinfo&amp;p_no=10890" xr:uid="{E01D461C-AAE9-4DD1-977F-DC88E7D8CA01}"/>
    <hyperlink ref="J1909" r:id="rId14049" display="https://statiz.sporki.com/player/?m=playerinfo&amp;p_no=11147" xr:uid="{02FFB5A5-6BAB-4E55-847F-30C128848AD9}"/>
    <hyperlink ref="J1910" r:id="rId14050" display="https://statiz.sporki.com/player/?m=playerinfo&amp;p_no=11331" xr:uid="{07C3B4B0-E2B0-40B9-830F-B3F5EA92A9AB}"/>
    <hyperlink ref="J1911" r:id="rId14051" display="https://statiz.sporki.com/player/?m=playerinfo&amp;p_no=12650" xr:uid="{319DF92F-3CA1-4540-BB31-78848683EE9C}"/>
    <hyperlink ref="J1912" r:id="rId14052" display="https://statiz.sporki.com/player/?m=playerinfo&amp;p_no=11105" xr:uid="{17578497-9306-4FE9-B6B7-FEC8113576EB}"/>
    <hyperlink ref="J1913" r:id="rId14053" display="https://statiz.sporki.com/player/?m=playerinfo&amp;p_no=10071" xr:uid="{CECB7964-1286-4D63-9656-7AF08B7F1C43}"/>
    <hyperlink ref="J1914" r:id="rId14054" display="https://statiz.sporki.com/player/?m=playerinfo&amp;p_no=10475" xr:uid="{54411880-AE94-48CA-AE37-9A6F48E6CB95}"/>
    <hyperlink ref="J1915" r:id="rId14055" display="https://statiz.sporki.com/player/?m=playerinfo&amp;p_no=10133" xr:uid="{3E695179-B9A6-4267-9FAF-ADBDE48F503D}"/>
    <hyperlink ref="J1916" r:id="rId14056" display="https://statiz.sporki.com/player/?m=playerinfo&amp;p_no=10208" xr:uid="{ECAC5904-449B-4CF2-B2DA-53A52218043A}"/>
    <hyperlink ref="J1917" r:id="rId14057" display="https://statiz.sporki.com/player/?m=playerinfo&amp;p_no=10289" xr:uid="{792799B4-D4C4-47DD-BF63-A28DCF34702A}"/>
    <hyperlink ref="J1918" r:id="rId14058" display="https://statiz.sporki.com/player/?m=playerinfo&amp;p_no=10320" xr:uid="{ADD3959F-9C59-42AB-9AB4-3CCCDF072B0B}"/>
    <hyperlink ref="J1919" r:id="rId14059" display="https://statiz.sporki.com/player/?m=playerinfo&amp;p_no=10554" xr:uid="{4331C148-9BB1-498D-A07A-4A30E47E3DAE}"/>
    <hyperlink ref="J1920" r:id="rId14060" display="https://statiz.sporki.com/player/?m=playerinfo&amp;p_no=10423" xr:uid="{7E71D305-B00F-47D3-93E3-CCF8E5FEFB0D}"/>
    <hyperlink ref="J1921" r:id="rId14061" display="https://statiz.sporki.com/player/?m=playerinfo&amp;p_no=10014" xr:uid="{A27DB442-1A47-4A49-93FD-D1D4D27B7DD1}"/>
    <hyperlink ref="J1922" r:id="rId14062" display="https://statiz.sporki.com/player/?m=playerinfo&amp;p_no=10301" xr:uid="{C143F852-B33C-4A12-AE93-5C65E87600B7}"/>
    <hyperlink ref="J1923" r:id="rId14063" display="https://statiz.sporki.com/player/?m=playerinfo&amp;p_no=10404" xr:uid="{BEA7EAF0-BDA4-4288-AA30-DF57D666AF0E}"/>
    <hyperlink ref="J1924" r:id="rId14064" display="https://statiz.sporki.com/player/?m=playerinfo&amp;p_no=10539" xr:uid="{46C43A94-7A6A-4898-B133-2D5F106D687B}"/>
    <hyperlink ref="J1925" r:id="rId14065" display="https://statiz.sporki.com/player/?m=playerinfo&amp;p_no=10361" xr:uid="{8EFB9338-4126-483A-8038-8617EE2C7241}"/>
    <hyperlink ref="J1926" r:id="rId14066" display="https://statiz.sporki.com/player/?m=playerinfo&amp;p_no=10581" xr:uid="{7F6662B5-CF08-4487-B1BA-90DA6AF0101D}"/>
    <hyperlink ref="J1927" r:id="rId14067" display="https://statiz.sporki.com/player/?m=playerinfo&amp;p_no=10184" xr:uid="{F8D2B200-65B7-426B-BC05-4683446C238E}"/>
    <hyperlink ref="J1928" r:id="rId14068" display="https://statiz.sporki.com/player/?m=playerinfo&amp;p_no=10134" xr:uid="{0993EA36-3D0C-4D82-A419-111391D978CF}"/>
    <hyperlink ref="J1929" r:id="rId14069" display="https://statiz.sporki.com/player/?m=playerinfo&amp;p_no=10095" xr:uid="{C57FB7FA-DDC6-4666-B673-62195401D159}"/>
    <hyperlink ref="J1930" r:id="rId14070" display="https://statiz.sporki.com/player/?m=playerinfo&amp;p_no=10189" xr:uid="{7EC802E0-529C-4FA4-AB0E-9746A2EAC3DB}"/>
    <hyperlink ref="J1931" r:id="rId14071" display="https://statiz.sporki.com/player/?m=playerinfo&amp;p_no=10620" xr:uid="{E57EFCA9-0BAB-45B7-8050-8D12A619655B}"/>
    <hyperlink ref="J1932" r:id="rId14072" display="https://statiz.sporki.com/player/?m=playerinfo&amp;p_no=10424" xr:uid="{AD0CB11B-7851-4DDB-AB21-E297A073CAF1}"/>
    <hyperlink ref="J1933" r:id="rId14073" display="https://statiz.sporki.com/player/?m=playerinfo&amp;p_no=10343" xr:uid="{5CDDB824-ADCA-4D53-8480-149D82315B00}"/>
    <hyperlink ref="J1934" r:id="rId14074" display="https://statiz.sporki.com/player/?m=playerinfo&amp;p_no=10535" xr:uid="{F23FD09A-903D-4DFC-91FA-0BBA51518D23}"/>
    <hyperlink ref="J1935" r:id="rId14075" display="https://statiz.sporki.com/player/?m=playerinfo&amp;p_no=10248" xr:uid="{54DC33A3-5760-43D8-B2E7-5EDA6349CD86}"/>
    <hyperlink ref="J1936" r:id="rId14076" display="https://statiz.sporki.com/player/?m=playerinfo&amp;p_no=10072" xr:uid="{9F9766ED-62EF-45C8-AB64-7BD9CCEFD333}"/>
    <hyperlink ref="J1937" r:id="rId14077" display="https://statiz.sporki.com/player/?m=playerinfo&amp;p_no=10013" xr:uid="{166CB8BB-CFB4-4746-855E-DC4128B22D86}"/>
    <hyperlink ref="J1938" r:id="rId14078" display="https://statiz.sporki.com/player/?m=playerinfo&amp;p_no=10305" xr:uid="{57972984-0E59-4341-8074-F57C4A0316AE}"/>
    <hyperlink ref="J1939" r:id="rId14079" display="https://statiz.sporki.com/player/?m=playerinfo&amp;p_no=10387" xr:uid="{C7DEC6F4-170A-4EBE-9499-5B705B4CD036}"/>
    <hyperlink ref="J1940" r:id="rId14080" display="https://statiz.sporki.com/player/?m=playerinfo&amp;p_no=10495" xr:uid="{2536A7C9-7122-4541-8CC2-ED23F75FE053}"/>
    <hyperlink ref="J1941" r:id="rId14081" display="https://statiz.sporki.com/player/?m=playerinfo&amp;p_no=10376" xr:uid="{F1B10C60-D145-4024-B958-490FDF3E074C}"/>
    <hyperlink ref="J1942" r:id="rId14082" display="https://statiz.sporki.com/player/?m=playerinfo&amp;p_no=10610" xr:uid="{65E5EE2A-5516-44E4-9D6D-E498980003EB}"/>
    <hyperlink ref="J1943" r:id="rId14083" display="https://statiz.sporki.com/player/?m=playerinfo&amp;p_no=10227" xr:uid="{E3114089-44A1-44C8-8DD5-64A19E006409}"/>
    <hyperlink ref="J1944" r:id="rId14084" display="https://statiz.sporki.com/player/?m=playerinfo&amp;p_no=10143" xr:uid="{D7924A6A-0805-4306-A51F-484211B81076}"/>
    <hyperlink ref="J1945" r:id="rId14085" display="https://statiz.sporki.com/player/?m=playerinfo&amp;p_no=10078" xr:uid="{B16E8B32-AD92-4E54-9245-8D40446D9E37}"/>
    <hyperlink ref="J1946" r:id="rId14086" display="https://statiz.sporki.com/player/?m=playerinfo&amp;p_no=10595" xr:uid="{D4297716-C0D7-4DAF-9051-F474DF0E538C}"/>
    <hyperlink ref="J1947" r:id="rId14087" display="https://statiz.sporki.com/player/?m=playerinfo&amp;p_no=10410" xr:uid="{C7C5541C-2981-439F-9214-28F00922A7F1}"/>
    <hyperlink ref="J1948" r:id="rId14088" display="https://statiz.sporki.com/player/?m=playerinfo&amp;p_no=10536" xr:uid="{AB9BF307-54A6-4D73-B655-A6FB69F37A89}"/>
    <hyperlink ref="J1949" r:id="rId14089" display="https://statiz.sporki.com/player/?m=playerinfo&amp;p_no=10337" xr:uid="{85071D41-FDBD-48C0-BA48-54AD5F7D18A0}"/>
    <hyperlink ref="J1950" r:id="rId14090" display="https://statiz.sporki.com/player/?m=playerinfo&amp;p_no=10280" xr:uid="{D8C5DB03-2354-4936-86B2-74654A331300}"/>
    <hyperlink ref="J1951" r:id="rId14091" display="https://statiz.sporki.com/player/?m=playerinfo&amp;p_no=10051" xr:uid="{A7246FAE-4D4A-4457-8FD1-3E2DCE302892}"/>
    <hyperlink ref="J1952" r:id="rId14092" display="https://statiz.sporki.com/player/?m=playerinfo&amp;p_no=10057" xr:uid="{8902E7FF-5FB0-4A9A-A432-BE98BF6CA0F6}"/>
    <hyperlink ref="J1953" r:id="rId14093" display="https://statiz.sporki.com/player/?m=playerinfo&amp;p_no=10283" xr:uid="{F0DCA348-CBBD-41F5-B919-41E811A8CBE6}"/>
    <hyperlink ref="J1954" r:id="rId14094" display="https://statiz.sporki.com/player/?m=playerinfo&amp;p_no=10399" xr:uid="{AD3FEB97-9A7E-4B63-BFB6-8AF4594E6777}"/>
    <hyperlink ref="J1955" r:id="rId14095" display="https://statiz.sporki.com/player/?m=playerinfo&amp;p_no=10480" xr:uid="{9C1CEE68-A595-4BE3-BA27-D5666AF59EC3}"/>
    <hyperlink ref="J1956" r:id="rId14096" display="https://statiz.sporki.com/player/?m=playerinfo&amp;p_no=10365" xr:uid="{47FF93F5-AFAF-4520-A7B3-0562D4C6E541}"/>
    <hyperlink ref="J1957" r:id="rId14097" display="https://statiz.sporki.com/player/?m=playerinfo&amp;p_no=10621" xr:uid="{C50C9C69-BF26-4F23-BFD2-667DA6F4E63B}"/>
    <hyperlink ref="J1958" r:id="rId14098" display="https://statiz.sporki.com/player/?m=playerinfo&amp;p_no=10195" xr:uid="{498D145E-F2C1-40F2-805F-0F8E08E9810F}"/>
    <hyperlink ref="J1959" r:id="rId14099" display="https://statiz.sporki.com/player/?m=playerinfo&amp;p_no=10140" xr:uid="{284B06A6-BEAF-44BC-8E16-33B22422BA8F}"/>
    <hyperlink ref="J1960" r:id="rId14100" display="https://statiz.sporki.com/player/?m=playerinfo&amp;p_no=10127" xr:uid="{E8145B1D-5C53-4B05-BEBA-5623C217C718}"/>
    <hyperlink ref="J1961" r:id="rId14101" display="https://statiz.sporki.com/player/?m=playerinfo&amp;p_no=10213" xr:uid="{C533090A-180E-427F-9B56-F948578E8DC7}"/>
    <hyperlink ref="J1962" r:id="rId14102" display="https://statiz.sporki.com/player/?m=playerinfo&amp;p_no=10548" xr:uid="{BFEF5E61-DE01-4E5F-9CED-E799A21DB60C}"/>
    <hyperlink ref="J1963" r:id="rId14103" display="https://statiz.sporki.com/player/?m=playerinfo&amp;p_no=10928" xr:uid="{A7681F99-3646-459D-A850-3AB1B4D31E3E}"/>
    <hyperlink ref="J1964" r:id="rId14104" display="https://statiz.sporki.com/player/?m=playerinfo&amp;p_no=10373" xr:uid="{93878C75-5C13-43A7-B401-E62A2ABAE66D}"/>
    <hyperlink ref="J1965" r:id="rId14105" display="https://statiz.sporki.com/player/?m=playerinfo&amp;p_no=10513" xr:uid="{6F847296-65B2-436B-9C1A-64B070E791C3}"/>
    <hyperlink ref="J1966" r:id="rId14106" display="https://statiz.sporki.com/player/?m=playerinfo&amp;p_no=10237" xr:uid="{3D308C94-5BB6-48BA-8E68-C772D94720A8}"/>
    <hyperlink ref="J1967" r:id="rId14107" display="https://statiz.sporki.com/player/?m=playerinfo&amp;p_no=10034" xr:uid="{EED5C0F8-704F-47D2-A1AD-03E841E709BD}"/>
    <hyperlink ref="J1968" r:id="rId14108" display="https://statiz.sporki.com/player/?m=playerinfo&amp;p_no=10015" xr:uid="{4A159226-FE14-408D-A07D-4A0024848080}"/>
    <hyperlink ref="J1969" r:id="rId14109" display="https://statiz.sporki.com/player/?m=playerinfo&amp;p_no=10809" xr:uid="{3F1C97BA-03D4-4DFE-8C3E-8475B63E8A71}"/>
    <hyperlink ref="J1970" r:id="rId14110" display="https://statiz.sporki.com/player/?m=playerinfo&amp;p_no=10468" xr:uid="{6595BFD4-F170-43D7-A5CD-C78008AB22E8}"/>
    <hyperlink ref="J1971" r:id="rId14111" display="https://statiz.sporki.com/player/?m=playerinfo&amp;p_no=10340" xr:uid="{1D5FF64F-B950-4527-AC1A-FA81EF6B0002}"/>
    <hyperlink ref="J1972" r:id="rId14112" display="https://statiz.sporki.com/player/?m=playerinfo&amp;p_no=10186" xr:uid="{2D34C833-2EAB-4562-BD98-A5BAA75448BE}"/>
    <hyperlink ref="J1973" r:id="rId14113" display="https://statiz.sporki.com/player/?m=playerinfo&amp;p_no=10316" xr:uid="{5638F4DB-636B-4ADE-AF92-EC909E197E52}"/>
    <hyperlink ref="J1974" r:id="rId14114" display="https://statiz.sporki.com/player/?m=playerinfo&amp;p_no=10033" xr:uid="{983A0133-557B-4744-AF7C-BA2011395624}"/>
    <hyperlink ref="J1975" r:id="rId14115" display="https://statiz.sporki.com/player/?m=playerinfo&amp;p_no=10023" xr:uid="{5EBC6573-69F9-49BB-8115-143B96072F63}"/>
    <hyperlink ref="J1976" r:id="rId14116" display="https://statiz.sporki.com/player/?m=playerinfo&amp;p_no=10370" xr:uid="{5D1EA067-E84F-48A5-B238-E8362975EBE3}"/>
    <hyperlink ref="J1977" r:id="rId14117" display="https://statiz.sporki.com/player/?m=playerinfo&amp;p_no=10044" xr:uid="{284FA424-5B2C-468B-A600-899FD28BC6A8}"/>
    <hyperlink ref="J1978" r:id="rId14118" display="https://statiz.sporki.com/player/?m=playerinfo&amp;p_no=10048" xr:uid="{10DF0A42-918D-49FC-86CE-3E16F4EF7890}"/>
    <hyperlink ref="J1979" r:id="rId14119" display="https://statiz.sporki.com/player/?m=playerinfo&amp;p_no=10508" xr:uid="{273B42C0-A3F7-4A2D-BAF4-1D57CB36C4CA}"/>
    <hyperlink ref="J1980" r:id="rId14120" display="https://statiz.sporki.com/player/?m=playerinfo&amp;p_no=10534" xr:uid="{1E0909A0-0900-4272-883E-F2972D102D03}"/>
    <hyperlink ref="J1981" r:id="rId14121" display="https://statiz.sporki.com/player/?m=playerinfo&amp;p_no=10204" xr:uid="{568680D2-6305-4AC2-A9EA-0099C4842113}"/>
    <hyperlink ref="J1982" r:id="rId14122" display="https://statiz.sporki.com/player/?m=playerinfo&amp;p_no=10125" xr:uid="{98046BB9-21CA-4856-A5D0-608EE67FB2F4}"/>
    <hyperlink ref="J1983" r:id="rId14123" display="https://statiz.sporki.com/player/?m=playerinfo&amp;p_no=10163" xr:uid="{07CF47AA-B21A-4846-97BD-5DC74F2E50F4}"/>
    <hyperlink ref="J1984" r:id="rId14124" display="https://statiz.sporki.com/player/?m=playerinfo&amp;p_no=10209" xr:uid="{036B0A72-D1C5-4976-86FB-03FBAFACC381}"/>
    <hyperlink ref="J1985" r:id="rId14125" display="https://statiz.sporki.com/player/?m=playerinfo&amp;p_no=10190" xr:uid="{2410BB29-FD86-4013-A735-BC7E061BFFBF}"/>
    <hyperlink ref="J1986" r:id="rId14126" display="https://statiz.sporki.com/player/?m=playerinfo&amp;p_no=10287" xr:uid="{A569A73E-5B95-48F4-A827-3FFAFF951559}"/>
    <hyperlink ref="J1987" r:id="rId14127" display="https://statiz.sporki.com/player/?m=playerinfo&amp;p_no=10360" xr:uid="{05DA1253-1DC7-4344-8F24-69F5DBCDE88B}"/>
    <hyperlink ref="J1988" r:id="rId14128" display="https://statiz.sporki.com/player/?m=playerinfo&amp;p_no=10384" xr:uid="{C7BF8D9D-2C0D-4BEC-AEEB-CBEF0F826261}"/>
    <hyperlink ref="J1989" r:id="rId14129" display="https://statiz.sporki.com/player/?m=playerinfo&amp;p_no=10366" xr:uid="{4309B0B8-6CC6-4212-ACDD-36E841B64575}"/>
    <hyperlink ref="J1990" r:id="rId14130" display="https://statiz.sporki.com/player/?m=playerinfo&amp;p_no=10566" xr:uid="{CDF5DCA5-D7CB-4437-A4BD-8EAD5411A158}"/>
    <hyperlink ref="J1991" r:id="rId14131" display="https://statiz.sporki.com/player/?m=playerinfo&amp;p_no=10603" xr:uid="{9DD35248-9D5C-4501-A942-2AF7875AF8DB}"/>
    <hyperlink ref="J1992" r:id="rId14132" display="https://statiz.sporki.com/player/?m=playerinfo&amp;p_no=11480" xr:uid="{041EB3FF-BA7F-447D-9BD0-ED593D646660}"/>
    <hyperlink ref="J1993" r:id="rId14133" display="https://statiz.sporki.com/player/?m=playerinfo&amp;p_no=10941" xr:uid="{4C9C051C-8740-41A8-AF9D-40A7A7FFC276}"/>
    <hyperlink ref="J1994" r:id="rId14134" display="https://statiz.sporki.com/player/?m=playerinfo&amp;p_no=10512" xr:uid="{277CB312-239C-4B87-A5FC-35646825F0C8}"/>
    <hyperlink ref="J1995" r:id="rId14135" display="https://statiz.sporki.com/player/?m=playerinfo&amp;p_no=10476" xr:uid="{74592C91-9BE8-49B0-9A2F-7A50BDE3DA0F}"/>
    <hyperlink ref="J1996" r:id="rId14136" display="https://statiz.sporki.com/player/?m=playerinfo&amp;p_no=11171" xr:uid="{10D820A3-F561-47F4-A2D6-9346C5CB23FD}"/>
    <hyperlink ref="J1997" r:id="rId14137" display="https://statiz.sporki.com/player/?m=playerinfo&amp;p_no=11215" xr:uid="{D9C0976C-B236-4C25-831A-EE49BEC6BC93}"/>
    <hyperlink ref="J1998" r:id="rId14138" display="https://statiz.sporki.com/player/?m=playerinfo&amp;p_no=10473" xr:uid="{B1FD212A-DF5A-47AA-BF5F-7709C59C1702}"/>
    <hyperlink ref="J1999" r:id="rId14139" display="https://statiz.sporki.com/player/?m=playerinfo&amp;p_no=11341" xr:uid="{A843785E-BA4F-49B5-8C78-EEE9BEB8A40A}"/>
    <hyperlink ref="J2000" r:id="rId14140" display="https://statiz.sporki.com/player/?m=playerinfo&amp;p_no=10118" xr:uid="{73340177-87D5-403D-AE7F-37769AA65BEA}"/>
    <hyperlink ref="J2001" r:id="rId14141" display="https://statiz.sporki.com/player/?m=playerinfo&amp;p_no=10900" xr:uid="{60920C5E-F6D4-4BE3-BA3E-743E754FDFFD}"/>
    <hyperlink ref="J2002" r:id="rId14142" display="https://statiz.sporki.com/player/?m=playerinfo&amp;p_no=10689" xr:uid="{4715FA65-8B8F-4B4A-B0E6-C0845A0B01CD}"/>
    <hyperlink ref="J2003" r:id="rId14143" display="https://statiz.sporki.com/player/?m=playerinfo&amp;p_no=10371" xr:uid="{0E60C8ED-B553-482F-B45D-169D6A51D074}"/>
    <hyperlink ref="J2004" r:id="rId14144" display="https://statiz.sporki.com/player/?m=playerinfo&amp;p_no=11354" xr:uid="{BFD8BBFB-67C4-422A-BF64-254A99C99D98}"/>
    <hyperlink ref="J2005" r:id="rId14145" display="https://statiz.sporki.com/player/?m=playerinfo&amp;p_no=11401" xr:uid="{4E3911F3-2862-43F9-8DB6-3FA0C6C0DC19}"/>
    <hyperlink ref="J2006" r:id="rId14146" display="https://statiz.sporki.com/player/?m=playerinfo&amp;p_no=11327" xr:uid="{08872D35-14CC-4E85-8997-8980933A3534}"/>
    <hyperlink ref="J2007" r:id="rId14147" display="https://statiz.sporki.com/player/?m=playerinfo&amp;p_no=10070" xr:uid="{580F2096-C351-487D-8BE1-7F6362266B29}"/>
    <hyperlink ref="J2008" r:id="rId14148" display="https://statiz.sporki.com/player/?m=playerinfo&amp;p_no=12516" xr:uid="{1DFC3D03-5B0E-4816-A826-63F2999AA58C}"/>
    <hyperlink ref="J2009" r:id="rId14149" display="https://statiz.sporki.com/player/?m=playerinfo&amp;p_no=10873" xr:uid="{482667BD-5F4D-4EC9-BDEC-D0E5A139E99F}"/>
    <hyperlink ref="J2010" r:id="rId14150" display="https://statiz.sporki.com/player/?m=playerinfo&amp;p_no=10229" xr:uid="{F2EDB8C2-D7A1-4F16-AA44-2CB635835F2E}"/>
    <hyperlink ref="J2011" r:id="rId14151" display="https://statiz.sporki.com/player/?m=playerinfo&amp;p_no=10235" xr:uid="{B9770C88-3932-453A-9766-85921407A13E}"/>
    <hyperlink ref="J2012" r:id="rId14152" display="https://statiz.sporki.com/player/?m=playerinfo&amp;p_no=10341" xr:uid="{E00AFF45-BF13-4E70-9949-5C5E2CBE59D5}"/>
    <hyperlink ref="J2013" r:id="rId14153" display="https://statiz.sporki.com/player/?m=playerinfo&amp;p_no=10568" xr:uid="{CE15791F-BAEF-4761-BE85-9084BD83A907}"/>
    <hyperlink ref="J2014" r:id="rId14154" display="https://statiz.sporki.com/player/?m=playerinfo&amp;p_no=10304" xr:uid="{BB8043A8-B501-4D6F-BCA6-599C35CB2C5B}"/>
    <hyperlink ref="J2015" r:id="rId14155" display="https://statiz.sporki.com/player/?m=playerinfo&amp;p_no=10533" xr:uid="{0F898E46-65C4-4249-9661-20A6270A4ED9}"/>
    <hyperlink ref="J2016" r:id="rId14156" display="https://statiz.sporki.com/player/?m=playerinfo&amp;p_no=10093" xr:uid="{E1847834-0191-44A7-9051-0569843C6683}"/>
    <hyperlink ref="J2017" r:id="rId14157" display="https://statiz.sporki.com/player/?m=playerinfo&amp;p_no=10643" xr:uid="{7EE12CFB-6495-426D-87C6-3A95A6139792}"/>
    <hyperlink ref="J2018" r:id="rId14158" display="https://statiz.sporki.com/player/?m=playerinfo&amp;p_no=10030" xr:uid="{F66B5EDD-5EF6-4E34-85CC-137C1DEBE8BD}"/>
    <hyperlink ref="J2019" r:id="rId14159" display="https://statiz.sporki.com/player/?m=playerinfo&amp;p_no=10429" xr:uid="{44DF7C5C-9CCB-43DB-BDBB-3CA8BB604D6F}"/>
    <hyperlink ref="J2020" r:id="rId14160" display="https://statiz.sporki.com/player/?m=playerinfo&amp;p_no=10608" xr:uid="{3CB3943B-90F8-4687-9E12-D3B05E7633A2}"/>
    <hyperlink ref="J2021" r:id="rId14161" display="https://statiz.sporki.com/player/?m=playerinfo&amp;p_no=10382" xr:uid="{C392A88E-2498-4C57-91DB-9B3F0A70EC31}"/>
    <hyperlink ref="J2022" r:id="rId14162" display="https://statiz.sporki.com/player/?m=playerinfo&amp;p_no=10725" xr:uid="{AC62C029-937A-4B65-951D-2F60EE310EE4}"/>
    <hyperlink ref="J2023" r:id="rId14163" display="https://statiz.sporki.com/player/?m=playerinfo&amp;p_no=10544" xr:uid="{D936AD37-16F4-46DF-9D82-7DE8646768D2}"/>
    <hyperlink ref="J2024" r:id="rId14164" display="https://statiz.sporki.com/player/?m=playerinfo&amp;p_no=10452" xr:uid="{20C0399E-FFEE-403C-9AE4-4C4328CE860A}"/>
    <hyperlink ref="J2025" r:id="rId14165" display="https://statiz.sporki.com/player/?m=playerinfo&amp;p_no=10024" xr:uid="{9C3A7DEF-FD2A-482A-8A99-2F69FA3D6F72}"/>
    <hyperlink ref="J2026" r:id="rId14166" display="https://statiz.sporki.com/player/?m=playerinfo&amp;p_no=10196" xr:uid="{039503B1-CA6D-4E4A-9D3C-17CF72C0C357}"/>
    <hyperlink ref="J2027" r:id="rId14167" display="https://statiz.sporki.com/player/?m=playerinfo&amp;p_no=10136" xr:uid="{0B019FDC-9C0B-41EA-AAFD-784B94BA5DA9}"/>
    <hyperlink ref="J2028" r:id="rId14168" display="https://statiz.sporki.com/player/?m=playerinfo&amp;p_no=10266" xr:uid="{6B99AC80-C175-4D8D-8759-C58B42B543AE}"/>
    <hyperlink ref="J2029" r:id="rId14169" display="https://statiz.sporki.com/player/?m=playerinfo&amp;p_no=10525" xr:uid="{93EE50F1-51E3-492B-8245-19E0E830506E}"/>
    <hyperlink ref="J2030" r:id="rId14170" display="https://statiz.sporki.com/player/?m=playerinfo&amp;p_no=10459" xr:uid="{CD79FCDE-03F1-4175-9FEB-487C74396434}"/>
    <hyperlink ref="J2031" r:id="rId14171" display="https://statiz.sporki.com/player/?m=playerinfo&amp;p_no=10268" xr:uid="{76D2DEB9-D8CA-4EE7-AD74-DF1488915349}"/>
    <hyperlink ref="J2032" r:id="rId14172" display="https://statiz.sporki.com/player/?m=playerinfo&amp;p_no=10710" xr:uid="{8BC25348-4DCA-43F2-842B-995A28A11FA0}"/>
    <hyperlink ref="J2033" r:id="rId14173" display="https://statiz.sporki.com/player/?m=playerinfo&amp;p_no=10230" xr:uid="{A1B82859-928B-4849-9AF1-CA4C971688B8}"/>
    <hyperlink ref="J2034" r:id="rId14174" display="https://statiz.sporki.com/player/?m=playerinfo&amp;p_no=10012" xr:uid="{39E64888-E509-4A3F-864F-44A3866EA79C}"/>
    <hyperlink ref="J2035" r:id="rId14175" display="https://statiz.sporki.com/player/?m=playerinfo&amp;p_no=10434" xr:uid="{5AEFDB18-5242-4D7B-8044-255180F75487}"/>
    <hyperlink ref="J2036" r:id="rId14176" display="https://statiz.sporki.com/player/?m=playerinfo&amp;p_no=10615" xr:uid="{1DCEE5F4-B5FB-4209-A65C-785160272CCC}"/>
    <hyperlink ref="J2037" r:id="rId14177" display="https://statiz.sporki.com/player/?m=playerinfo&amp;p_no=10353" xr:uid="{3F299CF7-6BB6-4D97-831E-BA90537039B9}"/>
    <hyperlink ref="J2038" r:id="rId14178" display="https://statiz.sporki.com/player/?m=playerinfo&amp;p_no=10345" xr:uid="{547094D8-652E-48BC-8918-391BDB5DB7E9}"/>
    <hyperlink ref="J2039" r:id="rId14179" display="https://statiz.sporki.com/player/?m=playerinfo&amp;p_no=10557" xr:uid="{7F7EB567-3431-4DDC-95A2-0BDBB9260D03}"/>
    <hyperlink ref="J2040" r:id="rId14180" display="https://statiz.sporki.com/player/?m=playerinfo&amp;p_no=10417" xr:uid="{9308B7C0-8952-4564-B198-C4FD8C7651AA}"/>
    <hyperlink ref="J2041" r:id="rId14181" display="https://statiz.sporki.com/player/?m=playerinfo&amp;p_no=10466" xr:uid="{7B66067F-7DB1-45A1-BD62-B94665358AAC}"/>
    <hyperlink ref="J2042" r:id="rId14182" display="https://statiz.sporki.com/player/?m=playerinfo&amp;p_no=10737" xr:uid="{99F85417-83BE-43C3-AABB-B5ED486B75F7}"/>
    <hyperlink ref="J2043" r:id="rId14183" display="https://statiz.sporki.com/player/?m=playerinfo&amp;p_no=10506" xr:uid="{30D134A8-A6CD-4547-9977-554D7A9904DB}"/>
    <hyperlink ref="J2044" r:id="rId14184" display="https://statiz.sporki.com/player/?m=playerinfo&amp;p_no=10132" xr:uid="{EB0E099C-463A-442F-AD53-50E22AE6DF2B}"/>
    <hyperlink ref="J2045" r:id="rId14185" display="https://statiz.sporki.com/player/?m=playerinfo&amp;p_no=10214" xr:uid="{ACA0141B-E5BA-4EE4-8DCC-38E26A8F54FB}"/>
    <hyperlink ref="J2046" r:id="rId14186" display="https://statiz.sporki.com/player/?m=playerinfo&amp;p_no=10003" xr:uid="{7783FE4B-6CE5-4CEE-A1A7-E209D8155D56}"/>
    <hyperlink ref="J2047" r:id="rId14187" display="https://statiz.sporki.com/player/?m=playerinfo&amp;p_no=10611" xr:uid="{CF454431-A9FB-416E-A1A9-23EC6F2D245A}"/>
    <hyperlink ref="J2048" r:id="rId14188" display="https://statiz.sporki.com/player/?m=playerinfo&amp;p_no=10318" xr:uid="{D3E6EDBF-792A-4DCE-BADE-718E04AC76A7}"/>
    <hyperlink ref="J2049" r:id="rId14189" display="https://statiz.sporki.com/player/?m=playerinfo&amp;p_no=10342" xr:uid="{52D95F9D-5F38-4A1F-91BA-33C0590CC395}"/>
    <hyperlink ref="J2050" r:id="rId14190" display="https://statiz.sporki.com/player/?m=playerinfo&amp;p_no=10414" xr:uid="{DAFED91F-6108-4DAF-BD91-5752F0BBCAA8}"/>
    <hyperlink ref="J2051" r:id="rId14191" display="https://statiz.sporki.com/player/?m=playerinfo&amp;p_no=10008" xr:uid="{3EB88846-1C5F-4B44-B4E6-4C9A74ED688E}"/>
    <hyperlink ref="J2052" r:id="rId14192" display="https://statiz.sporki.com/player/?m=playerinfo&amp;p_no=10167" xr:uid="{56738932-68F2-4167-82B0-6A4C7CD4FF90}"/>
    <hyperlink ref="J2053" r:id="rId14193" display="https://statiz.sporki.com/player/?m=playerinfo&amp;p_no=10116" xr:uid="{84C52ACE-2205-471D-AD72-B898ABDA5FA8}"/>
    <hyperlink ref="J2054" r:id="rId14194" display="https://statiz.sporki.com/player/?m=playerinfo&amp;p_no=10100" xr:uid="{5BF171EB-EF16-45CE-B011-A714D3D6D810}"/>
    <hyperlink ref="J2055" r:id="rId14195" display="https://statiz.sporki.com/player/?m=playerinfo&amp;p_no=10205" xr:uid="{2DD8A59E-3D59-4866-AD31-265C04D28E42}"/>
    <hyperlink ref="J2056" r:id="rId14196" display="https://statiz.sporki.com/player/?m=playerinfo&amp;p_no=10115" xr:uid="{4748A1A0-7594-41C3-999A-173578BDCDED}"/>
    <hyperlink ref="J2057" r:id="rId14197" display="https://statiz.sporki.com/player/?m=playerinfo&amp;p_no=2422" xr:uid="{FC055BE7-3C42-45E2-98FA-02DB81C2A8A1}"/>
    <hyperlink ref="J2058" r:id="rId14198" display="https://statiz.sporki.com/player/?m=playerinfo&amp;p_no=2429" xr:uid="{BE06CE47-7715-416B-93F2-277DE52E60DC}"/>
    <hyperlink ref="J2059" r:id="rId14199" display="https://statiz.sporki.com/player/?m=playerinfo&amp;p_no=2428" xr:uid="{910E9FE0-D516-4802-8530-E5777088E4F4}"/>
    <hyperlink ref="J2060" r:id="rId14200" display="https://statiz.sporki.com/player/?m=playerinfo&amp;p_no=2420" xr:uid="{0DFC9E6B-D655-49F9-A626-6154F0552490}"/>
    <hyperlink ref="J2061" r:id="rId14201" display="https://statiz.sporki.com/player/?m=playerinfo&amp;p_no=2424" xr:uid="{5FADD29F-B840-41AE-8C56-8E3E55165BC2}"/>
    <hyperlink ref="J2062" r:id="rId14202" display="https://statiz.sporki.com/player/?m=playerinfo&amp;p_no=2416" xr:uid="{E10A0AC2-431F-4195-9D79-FE93DB8D3E73}"/>
    <hyperlink ref="J2063" r:id="rId14203" display="https://statiz.sporki.com/player/?m=playerinfo&amp;p_no=2423" xr:uid="{6CEE0BC1-4D27-428D-B541-73A61027541C}"/>
    <hyperlink ref="J2064" r:id="rId14204" display="https://statiz.sporki.com/player/?m=playerinfo&amp;p_no=2418" xr:uid="{BAAF91FD-C484-47D3-8A55-A2DF97641EE0}"/>
    <hyperlink ref="J2065" r:id="rId14205" display="https://statiz.sporki.com/player/?m=playerinfo&amp;p_no=2419" xr:uid="{BBC14881-D16E-4156-ABCA-567C5EF2599E}"/>
    <hyperlink ref="J2066" r:id="rId14206" display="https://statiz.sporki.com/player/?m=playerinfo&amp;p_no=10258" xr:uid="{545B8D64-CAD2-473D-9BF8-16DE63398CBC}"/>
    <hyperlink ref="J2067" r:id="rId14207" display="https://statiz.sporki.com/player/?m=playerinfo&amp;p_no=2425" xr:uid="{75BE13E2-E594-4BB9-8591-FD3A127EC610}"/>
    <hyperlink ref="J2068" r:id="rId14208" display="https://statiz.sporki.com/player/?m=playerinfo&amp;p_no=2426" xr:uid="{6480C22C-5C4D-4E5B-B73F-9F926524AAD7}"/>
    <hyperlink ref="J2069" r:id="rId14209" display="https://statiz.sporki.com/player/?m=playerinfo&amp;p_no=2427" xr:uid="{7C0C74FB-D971-42D8-A8C4-8BB2E98BF6EE}"/>
    <hyperlink ref="J2070" r:id="rId14210" display="https://statiz.sporki.com/player/?m=playerinfo&amp;p_no=2430" xr:uid="{37DF0B5B-B278-491B-B632-246471B6D751}"/>
    <hyperlink ref="J2071" r:id="rId14211" display="https://statiz.sporki.com/player/?m=playerinfo&amp;p_no=10546" xr:uid="{B45AAD44-E91E-4DBB-9F58-69717B54E1AC}"/>
    <hyperlink ref="J2072" r:id="rId14212" display="https://statiz.sporki.com/player/?m=playerinfo&amp;p_no=10422" xr:uid="{C1F66419-75F6-4B56-A790-B8EDCFAFB89E}"/>
    <hyperlink ref="J2073" r:id="rId14213" display="https://statiz.sporki.com/player/?m=playerinfo&amp;p_no=10618" xr:uid="{7B8FAF4A-8657-4164-AC63-A963F6F3D1B7}"/>
    <hyperlink ref="J2074" r:id="rId14214" display="https://statiz.sporki.com/player/?m=playerinfo&amp;p_no=2417" xr:uid="{15F74F17-01B5-48F3-9348-A4236508003C}"/>
    <hyperlink ref="J2075" r:id="rId14215" display="https://statiz.sporki.com/player/?m=playerinfo&amp;p_no=10482" xr:uid="{01FFED8D-3EFE-47C5-A399-66A41FA268F7}"/>
    <hyperlink ref="J2076" r:id="rId14216" display="https://statiz.sporki.com/player/?m=playerinfo&amp;p_no=10494" xr:uid="{9A816E29-DCD1-4358-A0D4-39EA6519F5C6}"/>
    <hyperlink ref="J2077" r:id="rId14217" display="https://statiz.sporki.com/player/?m=playerinfo&amp;p_no=10855" xr:uid="{9A84A895-64C0-43C9-9303-439DC9720DFB}"/>
    <hyperlink ref="J2078" r:id="rId14218" display="https://statiz.sporki.com/player/?m=playerinfo&amp;p_no=11173" xr:uid="{DD3E997D-CB1C-4BF6-89BC-FFBDFFF36463}"/>
    <hyperlink ref="J2079" r:id="rId14219" display="https://statiz.sporki.com/player/?m=playerinfo&amp;p_no=10505" xr:uid="{5086852B-B45A-47BB-BAAC-D4728F4AC212}"/>
    <hyperlink ref="J2080" r:id="rId14220" display="https://statiz.sporki.com/player/?m=playerinfo&amp;p_no=10107" xr:uid="{FD1268AB-A3DD-4474-B1A9-31BBF635C3C1}"/>
    <hyperlink ref="J2081" r:id="rId14221" display="https://statiz.sporki.com/player/?m=playerinfo&amp;p_no=10081" xr:uid="{BAD73794-3AF5-429B-9F0B-9136C937F896}"/>
    <hyperlink ref="J2082" r:id="rId14222" display="https://statiz.sporki.com/player/?m=playerinfo&amp;p_no=10151" xr:uid="{54505A66-C56B-4D7F-B4C0-8912311212A1}"/>
    <hyperlink ref="J2083" r:id="rId14223" display="https://statiz.sporki.com/player/?m=playerinfo&amp;p_no=10141" xr:uid="{149B20F1-59AA-4975-9A8F-A79C3C48C135}"/>
    <hyperlink ref="J2084" r:id="rId14224" display="https://statiz.sporki.com/player/?m=playerinfo&amp;p_no=10087" xr:uid="{A7048903-E4AC-497D-804E-9A31D818F484}"/>
    <hyperlink ref="J2085" r:id="rId14225" display="https://statiz.sporki.com/player/?m=playerinfo&amp;p_no=10210" xr:uid="{A5F212B8-2DD6-45C6-A395-5B2357692C7E}"/>
    <hyperlink ref="J2086" r:id="rId14226" display="https://statiz.sporki.com/player/?m=playerinfo&amp;p_no=10172" xr:uid="{B77363E6-B579-4DE8-A946-41EC3D31BE7E}"/>
    <hyperlink ref="J2087" r:id="rId14227" display="https://statiz.sporki.com/player/?m=playerinfo&amp;p_no=10170" xr:uid="{3D47EFC3-9EF7-4FCF-9A80-5EB6F25929E6}"/>
    <hyperlink ref="J2088" r:id="rId14228" display="https://statiz.sporki.com/player/?m=playerinfo&amp;p_no=10647" xr:uid="{7070CFE9-1906-4D61-9323-80E292543D3B}"/>
    <hyperlink ref="J2089" r:id="rId14229" display="https://statiz.sporki.com/player/?m=playerinfo&amp;p_no=10250" xr:uid="{6F51508C-4C49-407D-B110-C5D14B6D8593}"/>
    <hyperlink ref="J2090" r:id="rId14230" display="https://statiz.sporki.com/player/?m=playerinfo&amp;p_no=10312" xr:uid="{7F4E16EE-16D1-4B94-970D-5B55B7689887}"/>
    <hyperlink ref="J2091" r:id="rId14231" display="https://statiz.sporki.com/player/?m=playerinfo&amp;p_no=10626" xr:uid="{34418697-743C-4E3E-B64D-EAEA7EBF6A20}"/>
    <hyperlink ref="J2092" r:id="rId14232" display="https://statiz.sporki.com/player/?m=playerinfo&amp;p_no=10563" xr:uid="{2962FE7C-4FE6-4115-A95E-41DDF9262B0A}"/>
    <hyperlink ref="J2093" r:id="rId14233" display="https://statiz.sporki.com/player/?m=playerinfo&amp;p_no=10586" xr:uid="{9860694E-AB0B-4AE1-97F5-9840E375C2AE}"/>
    <hyperlink ref="J2094" r:id="rId14234" display="https://statiz.sporki.com/player/?m=playerinfo&amp;p_no=11120" xr:uid="{2BA08574-5754-40DF-93AE-82EF7A8E45A4}"/>
    <hyperlink ref="J2095" r:id="rId14235" display="https://statiz.sporki.com/player/?m=playerinfo&amp;p_no=2431" xr:uid="{B94C75E1-511C-4385-92EE-964A9136AA93}"/>
    <hyperlink ref="J2096" r:id="rId14236" display="https://statiz.sporki.com/player/?m=playerinfo&amp;p_no=10222" xr:uid="{31240A5F-B54C-4B10-9875-DB56016E4D9E}"/>
    <hyperlink ref="J2097" r:id="rId14237" display="https://statiz.sporki.com/player/?m=playerinfo&amp;p_no=10514" xr:uid="{016BBFF0-D777-4FF3-93E7-D770CE009FE9}"/>
    <hyperlink ref="J2098" r:id="rId14238" display="https://statiz.sporki.com/player/?m=playerinfo&amp;p_no=10126" xr:uid="{EA274E6D-84D2-4A8A-89A4-A1183D112274}"/>
    <hyperlink ref="J2099" r:id="rId14239" display="https://statiz.sporki.com/player/?m=playerinfo&amp;p_no=10217" xr:uid="{AF2CB3F2-2A8B-4BA7-9368-6B9435634004}"/>
    <hyperlink ref="J2100" r:id="rId14240" display="https://statiz.sporki.com/player/?m=playerinfo&amp;p_no=10309" xr:uid="{70E127B7-3FCC-43B0-A108-7ECAC2642353}"/>
    <hyperlink ref="J2101" r:id="rId14241" display="https://statiz.sporki.com/player/?m=playerinfo&amp;p_no=10059" xr:uid="{0F9D0FFA-40CF-43E5-B0D7-A1B77119DC35}"/>
    <hyperlink ref="J2102" r:id="rId14242" display="https://statiz.sporki.com/player/?m=playerinfo&amp;p_no=10660" xr:uid="{002F2013-3BA1-45AF-96DB-209F0ED4DB7C}"/>
    <hyperlink ref="J2103" r:id="rId14243" display="https://statiz.sporki.com/player/?m=playerinfo&amp;p_no=10831" xr:uid="{4A4F940F-1DA0-4C57-8F44-F3F5E6347899}"/>
    <hyperlink ref="J2104" r:id="rId14244" display="https://statiz.sporki.com/player/?m=playerinfo&amp;p_no=10293" xr:uid="{A5CAE887-3A80-46B7-8F30-BD5EB7DBAA51}"/>
    <hyperlink ref="J2105" r:id="rId14245" display="https://statiz.sporki.com/player/?m=playerinfo&amp;p_no=10292" xr:uid="{ADDB5A80-32D4-44B5-933E-A5A23CAE4956}"/>
    <hyperlink ref="J2106" r:id="rId14246" display="https://statiz.sporki.com/player/?m=playerinfo&amp;p_no=10058" xr:uid="{E3EC6428-A8AD-4582-A12E-6E2DC809578C}"/>
    <hyperlink ref="J2107" r:id="rId14247" display="https://statiz.sporki.com/player/?m=playerinfo&amp;p_no=10453" xr:uid="{EE4D0FAA-7082-4815-A6B8-3B06DCFDF8CA}"/>
    <hyperlink ref="J2108" r:id="rId14248" display="https://statiz.sporki.com/player/?m=playerinfo&amp;p_no=10471" xr:uid="{194DAA0D-1E69-4D21-B9A8-9DB55F5676A2}"/>
    <hyperlink ref="J2109" r:id="rId14249" display="https://statiz.sporki.com/player/?m=playerinfo&amp;p_no=10587" xr:uid="{85078B08-CC02-4FD9-A35D-4D877A06E57C}"/>
    <hyperlink ref="J2110" r:id="rId14250" display="https://statiz.sporki.com/player/?m=playerinfo&amp;p_no=10785" xr:uid="{F128476C-087C-4B96-A432-C83333504910}"/>
    <hyperlink ref="J2111" r:id="rId14251" display="https://statiz.sporki.com/player/?m=playerinfo&amp;p_no=10218" xr:uid="{F48507EC-4946-454A-B164-2D83EA44414D}"/>
    <hyperlink ref="J2112" r:id="rId14252" display="https://statiz.sporki.com/player/?m=playerinfo&amp;p_no=10363" xr:uid="{86D48B8E-1CC3-4F19-9EDF-0ECA5715AFD2}"/>
    <hyperlink ref="J2113" r:id="rId14253" display="https://statiz.sporki.com/player/?m=playerinfo&amp;p_no=10723" xr:uid="{B786A1DE-A1DC-47C6-B78C-C32C99E6DC46}"/>
    <hyperlink ref="J2114" r:id="rId14254" display="https://statiz.sporki.com/player/?m=playerinfo&amp;p_no=10179" xr:uid="{1FCA6107-C029-409D-9284-061C9FF53909}"/>
    <hyperlink ref="J2115" r:id="rId14255" display="https://statiz.sporki.com/player/?m=playerinfo&amp;p_no=10110" xr:uid="{D2B42147-7038-4D39-80F8-396537432FF7}"/>
    <hyperlink ref="J2116" r:id="rId14256" display="https://statiz.sporki.com/player/?m=playerinfo&amp;p_no=10545" xr:uid="{7ADDDA87-EA71-4FFC-B5B3-9566E9E79191}"/>
    <hyperlink ref="J2117" r:id="rId14257" display="https://statiz.sporki.com/player/?m=playerinfo&amp;p_no=10238" xr:uid="{BE059DCB-CDB8-43C9-9909-C8574EA51AAD}"/>
    <hyperlink ref="J2118" r:id="rId14258" display="https://statiz.sporki.com/player/?m=playerinfo&amp;p_no=10392" xr:uid="{04877397-C290-4225-AD0B-6BFBC72E5626}"/>
    <hyperlink ref="J2119" r:id="rId14259" display="https://statiz.sporki.com/player/?m=playerinfo&amp;p_no=10089" xr:uid="{9B1ADBAC-9A21-43DA-9B34-BFB696EDDAC6}"/>
    <hyperlink ref="J2120" r:id="rId14260" display="https://statiz.sporki.com/player/?m=playerinfo&amp;p_no=10038" xr:uid="{6D980AFC-0601-4D6E-9585-003D6C29BD03}"/>
    <hyperlink ref="J2121" r:id="rId14261" display="https://statiz.sporki.com/player/?m=playerinfo&amp;p_no=10396" xr:uid="{9A05BA04-6CCD-48D9-BB70-E1AB93B6230B}"/>
    <hyperlink ref="J2122" r:id="rId14262" display="https://statiz.sporki.com/player/?m=playerinfo&amp;p_no=10528" xr:uid="{4C7F7E17-C13A-41BB-9F7D-861E383EBCAF}"/>
    <hyperlink ref="J2123" r:id="rId14263" display="https://statiz.sporki.com/player/?m=playerinfo&amp;p_no=10547" xr:uid="{7037D967-6A49-4A35-8740-C9A7434DCF00}"/>
    <hyperlink ref="J2124" r:id="rId14264" display="https://statiz.sporki.com/player/?m=playerinfo&amp;p_no=10893" xr:uid="{5BE702BD-C5C4-47C2-8834-BC58F023A1D9}"/>
    <hyperlink ref="J2125" r:id="rId14265" display="https://statiz.sporki.com/player/?m=playerinfo&amp;p_no=10328" xr:uid="{5592C4B3-BFBC-41A7-85E4-FF5ABD5BA09B}"/>
    <hyperlink ref="J2126" r:id="rId14266" display="https://statiz.sporki.com/player/?m=playerinfo&amp;p_no=10333" xr:uid="{516BC7EA-95B3-4A3F-AA6C-A6DAB7242775}"/>
    <hyperlink ref="J2127" r:id="rId14267" display="https://statiz.sporki.com/player/?m=playerinfo&amp;p_no=10690" xr:uid="{47D0261D-4D89-4F16-A3DA-DDD8A05497DA}"/>
    <hyperlink ref="J2128" r:id="rId14268" display="https://statiz.sporki.com/player/?m=playerinfo&amp;p_no=11143" xr:uid="{B89884D7-1231-42E5-8C66-38E17D933E6A}"/>
    <hyperlink ref="J2129" r:id="rId14269" display="https://statiz.sporki.com/player/?m=playerinfo&amp;p_no=10261" xr:uid="{8A8A9893-E67C-4DB4-A294-7EF8039AE42D}"/>
    <hyperlink ref="J2130" r:id="rId14270" display="https://statiz.sporki.com/player/?m=playerinfo&amp;p_no=10538" xr:uid="{7ACD83C0-F97F-42D9-B8CC-47646B8DD890}"/>
    <hyperlink ref="J2131" r:id="rId14271" display="https://statiz.sporki.com/player/?m=playerinfo&amp;p_no=2405" xr:uid="{34D57F84-7A26-4DCD-B0C0-09CC8FECFA79}"/>
    <hyperlink ref="J2132" r:id="rId14272" display="https://statiz.sporki.com/player/?m=playerinfo&amp;p_no=10569" xr:uid="{1669CB5D-85F7-47E1-AC8C-7B89EB64E3D3}"/>
    <hyperlink ref="J2133" r:id="rId14273" display="https://statiz.sporki.com/player/?m=playerinfo&amp;p_no=10094" xr:uid="{709F9628-A7FE-4ED6-A015-8EE13B2338C4}"/>
    <hyperlink ref="J2134" r:id="rId14274" display="https://statiz.sporki.com/player/?m=playerinfo&amp;p_no=10181" xr:uid="{F93ABCEE-BE00-406F-9DDE-64490CA509E6}"/>
    <hyperlink ref="J2135" r:id="rId14275" display="https://statiz.sporki.com/player/?m=playerinfo&amp;p_no=10888" xr:uid="{FEB82719-7223-4736-A89A-FB8A4CD1B835}"/>
    <hyperlink ref="J2136" r:id="rId14276" display="https://statiz.sporki.com/player/?m=playerinfo&amp;p_no=10257" xr:uid="{A3AF23F0-F8DC-44C4-80C3-4A3E0B19844C}"/>
    <hyperlink ref="J2137" r:id="rId14277" display="https://statiz.sporki.com/player/?m=playerinfo&amp;p_no=11285" xr:uid="{7A4AAB87-4A1B-4E87-95B5-64640D4EE45B}"/>
    <hyperlink ref="J2138" r:id="rId14278" display="https://statiz.sporki.com/player/?m=playerinfo&amp;p_no=10662" xr:uid="{F3014EF4-D4EE-471A-BA94-7F4C9AEB9FF9}"/>
    <hyperlink ref="J2139" r:id="rId14279" display="https://statiz.sporki.com/player/?m=playerinfo&amp;p_no=10778" xr:uid="{B472C400-D11B-47CE-B20B-6BB4BBE1C98B}"/>
    <hyperlink ref="J2140" r:id="rId14280" display="https://statiz.sporki.com/player/?m=playerinfo&amp;p_no=10025" xr:uid="{6044AD58-1DFD-4332-A9E7-528FBFBA1931}"/>
    <hyperlink ref="J2141" r:id="rId14281" display="https://statiz.sporki.com/player/?m=playerinfo&amp;p_no=11090" xr:uid="{48CFD2C3-0511-4E23-84B8-991AB796A4C9}"/>
    <hyperlink ref="J2142" r:id="rId14282" display="https://statiz.sporki.com/player/?m=playerinfo&amp;p_no=14888" xr:uid="{8F11139D-FA7D-4ADE-AF0A-0CBA5098A95B}"/>
    <hyperlink ref="J2143" r:id="rId14283" display="https://statiz.sporki.com/player/?m=playerinfo&amp;p_no=10216" xr:uid="{74BCC29B-4C29-41D6-BE01-587949481C11}"/>
    <hyperlink ref="J2144" r:id="rId14284" display="https://statiz.sporki.com/player/?m=playerinfo&amp;p_no=10285" xr:uid="{6B0B7C9C-47E2-4D98-9FE8-4B7201894AEB}"/>
    <hyperlink ref="J2145" r:id="rId14285" display="https://statiz.sporki.com/player/?m=playerinfo&amp;p_no=10331" xr:uid="{181A2907-6799-48DD-900B-ED23DCDF0FA9}"/>
    <hyperlink ref="J2146" r:id="rId14286" display="https://statiz.sporki.com/player/?m=playerinfo&amp;p_no=10843" xr:uid="{3F12E761-51D0-4FF0-B551-E895D14F2411}"/>
    <hyperlink ref="J2147" r:id="rId14287" display="https://statiz.sporki.com/player/?m=playerinfo&amp;p_no=2414" xr:uid="{09564026-853F-4CF4-93D6-935AF398232C}"/>
    <hyperlink ref="J2148" r:id="rId14288" display="https://statiz.sporki.com/player/?m=playerinfo&amp;p_no=2413" xr:uid="{45ED1F1D-76E9-4EB6-A7D5-6E0A9A6F6A67}"/>
    <hyperlink ref="J2149" r:id="rId14289" display="https://statiz.sporki.com/player/?m=playerinfo&amp;p_no=2409" xr:uid="{BF7230C4-C1AC-4645-B764-52031D32908A}"/>
    <hyperlink ref="J2150" r:id="rId14290" display="https://statiz.sporki.com/player/?m=playerinfo&amp;p_no=10521" xr:uid="{C6089AB4-7B59-493F-B49F-B1162F16304B}"/>
    <hyperlink ref="J2151" r:id="rId14291" display="https://statiz.sporki.com/player/?m=playerinfo&amp;p_no=2396" xr:uid="{FAAAD87B-2334-4676-80B1-C64971A12E3D}"/>
    <hyperlink ref="J2152" r:id="rId14292" display="https://statiz.sporki.com/player/?m=playerinfo&amp;p_no=2398" xr:uid="{90959D27-A8CE-4F4C-B6BE-32994EDA49AE}"/>
    <hyperlink ref="J2153" r:id="rId14293" display="https://statiz.sporki.com/player/?m=playerinfo&amp;p_no=2406" xr:uid="{C763B535-78A3-4174-B65B-EC49A90FA544}"/>
    <hyperlink ref="J2154" r:id="rId14294" display="https://statiz.sporki.com/player/?m=playerinfo&amp;p_no=2412" xr:uid="{698757FF-6348-4CAB-A515-D4901E26D564}"/>
    <hyperlink ref="J2155" r:id="rId14295" display="https://statiz.sporki.com/player/?m=playerinfo&amp;p_no=2408" xr:uid="{29C19BDA-36A9-4A00-9A7E-7BE6E41A556E}"/>
    <hyperlink ref="J2156" r:id="rId14296" display="https://statiz.sporki.com/player/?m=playerinfo&amp;p_no=2395" xr:uid="{4D445D10-4D47-432E-B755-8D1098F3CA70}"/>
    <hyperlink ref="J2157" r:id="rId14297" display="https://statiz.sporki.com/player/?m=playerinfo&amp;p_no=2410" xr:uid="{98CA0E83-31EE-4694-AF2E-66083931FB12}"/>
    <hyperlink ref="J2158" r:id="rId14298" display="https://statiz.sporki.com/player/?m=playerinfo&amp;p_no=2404" xr:uid="{1FE2C58E-FC00-4923-AF8D-9768C39EC562}"/>
    <hyperlink ref="J2159" r:id="rId14299" display="https://statiz.sporki.com/player/?m=playerinfo&amp;p_no=10276" xr:uid="{65E6E70F-85D6-477C-8942-0AE5B33D8334}"/>
    <hyperlink ref="J2160" r:id="rId14300" display="https://statiz.sporki.com/player/?m=playerinfo&amp;p_no=10931" xr:uid="{935B58CB-F384-4ED3-9736-89D70BED9755}"/>
    <hyperlink ref="J2161" r:id="rId14301" display="https://statiz.sporki.com/player/?m=playerinfo&amp;p_no=10326" xr:uid="{885A592C-505A-4CB8-A41A-6021B60B5426}"/>
    <hyperlink ref="J2162" r:id="rId14302" display="https://statiz.sporki.com/player/?m=playerinfo&amp;p_no=10576" xr:uid="{39DE9C5B-9081-498D-9EBD-9D447728FAA3}"/>
    <hyperlink ref="J2163" r:id="rId14303" display="https://statiz.sporki.com/player/?m=playerinfo&amp;p_no=10551" xr:uid="{5CD221C3-EE85-4164-909C-F29E510F2837}"/>
    <hyperlink ref="J2164" r:id="rId14304" display="https://statiz.sporki.com/player/?m=playerinfo&amp;p_no=10759" xr:uid="{BD04C5C8-3022-4386-BCF7-26004AF2D053}"/>
    <hyperlink ref="J2165" r:id="rId14305" display="https://statiz.sporki.com/player/?m=playerinfo&amp;p_no=10077" xr:uid="{EB42F798-3A5B-4E42-A55B-5299BCFAAC89}"/>
    <hyperlink ref="J2166" r:id="rId14306" display="https://statiz.sporki.com/player/?m=playerinfo&amp;p_no=10503" xr:uid="{45E29621-41B9-4566-8764-087FEFFE4BC8}"/>
    <hyperlink ref="J2167" r:id="rId14307" display="https://statiz.sporki.com/player/?m=playerinfo&amp;p_no=10082" xr:uid="{DA0CFAB0-7CFA-40A5-AAB9-9F532FCD2688}"/>
    <hyperlink ref="J2168" r:id="rId14308" display="https://statiz.sporki.com/player/?m=playerinfo&amp;p_no=10247" xr:uid="{B984E93F-9B03-4024-9EE8-937E012CF369}"/>
    <hyperlink ref="J2169" r:id="rId14309" display="https://statiz.sporki.com/player/?m=playerinfo&amp;p_no=10359" xr:uid="{58B041B1-FE6C-42DA-B7E7-BBA50FBA8C29}"/>
    <hyperlink ref="J2170" r:id="rId14310" display="https://statiz.sporki.com/player/?m=playerinfo&amp;p_no=10604" xr:uid="{0AE724C7-8F1F-4F0E-99B3-6E5F481CB5E9}"/>
    <hyperlink ref="J2171" r:id="rId14311" display="https://statiz.sporki.com/player/?m=playerinfo&amp;p_no=10793" xr:uid="{A4A3BDF4-57A9-480D-81AA-163AC4F8A0BB}"/>
    <hyperlink ref="J2172" r:id="rId14312" display="https://statiz.sporki.com/player/?m=playerinfo&amp;p_no=10279" xr:uid="{38B4D4A9-C86F-4A03-A35E-1F965B913869}"/>
    <hyperlink ref="J2173" r:id="rId14313" display="https://statiz.sporki.com/player/?m=playerinfo&amp;p_no=10590" xr:uid="{6BB386D4-91F1-401D-A090-850B9043A062}"/>
    <hyperlink ref="J2174" r:id="rId14314" display="https://statiz.sporki.com/player/?m=playerinfo&amp;p_no=10876" xr:uid="{3966BE4A-EB1F-4818-80EB-44793AA9F7C2}"/>
    <hyperlink ref="J2175" r:id="rId14315" display="https://statiz.sporki.com/player/?m=playerinfo&amp;p_no=10054" xr:uid="{BD820583-C272-4918-A9EB-1C8CCD14B754}"/>
    <hyperlink ref="J2176" r:id="rId14316" display="https://statiz.sporki.com/player/?m=playerinfo&amp;p_no=12944" xr:uid="{2B527077-AF7D-412E-BF59-D005581F24EB}"/>
    <hyperlink ref="J2177" r:id="rId14317" display="https://statiz.sporki.com/player/?m=playerinfo&amp;p_no=10381" xr:uid="{12C08E01-E6D2-4A43-A4AC-EBADBAEB9A81}"/>
    <hyperlink ref="J2178" r:id="rId14318" display="https://statiz.sporki.com/player/?m=playerinfo&amp;p_no=10394" xr:uid="{F4D01093-1E6A-4EC5-81E1-19B127CC9AB7}"/>
    <hyperlink ref="J2179" r:id="rId14319" display="https://statiz.sporki.com/player/?m=playerinfo&amp;p_no=2383" xr:uid="{8FCC1782-F55B-454E-B2F6-435C8148E694}"/>
    <hyperlink ref="J2180" r:id="rId14320" display="https://statiz.sporki.com/player/?m=playerinfo&amp;p_no=10601" xr:uid="{610E7ECF-9072-40F8-9170-F6489EB081CE}"/>
    <hyperlink ref="J2181" r:id="rId14321" display="https://statiz.sporki.com/player/?m=playerinfo&amp;p_no=11161" xr:uid="{E3152825-6A5F-4F7C-83DE-84AED8AC5DCF}"/>
    <hyperlink ref="J2182" r:id="rId14322" display="https://statiz.sporki.com/player/?m=playerinfo&amp;p_no=10052" xr:uid="{C423C5E7-B2B4-4529-9295-811D85581CE8}"/>
    <hyperlink ref="J2183" r:id="rId14323" display="https://statiz.sporki.com/player/?m=playerinfo&amp;p_no=10716" xr:uid="{D588BC2F-8B9F-49CA-8596-571F3047E26D}"/>
    <hyperlink ref="J2184" r:id="rId14324" display="https://statiz.sporki.com/player/?m=playerinfo&amp;p_no=10188" xr:uid="{E4CFEF6A-8627-4DD2-B56A-D4A1829D265C}"/>
    <hyperlink ref="J2185" r:id="rId14325" display="https://statiz.sporki.com/player/?m=playerinfo&amp;p_no=10427" xr:uid="{5A243279-6F5E-46B5-8B8D-C7F7B548D8C3}"/>
    <hyperlink ref="J2186" r:id="rId14326" display="https://statiz.sporki.com/player/?m=playerinfo&amp;p_no=10431" xr:uid="{0DDB27BC-6DB6-49E9-9B85-B61A4B674BDF}"/>
    <hyperlink ref="J2187" r:id="rId14327" display="https://statiz.sporki.com/player/?m=playerinfo&amp;p_no=10648" xr:uid="{819C7489-B114-455F-8295-52EC794135A7}"/>
    <hyperlink ref="J2188" r:id="rId14328" display="https://statiz.sporki.com/player/?m=playerinfo&amp;p_no=10772" xr:uid="{C1E3E947-3F67-47F6-B066-D65362925797}"/>
    <hyperlink ref="J2189" r:id="rId14329" display="https://statiz.sporki.com/player/?m=playerinfo&amp;p_no=2390" xr:uid="{8C2A13C6-F991-45D9-96FE-49DBAA365971}"/>
    <hyperlink ref="J2190" r:id="rId14330" display="https://statiz.sporki.com/player/?m=playerinfo&amp;p_no=10636" xr:uid="{4357DB9B-0168-46AB-92CA-4A134D347D9C}"/>
    <hyperlink ref="J2191" r:id="rId14331" display="https://statiz.sporki.com/player/?m=playerinfo&amp;p_no=10050" xr:uid="{74D91D43-DABA-47BD-98D8-24BB0FCD25BC}"/>
    <hyperlink ref="J2192" r:id="rId14332" display="https://statiz.sporki.com/player/?m=playerinfo&amp;p_no=10718" xr:uid="{DD42649B-4C68-46BE-A304-D69BA254BDAA}"/>
    <hyperlink ref="J2193" r:id="rId14333" display="https://statiz.sporki.com/player/?m=playerinfo&amp;p_no=10407" xr:uid="{40B8B07A-BE9E-44D9-A043-A009EBBD283E}"/>
    <hyperlink ref="J2194" r:id="rId14334" display="https://statiz.sporki.com/player/?m=playerinfo&amp;p_no=10281" xr:uid="{6F7C8C99-E715-4DC5-8CB7-6B1E720539DF}"/>
    <hyperlink ref="J2195" r:id="rId14335" display="https://statiz.sporki.com/player/?m=playerinfo&amp;p_no=10770" xr:uid="{958CC90F-2AAF-422D-89FF-A7169CD5D577}"/>
    <hyperlink ref="J2196" r:id="rId14336" display="https://statiz.sporki.com/player/?m=playerinfo&amp;p_no=10758" xr:uid="{8E662AEF-7F2B-4B9D-8CAE-CE43BC0148E0}"/>
    <hyperlink ref="J2197" r:id="rId14337" display="https://statiz.sporki.com/player/?m=playerinfo&amp;p_no=10456" xr:uid="{2996CE08-144C-4974-AAA4-0B49F00065F4}"/>
    <hyperlink ref="J2198" r:id="rId14338" display="https://statiz.sporki.com/player/?m=playerinfo&amp;p_no=10274" xr:uid="{810A0E73-0DB1-4BEA-B17B-B9E2093F2D5A}"/>
    <hyperlink ref="J2199" r:id="rId14339" display="https://statiz.sporki.com/player/?m=playerinfo&amp;p_no=10111" xr:uid="{7284579C-A4E9-4859-BBAB-336DDB4E0D29}"/>
    <hyperlink ref="J2200" r:id="rId14340" display="https://statiz.sporki.com/player/?m=playerinfo&amp;p_no=10763" xr:uid="{459EB275-16EA-4F1E-9BB7-BA63C3A1A020}"/>
    <hyperlink ref="J2201" r:id="rId14341" display="https://statiz.sporki.com/player/?m=playerinfo&amp;p_no=10267" xr:uid="{83BB4B2D-DC46-4D40-8163-CA3FDDF5C8A8}"/>
    <hyperlink ref="J2202" r:id="rId14342" display="https://statiz.sporki.com/player/?m=playerinfo&amp;p_no=10791" xr:uid="{B66528DE-943C-4FB9-9924-B78548A2F762}"/>
    <hyperlink ref="J2203" r:id="rId14343" display="https://statiz.sporki.com/player/?m=playerinfo&amp;p_no=10182" xr:uid="{9DCF7251-53EF-433C-AB40-3E2B6440645F}"/>
    <hyperlink ref="J2204" r:id="rId14344" display="https://statiz.sporki.com/player/?m=playerinfo&amp;p_no=10694" xr:uid="{4F404FDD-C0E3-4FDC-B52B-085E3D80DDE7}"/>
    <hyperlink ref="J2205" r:id="rId14345" display="https://statiz.sporki.com/player/?m=playerinfo&amp;p_no=10390" xr:uid="{57EC40F2-9CA3-4C35-848D-CA71FBAB5F4D}"/>
    <hyperlink ref="J2206" r:id="rId14346" display="https://statiz.sporki.com/player/?m=playerinfo&amp;p_no=11092" xr:uid="{A5218983-D13A-46AE-9112-28824AAAE634}"/>
    <hyperlink ref="J2207" r:id="rId14347" display="https://statiz.sporki.com/player/?m=playerinfo&amp;p_no=10401" xr:uid="{4386D219-50CE-4FD2-B92F-1F41B93410B0}"/>
    <hyperlink ref="J2208" r:id="rId14348" display="https://statiz.sporki.com/player/?m=playerinfo&amp;p_no=10165" xr:uid="{2E59EB05-7E9C-4032-B906-2B06510C011B}"/>
    <hyperlink ref="J2209" r:id="rId14349" display="https://statiz.sporki.com/player/?m=playerinfo&amp;p_no=10119" xr:uid="{1A550C26-2148-483D-ABA8-5C844646E178}"/>
    <hyperlink ref="J2210" r:id="rId14350" display="https://statiz.sporki.com/player/?m=playerinfo&amp;p_no=2399" xr:uid="{29859AA5-11C1-4D7C-A7BB-FDC02A9E14B6}"/>
    <hyperlink ref="J2211" r:id="rId14351" display="https://statiz.sporki.com/player/?m=playerinfo&amp;p_no=10114" xr:uid="{0A35AE88-C6D3-4612-9D37-AE0418E3E489}"/>
    <hyperlink ref="J2212" r:id="rId14352" display="https://statiz.sporki.com/player/?m=playerinfo&amp;p_no=2375" xr:uid="{11274653-D895-4B11-87F0-F3227FDFD93E}"/>
    <hyperlink ref="J2213" r:id="rId14353" display="https://statiz.sporki.com/player/?m=playerinfo&amp;p_no=2377" xr:uid="{14DF391F-CF46-430C-9659-A0D706BDEA44}"/>
    <hyperlink ref="J2214" r:id="rId14354" display="https://statiz.sporki.com/player/?m=playerinfo&amp;p_no=2394" xr:uid="{EA0017F3-3EB7-4F32-AFE3-6F6C28A4F2C7}"/>
    <hyperlink ref="J2215" r:id="rId14355" display="https://statiz.sporki.com/player/?m=playerinfo&amp;p_no=2393" xr:uid="{3FD874DE-A4D3-43AC-B8B2-5B544DD44476}"/>
    <hyperlink ref="J2216" r:id="rId14356" display="https://statiz.sporki.com/player/?m=playerinfo&amp;p_no=2386" xr:uid="{B6AAFE30-6355-4FC8-BBF5-A5D2D216C82D}"/>
    <hyperlink ref="J2217" r:id="rId14357" display="https://statiz.sporki.com/player/?m=playerinfo&amp;p_no=2381" xr:uid="{F89A2E2A-9C4E-44B6-B443-503DF1AA4EA8}"/>
    <hyperlink ref="J2218" r:id="rId14358" display="https://statiz.sporki.com/player/?m=playerinfo&amp;p_no=2378" xr:uid="{037C0521-5906-4CCA-ADB7-3FD9DD7C7AE7}"/>
    <hyperlink ref="J2219" r:id="rId14359" display="https://statiz.sporki.com/player/?m=playerinfo&amp;p_no=2388" xr:uid="{B584331B-29B7-49B4-AEDC-15AE60D69EF3}"/>
    <hyperlink ref="J2220" r:id="rId14360" display="https://statiz.sporki.com/player/?m=playerinfo&amp;p_no=2380" xr:uid="{D210243B-D71D-48FC-95F3-9D6DE7CAD32A}"/>
    <hyperlink ref="J2221" r:id="rId14361" display="https://statiz.sporki.com/player/?m=playerinfo&amp;p_no=2373" xr:uid="{4600D937-F0E1-419F-8F19-BD840DF7A6AC}"/>
    <hyperlink ref="J2222" r:id="rId14362" display="https://statiz.sporki.com/player/?m=playerinfo&amp;p_no=2387" xr:uid="{E1138865-3526-4D7B-BC38-6A5C4D268B0D}"/>
    <hyperlink ref="J2223" r:id="rId14363" display="https://statiz.sporki.com/player/?m=playerinfo&amp;p_no=2374" xr:uid="{70EBC258-88AC-4A88-A0E7-A670E8576C10}"/>
    <hyperlink ref="J2224" r:id="rId14364" display="https://statiz.sporki.com/player/?m=playerinfo&amp;p_no=10346" xr:uid="{781DE63A-B105-4DEC-AEAA-0F6DEFD6CC38}"/>
    <hyperlink ref="J2225" r:id="rId14365" display="https://statiz.sporki.com/player/?m=playerinfo&amp;p_no=10656" xr:uid="{A78FEB91-93F7-4EBD-AF92-02D20970366C}"/>
    <hyperlink ref="J2226" r:id="rId14366" display="https://statiz.sporki.com/player/?m=playerinfo&amp;p_no=10212" xr:uid="{1307DB9E-E823-4173-BFCD-D9FC73AAD34A}"/>
    <hyperlink ref="J2227" r:id="rId14367" display="https://statiz.sporki.com/player/?m=playerinfo&amp;p_no=10701" xr:uid="{D96B8B49-3EC5-4852-A026-091EFA712DA0}"/>
    <hyperlink ref="J2228" r:id="rId14368" display="https://statiz.sporki.com/player/?m=playerinfo&amp;p_no=10477" xr:uid="{A8C4D511-F379-49A0-AD7C-6729D545B260}"/>
    <hyperlink ref="J2229" r:id="rId14369" display="https://statiz.sporki.com/player/?m=playerinfo&amp;p_no=10187" xr:uid="{B7162B08-AC1F-4C73-AD82-23830307451D}"/>
    <hyperlink ref="J2230" r:id="rId14370" display="https://statiz.sporki.com/player/?m=playerinfo&amp;p_no=10560" xr:uid="{FC176301-3AFB-4D99-B543-337B7EE5B2D8}"/>
    <hyperlink ref="J2231" r:id="rId14371" display="https://statiz.sporki.com/player/?m=playerinfo&amp;p_no=10253" xr:uid="{7AC263A8-DB9F-405D-83F6-0724D8103B5F}"/>
    <hyperlink ref="J2232" r:id="rId14372" display="https://statiz.sporki.com/player/?m=playerinfo&amp;p_no=10043" xr:uid="{7FBF9949-3711-493D-A669-504D4E6CEC6F}"/>
    <hyperlink ref="J2233" r:id="rId14373" display="https://statiz.sporki.com/player/?m=playerinfo&amp;p_no=10470" xr:uid="{37F61F82-DD1F-4DED-A5C8-44CF0DA5740D}"/>
    <hyperlink ref="J2234" r:id="rId14374" display="https://statiz.sporki.com/player/?m=playerinfo&amp;p_no=10106" xr:uid="{F55AF300-3297-46A4-A6B2-3B962A8A6979}"/>
    <hyperlink ref="J2235" r:id="rId14375" display="https://statiz.sporki.com/player/?m=playerinfo&amp;p_no=10197" xr:uid="{89752D1A-6532-4D21-8233-6004C273F67C}"/>
    <hyperlink ref="J2236" r:id="rId14376" display="https://statiz.sporki.com/player/?m=playerinfo&amp;p_no=10740" xr:uid="{523A5CBD-F993-4CF4-B193-6BFBDCC3F638}"/>
    <hyperlink ref="J2237" r:id="rId14377" display="https://statiz.sporki.com/player/?m=playerinfo&amp;p_no=2385" xr:uid="{B17A38D8-7CF1-4AE0-BAAA-21BB1FF1AE90}"/>
    <hyperlink ref="J2238" r:id="rId14378" display="https://statiz.sporki.com/player/?m=playerinfo&amp;p_no=10607" xr:uid="{FC86FA79-4D8B-4827-BFD9-8C6B1A855F68}"/>
    <hyperlink ref="J2239" r:id="rId14379" display="https://statiz.sporki.com/player/?m=playerinfo&amp;p_no=10300" xr:uid="{DF0CAB52-C33B-4DF1-8E1E-D4A85D537DDC}"/>
    <hyperlink ref="J2240" r:id="rId14380" display="https://statiz.sporki.com/player/?m=playerinfo&amp;p_no=10207" xr:uid="{564DE891-17FC-4B61-9A50-63ED19E2B1AC}"/>
    <hyperlink ref="J2241" r:id="rId14381" display="https://statiz.sporki.com/player/?m=playerinfo&amp;p_no=10655" xr:uid="{414AADC0-65C9-4EFB-A5BB-966C5C62FE42}"/>
    <hyperlink ref="J2242" r:id="rId14382" display="https://statiz.sporki.com/player/?m=playerinfo&amp;p_no=10602" xr:uid="{6EADD4F8-17B7-42DE-9AAE-29AA694D7B9C}"/>
    <hyperlink ref="J2243" r:id="rId14383" display="https://statiz.sporki.com/player/?m=playerinfo&amp;p_no=10367" xr:uid="{1D98172E-A989-4355-96C4-67B9E82AA3FA}"/>
    <hyperlink ref="J2244" r:id="rId14384" display="https://statiz.sporki.com/player/?m=playerinfo&amp;p_no=10061" xr:uid="{8B77357F-01DC-49F9-A843-EA344391EC8E}"/>
    <hyperlink ref="J2245" r:id="rId14385" display="https://statiz.sporki.com/player/?m=playerinfo&amp;p_no=10103" xr:uid="{2572C89A-9556-4271-88A3-742A0C1D3134}"/>
    <hyperlink ref="J2246" r:id="rId14386" display="https://statiz.sporki.com/player/?m=playerinfo&amp;p_no=10852" xr:uid="{C96CA558-9CE9-49E5-A224-8602326E619A}"/>
    <hyperlink ref="J2247" r:id="rId14387" display="https://statiz.sporki.com/player/?m=playerinfo&amp;p_no=10180" xr:uid="{2FE9FA12-CF07-41E3-8438-9A2B3AF2B005}"/>
    <hyperlink ref="J2248" r:id="rId14388" display="https://statiz.sporki.com/player/?m=playerinfo&amp;p_no=10380" xr:uid="{6063A5CF-5941-4D5D-9D00-B9A1C1333796}"/>
    <hyperlink ref="J2249" r:id="rId14389" display="https://statiz.sporki.com/player/?m=playerinfo&amp;p_no=2361" xr:uid="{85EC3FA0-C883-4566-BF85-95264F208AAB}"/>
    <hyperlink ref="J2250" r:id="rId14390" display="https://statiz.sporki.com/player/?m=playerinfo&amp;p_no=10561" xr:uid="{B5C1A389-4043-4312-B4D3-A784CE0C7D59}"/>
    <hyperlink ref="J2251" r:id="rId14391" display="https://statiz.sporki.com/player/?m=playerinfo&amp;p_no=10067" xr:uid="{1A70997B-8C79-44AF-8849-BBEB02722826}"/>
    <hyperlink ref="J2252" r:id="rId14392" display="https://statiz.sporki.com/player/?m=playerinfo&amp;p_no=2411" xr:uid="{E4E2B143-A873-4671-A696-A4CC70735780}"/>
    <hyperlink ref="J2253" r:id="rId14393" display="https://statiz.sporki.com/player/?m=playerinfo&amp;p_no=10303" xr:uid="{E2CF5131-A4CC-4962-9A71-CEA21B2CA568}"/>
    <hyperlink ref="J2254" r:id="rId14394" display="https://statiz.sporki.com/player/?m=playerinfo&amp;p_no=14894" xr:uid="{FCA497F1-0F4C-46FF-AF45-83B578495D48}"/>
    <hyperlink ref="J2255" r:id="rId14395" display="https://statiz.sporki.com/player/?m=playerinfo&amp;p_no=10921" xr:uid="{3FF422E0-5CD2-4BB8-A7A9-8B912E059FCD}"/>
    <hyperlink ref="J2256" r:id="rId14396" display="https://statiz.sporki.com/player/?m=playerinfo&amp;p_no=10040" xr:uid="{C1DC0104-1A71-458C-9B00-0B6E5CAEEF93}"/>
    <hyperlink ref="J2257" r:id="rId14397" display="https://statiz.sporki.com/player/?m=playerinfo&amp;p_no=10400" xr:uid="{31944053-DE82-435C-A924-7389218230B1}"/>
    <hyperlink ref="J2258" r:id="rId14398" display="https://statiz.sporki.com/player/?m=playerinfo&amp;p_no=10425" xr:uid="{5F52C4D5-E69B-45DB-B1AE-48F8C1111DDF}"/>
    <hyperlink ref="J2259" r:id="rId14399" display="https://statiz.sporki.com/player/?m=playerinfo&amp;p_no=10565" xr:uid="{43011BC1-0114-4987-973B-8E0564CDAAF4}"/>
    <hyperlink ref="J2260" r:id="rId14400" display="https://statiz.sporki.com/player/?m=playerinfo&amp;p_no=2400" xr:uid="{3BD42E83-42C7-4E6B-A30D-7ADB34F931EB}"/>
    <hyperlink ref="J2261" r:id="rId14401" display="https://statiz.sporki.com/player/?m=playerinfo&amp;p_no=2401" xr:uid="{9618CE74-A784-4036-AFF4-E9FF0088D4F8}"/>
    <hyperlink ref="J2262" r:id="rId14402" display="https://statiz.sporki.com/player/?m=playerinfo&amp;p_no=10128" xr:uid="{4D5C46FA-57D4-42C6-9E8D-2E74FC7496F0}"/>
    <hyperlink ref="J2263" r:id="rId14403" display="https://statiz.sporki.com/player/?m=playerinfo&amp;p_no=10709" xr:uid="{7530C02F-6DD0-406E-B6EB-4B759A411AAA}"/>
    <hyperlink ref="J2264" r:id="rId14404" display="https://statiz.sporki.com/player/?m=playerinfo&amp;p_no=10832" xr:uid="{9FFE31C7-F787-44E8-BA74-7F27904338B1}"/>
    <hyperlink ref="J2265" r:id="rId14405" display="https://statiz.sporki.com/player/?m=playerinfo&amp;p_no=11253" xr:uid="{ABBB585C-E1AB-461B-86A8-539C08060F6D}"/>
    <hyperlink ref="J2266" r:id="rId14406" display="https://statiz.sporki.com/player/?m=playerinfo&amp;p_no=10347" xr:uid="{B4FF018C-34F0-4E32-A758-C0CB79BCAF8D}"/>
    <hyperlink ref="J2267" r:id="rId14407" display="https://statiz.sporki.com/player/?m=playerinfo&amp;p_no=10448" xr:uid="{ADE0DE3D-6165-4342-913A-90C5D3F60CF6}"/>
    <hyperlink ref="J2268" r:id="rId14408" display="https://statiz.sporki.com/player/?m=playerinfo&amp;p_no=10206" xr:uid="{F955899C-0FCF-4AEF-937E-9CDDCCDD11EC}"/>
    <hyperlink ref="J2269" r:id="rId14409" display="https://statiz.sporki.com/player/?m=playerinfo&amp;p_no=10409" xr:uid="{A6F4A948-C08C-40F2-9C70-EBED5D0C89D6}"/>
    <hyperlink ref="J2270" r:id="rId14410" display="https://statiz.sporki.com/player/?m=playerinfo&amp;p_no=2343" xr:uid="{8706DF2C-2E30-44FE-ACEC-4D79C73E0C3E}"/>
    <hyperlink ref="J2271" r:id="rId14411" display="https://statiz.sporki.com/player/?m=playerinfo&amp;p_no=10540" xr:uid="{42ECB891-EB01-43D1-8F57-F12DCA7FB1A3}"/>
    <hyperlink ref="J2272" r:id="rId14412" display="https://statiz.sporki.com/player/?m=playerinfo&amp;p_no=10234" xr:uid="{1BAF3749-9B38-4F06-9C08-C9305E10FAA0}"/>
    <hyperlink ref="J2273" r:id="rId14413" display="https://statiz.sporki.com/player/?m=playerinfo&amp;p_no=10075" xr:uid="{47824A1F-DB47-4B0F-9DC5-AC50E05B62FF}"/>
    <hyperlink ref="J2274" r:id="rId14414" display="https://statiz.sporki.com/player/?m=playerinfo&amp;p_no=10588" xr:uid="{7EAB3124-A550-43BF-B25D-4A84568D2863}"/>
    <hyperlink ref="J2275" r:id="rId14415" display="https://statiz.sporki.com/player/?m=playerinfo&amp;p_no=10841" xr:uid="{964DCC25-8231-4323-87AF-E7DE3B86EAFD}"/>
    <hyperlink ref="J2276" r:id="rId14416" display="https://statiz.sporki.com/player/?m=playerinfo&amp;p_no=2372" xr:uid="{4251CBBC-5CF7-4139-B5F4-5A9F24A66CFE}"/>
    <hyperlink ref="J2277" r:id="rId14417" display="https://statiz.sporki.com/player/?m=playerinfo&amp;p_no=2357" xr:uid="{CADD560E-475C-4C70-BED9-4B0157A50927}"/>
    <hyperlink ref="J2278" r:id="rId14418" display="https://statiz.sporki.com/player/?m=playerinfo&amp;p_no=2354" xr:uid="{2026AFD4-620C-47C1-9340-3CA0D5A5A28F}"/>
    <hyperlink ref="J2279" r:id="rId14419" display="https://statiz.sporki.com/player/?m=playerinfo&amp;p_no=10211" xr:uid="{02845A9F-059B-4339-A24A-1E85AC5C8245}"/>
    <hyperlink ref="J2280" r:id="rId14420" display="https://statiz.sporki.com/player/?m=playerinfo&amp;p_no=2349" xr:uid="{20DA5F4A-9327-4D8E-9C13-0230FAFC86E0}"/>
    <hyperlink ref="J2281" r:id="rId14421" display="https://statiz.sporki.com/player/?m=playerinfo&amp;p_no=2366" xr:uid="{AEC53315-4496-4657-81C0-BE2B817F6EBC}"/>
    <hyperlink ref="J2282" r:id="rId14422" display="https://statiz.sporki.com/player/?m=playerinfo&amp;p_no=2369" xr:uid="{403DCC26-4949-45AE-988B-BA7A745ABA9E}"/>
    <hyperlink ref="J2283" r:id="rId14423" display="https://statiz.sporki.com/player/?m=playerinfo&amp;p_no=2358" xr:uid="{7D9CCEEC-8D36-4771-B995-344E1677589B}"/>
    <hyperlink ref="J2284" r:id="rId14424" display="https://statiz.sporki.com/player/?m=playerinfo&amp;p_no=2355" xr:uid="{58D7DF65-8E4A-44A2-99E2-5E0EE67FDFA0}"/>
    <hyperlink ref="J2285" r:id="rId14425" display="https://statiz.sporki.com/player/?m=playerinfo&amp;p_no=2362" xr:uid="{B8EBFD98-4495-4F45-BE5B-5B0501210F67}"/>
    <hyperlink ref="J2286" r:id="rId14426" display="https://statiz.sporki.com/player/?m=playerinfo&amp;p_no=2350" xr:uid="{332332BD-9628-4D2B-9D84-122DF4EBA3D6}"/>
    <hyperlink ref="J2287" r:id="rId14427" display="https://statiz.sporki.com/player/?m=playerinfo&amp;p_no=2371" xr:uid="{195F9B9D-976F-4C93-BCBB-8834BE852493}"/>
    <hyperlink ref="J2288" r:id="rId14428" display="https://statiz.sporki.com/player/?m=playerinfo&amp;p_no=2370" xr:uid="{BE9DECF5-811B-474B-8D53-423AF6F21CB4}"/>
    <hyperlink ref="J2289" r:id="rId14429" display="https://statiz.sporki.com/player/?m=playerinfo&amp;p_no=2356" xr:uid="{3136BAB1-8928-4248-BB00-BFFF621C2709}"/>
    <hyperlink ref="J2290" r:id="rId14430" display="https://statiz.sporki.com/player/?m=playerinfo&amp;p_no=2344" xr:uid="{B37C3597-DD9C-46AA-BA18-696ED315703C}"/>
    <hyperlink ref="J2291" r:id="rId14431" display="https://statiz.sporki.com/player/?m=playerinfo&amp;p_no=2368" xr:uid="{EEAA8BAF-74C3-47E9-9839-17667141D1EE}"/>
    <hyperlink ref="J2292" r:id="rId14432" display="https://statiz.sporki.com/player/?m=playerinfo&amp;p_no=14895" xr:uid="{5BA6BC2A-D088-4BCB-A469-AB329C0B7E70}"/>
    <hyperlink ref="J2293" r:id="rId14433" display="https://statiz.sporki.com/player/?m=playerinfo&amp;p_no=2342" xr:uid="{F55531B2-8E86-4CE9-832F-90E216D1109C}"/>
    <hyperlink ref="J2294" r:id="rId14434" display="https://statiz.sporki.com/player/?m=playerinfo&amp;p_no=2397" xr:uid="{276B0334-DA04-425E-8BE6-EB2C3A71B1F3}"/>
    <hyperlink ref="J2295" r:id="rId14435" display="https://statiz.sporki.com/player/?m=playerinfo&amp;p_no=2345" xr:uid="{64AD8088-FB18-4923-B593-1F201BE1E849}"/>
    <hyperlink ref="J2296" r:id="rId14436" display="https://statiz.sporki.com/player/?m=playerinfo&amp;p_no=2339" xr:uid="{5BBC8445-24E5-412F-AB1E-68BE578A412A}"/>
    <hyperlink ref="J2297" r:id="rId14437" display="https://statiz.sporki.com/player/?m=playerinfo&amp;p_no=2359" xr:uid="{25663E5D-A515-4688-B349-2F782383CBE4}"/>
    <hyperlink ref="J2298" r:id="rId14438" display="https://statiz.sporki.com/player/?m=playerinfo&amp;p_no=2365" xr:uid="{E50A32FC-D2C0-42A5-A453-7E0CBCFD5AEF}"/>
    <hyperlink ref="J2299" r:id="rId14439" display="https://statiz.sporki.com/player/?m=playerinfo&amp;p_no=11462" xr:uid="{6FFABF29-9899-4C73-8D0C-59F851A114F6}"/>
    <hyperlink ref="J2300" r:id="rId14440" display="https://statiz.sporki.com/player/?m=playerinfo&amp;p_no=2363" xr:uid="{F57F9EB5-FB07-4750-8C6E-BAA952021A49}"/>
    <hyperlink ref="J2301" r:id="rId14441" display="https://statiz.sporki.com/player/?m=playerinfo&amp;p_no=10004" xr:uid="{4C4A3112-8F7F-4FA8-99E1-55492CA21AE0}"/>
    <hyperlink ref="J2302" r:id="rId14442" display="https://statiz.sporki.com/player/?m=playerinfo&amp;p_no=2384" xr:uid="{561A981D-8209-4EE0-B5A1-EE5B72184BCD}"/>
    <hyperlink ref="J2303" r:id="rId14443" display="https://statiz.sporki.com/player/?m=playerinfo&amp;p_no=10577" xr:uid="{E9AE1DE3-B06A-4DB4-A98E-2B5028FEC229}"/>
    <hyperlink ref="J2304" r:id="rId14444" display="https://statiz.sporki.com/player/?m=playerinfo&amp;p_no=10650" xr:uid="{F9FBF899-8903-48F2-9D00-953622394508}"/>
    <hyperlink ref="J2305" r:id="rId14445" display="https://statiz.sporki.com/player/?m=playerinfo&amp;p_no=10750" xr:uid="{FEE152D3-1B0E-4B87-8413-726DB548883D}"/>
    <hyperlink ref="J2306" r:id="rId14446" display="https://statiz.sporki.com/player/?m=playerinfo&amp;p_no=2328" xr:uid="{A7F98096-B7E2-4272-9CF2-A6F1F4D77477}"/>
    <hyperlink ref="J2307" r:id="rId14447" display="https://statiz.sporki.com/player/?m=playerinfo&amp;p_no=10174" xr:uid="{50F2A270-5E83-4D64-AE85-76DA583FFC7C}"/>
    <hyperlink ref="J2308" r:id="rId14448" display="https://statiz.sporki.com/player/?m=playerinfo&amp;p_no=10299" xr:uid="{BDAB9CD9-C1F1-436B-9273-71FAE602036F}"/>
    <hyperlink ref="J2309" r:id="rId14449" display="https://statiz.sporki.com/player/?m=playerinfo&amp;p_no=10322" xr:uid="{B9BF11B4-15F6-423D-9999-A61A9DEF53FB}"/>
    <hyperlink ref="J2310" r:id="rId14450" display="https://statiz.sporki.com/player/?m=playerinfo&amp;p_no=10671" xr:uid="{4C752807-04C3-4973-8E07-7686A6AAADFF}"/>
    <hyperlink ref="J2311" r:id="rId14451" display="https://statiz.sporki.com/player/?m=playerinfo&amp;p_no=10368" xr:uid="{CA532067-9579-4749-942F-C512D4776610}"/>
    <hyperlink ref="J2312" r:id="rId14452" display="https://statiz.sporki.com/player/?m=playerinfo&amp;p_no=10273" xr:uid="{B8E1097A-2872-4354-B0F0-3140914B4A1F}"/>
    <hyperlink ref="J2313" r:id="rId14453" display="https://statiz.sporki.com/player/?m=playerinfo&amp;p_no=10598" xr:uid="{7365EEE0-59B8-40A2-88BE-130A9A332E55}"/>
    <hyperlink ref="J2314" r:id="rId14454" display="https://statiz.sporki.com/player/?m=playerinfo&amp;p_no=10145" xr:uid="{F70B5148-CA30-4D5A-BB54-33FE7713AB0F}"/>
    <hyperlink ref="J2315" r:id="rId14455" display="https://statiz.sporki.com/player/?m=playerinfo&amp;p_no=2333" xr:uid="{BB6D6BF4-7C0E-40CF-930C-01C6F2EA28FB}"/>
    <hyperlink ref="J2316" r:id="rId14456" display="https://statiz.sporki.com/player/?m=playerinfo&amp;p_no=10445" xr:uid="{E06639C4-40B9-430F-B00C-7C93D385C7C7}"/>
    <hyperlink ref="J2317" r:id="rId14457" display="https://statiz.sporki.com/player/?m=playerinfo&amp;p_no=10063" xr:uid="{7A6468AD-F5DF-47D3-B89F-CD6DA04AFB15}"/>
    <hyperlink ref="J2318" r:id="rId14458" display="https://statiz.sporki.com/player/?m=playerinfo&amp;p_no=10496" xr:uid="{797C03F4-0B49-4C3E-878A-294EAD9D6391}"/>
    <hyperlink ref="J2319" r:id="rId14459" display="https://statiz.sporki.com/player/?m=playerinfo&amp;p_no=10302" xr:uid="{3CF58F60-C2AA-4E1D-A31D-BA1B8F075E0F}"/>
    <hyperlink ref="J2320" r:id="rId14460" display="https://statiz.sporki.com/player/?m=playerinfo&amp;p_no=10578" xr:uid="{38D93F75-18DF-4D36-8A63-4008ACA7757A}"/>
    <hyperlink ref="J2321" r:id="rId14461" display="https://statiz.sporki.com/player/?m=playerinfo&amp;p_no=10156" xr:uid="{77E3B4AD-D7B7-49AD-AE3B-1B52A8D8D80C}"/>
    <hyperlink ref="J2322" r:id="rId14462" display="https://statiz.sporki.com/player/?m=playerinfo&amp;p_no=2332" xr:uid="{3A4195EC-46C8-4100-8B91-5ADA2019D86A}"/>
    <hyperlink ref="J2323" r:id="rId14463" display="https://statiz.sporki.com/player/?m=playerinfo&amp;p_no=10682" xr:uid="{ED5DF870-F643-4571-A5DE-2EF74F7BBD72}"/>
    <hyperlink ref="J2324" r:id="rId14464" display="https://statiz.sporki.com/player/?m=playerinfo&amp;p_no=11112" xr:uid="{106E368D-2AA6-4186-86C6-2465CDD9C535}"/>
    <hyperlink ref="J2325" r:id="rId14465" display="https://statiz.sporki.com/player/?m=playerinfo&amp;p_no=10035" xr:uid="{1B673680-CB50-4332-85BE-7005A820D6BB}"/>
    <hyperlink ref="J2326" r:id="rId14466" display="https://statiz.sporki.com/player/?m=playerinfo&amp;p_no=10311" xr:uid="{473B8BD3-E3EC-4032-81A8-A773CD05B463}"/>
    <hyperlink ref="J2327" r:id="rId14467" display="https://statiz.sporki.com/player/?m=playerinfo&amp;p_no=10232" xr:uid="{BA6D016D-0282-4997-A246-070A0B704059}"/>
    <hyperlink ref="J2328" r:id="rId14468" display="https://statiz.sporki.com/player/?m=playerinfo&amp;p_no=10541" xr:uid="{B0D07321-C1DE-4803-B775-DA0C12CBD88B}"/>
    <hyperlink ref="J2329" r:id="rId14469" display="https://statiz.sporki.com/player/?m=playerinfo&amp;p_no=10160" xr:uid="{5254377F-70C4-4ABA-86F3-0C104AA9DA7F}"/>
    <hyperlink ref="J2330" r:id="rId14470" display="https://statiz.sporki.com/player/?m=playerinfo&amp;p_no=10644" xr:uid="{B3A4E9FB-98C3-49B5-A19B-D27BD06E69CB}"/>
    <hyperlink ref="J2331" r:id="rId14471" display="https://statiz.sporki.com/player/?m=playerinfo&amp;p_no=10765" xr:uid="{38386173-319A-4E3E-BFB8-ADA49AB3717D}"/>
    <hyperlink ref="J2332" r:id="rId14472" display="https://statiz.sporki.com/player/?m=playerinfo&amp;p_no=10805" xr:uid="{A01FBA54-7A4E-4E58-8269-6BE075FCBCEF}"/>
    <hyperlink ref="J2333" r:id="rId14473" display="https://statiz.sporki.com/player/?m=playerinfo&amp;p_no=2308" xr:uid="{BDA9AAF8-F6EA-42B6-B4C7-E3B5A5B768C4}"/>
    <hyperlink ref="J2334" r:id="rId14474" display="https://statiz.sporki.com/player/?m=playerinfo&amp;p_no=10614" xr:uid="{01374D2E-BFD2-4525-B463-FEA63A06CBB5}"/>
    <hyperlink ref="J2335" r:id="rId14475" display="https://statiz.sporki.com/player/?m=playerinfo&amp;p_no=2364" xr:uid="{FC3CEC00-DBE2-43B8-A49B-1D0D03650546}"/>
    <hyperlink ref="J2336" r:id="rId14476" display="https://statiz.sporki.com/player/?m=playerinfo&amp;p_no=2421" xr:uid="{485CA603-EABB-4B32-9386-FEDBB8438533}"/>
    <hyperlink ref="J2337" r:id="rId14477" display="https://statiz.sporki.com/player/?m=playerinfo&amp;p_no=10064" xr:uid="{78F9E809-215D-46D0-A636-EF911B9645E8}"/>
    <hyperlink ref="J2338" r:id="rId14478" display="https://statiz.sporki.com/player/?m=playerinfo&amp;p_no=10654" xr:uid="{D3DCA4EC-CB64-49C3-8F12-23259B3DAE54}"/>
    <hyperlink ref="J2339" r:id="rId14479" display="https://statiz.sporki.com/player/?m=playerinfo&amp;p_no=10294" xr:uid="{5AEF5036-9041-4B54-9D6C-D50A86F52DDD}"/>
    <hyperlink ref="J2340" r:id="rId14480" display="https://statiz.sporki.com/player/?m=playerinfo&amp;p_no=10120" xr:uid="{0B9158A9-69C6-4F36-A46A-FD803055681E}"/>
    <hyperlink ref="J2341" r:id="rId14481" display="https://statiz.sporki.com/player/?m=playerinfo&amp;p_no=11461" xr:uid="{F230388C-3282-4DE7-AA12-0F21BFEFB051}"/>
    <hyperlink ref="J2342" r:id="rId14482" display="https://statiz.sporki.com/player/?m=playerinfo&amp;p_no=10786" xr:uid="{2EEB7D0D-F8E0-45B2-B64C-05CC6754BFC3}"/>
    <hyperlink ref="J2343" r:id="rId14483" display="https://statiz.sporki.com/player/?m=playerinfo&amp;p_no=10383" xr:uid="{40A1C8B9-D12C-421A-A497-78570FF98259}"/>
    <hyperlink ref="J2344" r:id="rId14484" display="https://statiz.sporki.com/player/?m=playerinfo&amp;p_no=10306" xr:uid="{63CFCCC2-6AE5-4AFB-AFF2-46004027526A}"/>
    <hyperlink ref="J2345" r:id="rId14485" display="https://statiz.sporki.com/player/?m=playerinfo&amp;p_no=11166" xr:uid="{9FFB1F7C-8598-4E2C-9DFC-07610BAA77D8}"/>
    <hyperlink ref="J2346" r:id="rId14486" display="https://statiz.sporki.com/player/?m=playerinfo&amp;p_no=2324" xr:uid="{8114A970-B83F-4254-B512-E73A45F84333}"/>
    <hyperlink ref="J2347" r:id="rId14487" display="https://statiz.sporki.com/player/?m=playerinfo&amp;p_no=2327" xr:uid="{E990BC83-D9AA-4D37-B62A-1377131D6D14}"/>
    <hyperlink ref="J2348" r:id="rId14488" display="https://statiz.sporki.com/player/?m=playerinfo&amp;p_no=10776" xr:uid="{94A4C1B4-00A6-4885-8B84-9E70059B05C3}"/>
    <hyperlink ref="J2349" r:id="rId14489" display="https://statiz.sporki.com/player/?m=playerinfo&amp;p_no=11132" xr:uid="{64674393-085D-45EA-82F4-E257932FBD50}"/>
    <hyperlink ref="J2350" r:id="rId14490" display="https://statiz.sporki.com/player/?m=playerinfo&amp;p_no=10166" xr:uid="{7327CF02-3BBA-4617-9005-530A5502CFA4}"/>
    <hyperlink ref="J2351" r:id="rId14491" display="https://statiz.sporki.com/player/?m=playerinfo&amp;p_no=10802" xr:uid="{FE0F664E-A57D-40AD-B615-6FB7BD7E3B4A}"/>
    <hyperlink ref="J2352" r:id="rId14492" display="https://statiz.sporki.com/player/?m=playerinfo&amp;p_no=2323" xr:uid="{E10C4C5B-1587-49F3-A2C2-CACDEFDC9A71}"/>
    <hyperlink ref="J2353" r:id="rId14493" display="https://statiz.sporki.com/player/?m=playerinfo&amp;p_no=2326" xr:uid="{19073AD9-349E-4AF4-A1B6-7A584DC8BBCB}"/>
    <hyperlink ref="J2354" r:id="rId14494" display="https://statiz.sporki.com/player/?m=playerinfo&amp;p_no=2335" xr:uid="{FD3171B2-B77F-47B0-B17E-EE656A294883}"/>
    <hyperlink ref="J2355" r:id="rId14495" display="https://statiz.sporki.com/player/?m=playerinfo&amp;p_no=2338" xr:uid="{904CDBC1-8BC0-4606-BF8B-01807FD85104}"/>
    <hyperlink ref="J2356" r:id="rId14496" display="https://statiz.sporki.com/player/?m=playerinfo&amp;p_no=2334" xr:uid="{1211D938-B519-4ACC-BCF2-F98772FE3622}"/>
    <hyperlink ref="J2357" r:id="rId14497" display="https://statiz.sporki.com/player/?m=playerinfo&amp;p_no=2309" xr:uid="{6B5D5BEC-8136-469D-AA12-9B0074923F85}"/>
    <hyperlink ref="J2358" r:id="rId14498" display="https://statiz.sporki.com/player/?m=playerinfo&amp;p_no=2315" xr:uid="{8AEC5CF3-A08C-49FA-AB8A-710F432C09D7}"/>
    <hyperlink ref="J2359" r:id="rId14499" display="https://statiz.sporki.com/player/?m=playerinfo&amp;p_no=2337" xr:uid="{583C05B7-DAB0-4153-8752-D55BE2304265}"/>
    <hyperlink ref="J2360" r:id="rId14500" display="https://statiz.sporki.com/player/?m=playerinfo&amp;p_no=2310" xr:uid="{E60FE940-EEDE-4DB9-AAE4-F55AE24BEF23}"/>
    <hyperlink ref="J2361" r:id="rId14501" display="https://statiz.sporki.com/player/?m=playerinfo&amp;p_no=2314" xr:uid="{2DCE3128-AAD8-4F12-9220-60675E5F6F06}"/>
    <hyperlink ref="J2362" r:id="rId14502" display="https://statiz.sporki.com/player/?m=playerinfo&amp;p_no=2336" xr:uid="{CE98A55D-8D46-4DDA-B5F6-8D7D98B609C5}"/>
    <hyperlink ref="J2363" r:id="rId14503" display="https://statiz.sporki.com/player/?m=playerinfo&amp;p_no=2311" xr:uid="{56DBCC59-87C8-4BA2-AEEC-07D4999263CA}"/>
    <hyperlink ref="J2364" r:id="rId14504" display="https://statiz.sporki.com/player/?m=playerinfo&amp;p_no=2367" xr:uid="{F7404057-2F75-4D74-9961-64C16D929637}"/>
    <hyperlink ref="J2365" r:id="rId14505" display="https://statiz.sporki.com/player/?m=playerinfo&amp;p_no=2341" xr:uid="{9C3CE57C-2ED7-4244-B366-23AB90786D37}"/>
    <hyperlink ref="J2366" r:id="rId14506" display="https://statiz.sporki.com/player/?m=playerinfo&amp;p_no=2313" xr:uid="{723B752C-0E3A-4279-B9E5-BB358E8E26B5}"/>
    <hyperlink ref="J2367" r:id="rId14507" display="https://statiz.sporki.com/player/?m=playerinfo&amp;p_no=2307" xr:uid="{4AB26530-B785-47A2-B2CD-129238B4CBD3}"/>
    <hyperlink ref="J2368" r:id="rId14508" display="https://statiz.sporki.com/player/?m=playerinfo&amp;p_no=2325" xr:uid="{C3258966-1D61-4C69-A128-CE97EA459BEC}"/>
    <hyperlink ref="J2369" r:id="rId14509" display="https://statiz.sporki.com/player/?m=playerinfo&amp;p_no=10042" xr:uid="{3FEF5A75-F826-4F2B-AD5A-2177BE417A08}"/>
    <hyperlink ref="J2370" r:id="rId14510" display="https://statiz.sporki.com/player/?m=playerinfo&amp;p_no=10469" xr:uid="{9D2E647B-95A3-45A8-836F-47AA5583EDE3}"/>
    <hyperlink ref="J2371" r:id="rId14511" display="https://statiz.sporki.com/player/?m=playerinfo&amp;p_no=10203" xr:uid="{33172AD3-2F3E-4627-8E04-6B7913590753}"/>
    <hyperlink ref="J2372" r:id="rId14512" display="https://statiz.sporki.com/player/?m=playerinfo&amp;p_no=10259" xr:uid="{3493AA56-E77E-4DAE-B001-D76324078CBE}"/>
    <hyperlink ref="J2373" r:id="rId14513" display="https://statiz.sporki.com/player/?m=playerinfo&amp;p_no=10137" xr:uid="{01525BF9-7DA0-4F68-B685-38625181E839}"/>
    <hyperlink ref="J2374" r:id="rId14514" display="https://statiz.sporki.com/player/?m=playerinfo&amp;p_no=10600" xr:uid="{5051CC85-4E30-4775-9C06-C07EF466F2B1}"/>
    <hyperlink ref="J2375" r:id="rId14515" display="https://statiz.sporki.com/player/?m=playerinfo&amp;p_no=10271" xr:uid="{AEB42645-2737-4310-9CC6-638D60CA3AC0}"/>
    <hyperlink ref="J2376" r:id="rId14516" display="https://statiz.sporki.com/player/?m=playerinfo&amp;p_no=10168" xr:uid="{CD79EBF4-677B-410B-A33B-55E635E8C7B2}"/>
    <hyperlink ref="J2377" r:id="rId14517" display="https://statiz.sporki.com/player/?m=playerinfo&amp;p_no=10486" xr:uid="{6D41F3EB-72B0-4154-884D-180C2B3CC81C}"/>
    <hyperlink ref="J2378" r:id="rId14518" display="https://statiz.sporki.com/player/?m=playerinfo&amp;p_no=10683" xr:uid="{B3BAE802-0A51-4033-AE58-4682BB7A0C78}"/>
    <hyperlink ref="J2379" r:id="rId14519" display="https://statiz.sporki.com/player/?m=playerinfo&amp;p_no=10319" xr:uid="{D0F1F414-FADA-42C7-9B50-DB2F020370CC}"/>
    <hyperlink ref="J2380" r:id="rId14520" display="https://statiz.sporki.com/player/?m=playerinfo&amp;p_no=10152" xr:uid="{7DC4CD8F-A14C-4D11-953E-7784D9405A9E}"/>
    <hyperlink ref="J2381" r:id="rId14521" display="https://statiz.sporki.com/player/?m=playerinfo&amp;p_no=10570" xr:uid="{8345D2F8-0B29-46FF-A6C8-EED551B38D66}"/>
    <hyperlink ref="J2382" r:id="rId14522" display="https://statiz.sporki.com/player/?m=playerinfo&amp;p_no=10606" xr:uid="{15EF3C40-6248-4CAC-88E1-B669F638719E}"/>
    <hyperlink ref="J2383" r:id="rId14523" display="https://statiz.sporki.com/player/?m=playerinfo&amp;p_no=10278" xr:uid="{A2B57798-7A86-40AC-9D1E-D697AF060147}"/>
    <hyperlink ref="J2384" r:id="rId14524" display="https://statiz.sporki.com/player/?m=playerinfo&amp;p_no=10490" xr:uid="{30595649-D25B-42B3-B42D-98B94E67BC09}"/>
    <hyperlink ref="J2385" r:id="rId14525" display="https://statiz.sporki.com/player/?m=playerinfo&amp;p_no=10068" xr:uid="{58507FA2-1D79-4315-B6CE-B986B0980D85}"/>
    <hyperlink ref="J2386" r:id="rId14526" display="https://statiz.sporki.com/player/?m=playerinfo&amp;p_no=10464" xr:uid="{5DB0B76F-4E72-484E-A8B9-64D24BF1D314}"/>
    <hyperlink ref="J2387" r:id="rId14527" display="https://statiz.sporki.com/player/?m=playerinfo&amp;p_no=10092" xr:uid="{F1FBD3DE-A395-4923-82E0-B7931D4CCA7D}"/>
    <hyperlink ref="J2388" r:id="rId14528" display="https://statiz.sporki.com/player/?m=playerinfo&amp;p_no=2276" xr:uid="{7BD6F02F-6E9D-44E7-8792-48562EB484C6}"/>
    <hyperlink ref="J2389" r:id="rId14529" display="https://statiz.sporki.com/player/?m=playerinfo&amp;p_no=10288" xr:uid="{EAAB7FE9-BA41-4A79-AB77-E7D9CDF824FD}"/>
    <hyperlink ref="J2390" r:id="rId14530" display="https://statiz.sporki.com/player/?m=playerinfo&amp;p_no=10523" xr:uid="{22020E36-6600-4862-B9F9-2C88BF1B6517}"/>
    <hyperlink ref="J2391" r:id="rId14531" display="https://statiz.sporki.com/player/?m=playerinfo&amp;p_no=2274" xr:uid="{1FC8D004-DCA7-4683-91CD-24CE14BAEB20}"/>
    <hyperlink ref="J2392" r:id="rId14532" display="https://statiz.sporki.com/player/?m=playerinfo&amp;p_no=10433" xr:uid="{CF8F300B-3F38-47EA-BC7E-F28CBE1E08F8}"/>
    <hyperlink ref="J2393" r:id="rId14533" display="https://statiz.sporki.com/player/?m=playerinfo&amp;p_no=10354" xr:uid="{E92AB9ED-D0B2-4F93-89FC-C3DDB75266B6}"/>
    <hyperlink ref="J2394" r:id="rId14534" display="https://statiz.sporki.com/player/?m=playerinfo&amp;p_no=2305" xr:uid="{59706816-4444-4FED-9FB4-F634415B1F2F}"/>
    <hyperlink ref="J2395" r:id="rId14535" display="https://statiz.sporki.com/player/?m=playerinfo&amp;p_no=2319" xr:uid="{3C0A5C84-D679-4D36-8A07-FB159D95130E}"/>
    <hyperlink ref="J2396" r:id="rId14536" display="https://statiz.sporki.com/player/?m=playerinfo&amp;p_no=10576" xr:uid="{CD1F25C1-30A9-49F2-B9C6-C26189C97EE8}"/>
    <hyperlink ref="J2397" r:id="rId14537" display="https://statiz.sporki.com/player/?m=playerinfo&amp;p_no=2301" xr:uid="{B94E3F8C-E1FA-4A84-ACDB-3C027CA3448D}"/>
    <hyperlink ref="J2398" r:id="rId14538" display="https://statiz.sporki.com/player/?m=playerinfo&amp;p_no=2306" xr:uid="{E0CFAD3E-3AE3-45F0-968B-23F7568D0CAF}"/>
    <hyperlink ref="J2399" r:id="rId14539" display="https://statiz.sporki.com/player/?m=playerinfo&amp;p_no=2286" xr:uid="{9FF75B51-F90B-48F0-A778-A8D67CF87FE8}"/>
    <hyperlink ref="J2400" r:id="rId14540" display="https://statiz.sporki.com/player/?m=playerinfo&amp;p_no=10202" xr:uid="{190620C9-A268-4083-8312-3B227F3CCFE2}"/>
    <hyperlink ref="J2401" r:id="rId14541" display="https://statiz.sporki.com/player/?m=playerinfo&amp;p_no=10149" xr:uid="{A5C1FF70-54CF-4C00-B8CF-C224BCDB7122}"/>
    <hyperlink ref="J2402" r:id="rId14542" display="https://statiz.sporki.com/player/?m=playerinfo&amp;p_no=10684" xr:uid="{55400E00-3938-4343-8BBB-B3C97D7FCAF3}"/>
    <hyperlink ref="J2403" r:id="rId14543" display="https://statiz.sporki.com/player/?m=playerinfo&amp;p_no=10275" xr:uid="{564AFB2D-ADF0-40E9-8590-E4F276739AA1}"/>
    <hyperlink ref="J2404" r:id="rId14544" display="https://statiz.sporki.com/player/?m=playerinfo&amp;p_no=10144" xr:uid="{D7A85F4D-F123-4BF1-AA1B-FF93A53E0170}"/>
    <hyperlink ref="J2405" r:id="rId14545" display="https://statiz.sporki.com/player/?m=playerinfo&amp;p_no=10073" xr:uid="{B0D8B309-D0F5-43F0-9423-5AAD1D68A64F}"/>
    <hyperlink ref="J2406" r:id="rId14546" display="https://statiz.sporki.com/player/?m=playerinfo&amp;p_no=10263" xr:uid="{FC94DBA2-63B2-44B5-BEC7-28B6F3ADD5ED}"/>
    <hyperlink ref="J2407" r:id="rId14547" display="https://statiz.sporki.com/player/?m=playerinfo&amp;p_no=10178" xr:uid="{D36BBD76-D928-4EFC-B572-B621B89DF869}"/>
    <hyperlink ref="J2408" r:id="rId14548" display="https://statiz.sporki.com/player/?m=playerinfo&amp;p_no=10693" xr:uid="{BE115FF6-2C98-4FEC-AC31-B69048F768D9}"/>
    <hyperlink ref="J2409" r:id="rId14549" display="https://statiz.sporki.com/player/?m=playerinfo&amp;p_no=2402" xr:uid="{3945B945-A15B-4715-B494-C6FC5623ADC6}"/>
    <hyperlink ref="J2410" r:id="rId14550" display="https://statiz.sporki.com/player/?m=playerinfo&amp;p_no=10484" xr:uid="{B1BD58A3-6B31-4014-B848-4113B20687F5}"/>
    <hyperlink ref="J2411" r:id="rId14551" display="https://statiz.sporki.com/player/?m=playerinfo&amp;p_no=10159" xr:uid="{3C824DC6-74B1-4CF9-BA9D-BBC01F190B2B}"/>
    <hyperlink ref="J2412" r:id="rId14552" display="https://statiz.sporki.com/player/?m=playerinfo&amp;p_no=2294" xr:uid="{5F749ACC-3D1E-41B9-908F-161523DABC99}"/>
    <hyperlink ref="J2413" r:id="rId14553" display="https://statiz.sporki.com/player/?m=playerinfo&amp;p_no=2282" xr:uid="{AC50EC4C-B10D-4846-AB96-C10420902692}"/>
    <hyperlink ref="J2414" r:id="rId14554" display="https://statiz.sporki.com/player/?m=playerinfo&amp;p_no=2275" xr:uid="{C1D5A897-6D62-47A1-86EE-25450A615290}"/>
    <hyperlink ref="J2415" r:id="rId14555" display="https://statiz.sporki.com/player/?m=playerinfo&amp;p_no=2298" xr:uid="{9BA64D78-EC96-4636-82D8-D195B1CBF54B}"/>
    <hyperlink ref="J2416" r:id="rId14556" display="https://statiz.sporki.com/player/?m=playerinfo&amp;p_no=2302" xr:uid="{F9B56EDF-74A8-4DC7-A5A8-71E830248556}"/>
    <hyperlink ref="J2417" r:id="rId14557" display="https://statiz.sporki.com/player/?m=playerinfo&amp;p_no=2289" xr:uid="{B4B84E51-EAE3-4774-96FA-05BC390FA94E}"/>
    <hyperlink ref="J2418" r:id="rId14558" display="https://statiz.sporki.com/player/?m=playerinfo&amp;p_no=2273" xr:uid="{F8B0D7AB-1787-462F-A629-5F3271A01928}"/>
    <hyperlink ref="J2419" r:id="rId14559" display="https://statiz.sporki.com/player/?m=playerinfo&amp;p_no=2281" xr:uid="{10B71876-1190-4C90-B66B-07E7768A7B64}"/>
    <hyperlink ref="J2420" r:id="rId14560" display="https://statiz.sporki.com/player/?m=playerinfo&amp;p_no=2285" xr:uid="{734D1937-9153-430C-A017-AFC9315BD01F}"/>
    <hyperlink ref="J2421" r:id="rId14561" display="https://statiz.sporki.com/player/?m=playerinfo&amp;p_no=2290" xr:uid="{B2C4E500-6B7F-4A69-A5A3-D3C42CF1DCEF}"/>
    <hyperlink ref="J2422" r:id="rId14562" display="https://statiz.sporki.com/player/?m=playerinfo&amp;p_no=2295" xr:uid="{B3C7FF8B-DCB3-466D-AA9A-51D2F8D306DB}"/>
    <hyperlink ref="J2423" r:id="rId14563" display="https://statiz.sporki.com/player/?m=playerinfo&amp;p_no=2300" xr:uid="{19E501B9-6EC9-49BA-B832-0430E292C70D}"/>
    <hyperlink ref="J2424" r:id="rId14564" display="https://statiz.sporki.com/player/?m=playerinfo&amp;p_no=2277" xr:uid="{9F3A635A-B23E-442C-AA0F-4EDFD96C01F7}"/>
    <hyperlink ref="J2425" r:id="rId14565" display="https://statiz.sporki.com/player/?m=playerinfo&amp;p_no=2270" xr:uid="{F9F300B2-72EF-4136-9E21-57B0FDF61695}"/>
    <hyperlink ref="J2426" r:id="rId14566" display="https://statiz.sporki.com/player/?m=playerinfo&amp;p_no=10411" xr:uid="{DB434D42-CF6A-45D0-9EFC-3F05E491BE89}"/>
    <hyperlink ref="J2427" r:id="rId14567" display="https://statiz.sporki.com/player/?m=playerinfo&amp;p_no=2296" xr:uid="{2C99A557-68F7-4BFC-9927-720F31269EA1}"/>
    <hyperlink ref="J2428" r:id="rId14568" display="https://statiz.sporki.com/player/?m=playerinfo&amp;p_no=11457" xr:uid="{9482CCA3-C3C5-4736-A286-1AF5E138FB66}"/>
    <hyperlink ref="J2429" r:id="rId14569" display="https://statiz.sporki.com/player/?m=playerinfo&amp;p_no=2376" xr:uid="{BBAAFE4C-33D3-4AA9-8587-BC8BCCA6DC62}"/>
    <hyperlink ref="J2430" r:id="rId14570" display="https://statiz.sporki.com/player/?m=playerinfo&amp;p_no=10252" xr:uid="{9A2C3ABD-470F-4C0A-8485-C344A4BFC613}"/>
    <hyperlink ref="J2431" r:id="rId14571" display="https://statiz.sporki.com/player/?m=playerinfo&amp;p_no=10215" xr:uid="{8857907F-5C9A-4D5D-8E44-0CB8AD8BDCC6}"/>
    <hyperlink ref="J2432" r:id="rId14572" display="https://statiz.sporki.com/player/?m=playerinfo&amp;p_no=2303" xr:uid="{17E439EF-31D5-4921-939B-F4EB4E9C0DC8}"/>
    <hyperlink ref="J2433" r:id="rId14573" display="https://statiz.sporki.com/player/?m=playerinfo&amp;p_no=10605" xr:uid="{15853DE2-2C9A-408C-AEB4-CFBAA19FCEA5}"/>
    <hyperlink ref="J2434" r:id="rId14574" display="https://statiz.sporki.com/player/?m=playerinfo&amp;p_no=10177" xr:uid="{4B74976E-A0D4-4B1A-A872-44C55B680A8C}"/>
    <hyperlink ref="J2435" r:id="rId14575" display="https://statiz.sporki.com/player/?m=playerinfo&amp;p_no=2271" xr:uid="{EFB3540D-58C7-4CC9-97A0-0566A75A60C4}"/>
    <hyperlink ref="J2436" r:id="rId14576" display="https://statiz.sporki.com/player/?m=playerinfo&amp;p_no=10529" xr:uid="{792DD92E-4835-49A5-836C-72904F144237}"/>
    <hyperlink ref="J2437" r:id="rId14577" display="https://statiz.sporki.com/player/?m=playerinfo&amp;p_no=10295" xr:uid="{135841A3-2B44-48ED-A3BD-D557402DA9E6}"/>
    <hyperlink ref="J2438" r:id="rId14578" display="https://statiz.sporki.com/player/?m=playerinfo&amp;p_no=10599" xr:uid="{3A4233FD-32AE-4D71-A425-BA00E0628F79}"/>
    <hyperlink ref="J2439" r:id="rId14579" display="https://statiz.sporki.com/player/?m=playerinfo&amp;p_no=2415" xr:uid="{B53549BF-BB53-4100-933C-63F845FFCB60}"/>
    <hyperlink ref="J2440" r:id="rId14580" display="https://statiz.sporki.com/player/?m=playerinfo&amp;p_no=10695" xr:uid="{731D3ABA-E950-4FEB-94F0-DAE61CC5B77C}"/>
    <hyperlink ref="J2441" r:id="rId14581" display="https://statiz.sporki.com/player/?m=playerinfo&amp;p_no=10351" xr:uid="{25AF69AB-A681-4ECB-AF45-BCB64E74B3C1}"/>
    <hyperlink ref="J2442" r:id="rId14582" display="https://statiz.sporki.com/player/?m=playerinfo&amp;p_no=10090" xr:uid="{0F97268D-4ADA-49F0-A144-128ED45E5BC1}"/>
    <hyperlink ref="J2443" r:id="rId14583" display="https://statiz.sporki.com/player/?m=playerinfo&amp;p_no=10157" xr:uid="{E11AF5FC-E436-4752-9C11-D5801F477640}"/>
    <hyperlink ref="J2444" r:id="rId14584" display="https://statiz.sporki.com/player/?m=playerinfo&amp;p_no=10055" xr:uid="{57E51C52-9D88-4E9E-BE90-473C6904DF91}"/>
    <hyperlink ref="J2445" r:id="rId14585" display="https://statiz.sporki.com/player/?m=playerinfo&amp;p_no=2227" xr:uid="{14551258-701B-4244-8C72-9FE9D24B3BF9}"/>
    <hyperlink ref="J2446" r:id="rId14586" display="https://statiz.sporki.com/player/?m=playerinfo&amp;p_no=10142" xr:uid="{96E9FF93-B0C4-4634-B3C9-12D3E14FE201}"/>
    <hyperlink ref="J2447" r:id="rId14587" display="https://statiz.sporki.com/player/?m=playerinfo&amp;p_no=2329" xr:uid="{72358B6C-03B7-4FCD-B42B-BB2C04D2D713}"/>
    <hyperlink ref="J2448" r:id="rId14588" display="https://statiz.sporki.com/player/?m=playerinfo&amp;p_no=10171" xr:uid="{426C701A-8E9B-48E9-9A45-07271CD15B35}"/>
    <hyperlink ref="J2449" r:id="rId14589" display="https://statiz.sporki.com/player/?m=playerinfo&amp;p_no=10124" xr:uid="{D8808864-9171-4F8A-B866-83A4A2F17055}"/>
    <hyperlink ref="J2450" r:id="rId14590" display="https://statiz.sporki.com/player/?m=playerinfo&amp;p_no=10329" xr:uid="{8EDC3E2C-A045-49D9-B2DE-7FE4768ABEA0}"/>
    <hyperlink ref="J2451" r:id="rId14591" display="https://statiz.sporki.com/player/?m=playerinfo&amp;p_no=2261" xr:uid="{6A8E9AD2-E240-4072-A4EC-2969777321D9}"/>
    <hyperlink ref="J2452" r:id="rId14592" display="https://statiz.sporki.com/player/?m=playerinfo&amp;p_no=10440" xr:uid="{E0401754-22B9-43F7-A4FA-CFE602790E41}"/>
    <hyperlink ref="J2453" r:id="rId14593" display="https://statiz.sporki.com/player/?m=playerinfo&amp;p_no=10049" xr:uid="{D3B6F26D-9049-4861-9D4B-054C08224496}"/>
    <hyperlink ref="J2454" r:id="rId14594" display="https://statiz.sporki.com/player/?m=playerinfo&amp;p_no=10388" xr:uid="{6703C39A-E6D8-4E0B-B809-795CE5F7073D}"/>
    <hyperlink ref="J2455" r:id="rId14595" display="https://statiz.sporki.com/player/?m=playerinfo&amp;p_no=10175" xr:uid="{B5ACDBE2-9057-48C2-908F-28A37A7A9FDB}"/>
    <hyperlink ref="J2456" r:id="rId14596" display="https://statiz.sporki.com/player/?m=playerinfo&amp;p_no=10290" xr:uid="{F7460E56-64F8-4A61-9A8E-770631EBE755}"/>
    <hyperlink ref="J2457" r:id="rId14597" display="https://statiz.sporki.com/player/?m=playerinfo&amp;p_no=10155" xr:uid="{7BDE2E3A-FCC0-4F1E-AFFA-A8ADAFC7E711}"/>
    <hyperlink ref="J2458" r:id="rId14598" display="https://statiz.sporki.com/player/?m=playerinfo&amp;p_no=10084" xr:uid="{E22C43FE-39E1-48D0-BDE9-88A38BE59F7B}"/>
    <hyperlink ref="J2459" r:id="rId14599" display="https://statiz.sporki.com/player/?m=playerinfo&amp;p_no=10462" xr:uid="{2C1798F3-E044-4B23-AB67-B48B77F41A08}"/>
    <hyperlink ref="J2460" r:id="rId14600" display="https://statiz.sporki.com/player/?m=playerinfo&amp;p_no=10086" xr:uid="{169B79CC-1D03-4045-9E43-E2DB0142B48C}"/>
    <hyperlink ref="J2461" r:id="rId14601" display="https://statiz.sporki.com/player/?m=playerinfo&amp;p_no=10325" xr:uid="{62939354-60C3-4A1D-A2AE-CC25ED5B28BB}"/>
    <hyperlink ref="J2462" r:id="rId14602" display="https://statiz.sporki.com/player/?m=playerinfo&amp;p_no=10221" xr:uid="{2A1EDD15-B3D2-4DF6-A6AE-3F0027164EEE}"/>
    <hyperlink ref="J2463" r:id="rId14603" display="https://statiz.sporki.com/player/?m=playerinfo&amp;p_no=10460" xr:uid="{5BE4FC4F-26B1-42F3-AAAB-289B7B26A04C}"/>
    <hyperlink ref="J2464" r:id="rId14604" display="https://statiz.sporki.com/player/?m=playerinfo&amp;p_no=11139" xr:uid="{35744190-CA35-449E-80E9-B485747FCCE5}"/>
    <hyperlink ref="J2465" r:id="rId14605" display="https://statiz.sporki.com/player/?m=playerinfo&amp;p_no=2252" xr:uid="{CD19955D-1D34-47E0-8318-8996BA0FFB82}"/>
    <hyperlink ref="J2466" r:id="rId14606" display="https://statiz.sporki.com/player/?m=playerinfo&amp;p_no=10435" xr:uid="{35EFB9D5-E22A-4A2A-B530-D85032CD7BB1}"/>
    <hyperlink ref="J2467" r:id="rId14607" display="https://statiz.sporki.com/player/?m=playerinfo&amp;p_no=2391" xr:uid="{EA4C4C2D-1C54-4FBE-876D-5E28A01198A4}"/>
    <hyperlink ref="J2468" r:id="rId14608" display="https://statiz.sporki.com/player/?m=playerinfo&amp;p_no=11460" xr:uid="{CC22A506-44E6-4C62-8175-4C08D5FE4F91}"/>
    <hyperlink ref="J2469" r:id="rId14609" display="https://statiz.sporki.com/player/?m=playerinfo&amp;p_no=2278" xr:uid="{35AB8606-F99D-4AA3-9481-0FCC10D2D5FD}"/>
    <hyperlink ref="J2470" r:id="rId14610" display="https://statiz.sporki.com/player/?m=playerinfo&amp;p_no=2283" xr:uid="{625D9334-58F5-492F-AE40-FD4BEF0B7C99}"/>
    <hyperlink ref="J2471" r:id="rId14611" display="https://statiz.sporki.com/player/?m=playerinfo&amp;p_no=10744" xr:uid="{C48E7C27-708F-4A81-925F-A9877884A219}"/>
    <hyperlink ref="J2472" r:id="rId14612" display="https://statiz.sporki.com/player/?m=playerinfo&amp;p_no=10364" xr:uid="{637AE498-DBA1-40DB-8627-AC91F03DC2FE}"/>
    <hyperlink ref="J2473" r:id="rId14613" display="https://statiz.sporki.com/player/?m=playerinfo&amp;p_no=2235" xr:uid="{4CCBC081-B3B2-4569-B592-8F330996A538}"/>
    <hyperlink ref="J2474" r:id="rId14614" display="https://statiz.sporki.com/player/?m=playerinfo&amp;p_no=10762" xr:uid="{16534E73-01E0-4C4B-8D01-C6D6E70BD318}"/>
    <hyperlink ref="J2475" r:id="rId14615" display="https://statiz.sporki.com/player/?m=playerinfo&amp;p_no=10135" xr:uid="{703BA197-EBFB-414D-A829-9485B46FBAC6}"/>
    <hyperlink ref="J2476" r:id="rId14616" display="https://statiz.sporki.com/player/?m=playerinfo&amp;p_no=2379" xr:uid="{4FBBDA31-FEF3-47F4-A810-DC727A4D2A33}"/>
    <hyperlink ref="J2477" r:id="rId14617" display="https://statiz.sporki.com/player/?m=playerinfo&amp;p_no=10031" xr:uid="{70CDF7DC-4B84-4358-8239-BE9C527F57F4}"/>
    <hyperlink ref="J2478" r:id="rId14618" display="https://statiz.sporki.com/player/?m=playerinfo&amp;p_no=10344" xr:uid="{E27F586A-52EC-421F-9E16-2262C4EF908C}"/>
    <hyperlink ref="J2479" r:id="rId14619" display="https://statiz.sporki.com/player/?m=playerinfo&amp;p_no=10074" xr:uid="{C714935D-F7D2-445C-B4BC-AF12548F3B6C}"/>
    <hyperlink ref="J2480" r:id="rId14620" display="https://statiz.sporki.com/player/?m=playerinfo&amp;p_no=11123" xr:uid="{3EEFCE6D-09E7-414D-8F8A-C9264DE5001E}"/>
    <hyperlink ref="J2481" r:id="rId14621" display="https://statiz.sporki.com/player/?m=playerinfo&amp;p_no=10582" xr:uid="{6BF6D43C-DA2D-4CDE-B4A4-33C182D544EC}"/>
    <hyperlink ref="J2482" r:id="rId14622" display="https://statiz.sporki.com/player/?m=playerinfo&amp;p_no=2240" xr:uid="{5D9C94D4-E5E4-4B57-8360-8C4AEB0B98A1}"/>
    <hyperlink ref="J2483" r:id="rId14623" display="https://statiz.sporki.com/player/?m=playerinfo&amp;p_no=10553" xr:uid="{38734229-5C5A-45A4-A462-70E8681EAE2E}"/>
    <hyperlink ref="J2484" r:id="rId14624" display="https://statiz.sporki.com/player/?m=playerinfo&amp;p_no=10255" xr:uid="{6297822A-F44B-450C-BBB4-387D97A2F500}"/>
    <hyperlink ref="J2485" r:id="rId14625" display="https://statiz.sporki.com/player/?m=playerinfo&amp;p_no=10378" xr:uid="{7C43816E-B943-499E-A4CF-A82E8BF64D1B}"/>
    <hyperlink ref="J2486" r:id="rId14626" display="https://statiz.sporki.com/player/?m=playerinfo&amp;p_no=2243" xr:uid="{21969E94-438E-4069-B1C8-1132232F6BAB}"/>
    <hyperlink ref="J2487" r:id="rId14627" display="https://statiz.sporki.com/player/?m=playerinfo&amp;p_no=10150" xr:uid="{012EFB01-729D-4D38-9CF4-F1C5C92D40DA}"/>
    <hyperlink ref="J2488" r:id="rId14628" display="https://statiz.sporki.com/player/?m=playerinfo&amp;p_no=10240" xr:uid="{2982E16B-77C7-41AE-BB53-7735003AF705}"/>
    <hyperlink ref="J2489" r:id="rId14629" display="https://statiz.sporki.com/player/?m=playerinfo&amp;p_no=10555" xr:uid="{00EA007C-6752-4627-B047-6377A75F390D}"/>
    <hyperlink ref="J2490" r:id="rId14630" display="https://statiz.sporki.com/player/?m=playerinfo&amp;p_no=10375" xr:uid="{97B120A3-605A-4DD2-B5BB-F2C26F2305F3}"/>
    <hyperlink ref="J2491" r:id="rId14631" display="https://statiz.sporki.com/player/?m=playerinfo&amp;p_no=10697" xr:uid="{F1525F4A-F8FC-4C4C-AAD6-E167A3D9EF6C}"/>
    <hyperlink ref="J2492" r:id="rId14632" display="https://statiz.sporki.com/player/?m=playerinfo&amp;p_no=2259" xr:uid="{7BC1B894-211B-44EF-A6A3-D7B64DE6DF4F}"/>
    <hyperlink ref="J2493" r:id="rId14633" display="https://statiz.sporki.com/player/?m=playerinfo&amp;p_no=10571" xr:uid="{39D123F3-19A2-474E-9B5B-40E2F9B7D435}"/>
    <hyperlink ref="J2494" r:id="rId14634" display="https://statiz.sporki.com/player/?m=playerinfo&amp;p_no=2266" xr:uid="{0BC7C7FE-6C85-4CC0-A15A-7B8DEC3286EA}"/>
    <hyperlink ref="J2495" r:id="rId14635" display="https://statiz.sporki.com/player/?m=playerinfo&amp;p_no=2231" xr:uid="{05AFE9FE-2229-494E-922F-B7EB23D08F0E}"/>
    <hyperlink ref="J2496" r:id="rId14636" display="https://statiz.sporki.com/player/?m=playerinfo&amp;p_no=2254" xr:uid="{53ADD4F0-B075-4992-948D-B3A7CA80E667}"/>
    <hyperlink ref="J2497" r:id="rId14637" display="https://statiz.sporki.com/player/?m=playerinfo&amp;p_no=2247" xr:uid="{8BE478DA-AC08-497B-9240-086EA7A2A9DF}"/>
    <hyperlink ref="J2498" r:id="rId14638" display="https://statiz.sporki.com/player/?m=playerinfo&amp;p_no=2255" xr:uid="{8B8A7241-18F4-49A7-BE4D-A1D1B9D7562A}"/>
    <hyperlink ref="J2499" r:id="rId14639" display="https://statiz.sporki.com/player/?m=playerinfo&amp;p_no=2265" xr:uid="{ACF4BFE0-F72B-4326-AE3A-C132B143FE2B}"/>
    <hyperlink ref="J2500" r:id="rId14640" display="https://statiz.sporki.com/player/?m=playerinfo&amp;p_no=2253" xr:uid="{2E154E7A-E6EA-47ED-91DB-B922D02F80A6}"/>
    <hyperlink ref="J2501" r:id="rId14641" display="https://statiz.sporki.com/player/?m=playerinfo&amp;p_no=2246" xr:uid="{58EC12E5-89FA-497C-95D6-943BEDD6F4A2}"/>
    <hyperlink ref="J2502" r:id="rId14642" display="https://statiz.sporki.com/player/?m=playerinfo&amp;p_no=2241" xr:uid="{61E490C9-67AA-4A5F-8C67-241DCF8B5603}"/>
    <hyperlink ref="J2503" r:id="rId14643" display="https://statiz.sporki.com/player/?m=playerinfo&amp;p_no=2256" xr:uid="{4E755E11-F70D-454D-A601-AB795C9BE6BF}"/>
    <hyperlink ref="J2504" r:id="rId14644" display="https://statiz.sporki.com/player/?m=playerinfo&amp;p_no=2250" xr:uid="{6D8502D2-E5AC-4536-B0F7-20A6D09EAE74}"/>
    <hyperlink ref="J2505" r:id="rId14645" display="https://statiz.sporki.com/player/?m=playerinfo&amp;p_no=2234" xr:uid="{931BCB93-6656-4E16-9228-51136F0A9F3B}"/>
    <hyperlink ref="J2506" r:id="rId14646" display="https://statiz.sporki.com/player/?m=playerinfo&amp;p_no=2268" xr:uid="{EF2BD399-39CD-4943-9BA6-A95186158951}"/>
    <hyperlink ref="J2507" r:id="rId14647" display="https://statiz.sporki.com/player/?m=playerinfo&amp;p_no=2260" xr:uid="{7EA0388F-B350-4E2D-9C73-B571F1616907}"/>
    <hyperlink ref="J2508" r:id="rId14648" display="https://statiz.sporki.com/player/?m=playerinfo&amp;p_no=2225" xr:uid="{747722DC-0067-47E3-8E28-4A782A799A4C}"/>
    <hyperlink ref="J2509" r:id="rId14649" display="https://statiz.sporki.com/player/?m=playerinfo&amp;p_no=2269" xr:uid="{7B0E60F0-6C1E-4055-BB0B-F4359CDF0F41}"/>
    <hyperlink ref="J2510" r:id="rId14650" display="https://statiz.sporki.com/player/?m=playerinfo&amp;p_no=2248" xr:uid="{3EA5C317-1CEC-4138-95B6-D9EA45060BC7}"/>
    <hyperlink ref="J2511" r:id="rId14651" display="https://statiz.sporki.com/player/?m=playerinfo&amp;p_no=2249" xr:uid="{1289FD08-4E78-489F-83EA-EFD613245461}"/>
    <hyperlink ref="J2512" r:id="rId14652" display="https://statiz.sporki.com/player/?m=playerinfo&amp;p_no=2257" xr:uid="{E4F44520-DC13-46D1-8BAB-F3BA8ECA0C2D}"/>
    <hyperlink ref="J2513" r:id="rId14653" display="https://statiz.sporki.com/player/?m=playerinfo&amp;p_no=2267" xr:uid="{BAD55E55-5058-479E-B9D5-95F73BDDC060}"/>
    <hyperlink ref="J2514" r:id="rId14654" display="https://statiz.sporki.com/player/?m=playerinfo&amp;p_no=2238" xr:uid="{CABD5D67-B814-4BAA-B00B-D8B2002E74C5}"/>
    <hyperlink ref="J2515" r:id="rId14655" display="https://statiz.sporki.com/player/?m=playerinfo&amp;p_no=10489" xr:uid="{B1D05C49-CF4F-43FB-BEFD-183D0ED1A17F}"/>
    <hyperlink ref="J2516" r:id="rId14656" display="https://statiz.sporki.com/player/?m=playerinfo&amp;p_no=2258" xr:uid="{CEA90065-EE67-4553-9974-AEF47100C4ED}"/>
    <hyperlink ref="J2517" r:id="rId14657" display="https://statiz.sporki.com/player/?m=playerinfo&amp;p_no=2232" xr:uid="{1744C6B5-D684-41C1-9B0A-2477BC70AAEB}"/>
    <hyperlink ref="J2518" r:id="rId14658" display="https://statiz.sporki.com/player/?m=playerinfo&amp;p_no=2264" xr:uid="{AD118A30-8BD2-46F7-A281-A503060F9E4B}"/>
    <hyperlink ref="J2519" r:id="rId14659" display="https://statiz.sporki.com/player/?m=playerinfo&amp;p_no=2228" xr:uid="{8CC5E60F-8DBC-46FB-9468-4E98CC389D41}"/>
    <hyperlink ref="J2520" r:id="rId14660" display="https://statiz.sporki.com/player/?m=playerinfo&amp;p_no=2219" xr:uid="{41E4B870-A7F3-4F21-90D1-CF6FF91A0F3C}"/>
    <hyperlink ref="J2521" r:id="rId14661" display="https://statiz.sporki.com/player/?m=playerinfo&amp;p_no=10450" xr:uid="{AC512D11-6759-417D-B35B-B21A258EC6DE}"/>
    <hyperlink ref="J2522" r:id="rId14662" display="https://statiz.sporki.com/player/?m=playerinfo&amp;p_no=10524" xr:uid="{7319D077-26F9-4E05-B496-E126456A51E2}"/>
    <hyperlink ref="J2523" r:id="rId14663" display="https://statiz.sporki.com/player/?m=playerinfo&amp;p_no=10083" xr:uid="{69CE3322-1FF4-48B4-A6BE-0A33E103ACC3}"/>
    <hyperlink ref="J2524" r:id="rId14664" display="https://statiz.sporki.com/player/?m=playerinfo&amp;p_no=10552" xr:uid="{2011CF5D-97BE-42E1-87BF-1D322099D05C}"/>
    <hyperlink ref="J2525" r:id="rId14665" display="https://statiz.sporki.com/player/?m=playerinfo&amp;p_no=10198" xr:uid="{2C464FEB-A53E-4925-A9ED-B27B12694334}"/>
    <hyperlink ref="J2526" r:id="rId14666" display="https://statiz.sporki.com/player/?m=playerinfo&amp;p_no=10183" xr:uid="{96FF14FC-BB02-4EFE-AFE8-086586BAC53C}"/>
    <hyperlink ref="J2527" r:id="rId14667" display="https://statiz.sporki.com/player/?m=playerinfo&amp;p_no=2193" xr:uid="{36BB4370-0CD1-4285-B958-09C6057BAEEE}"/>
    <hyperlink ref="J2528" r:id="rId14668" display="https://statiz.sporki.com/player/?m=playerinfo&amp;p_no=2203" xr:uid="{09B8A2F9-1DFA-462B-BFF7-0B6C0662E6E1}"/>
    <hyperlink ref="J2529" r:id="rId14669" display="https://statiz.sporki.com/player/?m=playerinfo&amp;p_no=10045" xr:uid="{EFD95FED-58C3-4AD3-93CB-5501E63B53C8}"/>
    <hyperlink ref="J2530" r:id="rId14670" display="https://statiz.sporki.com/player/?m=playerinfo&amp;p_no=2263" xr:uid="{418D4FE4-7E67-45AF-8693-06AFECE115F8}"/>
    <hyperlink ref="J2531" r:id="rId14671" display="https://statiz.sporki.com/player/?m=playerinfo&amp;p_no=10088" xr:uid="{49812CB2-9674-4B69-BAA2-B368307547D5}"/>
    <hyperlink ref="J2532" r:id="rId14672" display="https://statiz.sporki.com/player/?m=playerinfo&amp;p_no=10251" xr:uid="{07E06287-680D-4EE9-8E37-E8481158F2E4}"/>
    <hyperlink ref="J2533" r:id="rId14673" display="https://statiz.sporki.com/player/?m=playerinfo&amp;p_no=2192" xr:uid="{94548038-AEB6-4D65-B84D-78FC9F83FBA5}"/>
    <hyperlink ref="J2534" r:id="rId14674" display="https://statiz.sporki.com/player/?m=playerinfo&amp;p_no=10584" xr:uid="{E1F50555-DE37-456A-9D94-39CC7EDE0B55}"/>
    <hyperlink ref="J2535" r:id="rId14675" display="https://statiz.sporki.com/player/?m=playerinfo&amp;p_no=10416" xr:uid="{49D3F44A-C39C-4DD0-872F-96E3755BD2D1}"/>
    <hyperlink ref="J2536" r:id="rId14676" display="https://statiz.sporki.com/player/?m=playerinfo&amp;p_no=2389" xr:uid="{22C35B6B-E294-477C-9778-B64E28E96B27}"/>
    <hyperlink ref="J2537" r:id="rId14677" display="https://statiz.sporki.com/player/?m=playerinfo&amp;p_no=10108" xr:uid="{F69FFAE9-CCA6-4054-B7AA-691BB67C857D}"/>
    <hyperlink ref="J2538" r:id="rId14678" display="https://statiz.sporki.com/player/?m=playerinfo&amp;p_no=2194" xr:uid="{0F384874-7744-43F8-B6B4-35FF89BA4083}"/>
    <hyperlink ref="J2539" r:id="rId14679" display="https://statiz.sporki.com/player/?m=playerinfo&amp;p_no=11398" xr:uid="{31403920-53D2-489D-9EB8-4747EBDB95FC}"/>
    <hyperlink ref="J2540" r:id="rId14680" display="https://statiz.sporki.com/player/?m=playerinfo&amp;p_no=10330" xr:uid="{1FAD5692-1F85-40EA-93C5-604DF435779F}"/>
    <hyperlink ref="J2541" r:id="rId14681" display="https://statiz.sporki.com/player/?m=playerinfo&amp;p_no=10028" xr:uid="{8819BB25-AEC6-4508-94C5-50B4CC60AA59}"/>
    <hyperlink ref="J2542" r:id="rId14682" display="https://statiz.sporki.com/player/?m=playerinfo&amp;p_no=2331" xr:uid="{604F6C59-4B61-4C48-8259-4354EF923FAB}"/>
    <hyperlink ref="J2543" r:id="rId14683" display="https://statiz.sporki.com/player/?m=playerinfo&amp;p_no=10242" xr:uid="{9B6260A4-1374-4CF2-85B8-FA013AD9944B}"/>
    <hyperlink ref="J2544" r:id="rId14684" display="https://statiz.sporki.com/player/?m=playerinfo&amp;p_no=2175" xr:uid="{B7B5E893-8F17-4A87-A1C2-AFAF22AAA421}"/>
    <hyperlink ref="J2545" r:id="rId14685" display="https://statiz.sporki.com/player/?m=playerinfo&amp;p_no=2177" xr:uid="{2A943D01-02AB-4A94-A40C-66660DBE39E2}"/>
    <hyperlink ref="J2546" r:id="rId14686" display="https://statiz.sporki.com/player/?m=playerinfo&amp;p_no=10442" xr:uid="{42CB3107-E893-4430-98DD-DEB45E970FF4}"/>
    <hyperlink ref="J2547" r:id="rId14687" display="https://statiz.sporki.com/player/?m=playerinfo&amp;p_no=2262" xr:uid="{216AC62A-3FE7-468A-BBC2-E370A43A655B}"/>
    <hyperlink ref="J2548" r:id="rId14688" display="https://statiz.sporki.com/player/?m=playerinfo&amp;p_no=2182" xr:uid="{DDA3515A-8C8C-4CD0-A6FD-CA5ECBDDE3C9}"/>
    <hyperlink ref="J2549" r:id="rId14689" display="https://statiz.sporki.com/player/?m=playerinfo&amp;p_no=10243" xr:uid="{2A46FC39-BFDD-44FE-9888-5C62D20CD860}"/>
    <hyperlink ref="J2550" r:id="rId14690" display="https://statiz.sporki.com/player/?m=playerinfo&amp;p_no=10438" xr:uid="{445B007F-3C9A-42B2-B5F7-6B0EB7ABC445}"/>
    <hyperlink ref="J2551" r:id="rId14691" display="https://statiz.sporki.com/player/?m=playerinfo&amp;p_no=2205" xr:uid="{9C282455-EDDC-437F-997F-BCD981352ACD}"/>
    <hyperlink ref="J2552" r:id="rId14692" display="https://statiz.sporki.com/player/?m=playerinfo&amp;p_no=2251" xr:uid="{951D267B-9520-436B-B056-26E85F00B013}"/>
    <hyperlink ref="J2553" r:id="rId14693" display="https://statiz.sporki.com/player/?m=playerinfo&amp;p_no=10664" xr:uid="{4EA31165-AD86-4EC6-9538-BB43681E0F15}"/>
    <hyperlink ref="J2554" r:id="rId14694" display="https://statiz.sporki.com/player/?m=playerinfo&amp;p_no=10796" xr:uid="{E22A535D-1345-49C2-BC71-5E20E323B98F}"/>
    <hyperlink ref="J2555" r:id="rId14695" display="https://statiz.sporki.com/player/?m=playerinfo&amp;p_no=10161" xr:uid="{9C4C8F9B-7ABD-4B62-B8F0-B4A490AE1C5D}"/>
    <hyperlink ref="J2556" r:id="rId14696" display="https://statiz.sporki.com/player/?m=playerinfo&amp;p_no=10406" xr:uid="{2D2BFA8D-2A80-40B8-B03A-8E34160BA0E6}"/>
    <hyperlink ref="J2557" r:id="rId14697" display="https://statiz.sporki.com/player/?m=playerinfo&amp;p_no=10389" xr:uid="{C177C2CD-E907-4817-AD0F-963F864B7B8B}"/>
    <hyperlink ref="J2558" r:id="rId14698" display="https://statiz.sporki.com/player/?m=playerinfo&amp;p_no=10393" xr:uid="{00943FF2-AA66-420B-B28B-E1BD309C1F00}"/>
    <hyperlink ref="J2559" r:id="rId14699" display="https://statiz.sporki.com/player/?m=playerinfo&amp;p_no=2212" xr:uid="{AB4C4BED-92CF-4B02-9088-DEECAB52E764}"/>
    <hyperlink ref="J2560" r:id="rId14700" display="https://statiz.sporki.com/player/?m=playerinfo&amp;p_no=10006" xr:uid="{89569DB3-C841-45C8-8F9E-4D497A0C75F0}"/>
    <hyperlink ref="J2561" r:id="rId14701" display="https://statiz.sporki.com/player/?m=playerinfo&amp;p_no=10006" xr:uid="{4058ADE7-F997-41F4-8401-B9E45AC4F674}"/>
    <hyperlink ref="J2562" r:id="rId14702" display="https://statiz.sporki.com/player/?m=playerinfo&amp;p_no=2292" xr:uid="{B63AE9CA-8EF2-4F95-A6F1-52544C61CD0F}"/>
    <hyperlink ref="J2563" r:id="rId14703" display="https://statiz.sporki.com/player/?m=playerinfo&amp;p_no=2347" xr:uid="{B64CF771-C0CF-4DA5-A6AB-A8A649FEF4D9}"/>
    <hyperlink ref="J2564" r:id="rId14704" display="https://statiz.sporki.com/player/?m=playerinfo&amp;p_no=10112" xr:uid="{145FF843-648D-4E5B-BD91-14E27D4C9805}"/>
    <hyperlink ref="J2565" r:id="rId14705" display="https://statiz.sporki.com/player/?m=playerinfo&amp;p_no=2352" xr:uid="{8E7DEAC9-1AE1-4A35-B451-2A63DF224140}"/>
    <hyperlink ref="J2566" r:id="rId14706" display="https://statiz.sporki.com/player/?m=playerinfo&amp;p_no=10076" xr:uid="{6C9DF052-5342-49AA-BF94-77F27798D09E}"/>
    <hyperlink ref="J2567" r:id="rId14707" display="https://statiz.sporki.com/player/?m=playerinfo&amp;p_no=2382" xr:uid="{94046B05-2718-4442-989C-8082500A0310}"/>
    <hyperlink ref="J2568" r:id="rId14708" display="https://statiz.sporki.com/player/?m=playerinfo&amp;p_no=10665" xr:uid="{BA56251D-B3E3-43C9-8471-B2F826963D8D}"/>
    <hyperlink ref="J2569" r:id="rId14709" display="https://statiz.sporki.com/player/?m=playerinfo&amp;p_no=2196" xr:uid="{39A036B5-1DC0-49A6-9AED-E9878987E138}"/>
    <hyperlink ref="J2570" r:id="rId14710" display="https://statiz.sporki.com/player/?m=playerinfo&amp;p_no=2174" xr:uid="{E3211C93-C936-42FD-812C-99762A8C358F}"/>
    <hyperlink ref="J2571" r:id="rId14711" display="https://statiz.sporki.com/player/?m=playerinfo&amp;p_no=2198" xr:uid="{537E6D1D-3EF3-428F-B705-BF9DE52486AB}"/>
    <hyperlink ref="J2572" r:id="rId14712" display="https://statiz.sporki.com/player/?m=playerinfo&amp;p_no=2198" xr:uid="{49F4A9D7-D20F-49B6-B7E6-714A5A0201CF}"/>
    <hyperlink ref="J2573" r:id="rId14713" display="https://statiz.sporki.com/player/?m=playerinfo&amp;p_no=2201" xr:uid="{EB30BCE6-F89B-407B-A38E-D676C4A4299E}"/>
    <hyperlink ref="J2574" r:id="rId14714" display="https://statiz.sporki.com/player/?m=playerinfo&amp;p_no=2220" xr:uid="{D38B817E-E1D6-4251-A6BB-A53C291AD46A}"/>
    <hyperlink ref="J2575" r:id="rId14715" display="https://statiz.sporki.com/player/?m=playerinfo&amp;p_no=2202" xr:uid="{75C96EE0-9320-43AA-A412-0D18BB605B9E}"/>
    <hyperlink ref="J2576" r:id="rId14716" display="https://statiz.sporki.com/player/?m=playerinfo&amp;p_no=2207" xr:uid="{FFCD4939-C387-4253-B0E4-239176E00A26}"/>
    <hyperlink ref="J2577" r:id="rId14717" display="https://statiz.sporki.com/player/?m=playerinfo&amp;p_no=2209" xr:uid="{93B64D82-F798-463D-91CE-9B3D731F725C}"/>
    <hyperlink ref="J2578" r:id="rId14718" display="https://statiz.sporki.com/player/?m=playerinfo&amp;p_no=2179" xr:uid="{AD2E291B-E5E4-4943-B759-4CBC638F1673}"/>
    <hyperlink ref="J2579" r:id="rId14719" display="https://statiz.sporki.com/player/?m=playerinfo&amp;p_no=2169" xr:uid="{969850E2-5504-4D70-A9E8-C03BC2423023}"/>
    <hyperlink ref="J2580" r:id="rId14720" display="https://statiz.sporki.com/player/?m=playerinfo&amp;p_no=2208" xr:uid="{5B08D217-A41A-4826-AB57-FEC1A087D3BC}"/>
    <hyperlink ref="J2581" r:id="rId14721" display="https://statiz.sporki.com/player/?m=playerinfo&amp;p_no=2178" xr:uid="{D8708682-C3CA-4D16-871A-3CD82B2ECBCD}"/>
    <hyperlink ref="J2582" r:id="rId14722" display="https://statiz.sporki.com/player/?m=playerinfo&amp;p_no=2197" xr:uid="{0568AF3F-A787-418F-A71D-BF457BA92961}"/>
    <hyperlink ref="J2583" r:id="rId14723" display="https://statiz.sporki.com/player/?m=playerinfo&amp;p_no=2199" xr:uid="{39D55F3A-ED03-47B8-9F5E-E2A81E8F6078}"/>
    <hyperlink ref="J2584" r:id="rId14724" display="https://statiz.sporki.com/player/?m=playerinfo&amp;p_no=2224" xr:uid="{C8C561AB-E98D-4605-8D6E-CA83D8A4C679}"/>
    <hyperlink ref="J2585" r:id="rId14725" display="https://statiz.sporki.com/player/?m=playerinfo&amp;p_no=2189" xr:uid="{40E56A05-B19D-4F15-B880-06D443706AE0}"/>
    <hyperlink ref="J2586" r:id="rId14726" display="https://statiz.sporki.com/player/?m=playerinfo&amp;p_no=2171" xr:uid="{EB979200-664A-4E4C-BD2B-A3BB50DFD782}"/>
    <hyperlink ref="J2587" r:id="rId14727" display="https://statiz.sporki.com/player/?m=playerinfo&amp;p_no=2221" xr:uid="{DFAB5846-B81A-4F98-8198-D8D558877EAF}"/>
    <hyperlink ref="J2588" r:id="rId14728" display="https://statiz.sporki.com/player/?m=playerinfo&amp;p_no=2214" xr:uid="{0D6AA9DA-8325-4C74-8FBB-9209804E07DE}"/>
    <hyperlink ref="J2589" r:id="rId14729" display="https://statiz.sporki.com/player/?m=playerinfo&amp;p_no=2213" xr:uid="{A1D6EB7A-25C2-4E48-8CC1-563C7B0429E4}"/>
    <hyperlink ref="J2590" r:id="rId14730" display="https://statiz.sporki.com/player/?m=playerinfo&amp;p_no=2200" xr:uid="{A9080835-16A6-4641-8210-20940E2AAED8}"/>
    <hyperlink ref="J2591" r:id="rId14731" display="https://statiz.sporki.com/player/?m=playerinfo&amp;p_no=2195" xr:uid="{B117D5ED-F1AE-4C61-83F6-1EF64DC56B50}"/>
    <hyperlink ref="J2592" r:id="rId14732" display="https://statiz.sporki.com/player/?m=playerinfo&amp;p_no=2210" xr:uid="{04855CC0-CAE1-4159-976C-0A487FE07E67}"/>
    <hyperlink ref="J2593" r:id="rId14733" display="https://statiz.sporki.com/player/?m=playerinfo&amp;p_no=2211" xr:uid="{A55C7C59-9262-4273-8319-414B4C7B3697}"/>
    <hyperlink ref="J2594" r:id="rId14734" display="https://statiz.sporki.com/player/?m=playerinfo&amp;p_no=2223" xr:uid="{5A0E64D9-8C4C-42F8-A50D-30A796473B6E}"/>
    <hyperlink ref="J2595" r:id="rId14735" display="https://statiz.sporki.com/player/?m=playerinfo&amp;p_no=2188" xr:uid="{5B43F438-5D1D-400A-B96B-8915B7885537}"/>
    <hyperlink ref="J2596" r:id="rId14736" display="https://statiz.sporki.com/player/?m=playerinfo&amp;p_no=2407" xr:uid="{66DD85FD-A817-4EDC-A1BB-8D43D1B0E26C}"/>
    <hyperlink ref="J2597" r:id="rId14737" display="https://statiz.sporki.com/player/?m=playerinfo&amp;p_no=2170" xr:uid="{94633004-E92E-41A4-AD3E-E3C5E0D6DD0C}"/>
    <hyperlink ref="J2598" r:id="rId14738" display="https://statiz.sporki.com/player/?m=playerinfo&amp;p_no=2183" xr:uid="{39B23D70-E321-4A15-898C-B3A57C039B1E}"/>
    <hyperlink ref="J2599" r:id="rId14739" display="https://statiz.sporki.com/player/?m=playerinfo&amp;p_no=2166" xr:uid="{0139480E-B275-45B2-A85D-CD003D0E3911}"/>
    <hyperlink ref="J2600" r:id="rId14740" display="https://statiz.sporki.com/player/?m=playerinfo&amp;p_no=10558" xr:uid="{8B55D87E-2169-4EAD-9A8E-84A4E98FD95A}"/>
    <hyperlink ref="J2601" r:id="rId14741" display="https://statiz.sporki.com/player/?m=playerinfo&amp;p_no=10041" xr:uid="{12FEF579-E0BA-4EAB-A64F-B32204959845}"/>
    <hyperlink ref="J2602" r:id="rId14742" display="https://statiz.sporki.com/player/?m=playerinfo&amp;p_no=2146" xr:uid="{AB7D7DE4-3BAF-40D4-878A-16E59DF80FC6}"/>
    <hyperlink ref="J2603" r:id="rId14743" display="https://statiz.sporki.com/player/?m=playerinfo&amp;p_no=10147" xr:uid="{3EBDBE87-35A3-45C3-93D2-D9A154A35701}"/>
    <hyperlink ref="J2604" r:id="rId14744" display="https://statiz.sporki.com/player/?m=playerinfo&amp;p_no=10226" xr:uid="{57B5AFDF-4613-40E5-84C2-A1C19480A08F}"/>
    <hyperlink ref="J2605" r:id="rId14745" display="https://statiz.sporki.com/player/?m=playerinfo&amp;p_no=2340" xr:uid="{2E1384B8-D53C-498E-9A3A-834712E7FFA6}"/>
    <hyperlink ref="J2606" r:id="rId14746" display="https://statiz.sporki.com/player/?m=playerinfo&amp;p_no=2346" xr:uid="{39817F09-F4FB-46B1-9F1B-0C777940E4F3}"/>
    <hyperlink ref="J2607" r:id="rId14747" display="https://statiz.sporki.com/player/?m=playerinfo&amp;p_no=10362" xr:uid="{A010ABD6-C328-4273-9817-AA8285327600}"/>
    <hyperlink ref="J2608" r:id="rId14748" display="https://statiz.sporki.com/player/?m=playerinfo&amp;p_no=2155" xr:uid="{41139551-EB91-4651-B4AF-3CBD61662E07}"/>
    <hyperlink ref="J2609" r:id="rId14749" display="https://statiz.sporki.com/player/?m=playerinfo&amp;p_no=10239" xr:uid="{B8AC50BD-1FE2-443B-96E0-9DFEDC7D9248}"/>
    <hyperlink ref="J2610" r:id="rId14750" display="https://statiz.sporki.com/player/?m=playerinfo&amp;p_no=10592" xr:uid="{3A217242-72E2-4B59-8361-B819C6CAB664}"/>
    <hyperlink ref="J2611" r:id="rId14751" display="https://statiz.sporki.com/player/?m=playerinfo&amp;p_no=10559" xr:uid="{28166DB8-0BBA-453F-A9AB-EC088875521A}"/>
    <hyperlink ref="J2612" r:id="rId14752" display="https://statiz.sporki.com/player/?m=playerinfo&amp;p_no=10447" xr:uid="{B467AFD2-2A52-4E02-BF5F-79C2BACC2D23}"/>
    <hyperlink ref="J2613" r:id="rId14753" display="https://statiz.sporki.com/player/?m=playerinfo&amp;p_no=10502" xr:uid="{516F2832-4287-420B-9EF3-5DBB3229C3DD}"/>
    <hyperlink ref="J2614" r:id="rId14754" display="https://statiz.sporki.com/player/?m=playerinfo&amp;p_no=2312" xr:uid="{4445AB34-B967-45DD-AA75-7E486D01E4CC}"/>
    <hyperlink ref="J2615" r:id="rId14755" display="https://statiz.sporki.com/player/?m=playerinfo&amp;p_no=10241" xr:uid="{DBD5DD29-B64D-4776-93E2-F59AAEF7A9DB}"/>
    <hyperlink ref="J2616" r:id="rId14756" display="https://statiz.sporki.com/player/?m=playerinfo&amp;p_no=2237" xr:uid="{B058BAC8-CBDA-40D4-AEC1-7A4E13DD6FCC}"/>
    <hyperlink ref="J2617" r:id="rId14757" display="https://statiz.sporki.com/player/?m=playerinfo&amp;p_no=10139" xr:uid="{3FD33EFD-33C0-4569-BCEF-CBE6D3D74626}"/>
    <hyperlink ref="J2618" r:id="rId14758" display="https://statiz.sporki.com/player/?m=playerinfo&amp;p_no=10269" xr:uid="{0036EB69-F042-46AA-ABB7-E6C4FDF533B6}"/>
    <hyperlink ref="J2619" r:id="rId14759" display="https://statiz.sporki.com/player/?m=playerinfo&amp;p_no=10413" xr:uid="{8FEF216F-EB6F-422F-A788-D690A5B3D0D4}"/>
    <hyperlink ref="J2620" r:id="rId14760" display="https://statiz.sporki.com/player/?m=playerinfo&amp;p_no=10467" xr:uid="{A05969D2-6E34-4503-820D-FA318CE72849}"/>
    <hyperlink ref="J2621" r:id="rId14761" display="https://statiz.sporki.com/player/?m=playerinfo&amp;p_no=10260" xr:uid="{089A7F8E-1B8A-4DCE-8B44-757ABC1519B7}"/>
    <hyperlink ref="J2622" r:id="rId14762" display="https://statiz.sporki.com/player/?m=playerinfo&amp;p_no=2152" xr:uid="{7586B9E4-C7D5-48ED-B6CC-67F87A031D8E}"/>
    <hyperlink ref="J2623" r:id="rId14763" display="https://statiz.sporki.com/player/?m=playerinfo&amp;p_no=2304" xr:uid="{48A51FD9-2B5F-4C69-986B-7190F4E8D555}"/>
    <hyperlink ref="J2624" r:id="rId14764" display="https://statiz.sporki.com/player/?m=playerinfo&amp;p_no=10627" xr:uid="{1E0706C4-524D-40C6-951C-CF1280EF51D7}"/>
    <hyperlink ref="J2625" r:id="rId14765" display="https://statiz.sporki.com/player/?m=playerinfo&amp;p_no=2322" xr:uid="{42D3543A-6BF0-4B18-BDAE-0CB2DACFEBB2}"/>
    <hyperlink ref="J2626" r:id="rId14766" display="https://statiz.sporki.com/player/?m=playerinfo&amp;p_no=10666" xr:uid="{3C912B40-CDF8-4AD5-ACC4-40413EFC5B09}"/>
    <hyperlink ref="J2627" r:id="rId14767" display="https://statiz.sporki.com/player/?m=playerinfo&amp;p_no=10017" xr:uid="{66DC7A11-E65B-4F1C-BA3E-41B916930837}"/>
    <hyperlink ref="J2628" r:id="rId14768" display="https://statiz.sporki.com/player/?m=playerinfo&amp;p_no=10517" xr:uid="{71440A03-F48A-483C-9CFA-4534B8DFC7D1}"/>
    <hyperlink ref="J2629" r:id="rId14769" display="https://statiz.sporki.com/player/?m=playerinfo&amp;p_no=2392" xr:uid="{8963998D-6381-4FC4-AE5A-87388686AE2C}"/>
    <hyperlink ref="J2630" r:id="rId14770" display="https://statiz.sporki.com/player/?m=playerinfo&amp;p_no=10245" xr:uid="{C62C0657-623A-49D1-AEDE-E689F248FC70}"/>
    <hyperlink ref="J2631" r:id="rId14771" display="https://statiz.sporki.com/player/?m=playerinfo&amp;p_no=2317" xr:uid="{6415794F-2920-4476-B3F2-90E3D6EC1038}"/>
    <hyperlink ref="J2632" r:id="rId14772" display="https://statiz.sporki.com/player/?m=playerinfo&amp;p_no=10011" xr:uid="{6E9D46E1-58A4-4135-8E7A-3E3C680CA202}"/>
    <hyperlink ref="J2633" r:id="rId14773" display="https://statiz.sporki.com/player/?m=playerinfo&amp;p_no=2321" xr:uid="{49ADC226-0579-4717-B2E9-6A9E99259EF0}"/>
    <hyperlink ref="J2634" r:id="rId14774" display="https://statiz.sporki.com/player/?m=playerinfo&amp;p_no=10675" xr:uid="{2C286DD9-226D-4627-97BE-C588D943CFF4}"/>
    <hyperlink ref="J2635" r:id="rId14775" display="https://statiz.sporki.com/player/?m=playerinfo&amp;p_no=10007" xr:uid="{E265E233-A5E8-4648-9C8D-81D1C1657FED}"/>
    <hyperlink ref="J2636" r:id="rId14776" display="https://statiz.sporki.com/player/?m=playerinfo&amp;p_no=10428" xr:uid="{C9E81A19-2ACD-4DC0-AC67-F958CC3EFF9D}"/>
    <hyperlink ref="J2637" r:id="rId14777" display="https://statiz.sporki.com/player/?m=playerinfo&amp;p_no=15792" xr:uid="{4DDA648F-3829-42AF-ADD0-BCD29270D9FB}"/>
    <hyperlink ref="J2638" r:id="rId14778" display="https://statiz.sporki.com/player/?m=playerinfo&amp;p_no=10509" xr:uid="{8E8B7C7C-B8DC-4383-A9E3-97C83CB8870D}"/>
    <hyperlink ref="J2639" r:id="rId14779" display="https://statiz.sporki.com/player/?m=playerinfo&amp;p_no=2158" xr:uid="{5C62DE06-E44A-4C96-B390-C4C3C9A3299D}"/>
    <hyperlink ref="J2640" r:id="rId14780" display="https://statiz.sporki.com/player/?m=playerinfo&amp;p_no=2353" xr:uid="{A6DEE49C-4EAF-4327-80DC-083AD5BAFEAD}"/>
    <hyperlink ref="J2641" r:id="rId14781" display="https://statiz.sporki.com/player/?m=playerinfo&amp;p_no=2162" xr:uid="{BB39EF0D-768C-48F3-9051-8464CA376B79}"/>
    <hyperlink ref="J2642" r:id="rId14782" display="https://statiz.sporki.com/player/?m=playerinfo&amp;p_no=2320" xr:uid="{27F274BB-3574-4FF2-8802-32E32943CD54}"/>
    <hyperlink ref="J2643" r:id="rId14783" display="https://statiz.sporki.com/player/?m=playerinfo&amp;p_no=10096" xr:uid="{7525F7D7-9A54-438F-9E2E-6231927A663C}"/>
    <hyperlink ref="J2644" r:id="rId14784" display="https://statiz.sporki.com/player/?m=playerinfo&amp;p_no=2316" xr:uid="{A6C54EA0-54D1-4850-9C40-7B6089F4286C}"/>
    <hyperlink ref="J2645" r:id="rId14785" display="https://statiz.sporki.com/player/?m=playerinfo&amp;p_no=2360" xr:uid="{0B8F03E6-0D5B-4948-BA84-761F16C0F6DC}"/>
    <hyperlink ref="J2646" r:id="rId14786" display="https://statiz.sporki.com/player/?m=playerinfo&amp;p_no=2156" xr:uid="{24D66E97-385A-4B6E-8003-2517E2428083}"/>
    <hyperlink ref="J2647" r:id="rId14787" display="https://statiz.sporki.com/player/?m=playerinfo&amp;p_no=2173" xr:uid="{0BF1F4AC-2646-48DF-892E-2EDD84D658C0}"/>
    <hyperlink ref="J2648" r:id="rId14788" display="https://statiz.sporki.com/player/?m=playerinfo&amp;p_no=2348" xr:uid="{1A5B4A6F-7612-48F4-8A4C-3945D0FD4047}"/>
    <hyperlink ref="J2649" r:id="rId14789" display="https://statiz.sporki.com/player/?m=playerinfo&amp;p_no=10444" xr:uid="{F8F7D09A-08B1-4BD4-B430-18E6229F6795}"/>
    <hyperlink ref="J2650" r:id="rId14790" display="https://statiz.sporki.com/player/?m=playerinfo&amp;p_no=10518" xr:uid="{0214A57F-88F1-4499-A96B-E2F305A57D9F}"/>
    <hyperlink ref="J2651" r:id="rId14791" display="https://statiz.sporki.com/player/?m=playerinfo&amp;p_no=10138" xr:uid="{6BE25F9A-8DC4-4624-82DF-BF02FCC777B3}"/>
    <hyperlink ref="J2652" r:id="rId14792" display="https://statiz.sporki.com/player/?m=playerinfo&amp;p_no=2244" xr:uid="{92A33846-2DEB-4954-BCBE-B72152DF37F9}"/>
    <hyperlink ref="J2653" r:id="rId14793" display="https://statiz.sporki.com/player/?m=playerinfo&amp;p_no=2127" xr:uid="{92B39CCD-CE42-4900-994B-A58A7A85169B}"/>
    <hyperlink ref="J2654" r:id="rId14794" display="https://statiz.sporki.com/player/?m=playerinfo&amp;p_no=2161" xr:uid="{26FD4864-BEF2-4A70-9B1F-A7D9D8670466}"/>
    <hyperlink ref="J2655" r:id="rId14795" display="https://statiz.sporki.com/player/?m=playerinfo&amp;p_no=2115" xr:uid="{0C8DF634-1D07-4A73-ACD7-15AEA5546AC9}"/>
    <hyperlink ref="J2656" r:id="rId14796" display="https://statiz.sporki.com/player/?m=playerinfo&amp;p_no=2120" xr:uid="{D8BE605E-A95F-4DE5-BD93-4CC7EC99F6F8}"/>
    <hyperlink ref="J2657" r:id="rId14797" display="https://statiz.sporki.com/player/?m=playerinfo&amp;p_no=2143" xr:uid="{403213DC-C2BB-4B97-814C-3B995FBAAAD0}"/>
    <hyperlink ref="J2658" r:id="rId14798" display="https://statiz.sporki.com/player/?m=playerinfo&amp;p_no=2141" xr:uid="{AF716FBF-A2BB-4368-83A0-A8ECC6266BFF}"/>
    <hyperlink ref="J2659" r:id="rId14799" display="https://statiz.sporki.com/player/?m=playerinfo&amp;p_no=2135" xr:uid="{21292DEE-4802-4967-A3F9-0807188BE9E9}"/>
    <hyperlink ref="J2660" r:id="rId14800" display="https://statiz.sporki.com/player/?m=playerinfo&amp;p_no=2160" xr:uid="{FD1110A0-2160-42A5-BE41-A05D2998585A}"/>
    <hyperlink ref="J2661" r:id="rId14801" display="https://statiz.sporki.com/player/?m=playerinfo&amp;p_no=2124" xr:uid="{F633A2C0-ECF6-41B2-8C7A-DF06528819D4}"/>
    <hyperlink ref="J2662" r:id="rId14802" display="https://statiz.sporki.com/player/?m=playerinfo&amp;p_no=2144" xr:uid="{FE866E05-37A8-4A47-A8AF-70E5E3934388}"/>
    <hyperlink ref="J2663" r:id="rId14803" display="https://statiz.sporki.com/player/?m=playerinfo&amp;p_no=2145" xr:uid="{99138D1C-2453-477C-ABF8-A40EE6CA1F59}"/>
    <hyperlink ref="J2664" r:id="rId14804" display="https://statiz.sporki.com/player/?m=playerinfo&amp;p_no=2142" xr:uid="{1FFF6356-6DD1-4DFD-98E9-96ADF930847E}"/>
    <hyperlink ref="J2665" r:id="rId14805" display="https://statiz.sporki.com/player/?m=playerinfo&amp;p_no=2136" xr:uid="{329CA920-37DB-41E8-98DA-F31095983F55}"/>
    <hyperlink ref="J2666" r:id="rId14806" display="https://statiz.sporki.com/player/?m=playerinfo&amp;p_no=2138" xr:uid="{B94543C2-76D2-4C30-B429-C9254D0BBA68}"/>
    <hyperlink ref="J2667" r:id="rId14807" display="https://statiz.sporki.com/player/?m=playerinfo&amp;p_no=2116" xr:uid="{AD36EB9B-57AB-4EF3-A8FE-C1F2474ED132}"/>
    <hyperlink ref="J2668" r:id="rId14808" display="https://statiz.sporki.com/player/?m=playerinfo&amp;p_no=2119" xr:uid="{8F58DD51-617F-42DC-A917-9E18EF7494B5}"/>
    <hyperlink ref="J2669" r:id="rId14809" display="https://statiz.sporki.com/player/?m=playerinfo&amp;p_no=2140" xr:uid="{0B32B4F7-EA18-404E-B443-8F7D7E3FB3F9}"/>
    <hyperlink ref="J2670" r:id="rId14810" display="https://statiz.sporki.com/player/?m=playerinfo&amp;p_no=2137" xr:uid="{E69DBECF-4EB1-4F4D-980D-5AC199B1842C}"/>
    <hyperlink ref="J2671" r:id="rId14811" display="https://statiz.sporki.com/player/?m=playerinfo&amp;p_no=2134" xr:uid="{980E6027-FABB-437A-BAD9-5EC1BB9B74EF}"/>
    <hyperlink ref="J2672" r:id="rId14812" display="https://statiz.sporki.com/player/?m=playerinfo&amp;p_no=2121" xr:uid="{647E590A-9332-4E8A-879C-059E2D6CDC30}"/>
    <hyperlink ref="J2673" r:id="rId14813" display="https://statiz.sporki.com/player/?m=playerinfo&amp;p_no=2125" xr:uid="{C5A468E2-CF3D-42AD-83A1-13629821160F}"/>
    <hyperlink ref="J2674" r:id="rId14814" display="https://statiz.sporki.com/player/?m=playerinfo&amp;p_no=2139" xr:uid="{C2CD355D-DA76-43D2-8F49-16FECAFF4EEA}"/>
    <hyperlink ref="J2675" r:id="rId14815" display="https://statiz.sporki.com/player/?m=playerinfo&amp;p_no=2184" xr:uid="{D842FF0E-E56F-4DAD-A6C3-D2CFF4AA526D}"/>
    <hyperlink ref="J2676" r:id="rId14816" display="https://statiz.sporki.com/player/?m=playerinfo&amp;p_no=2186" xr:uid="{6AE42C15-284F-4539-A990-2C59C9D13288}"/>
    <hyperlink ref="J2677" r:id="rId14817" display="https://statiz.sporki.com/player/?m=playerinfo&amp;p_no=10121" xr:uid="{FACBE374-D2CD-46FA-BB3E-5936756E1C70}"/>
    <hyperlink ref="J2678" r:id="rId14818" display="https://statiz.sporki.com/player/?m=playerinfo&amp;p_no=2095" xr:uid="{FC4E5E0C-F89C-4371-BEF4-4C1E850A9C9E}"/>
    <hyperlink ref="J2679" r:id="rId14819" display="https://statiz.sporki.com/player/?m=playerinfo&amp;p_no=2111" xr:uid="{2ADC90C1-6DAE-472C-AEDF-BE46CBAF7728}"/>
    <hyperlink ref="J2680" r:id="rId14820" display="https://statiz.sporki.com/player/?m=playerinfo&amp;p_no=2242" xr:uid="{B0E30843-B0A6-44D8-8B4E-EF441BA03AAD}"/>
    <hyperlink ref="J2681" r:id="rId14821" display="https://statiz.sporki.com/player/?m=playerinfo&amp;p_no=2100" xr:uid="{44EF8973-67F1-49A0-9917-CE606494CFD3}"/>
    <hyperlink ref="J2682" r:id="rId14822" display="https://statiz.sporki.com/player/?m=playerinfo&amp;p_no=10256" xr:uid="{3829F330-E6EE-4349-9F66-1697A2E32E9B}"/>
    <hyperlink ref="J2683" r:id="rId14823" display="https://statiz.sporki.com/player/?m=playerinfo&amp;p_no=10492" xr:uid="{C59E4915-5C94-4971-8058-1119492AEADA}"/>
    <hyperlink ref="J2684" r:id="rId14824" display="https://statiz.sporki.com/player/?m=playerinfo&amp;p_no=10596" xr:uid="{EAC15B8B-4EFA-4BFD-8634-130B38399CCF}"/>
    <hyperlink ref="J2685" r:id="rId14825" display="https://statiz.sporki.com/player/?m=playerinfo&amp;p_no=10479" xr:uid="{06CF3C93-ADBB-4B55-BBE6-BF3DA2835479}"/>
    <hyperlink ref="J2686" r:id="rId14826" display="https://statiz.sporki.com/player/?m=playerinfo&amp;p_no=2089" xr:uid="{3DAD2655-995C-4BBC-A1E9-7AAE083B4148}"/>
    <hyperlink ref="J2687" r:id="rId14827" display="https://statiz.sporki.com/player/?m=playerinfo&amp;p_no=10148" xr:uid="{642A0A70-3197-4C3C-86A2-5DBAD7AA531E}"/>
    <hyperlink ref="J2688" r:id="rId14828" display="https://statiz.sporki.com/player/?m=playerinfo&amp;p_no=2287" xr:uid="{E5457969-FC77-4684-8173-52CC45472376}"/>
    <hyperlink ref="J2689" r:id="rId14829" display="https://statiz.sporki.com/player/?m=playerinfo&amp;p_no=2109" xr:uid="{743392E0-3278-4F14-80B6-2FC87B2EDE58}"/>
    <hyperlink ref="J2690" r:id="rId14830" display="https://statiz.sporki.com/player/?m=playerinfo&amp;p_no=10272" xr:uid="{FB8E189A-836C-4D3C-931F-AA4D0DCDC66F}"/>
    <hyperlink ref="J2691" r:id="rId14831" display="https://statiz.sporki.com/player/?m=playerinfo&amp;p_no=10350" xr:uid="{CF5A2962-6ACA-4AA6-863A-4546E85FEC8E}"/>
    <hyperlink ref="J2692" r:id="rId14832" display="https://statiz.sporki.com/player/?m=playerinfo&amp;p_no=2097" xr:uid="{D647BD00-A89F-4407-BD93-BB4C1926BBC2}"/>
    <hyperlink ref="J2693" r:id="rId14833" display="https://statiz.sporki.com/player/?m=playerinfo&amp;p_no=2092" xr:uid="{067847CE-1594-4051-8366-2D9B71A414BF}"/>
    <hyperlink ref="J2694" r:id="rId14834" display="https://statiz.sporki.com/player/?m=playerinfo&amp;p_no=10060" xr:uid="{FADE35BA-AD1C-473D-B5F3-F2C8EDB5EA2C}"/>
    <hyperlink ref="J2695" r:id="rId14835" display="https://statiz.sporki.com/player/?m=playerinfo&amp;p_no=2084" xr:uid="{95892E80-8687-4AE3-9E97-64360EFF53A8}"/>
    <hyperlink ref="J2696" r:id="rId14836" display="https://statiz.sporki.com/player/?m=playerinfo&amp;p_no=2106" xr:uid="{3FD31D4A-124F-4F41-9E22-1C9C17E3848E}"/>
    <hyperlink ref="J2697" r:id="rId14837" display="https://statiz.sporki.com/player/?m=playerinfo&amp;p_no=2104" xr:uid="{FC0B9D4D-C96A-4505-BA8C-B02C30D32DB0}"/>
    <hyperlink ref="J2698" r:id="rId14838" display="https://statiz.sporki.com/player/?m=playerinfo&amp;p_no=2081" xr:uid="{1C3FC05A-1C43-434B-A7AD-6C448640362F}"/>
    <hyperlink ref="J2699" r:id="rId14839" display="https://statiz.sporki.com/player/?m=playerinfo&amp;p_no=10192" xr:uid="{CB8D0D49-9DF4-4479-B68F-C99FACE56EF3}"/>
    <hyperlink ref="J2700" r:id="rId14840" display="https://statiz.sporki.com/player/?m=playerinfo&amp;p_no=2284" xr:uid="{EC9DC875-30B1-49D3-BFD6-36F1F4F28679}"/>
    <hyperlink ref="J2701" r:id="rId14841" display="https://statiz.sporki.com/player/?m=playerinfo&amp;p_no=10193" xr:uid="{10457BC5-E753-4925-BB11-A92103E79103}"/>
    <hyperlink ref="J2702" r:id="rId14842" display="https://statiz.sporki.com/player/?m=playerinfo&amp;p_no=2080" xr:uid="{8AB6C500-148C-4352-91C3-7058D4E7D32C}"/>
    <hyperlink ref="J2703" r:id="rId14843" display="https://statiz.sporki.com/player/?m=playerinfo&amp;p_no=10346" xr:uid="{3E0BE109-0B6B-4ED6-8168-9DF6980DA063}"/>
    <hyperlink ref="J2704" r:id="rId14844" display="https://statiz.sporki.com/player/?m=playerinfo&amp;p_no=10556" xr:uid="{429FBB26-C638-4E5E-A583-48FCF7DACEC0}"/>
    <hyperlink ref="J2705" r:id="rId14845" display="https://statiz.sporki.com/player/?m=playerinfo&amp;p_no=2159" xr:uid="{9EA3EB7D-D5A8-40F4-8D5D-D4F236AE45C8}"/>
    <hyperlink ref="J2706" r:id="rId14846" display="https://statiz.sporki.com/player/?m=playerinfo&amp;p_no=10493" xr:uid="{0214FD45-4F62-4BC1-AB5C-0D7BE8F9921C}"/>
    <hyperlink ref="J2707" r:id="rId14847" display="https://statiz.sporki.com/player/?m=playerinfo&amp;p_no=2117" xr:uid="{0BDB9587-835A-4D66-AD1C-3C47784B9206}"/>
    <hyperlink ref="J2708" r:id="rId14848" display="https://statiz.sporki.com/player/?m=playerinfo&amp;p_no=10010" xr:uid="{04D8218A-2D40-4FBE-A92A-BA6A403F1913}"/>
    <hyperlink ref="J2709" r:id="rId14849" display="https://statiz.sporki.com/player/?m=playerinfo&amp;p_no=2102" xr:uid="{3A701A2C-1EDC-4878-AEF5-299E20F02B0C}"/>
    <hyperlink ref="J2710" r:id="rId14850" display="https://statiz.sporki.com/player/?m=playerinfo&amp;p_no=10225" xr:uid="{93EB73C0-64EC-4EDB-B348-8623648A5246}"/>
    <hyperlink ref="J2711" r:id="rId14851" display="https://statiz.sporki.com/player/?m=playerinfo&amp;p_no=10372" xr:uid="{C171507A-AB60-4EB5-B856-6638715807F9}"/>
    <hyperlink ref="J2712" r:id="rId14852" display="https://statiz.sporki.com/player/?m=playerinfo&amp;p_no=10005" xr:uid="{C97A5410-DA1D-4454-9BF8-A9125E38A716}"/>
    <hyperlink ref="J2713" r:id="rId14853" display="https://statiz.sporki.com/player/?m=playerinfo&amp;p_no=2299" xr:uid="{553A1CC2-D21A-422C-8369-4DFE77D574EF}"/>
    <hyperlink ref="J2714" r:id="rId14854" display="https://statiz.sporki.com/player/?m=playerinfo&amp;p_no=10532" xr:uid="{AAE8AB74-2AEF-4C22-B311-882A4FC5FE47}"/>
    <hyperlink ref="J2715" r:id="rId14855" display="https://statiz.sporki.com/player/?m=playerinfo&amp;p_no=2293" xr:uid="{69AD95B6-9876-41CC-AAD6-1C52541C064F}"/>
    <hyperlink ref="J2716" r:id="rId14856" display="https://statiz.sporki.com/player/?m=playerinfo&amp;p_no=10663" xr:uid="{2DD9FF10-34D2-4D80-84CA-EEC7E7A23792}"/>
    <hyperlink ref="J2717" r:id="rId14857" display="https://statiz.sporki.com/player/?m=playerinfo&amp;p_no=10605" xr:uid="{DB85E35A-365B-47FC-8FC0-63841A5B68C3}"/>
    <hyperlink ref="J2718" r:id="rId14858" display="https://statiz.sporki.com/player/?m=playerinfo&amp;p_no=2279" xr:uid="{355ADC51-9E40-47CC-8A9E-E410EC0DA280}"/>
    <hyperlink ref="J2719" r:id="rId14859" display="https://statiz.sporki.com/player/?m=playerinfo&amp;p_no=2351" xr:uid="{46584683-11DD-48C4-B903-93B29B7DEEC4}"/>
    <hyperlink ref="J2720" r:id="rId14860" display="https://statiz.sporki.com/player/?m=playerinfo&amp;p_no=2063" xr:uid="{009B953B-C9BF-4CE0-9B95-DE3E5064C630}"/>
    <hyperlink ref="J2721" r:id="rId14861" display="https://statiz.sporki.com/player/?m=playerinfo&amp;p_no=11457" xr:uid="{26D740CA-22E0-4601-B165-9C020A6A1425}"/>
    <hyperlink ref="J2722" r:id="rId14862" display="https://statiz.sporki.com/player/?m=playerinfo&amp;p_no=10201" xr:uid="{74F6CFDC-0BB7-49BC-9997-87A23C9D0D16}"/>
    <hyperlink ref="J2723" r:id="rId14863" display="https://statiz.sporki.com/player/?m=playerinfo&amp;p_no=10254" xr:uid="{48F08362-2D28-419D-BCF7-236310F7E0E9}"/>
    <hyperlink ref="J2724" r:id="rId14864" display="https://statiz.sporki.com/player/?m=playerinfo&amp;p_no=10634" xr:uid="{5D483CB9-D4DC-4DA4-BED8-DC59E6CE5242}"/>
    <hyperlink ref="J2725" r:id="rId14865" display="https://statiz.sporki.com/player/?m=playerinfo&amp;p_no=2216" xr:uid="{D7BBD47D-85EE-4134-A34E-EF2337843123}"/>
    <hyperlink ref="J2726" r:id="rId14866" display="https://statiz.sporki.com/player/?m=playerinfo&amp;p_no=2064" xr:uid="{5F1E8689-7D4D-4B3A-8B60-CE15568AA87E}"/>
    <hyperlink ref="J2727" r:id="rId14867" display="https://statiz.sporki.com/player/?m=playerinfo&amp;p_no=10395" xr:uid="{32FEE7B0-AE79-4EEF-B76F-82FBE1F59FC6}"/>
    <hyperlink ref="J2728" r:id="rId14868" display="https://statiz.sporki.com/player/?m=playerinfo&amp;p_no=2280" xr:uid="{695B8658-89D7-4590-BE42-EF15B793AC24}"/>
    <hyperlink ref="J2729" r:id="rId14869" display="https://statiz.sporki.com/player/?m=playerinfo&amp;p_no=2288" xr:uid="{F609BDD4-0F33-4F41-8E59-B32EF2F8614A}"/>
    <hyperlink ref="J2730" r:id="rId14870" display="https://statiz.sporki.com/player/?m=playerinfo&amp;p_no=2167" xr:uid="{4C544563-5869-4809-ACF1-3FEE66BEDBCD}"/>
    <hyperlink ref="J2731" r:id="rId14871" display="https://statiz.sporki.com/player/?m=playerinfo&amp;p_no=2318" xr:uid="{393DC100-CA8A-4B16-9429-FFC1773FB853}"/>
    <hyperlink ref="J2732" r:id="rId14872" display="https://statiz.sporki.com/player/?m=playerinfo&amp;p_no=10443" xr:uid="{990BD80D-18A9-4746-B0F2-8A4485F22E19}"/>
    <hyperlink ref="J2733" r:id="rId14873" display="https://statiz.sporki.com/player/?m=playerinfo&amp;p_no=2108" xr:uid="{217C3B5E-27E4-4F8E-8333-ACC343670EF8}"/>
    <hyperlink ref="J2734" r:id="rId14874" display="https://statiz.sporki.com/player/?m=playerinfo&amp;p_no=10573" xr:uid="{CCE31FA7-41B9-452E-A704-BDF569E2EF04}"/>
    <hyperlink ref="J2735" r:id="rId14875" display="https://statiz.sporki.com/player/?m=playerinfo&amp;p_no=11442" xr:uid="{D3E8C387-718D-4275-9B27-23C3E67823FD}"/>
    <hyperlink ref="J2736" r:id="rId14876" display="https://statiz.sporki.com/player/?m=playerinfo&amp;p_no=11474" xr:uid="{8B821284-8741-42E9-A5A3-1EE9915D4D4A}"/>
    <hyperlink ref="J2737" r:id="rId14877" display="https://statiz.sporki.com/player/?m=playerinfo&amp;p_no=2069" xr:uid="{676842DF-301F-4C11-81C4-39158B1D482D}"/>
    <hyperlink ref="J2738" r:id="rId14878" display="https://statiz.sporki.com/player/?m=playerinfo&amp;p_no=2087" xr:uid="{F344F8F1-647E-49E1-B4DC-9FC83A9CBFFB}"/>
    <hyperlink ref="J2739" r:id="rId14879" display="https://statiz.sporki.com/player/?m=playerinfo&amp;p_no=2112" xr:uid="{C5BB8382-72A9-4CE0-B04D-370FFE7640D0}"/>
    <hyperlink ref="J2740" r:id="rId14880" display="https://statiz.sporki.com/player/?m=playerinfo&amp;p_no=2133" xr:uid="{0A7B1C47-E41F-42A6-9EB6-C925E3C087DF}"/>
    <hyperlink ref="J2741" r:id="rId14881" display="https://statiz.sporki.com/player/?m=playerinfo&amp;p_no=2098" xr:uid="{EE1988DF-0CDA-4785-8D82-2F8A2DB309E0}"/>
    <hyperlink ref="J2742" r:id="rId14882" display="https://statiz.sporki.com/player/?m=playerinfo&amp;p_no=2131" xr:uid="{27BA2422-61AD-4EA0-9265-4D514DAC14FB}"/>
    <hyperlink ref="J2743" r:id="rId14883" display="https://statiz.sporki.com/player/?m=playerinfo&amp;p_no=2103" xr:uid="{E5805549-4BF0-46D1-AA15-00D70749C94A}"/>
    <hyperlink ref="J2744" r:id="rId14884" display="https://statiz.sporki.com/player/?m=playerinfo&amp;p_no=2147" xr:uid="{9E16D806-FE50-4989-B17E-8FB6B27475B3}"/>
    <hyperlink ref="J2745" r:id="rId14885" display="https://statiz.sporki.com/player/?m=playerinfo&amp;p_no=11454" xr:uid="{3B608F32-4EDE-473A-9DDB-BB25F4B3F06E}"/>
    <hyperlink ref="J2746" r:id="rId14886" display="https://statiz.sporki.com/player/?m=playerinfo&amp;p_no=2157" xr:uid="{7B55CB56-2133-4D00-A97F-03FA8F15A56C}"/>
    <hyperlink ref="J2747" r:id="rId14887" display="https://statiz.sporki.com/player/?m=playerinfo&amp;p_no=10348" xr:uid="{D83844B9-F27B-46CA-A258-21DC35980CB8}"/>
    <hyperlink ref="J2748" r:id="rId14888" display="https://statiz.sporki.com/player/?m=playerinfo&amp;p_no=10594" xr:uid="{1133DBFF-2CF0-4D80-A38B-5B924C365404}"/>
    <hyperlink ref="J2749" r:id="rId14889" display="https://statiz.sporki.com/player/?m=playerinfo&amp;p_no=10501" xr:uid="{E1AF0C6B-92C9-4103-A81E-419545EF2F5E}"/>
    <hyperlink ref="J2750" r:id="rId14890" display="https://statiz.sporki.com/player/?m=playerinfo&amp;p_no=10085" xr:uid="{A802D91E-EF70-4105-B508-907EF8CB273A}"/>
    <hyperlink ref="J2751" r:id="rId14891" display="https://statiz.sporki.com/player/?m=playerinfo&amp;p_no=2071" xr:uid="{4FF817E5-FF9D-4E49-B29A-DA6D680EF68B}"/>
    <hyperlink ref="J2752" r:id="rId14892" display="https://statiz.sporki.com/player/?m=playerinfo&amp;p_no=2072" xr:uid="{4D293C8C-1C68-487B-B2B5-AE871BA803C4}"/>
    <hyperlink ref="J2753" r:id="rId14893" display="https://statiz.sporki.com/player/?m=playerinfo&amp;p_no=2090" xr:uid="{A39C2265-67D4-4641-9ECF-B403F6551AF4}"/>
    <hyperlink ref="J2754" r:id="rId14894" display="https://statiz.sporki.com/player/?m=playerinfo&amp;p_no=2073" xr:uid="{CE591C1D-4E8D-4E8D-845F-9CA87DC6B547}"/>
    <hyperlink ref="J2755" r:id="rId14895" display="https://statiz.sporki.com/player/?m=playerinfo&amp;p_no=2101" xr:uid="{75ADA4A6-7CAE-4406-A871-C282704A403A}"/>
    <hyperlink ref="J2756" r:id="rId14896" display="https://statiz.sporki.com/player/?m=playerinfo&amp;p_no=2068" xr:uid="{1090EAE9-15FB-4775-A81C-C201C3F528F0}"/>
    <hyperlink ref="J2757" r:id="rId14897" display="https://statiz.sporki.com/player/?m=playerinfo&amp;p_no=2088" xr:uid="{287DAAFD-C885-4A44-B3A2-2EDCD6927C53}"/>
    <hyperlink ref="J2758" r:id="rId14898" display="https://statiz.sporki.com/player/?m=playerinfo&amp;p_no=2066" xr:uid="{23C31D96-0780-4299-B486-BC6479DD3144}"/>
    <hyperlink ref="J2759" r:id="rId14899" display="https://statiz.sporki.com/player/?m=playerinfo&amp;p_no=2094" xr:uid="{70ADB2C6-2F98-4E32-BD61-9BA7573F259A}"/>
    <hyperlink ref="J2760" r:id="rId14900" display="https://statiz.sporki.com/player/?m=playerinfo&amp;p_no=2091" xr:uid="{3C8CDF37-6F69-4F0C-A8D1-AC8DC5D75F18}"/>
    <hyperlink ref="J2761" r:id="rId14901" display="https://statiz.sporki.com/player/?m=playerinfo&amp;p_no=2067" xr:uid="{11F88A69-9882-4541-8A6E-7608BC781E9D}"/>
    <hyperlink ref="J2762" r:id="rId14902" display="https://statiz.sporki.com/player/?m=playerinfo&amp;p_no=2093" xr:uid="{4C9B0C5C-2A73-4E31-863C-398B1A1B131C}"/>
    <hyperlink ref="J2763" r:id="rId14903" display="https://statiz.sporki.com/player/?m=playerinfo&amp;p_no=10173" xr:uid="{CFBF9DF8-09EE-4B9B-9EE4-0548A9D7899F}"/>
    <hyperlink ref="J2764" r:id="rId14904" display="https://statiz.sporki.com/player/?m=playerinfo&amp;p_no=10564" xr:uid="{2A925FB2-B0DD-4385-9646-7E48BBD73E12}"/>
    <hyperlink ref="J2765" r:id="rId14905" display="https://statiz.sporki.com/player/?m=playerinfo&amp;p_no=10379" xr:uid="{4832D9EC-96B0-4119-A4C5-99963588077C}"/>
    <hyperlink ref="J2766" r:id="rId14906" display="https://statiz.sporki.com/player/?m=playerinfo&amp;p_no=2047" xr:uid="{39D32699-8DC1-4CEC-95FE-27E98451845F}"/>
    <hyperlink ref="J2767" r:id="rId14907" display="https://statiz.sporki.com/player/?m=playerinfo&amp;p_no=10463" xr:uid="{61F5993D-60BE-463A-90C9-CB5A7F84B45D}"/>
    <hyperlink ref="J2768" r:id="rId14908" display="https://statiz.sporki.com/player/?m=playerinfo&amp;p_no=10298" xr:uid="{1CCAC085-1380-414B-A672-22F0CCEB7004}"/>
    <hyperlink ref="J2769" r:id="rId14909" display="https://statiz.sporki.com/player/?m=playerinfo&amp;p_no=10488" xr:uid="{B85234FC-188A-4DBB-BD5C-9EC72D4DBDF6}"/>
    <hyperlink ref="J2770" r:id="rId14910" display="https://statiz.sporki.com/player/?m=playerinfo&amp;p_no=2027" xr:uid="{1301E457-3C54-4E66-AE82-9362AF536D2B}"/>
    <hyperlink ref="J2771" r:id="rId14911" display="https://statiz.sporki.com/player/?m=playerinfo&amp;p_no=10500" xr:uid="{ED7710DC-FBAD-4CB5-BD4D-9DBA57CBA18E}"/>
    <hyperlink ref="J2772" r:id="rId14912" display="https://statiz.sporki.com/player/?m=playerinfo&amp;p_no=2176" xr:uid="{8FE01549-B183-4F3E-8437-9EB042A5F22C}"/>
    <hyperlink ref="J2773" r:id="rId14913" display="https://statiz.sporki.com/player/?m=playerinfo&amp;p_no=10487" xr:uid="{389B2BF7-7FA8-445E-887F-3707755933A3}"/>
    <hyperlink ref="J2774" r:id="rId14914" display="https://statiz.sporki.com/player/?m=playerinfo&amp;p_no=2021" xr:uid="{D6C4657B-2C78-4008-B17C-586978019454}"/>
    <hyperlink ref="J2775" r:id="rId14915" display="https://statiz.sporki.com/player/?m=playerinfo&amp;p_no=10117" xr:uid="{CB96FB80-37AE-46A0-ABCC-110463F6E848}"/>
    <hyperlink ref="J2776" r:id="rId14916" display="https://statiz.sporki.com/player/?m=playerinfo&amp;p_no=10542" xr:uid="{FB37FD61-1161-410F-B2A6-EFA3CE2130A3}"/>
    <hyperlink ref="J2777" r:id="rId14917" display="https://statiz.sporki.com/player/?m=playerinfo&amp;p_no=2053" xr:uid="{3B6B855C-B402-4900-8A95-612129D527BB}"/>
    <hyperlink ref="J2778" r:id="rId14918" display="https://statiz.sporki.com/player/?m=playerinfo&amp;p_no=2059" xr:uid="{59A8A15D-E74E-471B-9660-D73FFA4634E0}"/>
    <hyperlink ref="J2779" r:id="rId14919" display="https://statiz.sporki.com/player/?m=playerinfo&amp;p_no=10642" xr:uid="{33F1590A-5670-47AA-B514-AEA13970D8C1}"/>
    <hyperlink ref="J2780" r:id="rId14920" display="https://statiz.sporki.com/player/?m=playerinfo&amp;p_no=2150" xr:uid="{ACE62B3B-AD59-43CB-BDD7-949C50F7E67F}"/>
    <hyperlink ref="J2781" r:id="rId14921" display="https://statiz.sporki.com/player/?m=playerinfo&amp;p_no=2046" xr:uid="{1932DECB-7683-4574-A12E-0D89CEE44D7F}"/>
    <hyperlink ref="J2782" r:id="rId14922" display="https://statiz.sporki.com/player/?m=playerinfo&amp;p_no=2149" xr:uid="{3DAFD052-F0AE-4D89-91E9-1270E85A5108}"/>
    <hyperlink ref="J2783" r:id="rId14923" display="https://statiz.sporki.com/player/?m=playerinfo&amp;p_no=2024" xr:uid="{27D91B44-669B-4241-B5F6-0CFF8FAD5099}"/>
    <hyperlink ref="J2784" r:id="rId14924" display="https://statiz.sporki.com/player/?m=playerinfo&amp;p_no=10515" xr:uid="{48096413-CE9F-4024-BAF7-84CFBF52A57C}"/>
    <hyperlink ref="J2785" r:id="rId14925" display="https://statiz.sporki.com/player/?m=playerinfo&amp;p_no=2065" xr:uid="{ED186ADA-6983-4994-B121-D7ADEA5CF9AA}"/>
    <hyperlink ref="J2786" r:id="rId14926" display="https://statiz.sporki.com/player/?m=playerinfo&amp;p_no=2032" xr:uid="{62006693-3E86-496F-A696-81B77503B210}"/>
    <hyperlink ref="J2787" r:id="rId14927" display="https://statiz.sporki.com/player/?m=playerinfo&amp;p_no=2019" xr:uid="{5EC05AAF-A1FC-48E9-AE46-E519E4D2861B}"/>
    <hyperlink ref="J2788" r:id="rId14928" display="https://statiz.sporki.com/player/?m=playerinfo&amp;p_no=2056" xr:uid="{9962CD3E-DC68-417D-89C7-049F6E213A70}"/>
    <hyperlink ref="J2789" r:id="rId14929" display="https://statiz.sporki.com/player/?m=playerinfo&amp;p_no=2086" xr:uid="{CF9340FB-2F01-44F0-B9B2-262930ED4694}"/>
    <hyperlink ref="J2790" r:id="rId14930" display="https://statiz.sporki.com/player/?m=playerinfo&amp;p_no=10091" xr:uid="{205FF6D7-19CE-4CFA-9945-57CAF564C030}"/>
    <hyperlink ref="J2791" r:id="rId14931" display="https://statiz.sporki.com/player/?m=playerinfo&amp;p_no=2330" xr:uid="{B7E5E91F-DE64-4BA2-95BB-F78618B5C9BC}"/>
    <hyperlink ref="J2792" r:id="rId14932" display="https://statiz.sporki.com/player/?m=playerinfo&amp;p_no=10317" xr:uid="{FD632C99-34F8-4F80-AF3B-BD8E17C346CE}"/>
    <hyperlink ref="J2793" r:id="rId14933" display="https://statiz.sporki.com/player/?m=playerinfo&amp;p_no=2078" xr:uid="{D746F8DC-8FA0-4CFA-B727-F66FA03DC0F2}"/>
    <hyperlink ref="J2794" r:id="rId14934" display="https://statiz.sporki.com/player/?m=playerinfo&amp;p_no=2034" xr:uid="{32DA20D0-7148-4C34-A7DA-36647C63793D}"/>
    <hyperlink ref="J2795" r:id="rId14935" display="https://statiz.sporki.com/player/?m=playerinfo&amp;p_no=10397" xr:uid="{31F6DB38-36F1-40F1-B27D-FC5004512A80}"/>
    <hyperlink ref="J2796" r:id="rId14936" display="https://statiz.sporki.com/player/?m=playerinfo&amp;p_no=2018" xr:uid="{1CFED4AC-66BC-45B9-9EB6-D8BF59D6DB86}"/>
    <hyperlink ref="J2797" r:id="rId14937" display="https://statiz.sporki.com/player/?m=playerinfo&amp;p_no=2148" xr:uid="{45BCAA97-5EFB-47A5-B08C-790827238EEE}"/>
    <hyperlink ref="J2798" r:id="rId14938" display="https://statiz.sporki.com/player/?m=playerinfo&amp;p_no=2029" xr:uid="{029866AB-F121-40D1-9D65-DCDB4BE6DA3F}"/>
    <hyperlink ref="J2799" r:id="rId14939" display="https://statiz.sporki.com/player/?m=playerinfo&amp;p_no=10315" xr:uid="{C258B531-A164-40C4-B5FA-0CD498F5D79C}"/>
    <hyperlink ref="J2800" r:id="rId14940" display="https://statiz.sporki.com/player/?m=playerinfo&amp;p_no=10455" xr:uid="{7A75324D-38EC-493C-A3AE-B3FAFAA3AA00}"/>
    <hyperlink ref="J2801" r:id="rId14941" display="https://statiz.sporki.com/player/?m=playerinfo&amp;p_no=2180" xr:uid="{3D5541AC-E685-4478-BEF0-2F4CEEE16825}"/>
    <hyperlink ref="J2802" r:id="rId14942" display="https://statiz.sporki.com/player/?m=playerinfo&amp;p_no=2020" xr:uid="{404BD6BF-C98B-4CAD-BF47-283903456DAD}"/>
    <hyperlink ref="J2803" r:id="rId14943" display="https://statiz.sporki.com/player/?m=playerinfo&amp;p_no=2074" xr:uid="{0F97055A-ACFB-4214-877C-8FDD4620F7C6}"/>
    <hyperlink ref="J2804" r:id="rId14944" display="https://statiz.sporki.com/player/?m=playerinfo&amp;p_no=10349" xr:uid="{868D0009-0DE7-4238-86A5-50930789EF8D}"/>
    <hyperlink ref="J2805" r:id="rId14945" display="https://statiz.sporki.com/player/?m=playerinfo&amp;p_no=10420" xr:uid="{EB977C3D-32D9-400F-8326-8DBE68FE6A8A}"/>
    <hyperlink ref="J2806" r:id="rId14946" display="https://statiz.sporki.com/player/?m=playerinfo&amp;p_no=2272" xr:uid="{6685AF68-F3FD-474D-BFC7-1004F885F3A6}"/>
    <hyperlink ref="J2807" r:id="rId14947" display="https://statiz.sporki.com/player/?m=playerinfo&amp;p_no=2039" xr:uid="{315D3F5D-F105-413A-993C-4B207930F774}"/>
    <hyperlink ref="J2808" r:id="rId14948" display="https://statiz.sporki.com/player/?m=playerinfo&amp;p_no=2030" xr:uid="{732E5064-9212-46F0-B868-16CCDE68D464}"/>
    <hyperlink ref="J2809" r:id="rId14949" display="https://statiz.sporki.com/player/?m=playerinfo&amp;p_no=2291" xr:uid="{66573123-6119-46B3-A35F-AD5A762A1414}"/>
    <hyperlink ref="J2810" r:id="rId14950" display="https://statiz.sporki.com/player/?m=playerinfo&amp;p_no=2229" xr:uid="{1F1382FB-70BB-46A4-8C8E-5C154FFE84B6}"/>
    <hyperlink ref="J2811" r:id="rId14951" display="https://statiz.sporki.com/player/?m=playerinfo&amp;p_no=2233" xr:uid="{29E4BD7B-A495-45ED-8D78-B080F1C26F0A}"/>
    <hyperlink ref="J2812" r:id="rId14952" display="https://statiz.sporki.com/player/?m=playerinfo&amp;p_no=2049" xr:uid="{459A1119-EC67-4985-A325-4C093EAA928E}"/>
    <hyperlink ref="J2813" r:id="rId14953" display="https://statiz.sporki.com/player/?m=playerinfo&amp;p_no=10436" xr:uid="{D60C5D28-59ED-49ED-9718-AF8BB6A33FAF}"/>
    <hyperlink ref="J2814" r:id="rId14954" display="https://statiz.sporki.com/player/?m=playerinfo&amp;p_no=11446" xr:uid="{AE7FC61A-61C6-4762-8FF1-577E10A3A5C6}"/>
    <hyperlink ref="J2815" r:id="rId14955" display="https://statiz.sporki.com/player/?m=playerinfo&amp;p_no=10219" xr:uid="{D1DB13CD-2C0F-473B-AB60-728643EF4971}"/>
    <hyperlink ref="J2816" r:id="rId14956" display="https://statiz.sporki.com/player/?m=playerinfo&amp;p_no=2114" xr:uid="{37649904-86C1-42DF-B395-87D923561F76}"/>
    <hyperlink ref="J2817" r:id="rId14957" display="https://statiz.sporki.com/player/?m=playerinfo&amp;p_no=10579" xr:uid="{EA11293A-4767-456C-9470-6A202D3B84CB}"/>
    <hyperlink ref="J2818" r:id="rId14958" display="https://statiz.sporki.com/player/?m=playerinfo&amp;p_no=2187" xr:uid="{DBF8061B-969C-46C9-9E7F-0879A754B20B}"/>
    <hyperlink ref="J2819" r:id="rId14959" display="https://statiz.sporki.com/player/?m=playerinfo&amp;p_no=2079" xr:uid="{E61A59E3-F566-401B-ACDC-8BA2F7FE9F12}"/>
    <hyperlink ref="J2820" r:id="rId14960" display="https://statiz.sporki.com/player/?m=playerinfo&amp;p_no=2085" xr:uid="{5EBBE20A-0503-402A-8FB3-942EC9360E16}"/>
    <hyperlink ref="J2821" r:id="rId14961" display="https://statiz.sporki.com/player/?m=playerinfo&amp;p_no=2022" xr:uid="{FEC71D0D-F35B-4A89-B854-7C2B0DF12891}"/>
    <hyperlink ref="J2822" r:id="rId14962" display="https://statiz.sporki.com/player/?m=playerinfo&amp;p_no=2113" xr:uid="{604FBDEC-8C47-4F1E-BD75-3BB7CA64DA39}"/>
    <hyperlink ref="J2823" r:id="rId14963" display="https://statiz.sporki.com/player/?m=playerinfo&amp;p_no=2037" xr:uid="{E06C5A9B-86D0-43CE-BA04-41F4B420030F}"/>
    <hyperlink ref="J2824" r:id="rId14964" display="https://statiz.sporki.com/player/?m=playerinfo&amp;p_no=2082" xr:uid="{E659EECA-7E99-45B9-B21A-A4AF68A95E18}"/>
    <hyperlink ref="J2825" r:id="rId14965" display="https://statiz.sporki.com/player/?m=playerinfo&amp;p_no=2077" xr:uid="{DA935AB8-57A6-4CA2-AA75-8D157F3848FF}"/>
    <hyperlink ref="J2826" r:id="rId14966" display="https://statiz.sporki.com/player/?m=playerinfo&amp;p_no=2105" xr:uid="{BED4951D-D719-413C-9216-0F6D3547B87D}"/>
    <hyperlink ref="J2827" r:id="rId14967" display="https://statiz.sporki.com/player/?m=playerinfo&amp;p_no=2050" xr:uid="{47768948-F8BD-4FF6-AEDD-5A2292ECD8F5}"/>
    <hyperlink ref="J2828" r:id="rId14968" display="https://statiz.sporki.com/player/?m=playerinfo&amp;p_no=10164" xr:uid="{4D3A7B83-9DC1-42BD-A524-5FC1AFBA24F6}"/>
    <hyperlink ref="J2829" r:id="rId14969" display="https://statiz.sporki.com/player/?m=playerinfo&amp;p_no=10357" xr:uid="{82C6535B-FF1B-43CC-AF6E-BAB899FA65B8}"/>
    <hyperlink ref="J2830" r:id="rId14970" display="https://statiz.sporki.com/player/?m=playerinfo&amp;p_no=2239" xr:uid="{E2AC1B91-CB0A-4B4D-86D3-ABE79D981082}"/>
    <hyperlink ref="J2831" r:id="rId14971" display="https://statiz.sporki.com/player/?m=playerinfo&amp;p_no=2236" xr:uid="{0AF91321-BF10-488E-B0D5-1296C11E8CF8}"/>
    <hyperlink ref="J2832" r:id="rId14972" display="https://statiz.sporki.com/player/?m=playerinfo&amp;p_no=2245" xr:uid="{8A5877B4-DE64-4315-BF06-FABB9B2EC8A3}"/>
    <hyperlink ref="J2833" r:id="rId14973" display="https://statiz.sporki.com/player/?m=playerinfo&amp;p_no=10497" xr:uid="{A5B1B9CF-E075-466D-A54C-8009C5C8A5E0}"/>
    <hyperlink ref="J2834" r:id="rId14974" display="https://statiz.sporki.com/player/?m=playerinfo&amp;p_no=10385" xr:uid="{08E2D9F9-EF47-4569-A05E-5CC3686F2B1F}"/>
    <hyperlink ref="J2835" r:id="rId14975" display="https://statiz.sporki.com/player/?m=playerinfo&amp;p_no=10430" xr:uid="{9C6908A1-5770-4C18-9B12-D2A4F13B5E59}"/>
    <hyperlink ref="J2836" r:id="rId14976" display="https://statiz.sporki.com/player/?m=playerinfo&amp;p_no=10446" xr:uid="{C73FED02-F14A-48A7-A75A-FC19218B90D7}"/>
    <hyperlink ref="J2837" r:id="rId14977" display="https://statiz.sporki.com/player/?m=playerinfo&amp;p_no=10022" xr:uid="{5A5106B2-3B32-4C20-955E-C5858E2058A5}"/>
    <hyperlink ref="J2838" r:id="rId14978" display="https://statiz.sporki.com/player/?m=playerinfo&amp;p_no=10191" xr:uid="{7E13B371-C4AA-4D54-B4BD-13ECF71396B9}"/>
    <hyperlink ref="J2839" r:id="rId14979" display="https://statiz.sporki.com/player/?m=playerinfo&amp;p_no=10766" xr:uid="{EEA39BB0-9FB4-41BA-9A43-0C3D2F28891E}"/>
    <hyperlink ref="J2840" r:id="rId14980" display="https://statiz.sporki.com/player/?m=playerinfo&amp;p_no=10485" xr:uid="{C4E3F828-87C4-4602-916D-31101716C54A}"/>
    <hyperlink ref="J2841" r:id="rId14981" display="https://statiz.sporki.com/player/?m=playerinfo&amp;p_no=2025" xr:uid="{7C82DD9D-67D6-48AC-8325-B83B8C6A4435}"/>
    <hyperlink ref="J2842" r:id="rId14982" display="https://statiz.sporki.com/player/?m=playerinfo&amp;p_no=2045" xr:uid="{9BFA92A1-BA0E-4FE4-8BC9-520563528869}"/>
    <hyperlink ref="J2843" r:id="rId14983" display="https://statiz.sporki.com/player/?m=playerinfo&amp;p_no=2041" xr:uid="{3B7E5FA9-DF45-42E1-A1B9-04BB316618C0}"/>
    <hyperlink ref="J2844" r:id="rId14984" display="https://statiz.sporki.com/player/?m=playerinfo&amp;p_no=2055" xr:uid="{E3B06AF5-1740-486D-AB2D-F0A08849AA49}"/>
    <hyperlink ref="J2845" r:id="rId14985" display="https://statiz.sporki.com/player/?m=playerinfo&amp;p_no=2042" xr:uid="{1B9B0E86-5B4A-4C65-83A7-34BC2ADDDF9A}"/>
    <hyperlink ref="J2846" r:id="rId14986" display="https://statiz.sporki.com/player/?m=playerinfo&amp;p_no=2058" xr:uid="{A7DE4BBB-B1BB-4D51-9907-F3783E7FF2ED}"/>
    <hyperlink ref="J2847" r:id="rId14987" display="https://statiz.sporki.com/player/?m=playerinfo&amp;p_no=2054" xr:uid="{219EAA63-04DF-4597-8C4C-EB5FD0D95D71}"/>
    <hyperlink ref="J2848" r:id="rId14988" display="https://statiz.sporki.com/player/?m=playerinfo&amp;p_no=2044" xr:uid="{29D753F4-6FDB-4A18-92CA-53F594E82209}"/>
    <hyperlink ref="J2849" r:id="rId14989" display="https://statiz.sporki.com/player/?m=playerinfo&amp;p_no=2031" xr:uid="{8DAB966D-43AF-49DF-90F6-EB4BB84C730C}"/>
    <hyperlink ref="J2850" r:id="rId14990" display="https://statiz.sporki.com/player/?m=playerinfo&amp;p_no=2026" xr:uid="{18752974-A41F-4C2C-8239-2A2E104FB1AC}"/>
    <hyperlink ref="J2851" r:id="rId14991" display="https://statiz.sporki.com/player/?m=playerinfo&amp;p_no=2052" xr:uid="{0531D536-9F59-46B9-AC1F-EE07FF160E3E}"/>
    <hyperlink ref="J2852" r:id="rId14992" display="https://statiz.sporki.com/player/?m=playerinfo&amp;p_no=2043" xr:uid="{D9D641D2-3C7D-44A2-B5D6-B682253E1F66}"/>
    <hyperlink ref="J2853" r:id="rId14993" display="https://statiz.sporki.com/player/?m=playerinfo&amp;p_no=2011" xr:uid="{7771651E-C29F-40F7-9A56-B8C44BE3FDA5}"/>
    <hyperlink ref="J2854" r:id="rId14994" display="https://statiz.sporki.com/player/?m=playerinfo&amp;p_no=2002" xr:uid="{805663DA-2D28-4E4C-8E19-D51DFBDB6622}"/>
    <hyperlink ref="J2855" r:id="rId14995" display="https://statiz.sporki.com/player/?m=playerinfo&amp;p_no=10519" xr:uid="{6841AF96-6A12-41D9-99F5-F46F7E3BD342}"/>
    <hyperlink ref="J2856" r:id="rId14996" display="https://statiz.sporki.com/player/?m=playerinfo&amp;p_no=2010" xr:uid="{862F207C-142F-4F97-8021-F36701AA6769}"/>
    <hyperlink ref="J2857" r:id="rId14997" display="https://statiz.sporki.com/player/?m=playerinfo&amp;p_no=10491" xr:uid="{2DAB2C97-772F-4F7B-B588-7F292947CB33}"/>
    <hyperlink ref="J2858" r:id="rId14998" display="https://statiz.sporki.com/player/?m=playerinfo&amp;p_no=10284" xr:uid="{89334110-360D-49A1-BE19-8B2A8EF707E3}"/>
    <hyperlink ref="J2859" r:id="rId14999" display="https://statiz.sporki.com/player/?m=playerinfo&amp;p_no=10617" xr:uid="{DC667161-A411-42CB-B13C-4EB0FF45149F}"/>
    <hyperlink ref="J2860" r:id="rId15000" display="https://statiz.sporki.com/player/?m=playerinfo&amp;p_no=1983" xr:uid="{58B96416-6C48-4678-BB01-AF5FF48EEB54}"/>
    <hyperlink ref="J2861" r:id="rId15001" display="https://statiz.sporki.com/player/?m=playerinfo&amp;p_no=10069" xr:uid="{F3D102C6-16EC-4F36-B432-246D5FE4C6F1}"/>
    <hyperlink ref="J2862" r:id="rId15002" display="https://statiz.sporki.com/player/?m=playerinfo&amp;p_no=10046" xr:uid="{C24B4ABB-BD8C-4B7B-8596-42C1337C61CD}"/>
    <hyperlink ref="J2863" r:id="rId15003" display="https://statiz.sporki.com/player/?m=playerinfo&amp;p_no=10314" xr:uid="{1FBB5189-E7AB-4A3F-8B00-1A547B7635D5}"/>
    <hyperlink ref="J2864" r:id="rId15004" display="https://statiz.sporki.com/player/?m=playerinfo&amp;p_no=2012" xr:uid="{86E03EB3-688C-4C78-AD62-1806762DBDD8}"/>
    <hyperlink ref="J2865" r:id="rId15005" display="https://statiz.sporki.com/player/?m=playerinfo&amp;p_no=2008" xr:uid="{4DC150BA-33B6-417D-BDAD-16CE552686B8}"/>
    <hyperlink ref="J2866" r:id="rId15006" display="https://statiz.sporki.com/player/?m=playerinfo&amp;p_no=1980" xr:uid="{F9B4183F-FD24-4554-85E4-3C442D7FDEE9}"/>
    <hyperlink ref="J2867" r:id="rId15007" display="https://statiz.sporki.com/player/?m=playerinfo&amp;p_no=10334" xr:uid="{9F3B9917-F80B-4C81-AA1D-FDAB638FC53D}"/>
    <hyperlink ref="J2868" r:id="rId15008" display="https://statiz.sporki.com/player/?m=playerinfo&amp;p_no=10265" xr:uid="{8FD80ADC-AE56-4393-8DB6-5E9D5EE7080C}"/>
    <hyperlink ref="J2869" r:id="rId15009" display="https://statiz.sporki.com/player/?m=playerinfo&amp;p_no=2014" xr:uid="{AF5A6A9B-7759-4962-A165-E2E9F87FDF79}"/>
    <hyperlink ref="J2870" r:id="rId15010" display="https://statiz.sporki.com/player/?m=playerinfo&amp;p_no=1970" xr:uid="{D2E5BD8F-BD9A-4DB9-8D91-60ABE9C3908C}"/>
    <hyperlink ref="J2871" r:id="rId15011" display="https://statiz.sporki.com/player/?m=playerinfo&amp;p_no=13432" xr:uid="{863F1079-4605-483A-923B-DA5075ADFC8E}"/>
    <hyperlink ref="J2872" r:id="rId15012" display="https://statiz.sporki.com/player/?m=playerinfo&amp;p_no=1993" xr:uid="{8F688B33-8C09-4515-BF5E-DC22425E43D3}"/>
    <hyperlink ref="J2873" r:id="rId15013" display="https://statiz.sporki.com/player/?m=playerinfo&amp;p_no=1985" xr:uid="{1811CE3F-0E99-46F8-975B-4242C4BC5358}"/>
    <hyperlink ref="J2874" r:id="rId15014" display="https://statiz.sporki.com/player/?m=playerinfo&amp;p_no=1992" xr:uid="{2B41745F-AB99-4357-9631-A9295BB7C35D}"/>
    <hyperlink ref="J2875" r:id="rId15015" display="https://statiz.sporki.com/player/?m=playerinfo&amp;p_no=10398" xr:uid="{E1FC655A-AC47-4732-BF06-6E0D02AA11A8}"/>
    <hyperlink ref="J2876" r:id="rId15016" display="https://statiz.sporki.com/player/?m=playerinfo&amp;p_no=1974" xr:uid="{6303E092-71BF-4959-932D-2E6487BDC1A7}"/>
    <hyperlink ref="J2877" r:id="rId15017" display="https://statiz.sporki.com/player/?m=playerinfo&amp;p_no=1989" xr:uid="{5480D2C4-7510-4E5A-90E9-BDF657DE2719}"/>
    <hyperlink ref="J2878" r:id="rId15018" display="https://statiz.sporki.com/player/?m=playerinfo&amp;p_no=10457" xr:uid="{0D4EE7B1-32CB-4118-AC07-647F9DEB5734}"/>
    <hyperlink ref="J2879" r:id="rId15019" display="https://statiz.sporki.com/player/?m=playerinfo&amp;p_no=1982" xr:uid="{8A9AB1AA-CADA-4495-AC7E-7B9776D009A2}"/>
    <hyperlink ref="J2880" r:id="rId15020" display="https://statiz.sporki.com/player/?m=playerinfo&amp;p_no=1971" xr:uid="{1A7CC4C4-05CD-4D9E-9B6C-7C94DAAA1647}"/>
    <hyperlink ref="J2881" r:id="rId15021" display="https://statiz.sporki.com/player/?m=playerinfo&amp;p_no=1995" xr:uid="{BE374E7D-E538-46E9-B8B9-7585B80280FD}"/>
    <hyperlink ref="J2882" r:id="rId15022" display="https://statiz.sporki.com/player/?m=playerinfo&amp;p_no=2007" xr:uid="{F6F0D6CF-5C72-45BE-B9B0-E465B3F1562D}"/>
    <hyperlink ref="J2883" r:id="rId15023" display="https://statiz.sporki.com/player/?m=playerinfo&amp;p_no=2004" xr:uid="{91E4BD44-1D98-44DE-97F1-5CE67B586786}"/>
    <hyperlink ref="J2884" r:id="rId15024" display="https://statiz.sporki.com/player/?m=playerinfo&amp;p_no=1981" xr:uid="{DE739E78-C989-4D38-839F-B41E481CE9F3}"/>
    <hyperlink ref="J2885" r:id="rId15025" display="https://statiz.sporki.com/player/?m=playerinfo&amp;p_no=1987" xr:uid="{0BEB9897-BA84-40F6-83AD-DBEEDCA48C45}"/>
    <hyperlink ref="J2886" r:id="rId15026" display="https://statiz.sporki.com/player/?m=playerinfo&amp;p_no=2035" xr:uid="{466425FF-F5F9-4F0B-B2C2-9171257F7787}"/>
    <hyperlink ref="J2887" r:id="rId15027" display="https://statiz.sporki.com/player/?m=playerinfo&amp;p_no=1973" xr:uid="{F802ABB4-A43D-4D58-B191-F8E545C9A0FB}"/>
    <hyperlink ref="J2888" r:id="rId15028" display="https://statiz.sporki.com/player/?m=playerinfo&amp;p_no=1997" xr:uid="{75132744-10E3-430C-8CD8-BCFFDB702CD9}"/>
    <hyperlink ref="J2889" r:id="rId15029" display="https://statiz.sporki.com/player/?m=playerinfo&amp;p_no=2217" xr:uid="{4DF9751F-5230-4411-B33A-03D27D55D794}"/>
    <hyperlink ref="J2890" r:id="rId15030" display="https://statiz.sporki.com/player/?m=playerinfo&amp;p_no=10336" xr:uid="{0F32BBC3-D34E-4D9F-8AAC-FEECA01D918F}"/>
    <hyperlink ref="J2891" r:id="rId15031" display="https://statiz.sporki.com/player/?m=playerinfo&amp;p_no=2083" xr:uid="{05061977-A782-46BE-8F4C-84BC676AA70B}"/>
    <hyperlink ref="J2892" r:id="rId15032" display="https://statiz.sporki.com/player/?m=playerinfo&amp;p_no=2226" xr:uid="{5C44BA39-EB90-4BC0-B892-F0AF1AA1DE43}"/>
    <hyperlink ref="J2893" r:id="rId15033" display="https://statiz.sporki.com/player/?m=playerinfo&amp;p_no=1984" xr:uid="{59E91EE0-5AD4-473C-B334-0A1DB5F91B2E}"/>
    <hyperlink ref="J2894" r:id="rId15034" display="https://statiz.sporki.com/player/?m=playerinfo&amp;p_no=11455" xr:uid="{89546101-7662-4D62-8DEC-D10DF5D1D8D8}"/>
    <hyperlink ref="J2895" r:id="rId15035" display="https://statiz.sporki.com/player/?m=playerinfo&amp;p_no=10029" xr:uid="{349343AD-F13E-4596-9BD0-337E7D92FFCE}"/>
    <hyperlink ref="J2896" r:id="rId15036" display="https://statiz.sporki.com/player/?m=playerinfo&amp;p_no=2033" xr:uid="{67B8EF1F-B0D7-4189-8F42-93AEFF3E29D6}"/>
    <hyperlink ref="J2897" r:id="rId15037" display="https://statiz.sporki.com/player/?m=playerinfo&amp;p_no=1978" xr:uid="{3C2F09B3-6F27-461B-AD7A-4A8B011A7979}"/>
    <hyperlink ref="J2898" r:id="rId15038" display="https://statiz.sporki.com/player/?m=playerinfo&amp;p_no=2051" xr:uid="{511C1E36-124D-4867-8043-C845A0153C92}"/>
    <hyperlink ref="J2899" r:id="rId15039" display="https://statiz.sporki.com/player/?m=playerinfo&amp;p_no=1972" xr:uid="{EB1F738B-9EB0-4E70-8102-A0B56694F8D8}"/>
    <hyperlink ref="J2900" r:id="rId15040" display="https://statiz.sporki.com/player/?m=playerinfo&amp;p_no=2164" xr:uid="{C1C11335-5126-4F11-9CE1-505F79BA25A8}"/>
    <hyperlink ref="J2901" r:id="rId15041" display="https://statiz.sporki.com/player/?m=playerinfo&amp;p_no=2181" xr:uid="{EEF0CF2D-9C95-4B19-80B3-0C0ACF546F32}"/>
    <hyperlink ref="J2902" r:id="rId15042" display="https://statiz.sporki.com/player/?m=playerinfo&amp;p_no=10277" xr:uid="{0EA4853E-7D63-4DAD-9B35-F8533F561F18}"/>
    <hyperlink ref="J2903" r:id="rId15043" display="https://statiz.sporki.com/player/?m=playerinfo&amp;p_no=2110" xr:uid="{37C0432E-1B0F-48F2-AB58-185434567FD5}"/>
    <hyperlink ref="J2904" r:id="rId15044" display="https://statiz.sporki.com/player/?m=playerinfo&amp;p_no=2005" xr:uid="{8DE9F799-24B9-41F2-8436-92B733156263}"/>
    <hyperlink ref="J2905" r:id="rId15045" display="https://statiz.sporki.com/player/?m=playerinfo&amp;p_no=2172" xr:uid="{E9F7F5B9-C8E8-41F4-9EB5-4C2F93AFCF26}"/>
    <hyperlink ref="J2906" r:id="rId15046" display="https://statiz.sporki.com/player/?m=playerinfo&amp;p_no=2000" xr:uid="{0F9F7792-6182-41C2-BCB4-95A00E286EA2}"/>
    <hyperlink ref="J2907" r:id="rId15047" display="https://statiz.sporki.com/player/?m=playerinfo&amp;p_no=1994" xr:uid="{7ACED202-410F-4F65-8133-331A12BC3E11}"/>
    <hyperlink ref="J2908" r:id="rId15048" display="https://statiz.sporki.com/player/?m=playerinfo&amp;p_no=2009" xr:uid="{0D0D9568-BD04-4F9D-B1FB-2E370EDBD42F}"/>
    <hyperlink ref="J2909" r:id="rId15049" display="https://statiz.sporki.com/player/?m=playerinfo&amp;p_no=2218" xr:uid="{9125C3ED-E2D5-4E55-8B0D-6E83A5120FD1}"/>
    <hyperlink ref="J2910" r:id="rId15050" display="https://statiz.sporki.com/player/?m=playerinfo&amp;p_no=10419" xr:uid="{8582887D-C87C-45FB-8049-13A21B1E9DE6}"/>
    <hyperlink ref="J2911" r:id="rId15051" display="https://statiz.sporki.com/player/?m=playerinfo&amp;p_no=2060" xr:uid="{EE4DA0D6-2778-4B7A-8A60-61FEFFF0E3F5}"/>
    <hyperlink ref="J2912" r:id="rId15052" display="https://statiz.sporki.com/player/?m=playerinfo&amp;p_no=2023" xr:uid="{D7BCE51D-632A-4BA4-B76A-086493701807}"/>
    <hyperlink ref="J2913" r:id="rId15053" display="https://statiz.sporki.com/player/?m=playerinfo&amp;p_no=10504" xr:uid="{614D4A09-F7A0-4CCF-B94C-70C2D6241F0C}"/>
    <hyperlink ref="J2914" r:id="rId15054" display="https://statiz.sporki.com/player/?m=playerinfo&amp;p_no=2297" xr:uid="{D7322E9E-52BB-4B3C-8671-AC839E038E87}"/>
    <hyperlink ref="J2915" r:id="rId15055" display="https://statiz.sporki.com/player/?m=playerinfo&amp;p_no=10098" xr:uid="{78640313-F2BE-4716-AD0C-1CAC4E877D3C}"/>
    <hyperlink ref="J2916" r:id="rId15056" display="https://statiz.sporki.com/player/?m=playerinfo&amp;p_no=2191" xr:uid="{45F08736-C8D0-4C2E-9E9D-8A5C4D3B9B4F}"/>
    <hyperlink ref="J2917" r:id="rId15057" display="https://statiz.sporki.com/player/?m=playerinfo&amp;p_no=2222" xr:uid="{8B53FC19-AB34-4112-9A02-809E25F4284B}"/>
    <hyperlink ref="J2918" r:id="rId15058" display="https://statiz.sporki.com/player/?m=playerinfo&amp;p_no=2016" xr:uid="{3BDA0A33-AD3E-455D-B84C-DCAEB691B400}"/>
    <hyperlink ref="J2919" r:id="rId15059" display="https://statiz.sporki.com/player/?m=playerinfo&amp;p_no=2190" xr:uid="{CF068270-9019-4F83-876F-B80193570D5A}"/>
    <hyperlink ref="J2920" r:id="rId15060" display="https://statiz.sporki.com/player/?m=playerinfo&amp;p_no=2076" xr:uid="{890ED044-56D8-43F7-ACE9-D40D57D16ECD}"/>
    <hyperlink ref="J2921" r:id="rId15061" display="https://statiz.sporki.com/player/?m=playerinfo&amp;p_no=10228" xr:uid="{ACC7D7F8-3A55-405A-9C61-A04683B4DA21}"/>
    <hyperlink ref="J2922" r:id="rId15062" display="https://statiz.sporki.com/player/?m=playerinfo&amp;p_no=2215" xr:uid="{2F890BDE-B5B0-4759-9473-3E91CF8F9E7B}"/>
    <hyperlink ref="J2923" r:id="rId15063" display="https://statiz.sporki.com/player/?m=playerinfo&amp;p_no=1996" xr:uid="{9C8851AF-912B-4E69-B389-58D534CA181A}"/>
    <hyperlink ref="J2924" r:id="rId15064" display="https://statiz.sporki.com/player/?m=playerinfo&amp;p_no=10327" xr:uid="{896C63F9-74D8-402E-B49D-2377D73F6493}"/>
    <hyperlink ref="J2925" r:id="rId15065" display="https://statiz.sporki.com/player/?m=playerinfo&amp;p_no=10154" xr:uid="{7EAA3CB6-D171-43C4-8686-E4827B614616}"/>
    <hyperlink ref="J2926" r:id="rId15066" display="https://statiz.sporki.com/player/?m=playerinfo&amp;p_no=10009" xr:uid="{0ABF0246-66A8-45FE-9B0A-7E647D43EC43}"/>
    <hyperlink ref="J2927" r:id="rId15067" display="https://statiz.sporki.com/player/?m=playerinfo&amp;p_no=2107" xr:uid="{006F5EF5-37FC-47C9-AF5E-910DD40189B4}"/>
    <hyperlink ref="J2928" r:id="rId15068" display="https://statiz.sporki.com/player/?m=playerinfo&amp;p_no=14231" xr:uid="{88A4A9F3-57BA-4325-A3AE-6557DBA7B9FA}"/>
    <hyperlink ref="J2929" r:id="rId15069" display="https://statiz.sporki.com/player/?m=playerinfo&amp;p_no=1967" xr:uid="{6B7B0B53-6028-48CD-A6C6-267796E0A673}"/>
    <hyperlink ref="J2930" r:id="rId15070" display="https://statiz.sporki.com/player/?m=playerinfo&amp;p_no=1965" xr:uid="{AB30E1C6-2424-4CD7-B645-53D4A74B271C}"/>
    <hyperlink ref="J2931" r:id="rId15071" display="https://statiz.sporki.com/player/?m=playerinfo&amp;p_no=14889" xr:uid="{2E93F6DE-EEE6-403B-8EB4-AF7BBBE74A4E}"/>
    <hyperlink ref="J2932" r:id="rId15072" display="https://statiz.sporki.com/player/?m=playerinfo&amp;p_no=10537" xr:uid="{235D8974-AF5B-460E-90F0-F5DB1C92A5A1}"/>
    <hyperlink ref="J2933" r:id="rId15073" display="https://statiz.sporki.com/player/?m=playerinfo&amp;p_no=1914" xr:uid="{C6951CE6-6B29-4660-A216-7F996E28BF8D}"/>
    <hyperlink ref="J2934" r:id="rId15074" display="https://statiz.sporki.com/player/?m=playerinfo&amp;p_no=10200" xr:uid="{85B12299-F530-459E-B0E7-7C38C252AEA6}"/>
    <hyperlink ref="J2935" r:id="rId15075" display="https://statiz.sporki.com/player/?m=playerinfo&amp;p_no=10032" xr:uid="{2E41F109-D367-4152-B47A-23B099A89714}"/>
    <hyperlink ref="J2936" r:id="rId15076" display="https://statiz.sporki.com/player/?m=playerinfo&amp;p_no=2118" xr:uid="{14B49E40-8BFA-48F4-88B7-55D618277AA3}"/>
    <hyperlink ref="J2937" r:id="rId15077" display="https://statiz.sporki.com/player/?m=playerinfo&amp;p_no=10296" xr:uid="{65283D0B-EB42-4638-8F4A-2FAA6F0B928A}"/>
    <hyperlink ref="J2938" r:id="rId15078" display="https://statiz.sporki.com/player/?m=playerinfo&amp;p_no=11441" xr:uid="{6381D464-6A90-4558-876A-CA8102030BAF}"/>
    <hyperlink ref="J2939" r:id="rId15079" display="https://statiz.sporki.com/player/?m=playerinfo&amp;p_no=2163" xr:uid="{E606428A-A428-4F32-84C5-D27E17FB2FA0}"/>
    <hyperlink ref="J2940" r:id="rId15080" display="https://statiz.sporki.com/player/?m=playerinfo&amp;p_no=2122" xr:uid="{976F4F8F-E787-4AAB-BDC5-26C61652047B}"/>
    <hyperlink ref="J2941" r:id="rId15081" display="https://statiz.sporki.com/player/?m=playerinfo&amp;p_no=1915" xr:uid="{C0DE1B81-E8EE-4050-B789-63D9983DD75E}"/>
    <hyperlink ref="J2942" r:id="rId15082" display="https://statiz.sporki.com/player/?m=playerinfo&amp;p_no=1924" xr:uid="{437590F7-6F1E-4B57-B1F8-6E09D10B7472}"/>
    <hyperlink ref="J2943" r:id="rId15083" display="https://statiz.sporki.com/player/?m=playerinfo&amp;p_no=1920" xr:uid="{744A88AD-6DF0-4F67-94A5-AE3BECD90275}"/>
    <hyperlink ref="J2944" r:id="rId15084" display="https://statiz.sporki.com/player/?m=playerinfo&amp;p_no=14564" xr:uid="{80FB3C09-0629-4F16-84C7-CC6B7A0BE835}"/>
    <hyperlink ref="J2945" r:id="rId15085" display="https://statiz.sporki.com/player/?m=playerinfo&amp;p_no=1918" xr:uid="{CB29A476-9124-4597-B00C-1FD55D00DBD1}"/>
    <hyperlink ref="J2946" r:id="rId15086" display="https://statiz.sporki.com/player/?m=playerinfo&amp;p_no=1954" xr:uid="{4CF5F5ED-2F15-4D0B-B39F-B531982F1C9D}"/>
    <hyperlink ref="J2947" r:id="rId15087" display="https://statiz.sporki.com/player/?m=playerinfo&amp;p_no=1959" xr:uid="{00F8630F-43EC-4F9F-8218-117AFC104D40}"/>
    <hyperlink ref="J2948" r:id="rId15088" display="https://statiz.sporki.com/player/?m=playerinfo&amp;p_no=1957" xr:uid="{4D2B828C-EF06-46C4-9670-8B447867DAB0}"/>
    <hyperlink ref="J2949" r:id="rId15089" display="https://statiz.sporki.com/player/?m=playerinfo&amp;p_no=1951" xr:uid="{92B83487-3C35-4774-AFCD-CB0D5B739798}"/>
    <hyperlink ref="J2950" r:id="rId15090" display="https://statiz.sporki.com/player/?m=playerinfo&amp;p_no=1936" xr:uid="{6591C28F-B224-42A5-968D-63DE01CAC3D8}"/>
    <hyperlink ref="J2951" r:id="rId15091" display="https://statiz.sporki.com/player/?m=playerinfo&amp;p_no=2001" xr:uid="{A78A0BBE-3FA4-4BBE-AEC7-16E1D7791BF8}"/>
    <hyperlink ref="J2952" r:id="rId15092" display="https://statiz.sporki.com/player/?m=playerinfo&amp;p_no=2075" xr:uid="{7FE9000A-2230-4B45-B56E-CE9D1393897D}"/>
    <hyperlink ref="J2953" r:id="rId15093" display="https://statiz.sporki.com/player/?m=playerinfo&amp;p_no=10562" xr:uid="{C056FD87-826D-4195-96AE-C676A692E736}"/>
    <hyperlink ref="J2954" r:id="rId15094" display="https://statiz.sporki.com/player/?m=playerinfo&amp;p_no=1941" xr:uid="{B9A058E3-5E86-4F88-845D-EB09000CAE9D}"/>
    <hyperlink ref="J2955" r:id="rId15095" display="https://statiz.sporki.com/player/?m=playerinfo&amp;p_no=1949" xr:uid="{F3073AF0-83B2-46FE-8EE9-13637DE83244}"/>
    <hyperlink ref="J2956" r:id="rId15096" display="https://statiz.sporki.com/player/?m=playerinfo&amp;p_no=1960" xr:uid="{2B732476-53AF-4B9E-B086-CF96385F5ED4}"/>
    <hyperlink ref="J2957" r:id="rId15097" display="https://statiz.sporki.com/player/?m=playerinfo&amp;p_no=10574" xr:uid="{9488F14F-EE18-4499-8399-F536FC31CE53}"/>
    <hyperlink ref="J2958" r:id="rId15098" display="https://statiz.sporki.com/player/?m=playerinfo&amp;p_no=1948" xr:uid="{53050BE2-1A93-4E24-A651-599ADEF5C08F}"/>
    <hyperlink ref="J2959" r:id="rId15099" display="https://statiz.sporki.com/player/?m=playerinfo&amp;p_no=1935" xr:uid="{5C212C8A-D20E-4896-8056-097E64ADCD08}"/>
    <hyperlink ref="J2960" r:id="rId15100" display="https://statiz.sporki.com/player/?m=playerinfo&amp;p_no=2070" xr:uid="{56404425-E5C5-4055-9E45-F229306164C1}"/>
    <hyperlink ref="J2961" r:id="rId15101" display="https://statiz.sporki.com/player/?m=playerinfo&amp;p_no=2151" xr:uid="{AE98E76F-CAE2-4B9C-8578-853DFC7ED853}"/>
    <hyperlink ref="J2962" r:id="rId15102" display="https://statiz.sporki.com/player/?m=playerinfo&amp;p_no=1923" xr:uid="{1FC3A1A6-A743-4F71-BF31-C01276E3430E}"/>
    <hyperlink ref="J2963" r:id="rId15103" display="https://statiz.sporki.com/player/?m=playerinfo&amp;p_no=10377" xr:uid="{AFDB45DE-998D-4246-9EEE-5436ACAA14D1}"/>
    <hyperlink ref="J2964" r:id="rId15104" display="https://statiz.sporki.com/player/?m=playerinfo&amp;p_no=1929" xr:uid="{6638CE89-3B8E-435A-8312-5A14488F1957}"/>
    <hyperlink ref="J2965" r:id="rId15105" display="https://statiz.sporki.com/player/?m=playerinfo&amp;p_no=10412" xr:uid="{BB257F30-DE76-4DA8-AE17-CD2525F56A5C}"/>
    <hyperlink ref="J2966" r:id="rId15106" display="https://statiz.sporki.com/player/?m=playerinfo&amp;p_no=2132" xr:uid="{6C8EDDD9-A371-47F5-BEC1-A017E6FDE473}"/>
    <hyperlink ref="J2967" r:id="rId15107" display="https://statiz.sporki.com/player/?m=playerinfo&amp;p_no=12966" xr:uid="{6B66F24A-54BE-492A-8042-B7AA38CCDC0D}"/>
    <hyperlink ref="J2968" r:id="rId15108" display="https://statiz.sporki.com/player/?m=playerinfo&amp;p_no=1934" xr:uid="{3679E5EF-102A-413B-83E8-216AAC828E1A}"/>
    <hyperlink ref="J2969" r:id="rId15109" display="https://statiz.sporki.com/player/?m=playerinfo&amp;p_no=2048" xr:uid="{2263E588-2F02-422F-B521-7C897B1DC716}"/>
    <hyperlink ref="J2970" r:id="rId15110" display="https://statiz.sporki.com/player/?m=playerinfo&amp;p_no=1913" xr:uid="{F0E65013-77A9-4F0A-A776-DE97F0C4E7BE}"/>
    <hyperlink ref="J2971" r:id="rId15111" display="https://statiz.sporki.com/player/?m=playerinfo&amp;p_no=2204" xr:uid="{E225B82E-0F33-4060-836A-98D655CC7562}"/>
    <hyperlink ref="J2972" r:id="rId15112" display="https://statiz.sporki.com/player/?m=playerinfo&amp;p_no=2206" xr:uid="{C9A7D329-A627-4135-A2D9-632753820A52}"/>
    <hyperlink ref="J2973" r:id="rId15113" display="https://statiz.sporki.com/player/?m=playerinfo&amp;p_no=10291" xr:uid="{C3CCD4CA-FF09-4DAE-B89D-C240908FC743}"/>
    <hyperlink ref="J2974" r:id="rId15114" display="https://statiz.sporki.com/player/?m=playerinfo&amp;p_no=1925" xr:uid="{7BFB6058-33A3-438D-BD1C-458B94DFF2A3}"/>
    <hyperlink ref="J2975" r:id="rId15115" display="https://statiz.sporki.com/player/?m=playerinfo&amp;p_no=1926" xr:uid="{1D95606C-7357-476B-A485-A514E0BC0CF2}"/>
    <hyperlink ref="J2976" r:id="rId15116" display="https://statiz.sporki.com/player/?m=playerinfo&amp;p_no=10575" xr:uid="{02DC5EF5-6D31-43BF-B612-3DA6F9FB1666}"/>
    <hyperlink ref="J2977" r:id="rId15117" display="https://statiz.sporki.com/player/?m=playerinfo&amp;p_no=10102" xr:uid="{0A379351-ED19-40C9-9DBC-4A0386EB77C8}"/>
    <hyperlink ref="J2978" r:id="rId15118" display="https://statiz.sporki.com/player/?m=playerinfo&amp;p_no=10097" xr:uid="{DF04C109-6420-4FF2-9226-D6E697569C91}"/>
    <hyperlink ref="J2979" r:id="rId15119" display="https://statiz.sporki.com/player/?m=playerinfo&amp;p_no=2036" xr:uid="{FA93DC83-92CD-4BF2-B2E3-89B2115CAA90}"/>
    <hyperlink ref="J2980" r:id="rId15120" display="https://statiz.sporki.com/player/?m=playerinfo&amp;p_no=1912" xr:uid="{593F0E14-CAA9-42B9-991A-FF800DDE2591}"/>
    <hyperlink ref="J2981" r:id="rId15121" display="https://statiz.sporki.com/player/?m=playerinfo&amp;p_no=1952" xr:uid="{94E59684-8A40-43AF-9B83-D3A97A61FB10}"/>
    <hyperlink ref="J2982" r:id="rId15122" display="https://statiz.sporki.com/player/?m=playerinfo&amp;p_no=10332" xr:uid="{DD6213FA-9039-4AD1-A73F-34F8D931E85F}"/>
    <hyperlink ref="J2983" r:id="rId15123" display="https://statiz.sporki.com/player/?m=playerinfo&amp;p_no=1945" xr:uid="{1E5452D5-D970-4DE2-B69F-B581ED92A63A}"/>
    <hyperlink ref="J2984" r:id="rId15124" display="https://statiz.sporki.com/player/?m=playerinfo&amp;p_no=1991" xr:uid="{24BC6C09-7830-4A03-9633-F28ADB08BA93}"/>
    <hyperlink ref="J2985" r:id="rId15125" display="https://statiz.sporki.com/player/?m=playerinfo&amp;p_no=1916" xr:uid="{362B5282-F8EE-421F-AD09-57F8B710FC1C}"/>
    <hyperlink ref="J2986" r:id="rId15126" display="https://statiz.sporki.com/player/?m=playerinfo&amp;p_no=1966" xr:uid="{DBC7061F-9BF0-4F93-A76F-248C2BE43B91}"/>
    <hyperlink ref="J2987" r:id="rId15127" display="https://statiz.sporki.com/player/?m=playerinfo&amp;p_no=10105" xr:uid="{927B7812-E0A2-4EC4-922D-930A90FA5E82}"/>
    <hyperlink ref="J2988" r:id="rId15128" display="https://statiz.sporki.com/player/?m=playerinfo&amp;p_no=1975" xr:uid="{7865881E-2215-4899-BCB9-EAF4132D87D8}"/>
    <hyperlink ref="J2989" r:id="rId15129" display="https://statiz.sporki.com/player/?m=playerinfo&amp;p_no=2128" xr:uid="{32A226D0-12ED-4427-9B50-8DB588DBC694}"/>
    <hyperlink ref="J2990" r:id="rId15130" display="https://statiz.sporki.com/player/?m=playerinfo&amp;p_no=2154" xr:uid="{0AD65C2E-19D9-4712-B196-A3B22F7086D8}"/>
    <hyperlink ref="J2991" r:id="rId15131" display="https://statiz.sporki.com/player/?m=playerinfo&amp;p_no=2153" xr:uid="{2F3C9967-BA41-4670-A669-1F5B3C82B5EE}"/>
    <hyperlink ref="J2992" r:id="rId15132" display="https://statiz.sporki.com/player/?m=playerinfo&amp;p_no=10408" xr:uid="{594096EC-22FC-4BF2-9850-5172077C3CD5}"/>
    <hyperlink ref="J2993" r:id="rId15133" display="https://statiz.sporki.com/player/?m=playerinfo&amp;p_no=1940" xr:uid="{33A39DE5-ED79-4BD7-A898-0C7980235330}"/>
    <hyperlink ref="J2994" r:id="rId15134" display="https://statiz.sporki.com/player/?m=playerinfo&amp;p_no=11451" xr:uid="{1D094E61-F2F9-4D9C-BE9B-D7BEB37BAA84}"/>
    <hyperlink ref="J2995" r:id="rId15135" display="https://statiz.sporki.com/player/?m=playerinfo&amp;p_no=2015" xr:uid="{481BE5D3-31D7-4D8C-BFF1-18A6FA21FFAA}"/>
    <hyperlink ref="J2996" r:id="rId15136" display="https://statiz.sporki.com/player/?m=playerinfo&amp;p_no=2123" xr:uid="{4A34248E-E024-4575-9BF6-34625D338E34}"/>
    <hyperlink ref="J2997" r:id="rId15137" display="https://statiz.sporki.com/player/?m=playerinfo&amp;p_no=10439" xr:uid="{891FD838-6679-4C62-BE5B-BA0327B23431}"/>
    <hyperlink ref="J2998" r:id="rId15138" display="https://statiz.sporki.com/player/?m=playerinfo&amp;p_no=2168" xr:uid="{CEDFD457-E8C2-4BB0-9CAD-F9E9B7775155}"/>
    <hyperlink ref="J2999" r:id="rId15139" display="https://statiz.sporki.com/player/?m=playerinfo&amp;p_no=2232" xr:uid="{942C099C-85B0-4379-93FA-D3302E802F14}"/>
    <hyperlink ref="J3000" r:id="rId15140" display="https://statiz.sporki.com/player/?m=playerinfo&amp;p_no=1942" xr:uid="{DB667521-BAD8-432E-912F-3E5A9EF4525B}"/>
    <hyperlink ref="J3001" r:id="rId15141" display="https://statiz.sporki.com/player/?m=playerinfo&amp;p_no=1990" xr:uid="{0F5402E5-6FC0-4639-BF90-9F2CEE655039}"/>
    <hyperlink ref="J3002" r:id="rId15142" display="https://statiz.sporki.com/player/?m=playerinfo&amp;p_no=1947" xr:uid="{65C62746-9D49-4B9C-9FE1-308998D48C3C}"/>
    <hyperlink ref="J3003" r:id="rId15143" display="https://statiz.sporki.com/player/?m=playerinfo&amp;p_no=10531" xr:uid="{4FD116C0-A262-4B8E-94A1-0A7CA8789E06}"/>
    <hyperlink ref="J3004" r:id="rId15144" display="https://statiz.sporki.com/player/?m=playerinfo&amp;p_no=1917" xr:uid="{51776365-3F5C-430B-8805-88BE7FE0515C}"/>
    <hyperlink ref="J3005" r:id="rId15145" display="https://statiz.sporki.com/player/?m=playerinfo&amp;p_no=10026" xr:uid="{2B5759CD-CFF5-44B7-B491-CCC963E39F80}"/>
    <hyperlink ref="J3006" r:id="rId15146" display="https://statiz.sporki.com/player/?m=playerinfo&amp;p_no=10039" xr:uid="{24C03015-AD87-4D09-AAAD-67E659FDD0CB}"/>
    <hyperlink ref="J3007" r:id="rId15147" display="https://statiz.sporki.com/player/?m=playerinfo&amp;p_no=2040" xr:uid="{19612180-1462-4315-874D-8383EDAFD5C0}"/>
    <hyperlink ref="J3008" r:id="rId15148" display="https://statiz.sporki.com/player/?m=playerinfo&amp;p_no=2126" xr:uid="{7801429B-E28E-46C2-9F60-A2EB1DC2AA38}"/>
    <hyperlink ref="J3009" r:id="rId15149" display="https://statiz.sporki.com/player/?m=playerinfo&amp;p_no=1930" xr:uid="{A025E389-8756-4D4C-842C-39B5815F7E60}"/>
    <hyperlink ref="J3010" r:id="rId15150" display="https://statiz.sporki.com/player/?m=playerinfo&amp;p_no=1986" xr:uid="{30BC9FD8-0AD6-4772-B705-7E9DB0D1F0B3}"/>
    <hyperlink ref="J3011" r:id="rId15151" display="https://statiz.sporki.com/player/?m=playerinfo&amp;p_no=2129" xr:uid="{574B4F2A-C165-4B60-8FE8-FE65146D2759}"/>
    <hyperlink ref="J3012" r:id="rId15152" display="https://statiz.sporki.com/player/?m=playerinfo&amp;p_no=1968" xr:uid="{4A86E90B-CBE2-4645-94D9-1CE71D0C4663}"/>
    <hyperlink ref="J3013" r:id="rId15153" display="https://statiz.sporki.com/player/?m=playerinfo&amp;p_no=1931" xr:uid="{33D34706-24A5-4FA2-B9E3-1C1EA0C4420F}"/>
    <hyperlink ref="J3014" r:id="rId15154" display="https://statiz.sporki.com/player/?m=playerinfo&amp;p_no=1943" xr:uid="{F8F77CC8-0A7E-471C-9BC4-CE689496B1DB}"/>
    <hyperlink ref="J3015" r:id="rId15155" display="https://statiz.sporki.com/player/?m=playerinfo&amp;p_no=1938" xr:uid="{F68E6B59-6E6D-4F57-AED3-9A9CFD80E448}"/>
    <hyperlink ref="J3016" r:id="rId15156" display="https://statiz.sporki.com/player/?m=playerinfo&amp;p_no=10498" xr:uid="{2C493695-9853-41E1-B42E-9D5B719D8FC5}"/>
    <hyperlink ref="J3017" r:id="rId15157" display="https://statiz.sporki.com/player/?m=playerinfo&amp;p_no=2057" xr:uid="{190A8A2E-68EC-493B-91ED-C0E88346C7B9}"/>
    <hyperlink ref="J3018" r:id="rId15158" display="https://statiz.sporki.com/player/?m=playerinfo&amp;p_no=10169" xr:uid="{914D9508-239F-44C3-A9BA-D98794974E2B}"/>
    <hyperlink ref="J3019" r:id="rId15159" display="https://statiz.sporki.com/player/?m=playerinfo&amp;p_no=1969" xr:uid="{C4C63E03-3E26-4945-8EAA-75F1C934A120}"/>
    <hyperlink ref="J3020" r:id="rId15160" display="https://statiz.sporki.com/player/?m=playerinfo&amp;p_no=1963" xr:uid="{805F3284-9B5F-43EB-915B-5A4426591382}"/>
    <hyperlink ref="J3021" r:id="rId15161" display="https://statiz.sporki.com/player/?m=playerinfo&amp;p_no=11447" xr:uid="{FF9769C5-9A0A-4D1B-8CA6-21D718EF6854}"/>
    <hyperlink ref="J3022" r:id="rId15162" display="https://statiz.sporki.com/player/?m=playerinfo&amp;p_no=1928" xr:uid="{70A3371F-634A-4B10-A420-A3D32795FB22}"/>
    <hyperlink ref="J3023" r:id="rId15163" display="https://statiz.sporki.com/player/?m=playerinfo&amp;p_no=2185" xr:uid="{86970871-980C-4B4F-A10A-81A41EC556DA}"/>
    <hyperlink ref="J3024" r:id="rId15164" display="https://statiz.sporki.com/player/?m=playerinfo&amp;p_no=10310" xr:uid="{0E8EA048-62B9-40DC-9A92-A699911497FF}"/>
    <hyperlink ref="J3025" r:id="rId15165" display="https://statiz.sporki.com/player/?m=playerinfo&amp;p_no=10449" xr:uid="{8A71F9DB-18A6-40EB-9718-03D64246B165}"/>
    <hyperlink ref="J3026" r:id="rId15166" display="https://statiz.sporki.com/player/?m=playerinfo&amp;p_no=1950" xr:uid="{932CDA2A-BD95-47B4-B5DA-0F3ADA66445F}"/>
    <hyperlink ref="J3027" r:id="rId15167" display="https://statiz.sporki.com/player/?m=playerinfo&amp;p_no=10510" xr:uid="{386C3BEF-68CD-4AD2-985B-CB74D02792C1}"/>
    <hyperlink ref="J3028" r:id="rId15168" display="https://statiz.sporki.com/player/?m=playerinfo&amp;p_no=10001" xr:uid="{1E72C390-F92A-477F-8E46-0904F61AE56E}"/>
    <hyperlink ref="J3029" r:id="rId15169" display="https://statiz.sporki.com/player/?m=playerinfo&amp;p_no=10053" xr:uid="{69C6764B-8C61-435D-99BE-A308D1BD2CFE}"/>
    <hyperlink ref="J3030" r:id="rId15170" display="https://statiz.sporki.com/player/?m=playerinfo&amp;p_no=2006" xr:uid="{8CEBD8FB-E508-4F06-931D-7A2F602439CE}"/>
    <hyperlink ref="J3031" r:id="rId15171" display="https://statiz.sporki.com/player/?m=playerinfo&amp;p_no=10323" xr:uid="{8BD06241-EBE7-43CC-9F60-29AA2507D686}"/>
    <hyperlink ref="J3032" r:id="rId15172" display="https://statiz.sporki.com/player/?m=playerinfo&amp;p_no=1867" xr:uid="{F59D36DC-BF66-4E73-BE81-951ABA409897}"/>
    <hyperlink ref="J3033" r:id="rId15173" display="https://statiz.sporki.com/player/?m=playerinfo&amp;p_no=1903" xr:uid="{3CCD6052-50C5-4667-BA98-E69DDFDB97EE}"/>
    <hyperlink ref="J3034" r:id="rId15174" display="https://statiz.sporki.com/player/?m=playerinfo&amp;p_no=10593" xr:uid="{C2859250-0D51-43BD-AA03-CDCBF779E2E5}"/>
    <hyperlink ref="J3035" r:id="rId15175" display="https://statiz.sporki.com/player/?m=playerinfo&amp;p_no=1906" xr:uid="{7894CBFE-2EA0-48B4-B6BC-030061291DCF}"/>
    <hyperlink ref="J3036" r:id="rId15176" display="https://statiz.sporki.com/player/?m=playerinfo&amp;p_no=1886" xr:uid="{1572DA99-9ED9-4AD7-B7ED-C7740ADAB361}"/>
    <hyperlink ref="J3037" r:id="rId15177" display="https://statiz.sporki.com/player/?m=playerinfo&amp;p_no=1905" xr:uid="{F7C7712C-8572-43F7-A617-006E3BCAA2D6}"/>
    <hyperlink ref="J3038" r:id="rId15178" display="https://statiz.sporki.com/player/?m=playerinfo&amp;p_no=2003" xr:uid="{67E14A46-1C2F-4F64-A6C7-A4B41B519ACE}"/>
    <hyperlink ref="J3039" r:id="rId15179" display="https://statiz.sporki.com/player/?m=playerinfo&amp;p_no=2061" xr:uid="{36B118FD-EF20-49B9-AF9F-8DA973C73EE0}"/>
    <hyperlink ref="J3040" r:id="rId15180" display="https://statiz.sporki.com/player/?m=playerinfo&amp;p_no=1882" xr:uid="{983C8321-01E4-4306-A78B-571FB6BE30E7}"/>
    <hyperlink ref="J3041" r:id="rId15181" display="https://statiz.sporki.com/player/?m=playerinfo&amp;p_no=1979" xr:uid="{4DB6DB61-C6F5-4858-942D-03D46FE3FBBB}"/>
    <hyperlink ref="J3042" r:id="rId15182" display="https://statiz.sporki.com/player/?m=playerinfo&amp;p_no=10246" xr:uid="{A4A56AB4-11A7-4D8C-9E0E-EA2C2E212550}"/>
    <hyperlink ref="J3043" r:id="rId15183" display="https://statiz.sporki.com/player/?m=playerinfo&amp;p_no=1874" xr:uid="{CDC58B83-CA89-4EDF-9572-27E479841574}"/>
    <hyperlink ref="J3044" r:id="rId15184" display="https://statiz.sporki.com/player/?m=playerinfo&amp;p_no=1907" xr:uid="{C936CFEE-FD04-4481-84BA-3ECEF65B2100}"/>
    <hyperlink ref="J3045" r:id="rId15185" display="https://statiz.sporki.com/player/?m=playerinfo&amp;p_no=1883" xr:uid="{FF9E0370-87C0-4459-8186-8D5DD68B9D9D}"/>
    <hyperlink ref="J3046" r:id="rId15186" display="https://statiz.sporki.com/player/?m=playerinfo&amp;p_no=1868" xr:uid="{178329EF-CC20-4E24-883F-B85193D08F85}"/>
    <hyperlink ref="J3047" r:id="rId15187" display="https://statiz.sporki.com/player/?m=playerinfo&amp;p_no=1884" xr:uid="{0471C01B-F45C-4022-B655-7EDF59AD2951}"/>
    <hyperlink ref="J3048" r:id="rId15188" display="https://statiz.sporki.com/player/?m=playerinfo&amp;p_no=1894" xr:uid="{5C0E608B-29B2-41CD-89B2-644D750E6C00}"/>
    <hyperlink ref="J3049" r:id="rId15189" display="https://statiz.sporki.com/player/?m=playerinfo&amp;p_no=2038" xr:uid="{A30A16F3-3729-4908-BBA7-9C125A662569}"/>
    <hyperlink ref="J3050" r:id="rId15190" display="https://statiz.sporki.com/player/?m=playerinfo&amp;p_no=10321" xr:uid="{9879B647-8913-4EB5-A692-12902526AA4F}"/>
    <hyperlink ref="J3051" r:id="rId15191" display="https://statiz.sporki.com/player/?m=playerinfo&amp;p_no=1898" xr:uid="{F711E32D-0F6D-4EAA-AA79-2FB58A924587}"/>
    <hyperlink ref="J3052" r:id="rId15192" display="https://statiz.sporki.com/player/?m=playerinfo&amp;p_no=2028" xr:uid="{3E80491A-68DD-4237-B2EF-7A59E9E8A0D2}"/>
    <hyperlink ref="J3053" r:id="rId15193" display="https://statiz.sporki.com/player/?m=playerinfo&amp;p_no=1910" xr:uid="{EFB5743E-02F9-4317-A299-6C287BA63861}"/>
    <hyperlink ref="J3054" r:id="rId15194" display="https://statiz.sporki.com/player/?m=playerinfo&amp;p_no=1881" xr:uid="{0A10CDF6-D6B7-41B8-B7A8-347B1148265C}"/>
    <hyperlink ref="J3055" r:id="rId15195" display="https://statiz.sporki.com/player/?m=playerinfo&amp;p_no=1899" xr:uid="{5C28D6C8-5565-4DE8-8A0A-BD9D745C23D9}"/>
    <hyperlink ref="J3056" r:id="rId15196" display="https://statiz.sporki.com/player/?m=playerinfo&amp;p_no=1946" xr:uid="{F8249215-2A3A-4384-BE84-C6FB50BD1DFF}"/>
    <hyperlink ref="J3057" r:id="rId15197" display="https://statiz.sporki.com/player/?m=playerinfo&amp;p_no=1892" xr:uid="{6DDDE34B-51E0-4026-A0E0-5162140E3E28}"/>
    <hyperlink ref="J3058" r:id="rId15198" display="https://statiz.sporki.com/player/?m=playerinfo&amp;p_no=1878" xr:uid="{FA876D37-5B7D-4BC7-A544-EE75B13CE015}"/>
    <hyperlink ref="J3059" r:id="rId15199" display="https://statiz.sporki.com/player/?m=playerinfo&amp;p_no=1919" xr:uid="{C615D4B4-35FE-4FAF-83EE-8C42C3DB6D21}"/>
    <hyperlink ref="J3060" r:id="rId15200" display="https://statiz.sporki.com/player/?m=playerinfo&amp;p_no=1888" xr:uid="{107F63C5-C9FF-4D57-9216-3D11E520E366}"/>
    <hyperlink ref="J3061" r:id="rId15201" display="https://statiz.sporki.com/player/?m=playerinfo&amp;p_no=1880" xr:uid="{8E8D2AF5-5A47-428A-9F60-CABE058F2651}"/>
    <hyperlink ref="J3062" r:id="rId15202" display="https://statiz.sporki.com/player/?m=playerinfo&amp;p_no=1890" xr:uid="{42D5EF7C-7BEB-4BDB-969C-E54D203D2D4D}"/>
    <hyperlink ref="J3063" r:id="rId15203" display="https://statiz.sporki.com/player/?m=playerinfo&amp;p_no=10041" xr:uid="{43B19CF6-CF0E-4AC2-9DEB-8BDCC5983903}"/>
    <hyperlink ref="J3064" r:id="rId15204" display="https://statiz.sporki.com/player/?m=playerinfo&amp;p_no=1875" xr:uid="{5D62AD1B-3C4C-449C-A81C-FFAAAD0A8FD1}"/>
    <hyperlink ref="J3065" r:id="rId15205" display="https://statiz.sporki.com/player/?m=playerinfo&amp;p_no=1998" xr:uid="{D9454B17-A475-4640-8D51-5D9ACCC84ABA}"/>
    <hyperlink ref="J3066" r:id="rId15206" display="https://statiz.sporki.com/player/?m=playerinfo&amp;p_no=2130" xr:uid="{DF3465A3-A442-41B9-B358-670E44DC98F3}"/>
    <hyperlink ref="J3067" r:id="rId15207" display="https://statiz.sporki.com/player/?m=playerinfo&amp;p_no=1944" xr:uid="{17BE157F-CA00-4DA9-AF9C-1BABBAF083B4}"/>
    <hyperlink ref="J3068" r:id="rId15208" display="https://statiz.sporki.com/player/?m=playerinfo&amp;p_no=14993" xr:uid="{C2FA80B5-86A0-43C3-BAB5-F161EABF4A23}"/>
    <hyperlink ref="J3069" r:id="rId15209" display="https://statiz.sporki.com/player/?m=playerinfo&amp;p_no=11445" xr:uid="{E8D0562B-F5FA-4807-8F74-CB3D935CBCD0}"/>
    <hyperlink ref="J3070" r:id="rId15210" display="https://statiz.sporki.com/player/?m=playerinfo&amp;p_no=1922" xr:uid="{809853B6-8F19-424A-B1F7-EC9702AD87E2}"/>
    <hyperlink ref="J3071" r:id="rId15211" display="https://statiz.sporki.com/player/?m=playerinfo&amp;p_no=1260" xr:uid="{4E325A1F-E12E-4026-81EB-069AFB215900}"/>
    <hyperlink ref="J3072" r:id="rId15212" display="https://statiz.sporki.com/player/?m=playerinfo&amp;p_no=1885" xr:uid="{787CE49A-2390-4907-9C2B-1C286F768754}"/>
    <hyperlink ref="J3073" r:id="rId15213" display="https://statiz.sporki.com/player/?m=playerinfo&amp;p_no=1901" xr:uid="{D23AD7EF-901C-418B-9BF5-C5F74B62309B}"/>
    <hyperlink ref="J3074" r:id="rId15214" display="https://statiz.sporki.com/player/?m=playerinfo&amp;p_no=1877" xr:uid="{6134DDF9-C1D2-4CD5-A763-7580626B3628}"/>
    <hyperlink ref="J3075" r:id="rId15215" display="https://statiz.sporki.com/player/?m=playerinfo&amp;p_no=1976" xr:uid="{610077E1-C5A4-4564-AC3D-04ADCF0FF583}"/>
    <hyperlink ref="J3076" r:id="rId15216" display="https://statiz.sporki.com/player/?m=playerinfo&amp;p_no=2099" xr:uid="{72828730-A31E-48EF-9C03-B8299B53E0E0}"/>
    <hyperlink ref="J3077" r:id="rId15217" display="https://statiz.sporki.com/player/?m=playerinfo&amp;p_no=1866" xr:uid="{1F292421-5957-4493-942A-A67A987A2530}"/>
    <hyperlink ref="J3078" r:id="rId15218" display="https://statiz.sporki.com/player/?m=playerinfo&amp;p_no=1933" xr:uid="{3B861F26-7B70-430D-8B33-A8E5B5A64E0B}"/>
    <hyperlink ref="J3079" r:id="rId15219" display="https://statiz.sporki.com/player/?m=playerinfo&amp;p_no=1955" xr:uid="{202279A4-E20B-4D87-802A-7A6F717C6CAA}"/>
    <hyperlink ref="J3080" r:id="rId15220" display="https://statiz.sporki.com/player/?m=playerinfo&amp;p_no=1927" xr:uid="{1DC756D8-C8C1-410E-A6B1-4BFD870FA133}"/>
    <hyperlink ref="J3081" r:id="rId15221" display="https://statiz.sporki.com/player/?m=playerinfo&amp;p_no=1897" xr:uid="{05B81A7D-7438-4B97-BEE2-89656C8703C7}"/>
    <hyperlink ref="J3082" r:id="rId15222" display="https://statiz.sporki.com/player/?m=playerinfo&amp;p_no=1961" xr:uid="{7BF60669-0E03-4D81-BF3E-27E38ED86E41}"/>
    <hyperlink ref="J3083" r:id="rId15223" display="https://statiz.sporki.com/player/?m=playerinfo&amp;p_no=10264" xr:uid="{CF25D0D6-34AE-4D29-88AC-ACDAF418D40E}"/>
    <hyperlink ref="J3084" r:id="rId15224" display="https://statiz.sporki.com/player/?m=playerinfo&amp;p_no=2017" xr:uid="{DAEF77FA-C10E-483C-A3ED-9B11A704704E}"/>
    <hyperlink ref="J3085" r:id="rId15225" display="https://statiz.sporki.com/player/?m=playerinfo&amp;p_no=1977" xr:uid="{A2B7B3FD-0339-43CE-A3E2-3CB341E7F881}"/>
    <hyperlink ref="J3086" r:id="rId15226" display="https://statiz.sporki.com/player/?m=playerinfo&amp;p_no=1900" xr:uid="{274FFC7E-3B1C-4C27-9FBC-31AFED39447C}"/>
    <hyperlink ref="J3087" r:id="rId15227" display="https://statiz.sporki.com/player/?m=playerinfo&amp;p_no=1908" xr:uid="{F2AA60D8-DCF3-4173-9489-4666DF41FF6F}"/>
    <hyperlink ref="J3088" r:id="rId15228" display="https://statiz.sporki.com/player/?m=playerinfo&amp;p_no=1904" xr:uid="{4940BC85-60BB-4D00-BBF8-F991DE583524}"/>
    <hyperlink ref="J3089" r:id="rId15229" display="https://statiz.sporki.com/player/?m=playerinfo&amp;p_no=1870" xr:uid="{C2FC5395-F10D-458E-86F3-86C5A1366E7A}"/>
    <hyperlink ref="J3090" r:id="rId15230" display="https://statiz.sporki.com/player/?m=playerinfo&amp;p_no=1964" xr:uid="{C8C6E360-FF9E-4263-8B1E-74216918E6D1}"/>
    <hyperlink ref="J3091" r:id="rId15231" display="https://statiz.sporki.com/player/?m=playerinfo&amp;p_no=10881" xr:uid="{6EA91CCB-8E54-471E-B6E7-B6AB54C40C00}"/>
    <hyperlink ref="J3092" r:id="rId15232" display="https://statiz.sporki.com/player/?m=playerinfo&amp;p_no=1876" xr:uid="{ED963487-76DB-4DBE-B664-CD25DD121871}"/>
    <hyperlink ref="J3093" r:id="rId15233" display="https://statiz.sporki.com/player/?m=playerinfo&amp;p_no=1896" xr:uid="{C03E8D2C-2DFB-495C-B576-6165713E8896}"/>
    <hyperlink ref="J3094" r:id="rId15234" display="https://statiz.sporki.com/player/?m=playerinfo&amp;p_no=1889" xr:uid="{826EF2FA-E523-4D53-971C-9437C07808F0}"/>
    <hyperlink ref="J3095" r:id="rId15235" display="https://statiz.sporki.com/player/?m=playerinfo&amp;p_no=1879" xr:uid="{F1B065B1-DF6D-4C01-A096-45D7C4465D32}"/>
    <hyperlink ref="J3096" r:id="rId15236" display="https://statiz.sporki.com/player/?m=playerinfo&amp;p_no=1871" xr:uid="{DCB27933-BEC9-450D-BF0A-8D8CE5DEE11A}"/>
    <hyperlink ref="J3097" r:id="rId15237" display="https://statiz.sporki.com/player/?m=playerinfo&amp;p_no=1873" xr:uid="{387D427F-39B6-40C7-8C96-3A61B7645232}"/>
    <hyperlink ref="J3098" r:id="rId15238" display="https://statiz.sporki.com/player/?m=playerinfo&amp;p_no=1962" xr:uid="{0CA9E37D-7D93-45C5-B6BC-88F573171241}"/>
    <hyperlink ref="J3099" r:id="rId15239" display="https://statiz.sporki.com/player/?m=playerinfo&amp;p_no=10465" xr:uid="{4188FD56-5B1E-4AA5-8E72-3C7EDC2E8BDC}"/>
    <hyperlink ref="J3100" r:id="rId15240" display="https://statiz.sporki.com/player/?m=playerinfo&amp;p_no=11281" xr:uid="{357A1F9C-31C1-46CB-BB04-C588FED52AFD}"/>
    <hyperlink ref="J3101" r:id="rId15241" display="https://statiz.sporki.com/player/?m=playerinfo&amp;p_no=1909" xr:uid="{E3D28FA3-39CB-4679-BBB5-FE90059745FD}"/>
    <hyperlink ref="J3102" r:id="rId15242" display="https://statiz.sporki.com/player/?m=playerinfo&amp;p_no=1783" xr:uid="{ABE39AB6-F3A7-4CDF-8BEC-312333489DC9}"/>
    <hyperlink ref="J3103" r:id="rId15243" display="https://statiz.sporki.com/player/?m=playerinfo&amp;p_no=10507" xr:uid="{7AFD9167-F0E6-461E-9018-CDC3D0F4C171}"/>
    <hyperlink ref="J3104" r:id="rId15244" display="https://statiz.sporki.com/player/?m=playerinfo&amp;p_no=1837" xr:uid="{E9C14AAB-DC09-4122-A0A9-58061D4B8043}"/>
    <hyperlink ref="J3105" r:id="rId15245" display="https://statiz.sporki.com/player/?m=playerinfo&amp;p_no=1836" xr:uid="{D6F5E9F5-2894-4AAA-B51E-3DEF05DB5893}"/>
    <hyperlink ref="J3106" r:id="rId15246" display="https://statiz.sporki.com/player/?m=playerinfo&amp;p_no=1815" xr:uid="{37D5F6FF-F2C4-47D1-9012-60F09EF31D84}"/>
    <hyperlink ref="J3107" r:id="rId15247" display="https://statiz.sporki.com/player/?m=playerinfo&amp;p_no=10616" xr:uid="{300308F1-5B65-4679-B370-45E9FBFABD1E}"/>
    <hyperlink ref="J3108" r:id="rId15248" display="https://statiz.sporki.com/player/?m=playerinfo&amp;p_no=1842" xr:uid="{8C2C4419-8757-4A9B-9055-BE0985D3BA94}"/>
    <hyperlink ref="J3109" r:id="rId15249" display="https://statiz.sporki.com/player/?m=playerinfo&amp;p_no=1861" xr:uid="{A356381D-EC59-4209-B080-281F3EB846E7}"/>
    <hyperlink ref="J3110" r:id="rId15250" display="https://statiz.sporki.com/player/?m=playerinfo&amp;p_no=1814" xr:uid="{5EDA994D-6BBA-49E4-8FD7-AAD6D0D8A961}"/>
    <hyperlink ref="J3111" r:id="rId15251" display="https://statiz.sporki.com/player/?m=playerinfo&amp;p_no=1999" xr:uid="{FD4E552A-947F-4381-B466-3C839D738C0C}"/>
    <hyperlink ref="J3112" r:id="rId15252" display="https://statiz.sporki.com/player/?m=playerinfo&amp;p_no=1823" xr:uid="{249A93E8-5733-4FDD-ADF4-6EB232A78E6D}"/>
    <hyperlink ref="J3113" r:id="rId15253" display="https://statiz.sporki.com/player/?m=playerinfo&amp;p_no=1857" xr:uid="{597ACBED-0640-4D9C-9DD6-FFA18AA3DB34}"/>
    <hyperlink ref="J3114" r:id="rId15254" display="https://statiz.sporki.com/player/?m=playerinfo&amp;p_no=1864" xr:uid="{D6687726-48D9-4DEA-BE5A-21504547AEC0}"/>
    <hyperlink ref="J3115" r:id="rId15255" display="https://statiz.sporki.com/player/?m=playerinfo&amp;p_no=1819" xr:uid="{69A92CAF-0175-40E8-8220-C2C046DA280F}"/>
    <hyperlink ref="J3116" r:id="rId15256" display="https://statiz.sporki.com/player/?m=playerinfo&amp;p_no=12964" xr:uid="{A9F22C51-A149-4DE1-AD0A-8D9E5D7C1B6B}"/>
    <hyperlink ref="J3117" r:id="rId15257" display="https://statiz.sporki.com/player/?m=playerinfo&amp;p_no=1843" xr:uid="{B6754DDA-770B-4AF9-A560-9D5044A3660A}"/>
    <hyperlink ref="J3118" r:id="rId15258" display="https://statiz.sporki.com/player/?m=playerinfo&amp;p_no=10402" xr:uid="{72C295FA-9265-4807-99C6-D2C01F2C258F}"/>
    <hyperlink ref="J3119" r:id="rId15259" display="https://statiz.sporki.com/player/?m=playerinfo&amp;p_no=1840" xr:uid="{7F2A0D06-B800-420D-ACFE-5B991C83A5E1}"/>
    <hyperlink ref="J3120" r:id="rId15260" display="https://statiz.sporki.com/player/?m=playerinfo&amp;p_no=1786" xr:uid="{91C6FFF5-A3D7-4534-A363-38A917E2DA7C}"/>
    <hyperlink ref="J3121" r:id="rId15261" display="https://statiz.sporki.com/player/?m=playerinfo&amp;p_no=14566" xr:uid="{DF0E9CA6-9364-407C-B13A-B43CF65549CF}"/>
    <hyperlink ref="J3122" r:id="rId15262" display="https://statiz.sporki.com/player/?m=playerinfo&amp;p_no=1932" xr:uid="{0BB8DA02-4A6A-475D-ABD0-14FD86FA8F7C}"/>
    <hyperlink ref="J3123" r:id="rId15263" display="https://statiz.sporki.com/player/?m=playerinfo&amp;p_no=1792" xr:uid="{EC5D7EA5-7F5D-4402-BD82-ABD6F0586BAF}"/>
    <hyperlink ref="J3124" r:id="rId15264" display="https://statiz.sporki.com/player/?m=playerinfo&amp;p_no=1800" xr:uid="{C60435F4-575B-45BF-8EF5-CA78B5CFFEB9}"/>
    <hyperlink ref="J3125" r:id="rId15265" display="https://statiz.sporki.com/player/?m=playerinfo&amp;p_no=1820" xr:uid="{93300BC2-F604-420D-8A96-66B30C2AFDDC}"/>
    <hyperlink ref="J3126" r:id="rId15266" display="https://statiz.sporki.com/player/?m=playerinfo&amp;p_no=1854" xr:uid="{5B05EF4A-97E5-4404-A1A3-8CEE7E91B2CA}"/>
    <hyperlink ref="J3127" r:id="rId15267" display="https://statiz.sporki.com/player/?m=playerinfo&amp;p_no=1794" xr:uid="{44C0509D-6A2D-4386-A2E7-7AEBAEF92B8E}"/>
    <hyperlink ref="J3128" r:id="rId15268" display="https://statiz.sporki.com/player/?m=playerinfo&amp;p_no=1795" xr:uid="{88292949-1CBE-478B-9635-F1DCF0EE1C2C}"/>
    <hyperlink ref="J3129" r:id="rId15269" display="https://statiz.sporki.com/player/?m=playerinfo&amp;p_no=1810" xr:uid="{609C4C9F-7BE0-4173-870C-1D5346511DB9}"/>
    <hyperlink ref="J3130" r:id="rId15270" display="https://statiz.sporki.com/player/?m=playerinfo&amp;p_no=1796" xr:uid="{01C71E5C-1072-4B01-B418-D426D4E47E0D}"/>
    <hyperlink ref="J3131" r:id="rId15271" display="https://statiz.sporki.com/player/?m=playerinfo&amp;p_no=1850" xr:uid="{8B02B7DD-5235-4200-BC27-5EE995FF2892}"/>
    <hyperlink ref="J3132" r:id="rId15272" display="https://statiz.sporki.com/player/?m=playerinfo&amp;p_no=1863" xr:uid="{005A59C2-B0EC-4813-BD13-B78BD42EEE96}"/>
    <hyperlink ref="J3133" r:id="rId15273" display="https://statiz.sporki.com/player/?m=playerinfo&amp;p_no=1809" xr:uid="{A133D6FB-A0EB-44B7-B0CE-66CBD644DFA4}"/>
    <hyperlink ref="J3134" r:id="rId15274" display="https://statiz.sporki.com/player/?m=playerinfo&amp;p_no=1803" xr:uid="{F1B773FA-4C47-46D1-86D6-8138DE8D2C73}"/>
    <hyperlink ref="J3135" r:id="rId15275" display="https://statiz.sporki.com/player/?m=playerinfo&amp;p_no=1856" xr:uid="{8826B97F-707E-4F86-A239-30812425D992}"/>
    <hyperlink ref="J3136" r:id="rId15276" display="https://statiz.sporki.com/player/?m=playerinfo&amp;p_no=1787" xr:uid="{3123EDF5-A538-4447-AEFF-EA1A36550C11}"/>
    <hyperlink ref="J3137" r:id="rId15277" display="https://statiz.sporki.com/player/?m=playerinfo&amp;p_no=10481" xr:uid="{51E717CE-D490-4E23-8C38-4CFCE80CEBC6}"/>
    <hyperlink ref="J3138" r:id="rId15278" display="https://statiz.sporki.com/player/?m=playerinfo&amp;p_no=1831" xr:uid="{A5FF2655-0720-4BAB-B3EE-0610DEAFD369}"/>
    <hyperlink ref="J3139" r:id="rId15279" display="https://statiz.sporki.com/player/?m=playerinfo&amp;p_no=1862" xr:uid="{2FE5C4DE-24C0-40C5-91FC-3C65F84406DD}"/>
    <hyperlink ref="J3140" r:id="rId15280" display="https://statiz.sporki.com/player/?m=playerinfo&amp;p_no=1829" xr:uid="{15BA5D84-9C89-4632-B843-A8D18D565C1F}"/>
    <hyperlink ref="J3141" r:id="rId15281" display="https://statiz.sporki.com/player/?m=playerinfo&amp;p_no=1801" xr:uid="{61AFB326-EE85-4128-914F-4553D0A9D5FB}"/>
    <hyperlink ref="J3142" r:id="rId15282" display="https://statiz.sporki.com/player/?m=playerinfo&amp;p_no=1784" xr:uid="{8695E8F1-A4F0-4437-8A17-F7846FED56DF}"/>
    <hyperlink ref="J3143" r:id="rId15283" display="https://statiz.sporki.com/player/?m=playerinfo&amp;p_no=1812" xr:uid="{1300A14A-9C4F-41D3-AF8D-0F4FAA37D08A}"/>
    <hyperlink ref="J3144" r:id="rId15284" display="https://statiz.sporki.com/player/?m=playerinfo&amp;p_no=1849" xr:uid="{F63E872E-DF9C-47F3-8BFA-D7EBB23D6695}"/>
    <hyperlink ref="J3145" r:id="rId15285" display="https://statiz.sporki.com/player/?m=playerinfo&amp;p_no=12657" xr:uid="{A4D4542D-64B4-4CC9-9005-8CB3241E9A41}"/>
    <hyperlink ref="J3146" r:id="rId15286" display="https://statiz.sporki.com/player/?m=playerinfo&amp;p_no=1782" xr:uid="{EFEBEB7B-C73D-4C7F-ADCC-BFE830028605}"/>
    <hyperlink ref="J3147" r:id="rId15287" display="https://statiz.sporki.com/player/?m=playerinfo&amp;p_no=10511" xr:uid="{9FC0C44A-8B0E-42A5-AD45-CFBEEB5FCDEA}"/>
    <hyperlink ref="J3148" r:id="rId15288" display="https://statiz.sporki.com/player/?m=playerinfo&amp;p_no=1833" xr:uid="{5D42EA6E-F197-41D8-84A0-157426F03EC3}"/>
    <hyperlink ref="J3149" r:id="rId15289" display="https://statiz.sporki.com/player/?m=playerinfo&amp;p_no=1797" xr:uid="{46D31417-F68B-4A70-BE9F-03EB8C3F3A55}"/>
    <hyperlink ref="J3150" r:id="rId15290" display="https://statiz.sporki.com/player/?m=playerinfo&amp;p_no=1788" xr:uid="{3CAD061C-5D5F-4C5E-8E62-9581C99D533F}"/>
    <hyperlink ref="J3151" r:id="rId15291" display="https://statiz.sporki.com/player/?m=playerinfo&amp;p_no=1953" xr:uid="{5B7C3EA3-0B9F-4A4C-9E8F-ED0F48545C99}"/>
    <hyperlink ref="J3152" r:id="rId15292" display="https://statiz.sporki.com/player/?m=playerinfo&amp;p_no=1846" xr:uid="{D75FB2AB-ACBC-4D34-8202-33A56E453B9B}"/>
    <hyperlink ref="J3153" r:id="rId15293" display="https://statiz.sporki.com/player/?m=playerinfo&amp;p_no=1872" xr:uid="{77F89528-1FFE-4E89-99AB-454CB50501C4}"/>
    <hyperlink ref="J3154" r:id="rId15294" display="https://statiz.sporki.com/player/?m=playerinfo&amp;p_no=1827" xr:uid="{05E11C6D-510A-42B6-9CBE-0A3B9BB59CB0}"/>
    <hyperlink ref="J3155" r:id="rId15295" display="https://statiz.sporki.com/player/?m=playerinfo&amp;p_no=1828" xr:uid="{1F7D379E-7295-45C8-BD8C-DA6F50F768B9}"/>
    <hyperlink ref="J3156" r:id="rId15296" display="https://statiz.sporki.com/player/?m=playerinfo&amp;p_no=1839" xr:uid="{A0367E79-A837-4C14-A243-FA08468BDD13}"/>
    <hyperlink ref="J3157" r:id="rId15297" display="https://statiz.sporki.com/player/?m=playerinfo&amp;p_no=1821" xr:uid="{FEE8D683-FA82-47EE-BA98-E57C6214D591}"/>
    <hyperlink ref="J3158" r:id="rId15298" display="https://statiz.sporki.com/player/?m=playerinfo&amp;p_no=1808" xr:uid="{84C9863C-9028-4685-9BC5-BD114701526B}"/>
    <hyperlink ref="J3159" r:id="rId15299" display="https://statiz.sporki.com/player/?m=playerinfo&amp;p_no=10109" xr:uid="{B18B3CD6-A886-4B7A-967D-97441580CD5E}"/>
    <hyperlink ref="J3160" r:id="rId15300" display="https://statiz.sporki.com/player/?m=playerinfo&amp;p_no=1869" xr:uid="{0184D94F-0A2B-4F8B-B17D-FDD91355C39D}"/>
    <hyperlink ref="J3161" r:id="rId15301" display="https://statiz.sporki.com/player/?m=playerinfo&amp;p_no=1832" xr:uid="{7B11AEE6-D9E7-43AF-A829-03C5BF2299B3}"/>
    <hyperlink ref="J3162" r:id="rId15302" display="https://statiz.sporki.com/player/?m=playerinfo&amp;p_no=1790" xr:uid="{782276DB-4F36-4F29-A766-70D254A794CF}"/>
    <hyperlink ref="J3163" r:id="rId15303" display="https://statiz.sporki.com/player/?m=playerinfo&amp;p_no=1811" xr:uid="{CE4E4C49-52A5-4098-A110-FDE5D31D1342}"/>
    <hyperlink ref="J3164" r:id="rId15304" display="https://statiz.sporki.com/player/?m=playerinfo&amp;p_no=1793" xr:uid="{134EBC26-CA06-4EBC-A483-BFA179F9E056}"/>
    <hyperlink ref="J3165" r:id="rId15305" display="https://statiz.sporki.com/player/?m=playerinfo&amp;p_no=1791" xr:uid="{5F3FA92A-F0E0-4316-A513-0E2CADF80901}"/>
    <hyperlink ref="J3166" r:id="rId15306" display="https://statiz.sporki.com/player/?m=playerinfo&amp;p_no=1847" xr:uid="{E80885C7-364B-45EC-8519-4F94E05D172D}"/>
    <hyperlink ref="J3167" r:id="rId15307" display="https://statiz.sporki.com/player/?m=playerinfo&amp;p_no=1825" xr:uid="{D1B79209-F615-4EC9-94B6-700A5D92FED6}"/>
    <hyperlink ref="J3168" r:id="rId15308" display="https://statiz.sporki.com/player/?m=playerinfo&amp;p_no=1806" xr:uid="{D34BB9A6-38E7-4080-80AE-F3D7DE343828}"/>
    <hyperlink ref="J3169" r:id="rId15309" display="https://statiz.sporki.com/player/?m=playerinfo&amp;p_no=1834" xr:uid="{7416DAEC-D283-40DA-91BC-08A7C46FE0AF}"/>
    <hyperlink ref="J3170" r:id="rId15310" display="https://statiz.sporki.com/player/?m=playerinfo&amp;p_no=1851" xr:uid="{8EA8DCC9-307B-4934-AD94-3032BC2EBF02}"/>
    <hyperlink ref="J3171" r:id="rId15311" display="https://statiz.sporki.com/player/?m=playerinfo&amp;p_no=1855" xr:uid="{C8B62893-A42C-40A9-B939-B06DD5E98B11}"/>
    <hyperlink ref="J3172" r:id="rId15312" display="https://statiz.sporki.com/player/?m=playerinfo&amp;p_no=1807" xr:uid="{AE9E524F-26E2-46C5-9A30-893E9491CF1F}"/>
    <hyperlink ref="J3173" r:id="rId15313" display="https://statiz.sporki.com/player/?m=playerinfo&amp;p_no=1848" xr:uid="{082B0E47-86C0-4B29-846B-3E0AD46F06AB}"/>
    <hyperlink ref="J3174" r:id="rId15314" display="https://statiz.sporki.com/player/?m=playerinfo&amp;p_no=10153" xr:uid="{81782ED1-022E-4131-8A67-1DBD49844A6D}"/>
    <hyperlink ref="J3175" r:id="rId15315" display="https://statiz.sporki.com/player/?m=playerinfo&amp;p_no=1817" xr:uid="{CAEAB75A-506A-4091-86F3-1EA79E566AE5}"/>
    <hyperlink ref="J3176" r:id="rId15316" display="https://statiz.sporki.com/player/?m=playerinfo&amp;p_no=1785" xr:uid="{4D1FEF9F-3EEC-4D97-8982-F311BC3D97F4}"/>
    <hyperlink ref="J3177" r:id="rId15317" display="https://statiz.sporki.com/player/?m=playerinfo&amp;p_no=1891" xr:uid="{C7590285-6CB6-4308-B5C0-4105B72C36F7}"/>
    <hyperlink ref="J3178" r:id="rId15318" display="https://statiz.sporki.com/player/?m=playerinfo&amp;p_no=11238" xr:uid="{AD72F313-7C65-493F-A8FD-76E52396EB0B}"/>
    <hyperlink ref="J3179" r:id="rId15319" display="https://statiz.sporki.com/player/?m=playerinfo&amp;p_no=10101" xr:uid="{754822CB-66B6-414E-ACC2-DC6A43AFC588}"/>
    <hyperlink ref="J3180" r:id="rId15320" display="https://statiz.sporki.com/player/?m=playerinfo&amp;p_no=1858" xr:uid="{03A6956D-E2AB-462D-A397-EC1DBA66250A}"/>
    <hyperlink ref="J3181" r:id="rId15321" display="https://statiz.sporki.com/player/?m=playerinfo&amp;p_no=1937" xr:uid="{EB88D178-5A4C-48FC-A9FA-F00B383A43D5}"/>
    <hyperlink ref="J3182" r:id="rId15322" display="https://statiz.sporki.com/player/?m=playerinfo&amp;p_no=1762" xr:uid="{CB1C47A9-D111-4D65-8CE4-8B32C5D21A17}"/>
    <hyperlink ref="J3183" r:id="rId15323" display="https://statiz.sporki.com/player/?m=playerinfo&amp;p_no=1757" xr:uid="{7833E4AA-D6B6-49D0-90B3-C08298658943}"/>
    <hyperlink ref="J3184" r:id="rId15324" display="https://statiz.sporki.com/player/?m=playerinfo&amp;p_no=1893" xr:uid="{5C463354-665C-4AE0-A5FD-4B6050F3A3CF}"/>
    <hyperlink ref="J3185" r:id="rId15325" display="https://statiz.sporki.com/player/?m=playerinfo&amp;p_no=10339" xr:uid="{C7E4B6D7-7842-4E60-9922-317C12FDC6AA}"/>
    <hyperlink ref="J3186" r:id="rId15326" display="https://statiz.sporki.com/player/?m=playerinfo&amp;p_no=1804" xr:uid="{7D376D57-5E16-406B-B7E1-BAFB3C5A10AC}"/>
    <hyperlink ref="J3187" r:id="rId15327" display="https://statiz.sporki.com/player/?m=playerinfo&amp;p_no=1769" xr:uid="{717D89DB-4D40-464D-B1A0-44838C28879A}"/>
    <hyperlink ref="J3188" r:id="rId15328" display="https://statiz.sporki.com/player/?m=playerinfo&amp;p_no=10580" xr:uid="{FD04D4C3-1568-4D27-9D9F-2538593B30D1}"/>
    <hyperlink ref="J3189" r:id="rId15329" display="https://statiz.sporki.com/player/?m=playerinfo&amp;p_no=10036" xr:uid="{622D4F29-76A2-4827-8F67-1427E009D12F}"/>
    <hyperlink ref="J3190" r:id="rId15330" display="https://statiz.sporki.com/player/?m=playerinfo&amp;p_no=1724" xr:uid="{319773C4-3C9F-46ED-938E-3633339CE68A}"/>
    <hyperlink ref="J3191" r:id="rId15331" display="https://statiz.sporki.com/player/?m=playerinfo&amp;p_no=1727" xr:uid="{0EAB28BF-BE52-49B9-8312-142F3985E4F4}"/>
    <hyperlink ref="J3192" r:id="rId15332" display="https://statiz.sporki.com/player/?m=playerinfo&amp;p_no=10458" xr:uid="{C9537D27-CA05-42EB-825A-6E5C489995B1}"/>
    <hyperlink ref="J3193" r:id="rId15333" display="https://statiz.sporki.com/player/?m=playerinfo&amp;p_no=1773" xr:uid="{F031E6AF-B52E-4F94-A8B6-99571D7F4357}"/>
    <hyperlink ref="J3194" r:id="rId15334" display="https://statiz.sporki.com/player/?m=playerinfo&amp;p_no=1865" xr:uid="{801E6BA4-1BF3-4641-84EF-9A99EF9D4C7D}"/>
    <hyperlink ref="J3195" r:id="rId15335" display="https://statiz.sporki.com/player/?m=playerinfo&amp;p_no=1759" xr:uid="{CB2752F7-1F76-448B-BC1E-D5B69DEE6137}"/>
    <hyperlink ref="J3196" r:id="rId15336" display="https://statiz.sporki.com/player/?m=playerinfo&amp;p_no=1763" xr:uid="{61D19F7C-E8D8-4028-BF07-1857772F1CEC}"/>
    <hyperlink ref="J3197" r:id="rId15337" display="https://statiz.sporki.com/player/?m=playerinfo&amp;p_no=1775" xr:uid="{71D33963-3E7B-4414-ADB0-4FD7EF9D90EB}"/>
    <hyperlink ref="J3198" r:id="rId15338" display="https://statiz.sporki.com/player/?m=playerinfo&amp;p_no=13285" xr:uid="{1A19B174-30DA-4782-9FAE-9FBC054C1B28}"/>
    <hyperlink ref="J3199" r:id="rId15339" display="https://statiz.sporki.com/player/?m=playerinfo&amp;p_no=1737" xr:uid="{E4208E60-9281-49BE-9B0F-FAF02EFAD4CC}"/>
    <hyperlink ref="J3200" r:id="rId15340" display="https://statiz.sporki.com/player/?m=playerinfo&amp;p_no=1742" xr:uid="{D02D6E84-95F9-46B5-A84C-9E0A3E7F57C5}"/>
    <hyperlink ref="J3201" r:id="rId15341" display="https://statiz.sporki.com/player/?m=playerinfo&amp;p_no=1720" xr:uid="{6C0ECA8D-A984-4348-81DC-4845FB6263D5}"/>
    <hyperlink ref="J3202" r:id="rId15342" display="https://statiz.sporki.com/player/?m=playerinfo&amp;p_no=1736" xr:uid="{3A080F51-2659-44E3-8EAD-0D4B00589ED8}"/>
    <hyperlink ref="J3203" r:id="rId15343" display="https://statiz.sporki.com/player/?m=playerinfo&amp;p_no=1743" xr:uid="{696DB204-C409-4325-B7AF-8FFDA29F1FFB}"/>
    <hyperlink ref="J3204" r:id="rId15344" display="https://statiz.sporki.com/player/?m=playerinfo&amp;p_no=1754" xr:uid="{2EB1B7B9-C581-4965-9855-C5CB55F131C5}"/>
    <hyperlink ref="J3205" r:id="rId15345" display="https://statiz.sporki.com/player/?m=playerinfo&amp;p_no=1756" xr:uid="{B035E72A-A4F6-4057-9EB6-D096DDDF14AA}"/>
    <hyperlink ref="J3206" r:id="rId15346" display="https://statiz.sporki.com/player/?m=playerinfo&amp;p_no=1722" xr:uid="{9DD685A2-BBEB-4F18-8775-B36BB6D266B7}"/>
    <hyperlink ref="J3207" r:id="rId15347" display="https://statiz.sporki.com/player/?m=playerinfo&amp;p_no=1728" xr:uid="{152E6404-2EC1-4EEE-A14A-6EEA2C1D7468}"/>
    <hyperlink ref="J3208" r:id="rId15348" display="https://statiz.sporki.com/player/?m=playerinfo&amp;p_no=1721" xr:uid="{86C4DA31-5A7D-47B0-8008-EF3B4F75B9A5}"/>
    <hyperlink ref="J3209" r:id="rId15349" display="https://statiz.sporki.com/player/?m=playerinfo&amp;p_no=1805" xr:uid="{A2060641-54FA-4C32-B63A-2E9616611319}"/>
    <hyperlink ref="J3210" r:id="rId15350" display="https://statiz.sporki.com/player/?m=playerinfo&amp;p_no=1729" xr:uid="{4C951231-86F9-4C85-9A1F-FAAEBDD3E8A1}"/>
    <hyperlink ref="J3211" r:id="rId15351" display="https://statiz.sporki.com/player/?m=playerinfo&amp;p_no=1748" xr:uid="{94FD8FE2-90B1-4128-8EB2-5B59310EA75A}"/>
    <hyperlink ref="J3212" r:id="rId15352" display="https://statiz.sporki.com/player/?m=playerinfo&amp;p_no=1768" xr:uid="{09EB53BB-2C28-4E67-B175-77914E5E0998}"/>
    <hyperlink ref="J3213" r:id="rId15353" display="https://statiz.sporki.com/player/?m=playerinfo&amp;p_no=1730" xr:uid="{94E44912-ACDB-457B-8CA9-767C42BBED4A}"/>
    <hyperlink ref="J3214" r:id="rId15354" display="https://statiz.sporki.com/player/?m=playerinfo&amp;p_no=1958" xr:uid="{E7B7885F-AEFA-4CFA-9802-216D799F8D8E}"/>
    <hyperlink ref="J3215" r:id="rId15355" display="https://statiz.sporki.com/player/?m=playerinfo&amp;p_no=1764" xr:uid="{99E7ED39-64C0-415E-BA50-1092650ACE14}"/>
    <hyperlink ref="J3216" r:id="rId15356" display="https://statiz.sporki.com/player/?m=playerinfo&amp;p_no=1767" xr:uid="{A2A1D0A9-8AD2-41A7-B3EB-03513C63EA73}"/>
    <hyperlink ref="J3217" r:id="rId15357" display="https://statiz.sporki.com/player/?m=playerinfo&amp;p_no=1921" xr:uid="{27B253CB-7A22-4CAF-85FA-ADFB5F0FBAE9}"/>
    <hyperlink ref="J3218" r:id="rId15358" display="https://statiz.sporki.com/player/?m=playerinfo&amp;p_no=1758" xr:uid="{3EC065FF-C194-4BEF-B71F-3F97DAD5D145}"/>
    <hyperlink ref="J3219" r:id="rId15359" display="https://statiz.sporki.com/player/?m=playerinfo&amp;p_no=1779" xr:uid="{6AAF115F-31A3-4DCA-BFA6-6EF69FFA675E}"/>
    <hyperlink ref="J3220" r:id="rId15360" display="https://statiz.sporki.com/player/?m=playerinfo&amp;p_no=1755" xr:uid="{EB8C9680-E3B5-46B4-872B-FDED735B682B}"/>
    <hyperlink ref="J3221" r:id="rId15361" display="https://statiz.sporki.com/player/?m=playerinfo&amp;p_no=1740" xr:uid="{F1580965-D6DA-4146-936D-35DC2AC889F5}"/>
    <hyperlink ref="J3222" r:id="rId15362" display="https://statiz.sporki.com/player/?m=playerinfo&amp;p_no=1845" xr:uid="{477BEE34-7BCF-4CE1-9B47-92E8AFC2F36C}"/>
    <hyperlink ref="J3223" r:id="rId15363" display="https://statiz.sporki.com/player/?m=playerinfo&amp;p_no=1824" xr:uid="{68CAA121-A472-484A-9074-16BBEC1D08DA}"/>
    <hyperlink ref="J3224" r:id="rId15364" display="https://statiz.sporki.com/player/?m=playerinfo&amp;p_no=1746" xr:uid="{F2905EA6-89F4-4986-A3E8-C5A8A27D868B}"/>
    <hyperlink ref="J3225" r:id="rId15365" display="https://statiz.sporki.com/player/?m=playerinfo&amp;p_no=1723" xr:uid="{D415A261-F73E-4B38-B326-19F2BD773C63}"/>
    <hyperlink ref="J3226" r:id="rId15366" display="https://statiz.sporki.com/player/?m=playerinfo&amp;p_no=11439" xr:uid="{018FB367-A43E-41AB-8BC5-759A942A3C85}"/>
    <hyperlink ref="J3227" r:id="rId15367" display="https://statiz.sporki.com/player/?m=playerinfo&amp;p_no=1739" xr:uid="{8AD7C6EC-FCF3-4BAB-BD3C-1EB552394D26}"/>
    <hyperlink ref="J3228" r:id="rId15368" display="https://statiz.sporki.com/player/?m=playerinfo&amp;p_no=1733" xr:uid="{13101542-929E-4FCA-ABAD-A4C786E8E1A6}"/>
    <hyperlink ref="J3229" r:id="rId15369" display="https://statiz.sporki.com/player/?m=playerinfo&amp;p_no=1776" xr:uid="{A273ECAC-52CD-4F40-9BEB-46F5A27F03BF}"/>
    <hyperlink ref="J3230" r:id="rId15370" display="https://statiz.sporki.com/player/?m=playerinfo&amp;p_no=1734" xr:uid="{D09CD2D6-4F16-42E5-80AE-A7F8B376B536}"/>
    <hyperlink ref="J3231" r:id="rId15371" display="https://statiz.sporki.com/player/?m=playerinfo&amp;p_no=1719" xr:uid="{C233EA79-F5F9-45EA-B9DC-EB97D82BA1FA}"/>
    <hyperlink ref="J3232" r:id="rId15372" display="https://statiz.sporki.com/player/?m=playerinfo&amp;p_no=1777" xr:uid="{62AC4EFE-84ED-43AB-8287-231E5DE638E9}"/>
    <hyperlink ref="J3233" r:id="rId15373" display="https://statiz.sporki.com/player/?m=playerinfo&amp;p_no=1752" xr:uid="{26883AFE-79B1-4E87-A36A-C641F0F04726}"/>
    <hyperlink ref="J3234" r:id="rId15374" display="https://statiz.sporki.com/player/?m=playerinfo&amp;p_no=1799" xr:uid="{3DD09A92-B751-41C6-AAC9-E33EA6716669}"/>
    <hyperlink ref="J3235" r:id="rId15375" display="https://statiz.sporki.com/player/?m=playerinfo&amp;p_no=1813" xr:uid="{4CBFA212-85E5-4034-9803-E3E8B5A354BE}"/>
    <hyperlink ref="J3236" r:id="rId15376" display="https://statiz.sporki.com/player/?m=playerinfo&amp;p_no=1726" xr:uid="{268BB4B9-0200-4D73-8DE5-1D3818D2BB36}"/>
    <hyperlink ref="J3237" r:id="rId15377" display="https://statiz.sporki.com/player/?m=playerinfo&amp;p_no=1802" xr:uid="{250F1CF4-D754-4451-879D-AE1758CD08B4}"/>
    <hyperlink ref="J3238" r:id="rId15378" display="https://statiz.sporki.com/player/?m=playerinfo&amp;p_no=11438" xr:uid="{5C66A994-E9FA-42BA-A7DB-D12BA0BE5A6C}"/>
    <hyperlink ref="J3239" r:id="rId15379" display="https://statiz.sporki.com/player/?m=playerinfo&amp;p_no=1780" xr:uid="{663A71B6-5264-4DC1-A30E-13522AF02DB8}"/>
    <hyperlink ref="J3240" r:id="rId15380" display="https://statiz.sporki.com/player/?m=playerinfo&amp;p_no=1887" xr:uid="{B58E3436-2D52-4AB7-B8A4-2672E266F000}"/>
    <hyperlink ref="J3241" r:id="rId15381" display="https://statiz.sporki.com/player/?m=playerinfo&amp;p_no=2096" xr:uid="{FEB7E52E-994F-42F5-A01B-EFC4EE2DD18D}"/>
    <hyperlink ref="J3242" r:id="rId15382" display="https://statiz.sporki.com/player/?m=playerinfo&amp;p_no=1859" xr:uid="{A4069089-506A-4DA0-A35E-7371FE4C211E}"/>
    <hyperlink ref="J3243" r:id="rId15383" display="https://statiz.sporki.com/player/?m=playerinfo&amp;p_no=2062" xr:uid="{AA9946B7-B1AB-4310-918E-329841C71851}"/>
    <hyperlink ref="J3244" r:id="rId15384" display="https://statiz.sporki.com/player/?m=playerinfo&amp;p_no=10543" xr:uid="{55874DB3-62A2-4EAD-835C-0DB646534910}"/>
    <hyperlink ref="J3245" r:id="rId15385" display="https://statiz.sporki.com/player/?m=playerinfo&amp;p_no=1765" xr:uid="{F5F5FAC8-7A90-4989-A5A7-5CF82C1FE6A5}"/>
    <hyperlink ref="J3246" r:id="rId15386" display="https://statiz.sporki.com/player/?m=playerinfo&amp;p_no=1853" xr:uid="{7B294AE7-2E5E-4714-A5A7-274F93E1DD2F}"/>
    <hyperlink ref="J3247" r:id="rId15387" display="https://statiz.sporki.com/player/?m=playerinfo&amp;p_no=1771" xr:uid="{5D1C91D4-2D0F-41C8-A4E5-428B73EDF47D}"/>
    <hyperlink ref="J3248" r:id="rId15388" display="https://statiz.sporki.com/player/?m=playerinfo&amp;p_no=1781" xr:uid="{36525054-89E7-43D9-86B3-3E1BCADC6F34}"/>
    <hyperlink ref="J3249" r:id="rId15389" display="https://statiz.sporki.com/player/?m=playerinfo&amp;p_no=1749" xr:uid="{DF359849-7813-4B48-9997-4B40A5F53D3D}"/>
    <hyperlink ref="J3250" r:id="rId15390" display="https://statiz.sporki.com/player/?m=playerinfo&amp;p_no=1770" xr:uid="{58B01688-825B-463B-A7C7-5AF406859C19}"/>
    <hyperlink ref="J3251" r:id="rId15391" display="https://statiz.sporki.com/player/?m=playerinfo&amp;p_no=1774" xr:uid="{AD3116E9-3286-4CA1-BF8D-ABE1D4821C2D}"/>
    <hyperlink ref="J3252" r:id="rId15392" display="https://statiz.sporki.com/player/?m=playerinfo&amp;p_no=10062" xr:uid="{795CBA47-BCBA-4E5A-AE0F-AEBBB6472D41}"/>
    <hyperlink ref="J3253" r:id="rId15393" display="https://statiz.sporki.com/player/?m=playerinfo&amp;p_no=1826" xr:uid="{3F22907B-3DF9-4626-8930-74A62429D1B0}"/>
    <hyperlink ref="J3254" r:id="rId15394" display="https://statiz.sporki.com/player/?m=playerinfo&amp;p_no=1778" xr:uid="{21334C0C-8071-452E-992A-43B1468A046D}"/>
    <hyperlink ref="J3255" r:id="rId15395" display="https://statiz.sporki.com/player/?m=playerinfo&amp;p_no=1745" xr:uid="{EA3E8E0A-8053-412D-BE49-4DD11FED3EE9}"/>
    <hyperlink ref="J3256" r:id="rId15396" display="https://statiz.sporki.com/player/?m=playerinfo&amp;p_no=10113" xr:uid="{749C58E5-D760-4A73-86D9-911409B950BB}"/>
    <hyperlink ref="J3257" r:id="rId15397" display="https://statiz.sporki.com/player/?m=playerinfo&amp;p_no=2013" xr:uid="{E132C803-6062-4D55-A076-A62315080168}"/>
    <hyperlink ref="J3258" r:id="rId15398" display="https://statiz.sporki.com/player/?m=playerinfo&amp;p_no=1648" xr:uid="{2D54AF56-A49A-4482-9FA2-F16E69F7294E}"/>
    <hyperlink ref="J3259" r:id="rId15399" display="https://statiz.sporki.com/player/?m=playerinfo&amp;p_no=1685" xr:uid="{4984D7E0-3642-4BB8-A7FF-750E5F849E88}"/>
    <hyperlink ref="J3260" r:id="rId15400" display="https://statiz.sporki.com/player/?m=playerinfo&amp;p_no=1693" xr:uid="{817E9D13-BF91-4F66-B2A6-5764700FB955}"/>
    <hyperlink ref="J3261" r:id="rId15401" display="https://statiz.sporki.com/player/?m=playerinfo&amp;p_no=1852" xr:uid="{849BD009-F7A4-4A78-BE09-9B6301391F6D}"/>
    <hyperlink ref="J3262" r:id="rId15402" display="https://statiz.sporki.com/player/?m=playerinfo&amp;p_no=1716" xr:uid="{EB1CC9E5-A816-401E-A05B-43D7EF861E2C}"/>
    <hyperlink ref="J3263" r:id="rId15403" display="https://statiz.sporki.com/player/?m=playerinfo&amp;p_no=1956" xr:uid="{AA67C577-5BEE-4471-BC1B-C9740EB7AD47}"/>
    <hyperlink ref="J3264" r:id="rId15404" display="https://statiz.sporki.com/player/?m=playerinfo&amp;p_no=1686" xr:uid="{DA1F9B22-E0BA-41D9-B190-070BD7DD2385}"/>
    <hyperlink ref="J3265" r:id="rId15405" display="https://statiz.sporki.com/player/?m=playerinfo&amp;p_no=1695" xr:uid="{9BFAB38D-316B-45E5-9A29-A7B1442FCCD9}"/>
    <hyperlink ref="J3266" r:id="rId15406" display="https://statiz.sporki.com/player/?m=playerinfo&amp;p_no=10123" xr:uid="{A9561851-A767-4EAF-A0A6-487822D3B61D}"/>
    <hyperlink ref="J3267" r:id="rId15407" display="https://statiz.sporki.com/player/?m=playerinfo&amp;p_no=1701" xr:uid="{035B985C-DD61-4D94-A71F-0D43A1F689BB}"/>
    <hyperlink ref="J3268" r:id="rId15408" display="https://statiz.sporki.com/player/?m=playerinfo&amp;p_no=1651" xr:uid="{362E925C-E8C7-46EF-819A-0E77FC5A47C3}"/>
    <hyperlink ref="J3269" r:id="rId15409" display="https://statiz.sporki.com/player/?m=playerinfo&amp;p_no=1715" xr:uid="{71D3FD3B-5CE1-48BD-B8DA-60ADF28E238F}"/>
    <hyperlink ref="J3270" r:id="rId15410" display="https://statiz.sporki.com/player/?m=playerinfo&amp;p_no=12722" xr:uid="{67D5EC91-F754-4BEE-9A63-1A208EDC47B2}"/>
    <hyperlink ref="J3271" r:id="rId15411" display="https://statiz.sporki.com/player/?m=playerinfo&amp;p_no=1650" xr:uid="{5D3D5ACD-9842-4826-95AA-0290D2A74427}"/>
    <hyperlink ref="J3272" r:id="rId15412" display="https://statiz.sporki.com/player/?m=playerinfo&amp;p_no=1707" xr:uid="{74E049DA-85F5-4975-9B29-9F3BAE739B13}"/>
    <hyperlink ref="J3273" r:id="rId15413" display="https://statiz.sporki.com/player/?m=playerinfo&amp;p_no=10099" xr:uid="{93D11BC0-A493-4B6A-95E8-5AA76629A533}"/>
    <hyperlink ref="J3274" r:id="rId15414" display="https://statiz.sporki.com/player/?m=playerinfo&amp;p_no=1646" xr:uid="{83F14C39-CA9B-4F9B-80B1-F5D555C2F1E6}"/>
    <hyperlink ref="J3275" r:id="rId15415" display="https://statiz.sporki.com/player/?m=playerinfo&amp;p_no=1664" xr:uid="{E4A8358D-D970-4F7D-933B-835F9BF58531}"/>
    <hyperlink ref="J3276" r:id="rId15416" display="https://statiz.sporki.com/player/?m=playerinfo&amp;p_no=1658" xr:uid="{8EA999E9-83E0-42C5-8B4F-875F24F8AEE0}"/>
    <hyperlink ref="J3277" r:id="rId15417" display="https://statiz.sporki.com/player/?m=playerinfo&amp;p_no=10339" xr:uid="{A9EC3579-55C8-415F-80F8-53F835D14577}"/>
    <hyperlink ref="J3278" r:id="rId15418" display="https://statiz.sporki.com/player/?m=playerinfo&amp;p_no=1671" xr:uid="{588A3E4C-FD5B-4A2D-92A8-FA9DA3D83A89}"/>
    <hyperlink ref="J3279" r:id="rId15419" display="https://statiz.sporki.com/player/?m=playerinfo&amp;p_no=1787" xr:uid="{4E40ECAC-7109-463F-A4D8-CF72A661273A}"/>
    <hyperlink ref="J3280" r:id="rId15420" display="https://statiz.sporki.com/player/?m=playerinfo&amp;p_no=1691" xr:uid="{00544BDF-C907-4006-A8E2-E8F267D441EC}"/>
    <hyperlink ref="J3281" r:id="rId15421" display="https://statiz.sporki.com/player/?m=playerinfo&amp;p_no=1657" xr:uid="{C5BB644A-B73F-405C-BE14-3958EF9F8516}"/>
    <hyperlink ref="J3282" r:id="rId15422" display="https://statiz.sporki.com/player/?m=playerinfo&amp;p_no=1670" xr:uid="{09F87DDE-462A-4950-BD65-487335586D55}"/>
    <hyperlink ref="J3283" r:id="rId15423" display="https://statiz.sporki.com/player/?m=playerinfo&amp;p_no=1677" xr:uid="{CA618A8B-D809-4CE4-B3AA-9C4B17E1C133}"/>
    <hyperlink ref="J3284" r:id="rId15424" display="https://statiz.sporki.com/player/?m=playerinfo&amp;p_no=1660" xr:uid="{EF10043C-73F3-40EA-82A4-053CE929DDE3}"/>
    <hyperlink ref="J3285" r:id="rId15425" display="https://statiz.sporki.com/player/?m=playerinfo&amp;p_no=1700" xr:uid="{51AD96B2-AB25-4C6A-9282-CBE7BA0EA183}"/>
    <hyperlink ref="J3286" r:id="rId15426" display="https://statiz.sporki.com/player/?m=playerinfo&amp;p_no=1682" xr:uid="{5209C487-37DA-4561-8DB8-58291CBF5CF9}"/>
    <hyperlink ref="J3287" r:id="rId15427" display="https://statiz.sporki.com/player/?m=playerinfo&amp;p_no=1653" xr:uid="{EE4D6950-4E59-4061-AA52-6A994FE327A2}"/>
    <hyperlink ref="J3288" r:id="rId15428" display="https://statiz.sporki.com/player/?m=playerinfo&amp;p_no=1673" xr:uid="{B031D455-3B82-4FC4-9D9A-DFE14B941D79}"/>
    <hyperlink ref="J3289" r:id="rId15429" display="https://statiz.sporki.com/player/?m=playerinfo&amp;p_no=1687" xr:uid="{BE8CD6CB-B36E-4FF8-A175-ED20687BC2DA}"/>
    <hyperlink ref="J3290" r:id="rId15430" display="https://statiz.sporki.com/player/?m=playerinfo&amp;p_no=11437" xr:uid="{590388ED-A05B-4243-89A9-9DD097A04F6F}"/>
    <hyperlink ref="J3291" r:id="rId15431" display="https://statiz.sporki.com/player/?m=playerinfo&amp;p_no=1681" xr:uid="{64AD825A-9FA3-477F-9D76-DA6214A61E25}"/>
    <hyperlink ref="J3292" r:id="rId15432" display="https://statiz.sporki.com/player/?m=playerinfo&amp;p_no=1654" xr:uid="{5D732CFA-A714-44D7-A94D-D9765C5ADF02}"/>
    <hyperlink ref="J3293" r:id="rId15433" display="https://statiz.sporki.com/player/?m=playerinfo&amp;p_no=1712" xr:uid="{9F93BF13-1483-4D70-9C41-4805E71036C7}"/>
    <hyperlink ref="J3294" r:id="rId15434" display="https://statiz.sporki.com/player/?m=playerinfo&amp;p_no=1713" xr:uid="{439432F9-F8AA-4604-A239-5E66DDD2522C}"/>
    <hyperlink ref="J3295" r:id="rId15435" display="https://statiz.sporki.com/player/?m=playerinfo&amp;p_no=1652" xr:uid="{D04A5C7B-590D-4CA0-BDD1-0EF61BD36CEF}"/>
    <hyperlink ref="J3296" r:id="rId15436" display="https://statiz.sporki.com/player/?m=playerinfo&amp;p_no=1694" xr:uid="{3C450FF6-E7E3-4BCA-B71D-6328D5F2D63B}"/>
    <hyperlink ref="J3297" r:id="rId15437" display="https://statiz.sporki.com/player/?m=playerinfo&amp;p_no=1669" xr:uid="{1A9C5DA1-4CBC-4B3E-996A-D17B1D7DB62E}"/>
    <hyperlink ref="J3298" r:id="rId15438" display="https://statiz.sporki.com/player/?m=playerinfo&amp;p_no=1661" xr:uid="{329EDB95-0E25-4025-A8E9-4EFB4B7570E5}"/>
    <hyperlink ref="J3299" r:id="rId15439" display="https://statiz.sporki.com/player/?m=playerinfo&amp;p_no=1684" xr:uid="{C67E1F74-2B11-4779-8859-9C65BA999490}"/>
    <hyperlink ref="J3300" r:id="rId15440" display="https://statiz.sporki.com/player/?m=playerinfo&amp;p_no=1709" xr:uid="{66AFE63A-7E5F-4AA4-AFC2-516807673E8F}"/>
    <hyperlink ref="J3301" r:id="rId15441" display="https://statiz.sporki.com/player/?m=playerinfo&amp;p_no=1659" xr:uid="{6EE90A07-10CC-4F96-A1D6-01635D4877B9}"/>
    <hyperlink ref="J3302" r:id="rId15442" display="https://statiz.sporki.com/player/?m=playerinfo&amp;p_no=1753" xr:uid="{E6329564-3A07-4E74-A9F9-AE2A5794714D}"/>
    <hyperlink ref="J3303" r:id="rId15443" display="https://statiz.sporki.com/player/?m=playerinfo&amp;p_no=1662" xr:uid="{E74ABE56-8572-47C1-A64D-40AF02BB6295}"/>
    <hyperlink ref="J3304" r:id="rId15444" display="https://statiz.sporki.com/player/?m=playerinfo&amp;p_no=1718" xr:uid="{CF28F8BF-6F96-4139-912F-8B5FE563C67E}"/>
    <hyperlink ref="J3305" r:id="rId15445" display="https://statiz.sporki.com/player/?m=playerinfo&amp;p_no=1741" xr:uid="{65373E79-271C-4D09-8CBB-0CA727C93ECE}"/>
    <hyperlink ref="J3306" r:id="rId15446" display="https://statiz.sporki.com/player/?m=playerinfo&amp;p_no=1666" xr:uid="{8B5FC633-E032-438E-A5A9-DAA4E806612F}"/>
    <hyperlink ref="J3307" r:id="rId15447" display="https://statiz.sporki.com/player/?m=playerinfo&amp;p_no=1708" xr:uid="{CD6D2E1D-4668-412C-8FAD-77DB938E4513}"/>
    <hyperlink ref="J3308" r:id="rId15448" display="https://statiz.sporki.com/player/?m=playerinfo&amp;p_no=1675" xr:uid="{8AE08648-B7FA-478F-A3F0-E021E13F1828}"/>
    <hyperlink ref="J3309" r:id="rId15449" display="https://statiz.sporki.com/player/?m=playerinfo&amp;p_no=1731" xr:uid="{E99481C3-2DB4-4740-A111-5BC1B3D6E519}"/>
    <hyperlink ref="J3310" r:id="rId15450" display="https://statiz.sporki.com/player/?m=playerinfo&amp;p_no=1649" xr:uid="{2F0BE09C-C589-4ED8-82D8-176DAFF4FE4A}"/>
    <hyperlink ref="J3311" r:id="rId15451" display="https://statiz.sporki.com/player/?m=playerinfo&amp;p_no=1647" xr:uid="{E1886AA9-4A19-4783-B54A-CFB645E94838}"/>
    <hyperlink ref="J3312" r:id="rId15452" display="https://statiz.sporki.com/player/?m=playerinfo&amp;p_no=1668" xr:uid="{584A132F-AA10-4CAD-A5C0-C8132B905F5C}"/>
    <hyperlink ref="J3313" r:id="rId15453" display="https://statiz.sporki.com/player/?m=playerinfo&amp;p_no=1798" xr:uid="{A877A50E-16F4-4887-9FAF-D1CD41DC785C}"/>
    <hyperlink ref="J3314" r:id="rId15454" display="https://statiz.sporki.com/player/?m=playerinfo&amp;p_no=1689" xr:uid="{C35A93E2-DD23-4D33-B601-F39D017C5D2C}"/>
    <hyperlink ref="J3315" r:id="rId15455" display="https://statiz.sporki.com/player/?m=playerinfo&amp;p_no=1680" xr:uid="{0AECEB3C-26B2-4305-B81C-31A9E8A014AA}"/>
    <hyperlink ref="J3316" r:id="rId15456" display="https://statiz.sporki.com/player/?m=playerinfo&amp;p_no=10613" xr:uid="{9405A35C-87A5-4B24-B90E-C383B4CC5F8B}"/>
    <hyperlink ref="J3317" r:id="rId15457" display="https://statiz.sporki.com/player/?m=playerinfo&amp;p_no=1816" xr:uid="{0C113C8E-CC8A-4650-A209-08EA3FC8BCFC}"/>
    <hyperlink ref="J3318" r:id="rId15458" display="https://statiz.sporki.com/player/?m=playerinfo&amp;p_no=1683" xr:uid="{15004861-4C58-4DDB-98AD-AD9819D154C2}"/>
    <hyperlink ref="J3319" r:id="rId15459" display="https://statiz.sporki.com/player/?m=playerinfo&amp;p_no=1841" xr:uid="{332D0D8F-7848-4530-95E8-F8673F286F3C}"/>
    <hyperlink ref="J3320" r:id="rId15460" display="https://statiz.sporki.com/player/?m=playerinfo&amp;p_no=1747" xr:uid="{FA902AAB-44B7-4646-A3F3-87AC7382A052}"/>
    <hyperlink ref="J3321" r:id="rId15461" display="https://statiz.sporki.com/player/?m=playerinfo&amp;p_no=10020" xr:uid="{B2121104-0744-4159-ABAA-C17C30D26AD5}"/>
    <hyperlink ref="J3322" r:id="rId15462" display="https://statiz.sporki.com/player/?m=playerinfo&amp;p_no=1674" xr:uid="{14EB69EF-B363-4FBA-B908-515F7AA77059}"/>
    <hyperlink ref="J3323" r:id="rId15463" display="https://statiz.sporki.com/player/?m=playerinfo&amp;p_no=1711" xr:uid="{A5D7BA9F-EF75-43BA-9EB9-C106DBB3F23A}"/>
    <hyperlink ref="J3324" r:id="rId15464" display="https://statiz.sporki.com/player/?m=playerinfo&amp;p_no=1844" xr:uid="{07B974F4-2707-4A77-A4BF-6C3589ED4D07}"/>
    <hyperlink ref="J3325" r:id="rId15465" display="https://statiz.sporki.com/player/?m=playerinfo&amp;p_no=1688" xr:uid="{4C6CF593-F11E-4FA1-B3C5-215FD52E6870}"/>
    <hyperlink ref="J3326" r:id="rId15466" display="https://statiz.sporki.com/player/?m=playerinfo&amp;p_no=1697" xr:uid="{A062FCDE-9AA9-4229-926C-955B77E146D8}"/>
    <hyperlink ref="J3327" r:id="rId15467" display="https://statiz.sporki.com/player/?m=playerinfo&amp;p_no=1692" xr:uid="{153B43CC-23F4-4980-8E76-01532F5498E5}"/>
    <hyperlink ref="J3328" r:id="rId15468" display="https://statiz.sporki.com/player/?m=playerinfo&amp;p_no=1744" xr:uid="{F2B8DC6B-89D3-4670-9687-CBA814F55FAF}"/>
    <hyperlink ref="J3329" r:id="rId15469" display="https://statiz.sporki.com/player/?m=playerinfo&amp;p_no=1751" xr:uid="{572070C2-C43F-4C55-A4D9-582D9C8B723E}"/>
    <hyperlink ref="J3330" r:id="rId15470" display="https://statiz.sporki.com/player/?m=playerinfo&amp;p_no=1766" xr:uid="{3070398A-A84A-4576-964D-78CF482B5949}"/>
    <hyperlink ref="J3331" r:id="rId15471" display="https://statiz.sporki.com/player/?m=playerinfo&amp;p_no=1838" xr:uid="{BD8BDCF5-DFF2-44EE-AE5D-38183532590F}"/>
    <hyperlink ref="J3332" r:id="rId15472" display="https://statiz.sporki.com/player/?m=playerinfo&amp;p_no=1725" xr:uid="{485A48E1-09AB-4058-B3E2-8098E6A7363E}"/>
    <hyperlink ref="J3333" r:id="rId15473" display="https://statiz.sporki.com/player/?m=playerinfo&amp;p_no=1589" xr:uid="{990302EC-58C9-403A-8934-F9ACB405CC10}"/>
    <hyperlink ref="J3334" r:id="rId15474" display="https://statiz.sporki.com/player/?m=playerinfo&amp;p_no=1760" xr:uid="{D83D0C99-692D-4429-A4E8-B91C5FD1FB0C}"/>
    <hyperlink ref="J3335" r:id="rId15475" display="https://statiz.sporki.com/player/?m=playerinfo&amp;p_no=1561" xr:uid="{8E2BA276-886A-425E-A57E-B64D795E620F}"/>
    <hyperlink ref="J3336" r:id="rId15476" display="https://statiz.sporki.com/player/?m=playerinfo&amp;p_no=1563" xr:uid="{01AF0345-1310-4893-800E-4BE488AB570C}"/>
    <hyperlink ref="J3337" r:id="rId15477" display="https://statiz.sporki.com/player/?m=playerinfo&amp;p_no=1608" xr:uid="{CB1CEF36-8206-4089-B7A9-49A6B4E6DE99}"/>
    <hyperlink ref="J3338" r:id="rId15478" display="https://statiz.sporki.com/player/?m=playerinfo&amp;p_no=11435" xr:uid="{1D49FA33-7145-47C3-BB99-CA28D89C14CD}"/>
    <hyperlink ref="J3339" r:id="rId15479" display="https://statiz.sporki.com/player/?m=playerinfo&amp;p_no=1636" xr:uid="{9A4B47FE-BF5B-453A-880F-59C629EFE0D6}"/>
    <hyperlink ref="J3340" r:id="rId15480" display="https://statiz.sporki.com/player/?m=playerinfo&amp;p_no=11434" xr:uid="{D961703C-0594-48DF-B33C-AA654043E57F}"/>
    <hyperlink ref="J3341" r:id="rId15481" display="https://statiz.sporki.com/player/?m=playerinfo&amp;p_no=1639" xr:uid="{617F0494-5329-4C3E-96C1-2B0E3878ABDF}"/>
    <hyperlink ref="J3342" r:id="rId15482" display="https://statiz.sporki.com/player/?m=playerinfo&amp;p_no=1627" xr:uid="{050B481C-1634-43D3-BCDB-7F1A8AE5E992}"/>
    <hyperlink ref="J3343" r:id="rId15483" display="https://statiz.sporki.com/player/?m=playerinfo&amp;p_no=1628" xr:uid="{C54A14F0-76EF-44D1-B44A-10B871B145DD}"/>
    <hyperlink ref="J3344" r:id="rId15484" display="https://statiz.sporki.com/player/?m=playerinfo&amp;p_no=1609" xr:uid="{2667434E-A2A4-48EB-B9E7-818CCDD7B204}"/>
    <hyperlink ref="J3345" r:id="rId15485" display="https://statiz.sporki.com/player/?m=playerinfo&amp;p_no=1567" xr:uid="{7ACE3C59-DDF6-4229-A215-6768F71BD151}"/>
    <hyperlink ref="J3346" r:id="rId15486" display="https://statiz.sporki.com/player/?m=playerinfo&amp;p_no=1617" xr:uid="{F3B5FB78-0D12-4A06-A0BF-AD4F04AC2E39}"/>
    <hyperlink ref="J3347" r:id="rId15487" display="https://statiz.sporki.com/player/?m=playerinfo&amp;p_no=11468" xr:uid="{F5158745-0F37-4164-888B-2CAFC4A824D1}"/>
    <hyperlink ref="J3348" r:id="rId15488" display="https://statiz.sporki.com/player/?m=playerinfo&amp;p_no=1596" xr:uid="{C7747AFE-19CF-40A6-BC88-3499294F37A2}"/>
    <hyperlink ref="J3349" r:id="rId15489" display="https://statiz.sporki.com/player/?m=playerinfo&amp;p_no=1570" xr:uid="{38CB96FC-0481-4212-88EC-BCDF2E518DCD}"/>
    <hyperlink ref="J3350" r:id="rId15490" display="https://statiz.sporki.com/player/?m=playerinfo&amp;p_no=1772" xr:uid="{9C3D57D1-63D7-42FE-92A9-FD574D609254}"/>
    <hyperlink ref="J3351" r:id="rId15491" display="https://statiz.sporki.com/player/?m=playerinfo&amp;p_no=10418" xr:uid="{26D2DE73-98AE-40CC-8D68-CC2936D87D52}"/>
    <hyperlink ref="J3352" r:id="rId15492" display="https://statiz.sporki.com/player/?m=playerinfo&amp;p_no=1566" xr:uid="{369D4F6C-B0B8-47D1-9038-AA978D536080}"/>
    <hyperlink ref="J3353" r:id="rId15493" display="https://statiz.sporki.com/player/?m=playerinfo&amp;p_no=11436" xr:uid="{8A662313-979E-42F6-BAC3-28501A7C539B}"/>
    <hyperlink ref="J3354" r:id="rId15494" display="https://statiz.sporki.com/player/?m=playerinfo&amp;p_no=1602" xr:uid="{9848AA21-89F0-42F6-9516-96CE5B5A4DB0}"/>
    <hyperlink ref="J3355" r:id="rId15495" display="https://statiz.sporki.com/player/?m=playerinfo&amp;p_no=1583" xr:uid="{B0FEDD82-7EB9-4109-93CE-3EE398B00A2C}"/>
    <hyperlink ref="J3356" r:id="rId15496" display="https://statiz.sporki.com/player/?m=playerinfo&amp;p_no=1616" xr:uid="{13F6F13F-C450-4E8B-8BAB-874D6EB98A61}"/>
    <hyperlink ref="J3357" r:id="rId15497" display="https://statiz.sporki.com/player/?m=playerinfo&amp;p_no=1620" xr:uid="{50E01CD5-CA08-4CFB-9FA3-24196B92A933}"/>
    <hyperlink ref="J3358" r:id="rId15498" display="https://statiz.sporki.com/player/?m=playerinfo&amp;p_no=1619" xr:uid="{316D9FD1-F09C-4464-8238-6304EADEC548}"/>
    <hyperlink ref="J3359" r:id="rId15499" display="https://statiz.sporki.com/player/?m=playerinfo&amp;p_no=1587" xr:uid="{D4D8C518-4660-413B-A107-ECB2156471F3}"/>
    <hyperlink ref="J3360" r:id="rId15500" display="https://statiz.sporki.com/player/?m=playerinfo&amp;p_no=1618" xr:uid="{6BA34BFD-0539-49BA-897B-F0467B05EBD4}"/>
    <hyperlink ref="J3361" r:id="rId15501" display="https://statiz.sporki.com/player/?m=playerinfo&amp;p_no=1562" xr:uid="{069B87AB-9358-4696-9D09-BB212A3BA411}"/>
    <hyperlink ref="J3362" r:id="rId15502" display="https://statiz.sporki.com/player/?m=playerinfo&amp;p_no=1571" xr:uid="{5099DE0C-1679-4ED2-9C8F-C639073E4174}"/>
    <hyperlink ref="J3363" r:id="rId15503" display="https://statiz.sporki.com/player/?m=playerinfo&amp;p_no=11429" xr:uid="{2261F053-E18A-40FC-8068-644655D10807}"/>
    <hyperlink ref="J3364" r:id="rId15504" display="https://statiz.sporki.com/player/?m=playerinfo&amp;p_no=1576" xr:uid="{F7E59B1E-4D42-4A23-B03E-BE9E9C351BCA}"/>
    <hyperlink ref="J3365" r:id="rId15505" display="https://statiz.sporki.com/player/?m=playerinfo&amp;p_no=1588" xr:uid="{2E58C647-4275-4872-94FB-DBC99B9882C2}"/>
    <hyperlink ref="J3366" r:id="rId15506" display="https://statiz.sporki.com/player/?m=playerinfo&amp;p_no=1638" xr:uid="{B09285DF-36F2-420D-93F3-C6DCA84C9FEB}"/>
    <hyperlink ref="J3367" r:id="rId15507" display="https://statiz.sporki.com/player/?m=playerinfo&amp;p_no=1606" xr:uid="{070B72A2-824F-4D0C-AA00-2354D72A6C53}"/>
    <hyperlink ref="J3368" r:id="rId15508" display="https://statiz.sporki.com/player/?m=playerinfo&amp;p_no=1586" xr:uid="{72ED87A2-19AF-4D7A-BA8E-B852FA6E49BB}"/>
    <hyperlink ref="J3369" r:id="rId15509" display="https://statiz.sporki.com/player/?m=playerinfo&amp;p_no=1582" xr:uid="{EA2FD2E3-0A15-4E59-92B5-A666A106A3E4}"/>
    <hyperlink ref="J3370" r:id="rId15510" display="https://statiz.sporki.com/player/?m=playerinfo&amp;p_no=1710" xr:uid="{331A2C59-8A6C-4FBF-81C1-80A6429207C2}"/>
    <hyperlink ref="J3371" r:id="rId15511" display="https://statiz.sporki.com/player/?m=playerinfo&amp;p_no=1569" xr:uid="{25B57F06-84A8-4454-A18B-50717881F9F2}"/>
    <hyperlink ref="J3372" r:id="rId15512" display="https://statiz.sporki.com/player/?m=playerinfo&amp;p_no=1572" xr:uid="{16E4DC90-CA70-4DDA-93D1-45C843DA0ED3}"/>
    <hyperlink ref="J3373" r:id="rId15513" display="https://statiz.sporki.com/player/?m=playerinfo&amp;p_no=1574" xr:uid="{B3132628-A9D6-4BFC-949D-B1D15BE110E2}"/>
    <hyperlink ref="J3374" r:id="rId15514" display="https://statiz.sporki.com/player/?m=playerinfo&amp;p_no=1655" xr:uid="{3C33A9C5-9C37-42C6-AC49-965A113145CC}"/>
    <hyperlink ref="J3375" r:id="rId15515" display="https://statiz.sporki.com/player/?m=playerinfo&amp;p_no=1590" xr:uid="{4A5C7E9C-09D5-466D-883E-C4D7B76AB526}"/>
    <hyperlink ref="J3376" r:id="rId15516" display="https://statiz.sporki.com/player/?m=playerinfo&amp;p_no=1601" xr:uid="{FB500136-7EAC-42D3-BB12-7D1E6F5F9819}"/>
    <hyperlink ref="J3377" r:id="rId15517" display="https://statiz.sporki.com/player/?m=playerinfo&amp;p_no=1622" xr:uid="{5B422798-518A-4362-9C0F-97AB29607E3A}"/>
    <hyperlink ref="J3378" r:id="rId15518" display="https://statiz.sporki.com/player/?m=playerinfo&amp;p_no=1629" xr:uid="{228A6F64-4269-461E-ACD8-255FC25FA5AA}"/>
    <hyperlink ref="J3379" r:id="rId15519" display="https://statiz.sporki.com/player/?m=playerinfo&amp;p_no=1630" xr:uid="{4197F582-A373-4C9D-98E6-48E29D59970E}"/>
    <hyperlink ref="J3380" r:id="rId15520" display="https://statiz.sporki.com/player/?m=playerinfo&amp;p_no=1612" xr:uid="{91338A7E-76AD-43EB-A278-789907ABE108}"/>
    <hyperlink ref="J3381" r:id="rId15521" display="https://statiz.sporki.com/player/?m=playerinfo&amp;p_no=1678" xr:uid="{722C40F4-A29A-45B7-BCC8-85B976A8411D}"/>
    <hyperlink ref="J3382" r:id="rId15522" display="https://statiz.sporki.com/player/?m=playerinfo&amp;p_no=1598" xr:uid="{646096B6-AAB1-4183-9B6A-8B21EBA89921}"/>
    <hyperlink ref="J3383" r:id="rId15523" display="https://statiz.sporki.com/player/?m=playerinfo&amp;p_no=1703" xr:uid="{26705820-4D51-4733-B6D4-4F09BB13ED72}"/>
    <hyperlink ref="J3384" r:id="rId15524" display="https://statiz.sporki.com/player/?m=playerinfo&amp;p_no=1585" xr:uid="{A5FA8D7F-7CAE-410B-B7BA-CC23E302AA0C}"/>
    <hyperlink ref="J3385" r:id="rId15525" display="https://statiz.sporki.com/player/?m=playerinfo&amp;p_no=1635" xr:uid="{62DC7A0B-AEAB-4119-9173-64B81E536E3A}"/>
    <hyperlink ref="J3386" r:id="rId15526" display="https://statiz.sporki.com/player/?m=playerinfo&amp;p_no=1575" xr:uid="{85886975-6987-44F1-81E9-B50D1D15B1F3}"/>
    <hyperlink ref="J3387" r:id="rId15527" display="https://statiz.sporki.com/player/?m=playerinfo&amp;p_no=1614" xr:uid="{C3FAC458-641D-4D8A-A4BC-104D4F8D24F9}"/>
    <hyperlink ref="J3388" r:id="rId15528" display="https://statiz.sporki.com/player/?m=playerinfo&amp;p_no=1750" xr:uid="{D900E817-6811-4841-9207-336E91AC4605}"/>
    <hyperlink ref="J3389" r:id="rId15529" display="https://statiz.sporki.com/player/?m=playerinfo&amp;p_no=1665" xr:uid="{A799D17A-D023-486E-9AD6-AFD024D8C916}"/>
    <hyperlink ref="J3390" r:id="rId15530" display="https://statiz.sporki.com/player/?m=playerinfo&amp;p_no=1690" xr:uid="{080B4321-C78B-4262-A14B-A85224FC8B0C}"/>
    <hyperlink ref="J3391" r:id="rId15531" display="https://statiz.sporki.com/player/?m=playerinfo&amp;p_no=1578" xr:uid="{1D1A15A2-EB2F-4E85-9EB9-D8AC4A098E2C}"/>
    <hyperlink ref="J3392" r:id="rId15532" display="https://statiz.sporki.com/player/?m=playerinfo&amp;p_no=1895" xr:uid="{EB634827-8139-47E8-8E80-8254D7D2047D}"/>
    <hyperlink ref="J3393" r:id="rId15533" display="https://statiz.sporki.com/player/?m=playerinfo&amp;p_no=1565" xr:uid="{9063EA1B-006E-4B96-AEE0-225EDB6ECD17}"/>
    <hyperlink ref="J3394" r:id="rId15534" display="https://statiz.sporki.com/player/?m=playerinfo&amp;p_no=10080" xr:uid="{CD598A5B-92DA-4E39-A17C-9301F8D0243B}"/>
    <hyperlink ref="J3395" r:id="rId15535" display="https://statiz.sporki.com/player/?m=playerinfo&amp;p_no=10550" xr:uid="{0EA811C6-02F0-4A25-AB71-90D658E31DDC}"/>
    <hyperlink ref="J3396" r:id="rId15536" display="https://statiz.sporki.com/player/?m=playerinfo&amp;p_no=1600" xr:uid="{9B77B9C2-5B71-443D-AD87-0F20454E930F}"/>
    <hyperlink ref="J3397" r:id="rId15537" display="https://statiz.sporki.com/player/?m=playerinfo&amp;p_no=1637" xr:uid="{6CD9FEB0-2A82-4474-B03B-C916F6D14337}"/>
    <hyperlink ref="J3398" r:id="rId15538" display="https://statiz.sporki.com/player/?m=playerinfo&amp;p_no=1594" xr:uid="{050958A4-108C-4FD5-99E0-E4EE217DF234}"/>
    <hyperlink ref="J3399" r:id="rId15539" display="https://statiz.sporki.com/player/?m=playerinfo&amp;p_no=1625" xr:uid="{0842E76D-64F3-4310-A36D-5766AA87BE8C}"/>
    <hyperlink ref="J3400" r:id="rId15540" display="https://statiz.sporki.com/player/?m=playerinfo&amp;p_no=1732" xr:uid="{129377F8-9E4E-4C8E-AC07-DE6180435534}"/>
    <hyperlink ref="J3401" r:id="rId15541" display="https://statiz.sporki.com/player/?m=playerinfo&amp;p_no=10478" xr:uid="{9CBCB882-2129-444F-BA0D-92F7C37A9C05}"/>
    <hyperlink ref="J3402" r:id="rId15542" display="https://statiz.sporki.com/player/?m=playerinfo&amp;p_no=1613" xr:uid="{4C8F6C41-176B-48F8-BF42-596ECF3C6E41}"/>
    <hyperlink ref="J3403" r:id="rId15543" display="https://statiz.sporki.com/player/?m=playerinfo&amp;p_no=1595" xr:uid="{3EB984B2-729E-40E0-B47B-DBDF3A05BB57}"/>
    <hyperlink ref="J3404" r:id="rId15544" display="https://statiz.sporki.com/player/?m=playerinfo&amp;p_no=1604" xr:uid="{9A886E16-C78A-481E-A9FB-643EB718C72D}"/>
    <hyperlink ref="J3405" r:id="rId15545" display="https://statiz.sporki.com/player/?m=playerinfo&amp;p_no=1679" xr:uid="{BED48C96-AA0F-4CAD-AEE6-E4C5ACF308C6}"/>
    <hyperlink ref="J3406" r:id="rId15546" display="https://statiz.sporki.com/player/?m=playerinfo&amp;p_no=1717" xr:uid="{C78DCAE2-528F-4B2F-9C37-5D8A17BD909B}"/>
    <hyperlink ref="J3407" r:id="rId15547" display="https://statiz.sporki.com/player/?m=playerinfo&amp;p_no=1656" xr:uid="{D51C3E8E-61BC-4610-A559-7EDDECBF8323}"/>
    <hyperlink ref="J3408" r:id="rId15548" display="https://statiz.sporki.com/player/?m=playerinfo&amp;p_no=1610" xr:uid="{F5C56EAD-623C-4217-A323-D869A73D64A8}"/>
    <hyperlink ref="J3409" r:id="rId15549" display="https://statiz.sporki.com/player/?m=playerinfo&amp;p_no=1822" xr:uid="{565D7845-3004-4F64-80E4-1DDAF29E00D1}"/>
    <hyperlink ref="J3410" r:id="rId15550" display="https://statiz.sporki.com/player/?m=playerinfo&amp;p_no=1672" xr:uid="{5C47285C-FB6A-4389-90F0-6FCF21CBC113}"/>
    <hyperlink ref="J3411" r:id="rId15551" display="https://statiz.sporki.com/player/?m=playerinfo&amp;p_no=1633" xr:uid="{69E0DC88-1DFA-4A83-B494-9EE82A42227C}"/>
    <hyperlink ref="J3412" r:id="rId15552" display="https://statiz.sporki.com/player/?m=playerinfo&amp;p_no=10194" xr:uid="{49DD1358-1A07-4B71-B5DA-AC8A738A1FCB}"/>
    <hyperlink ref="J3413" r:id="rId15553" display="https://statiz.sporki.com/player/?m=playerinfo&amp;p_no=1830" xr:uid="{65C0374B-DE52-4CA2-AD5C-508C0255C31E}"/>
    <hyperlink ref="J3414" r:id="rId15554" display="https://statiz.sporki.com/player/?m=playerinfo&amp;p_no=1591" xr:uid="{429D38C1-6CA6-4491-A6A5-177D4D2E2E6B}"/>
    <hyperlink ref="J3415" r:id="rId15555" display="https://statiz.sporki.com/player/?m=playerinfo&amp;p_no=14890" xr:uid="{FE42580E-4BFE-4C78-9181-DFC83DBB5B3C}"/>
    <hyperlink ref="J3416" r:id="rId15556" display="https://statiz.sporki.com/player/?m=playerinfo&amp;p_no=1593" xr:uid="{E949367A-4CCC-4A0D-A987-7581F4C92C5B}"/>
    <hyperlink ref="J3417" r:id="rId15557" display="https://statiz.sporki.com/player/?m=playerinfo&amp;p_no=1704" xr:uid="{D8550097-4F07-478B-8C39-65199A206092}"/>
    <hyperlink ref="J3418" r:id="rId15558" display="https://statiz.sporki.com/player/?m=playerinfo&amp;p_no=1634" xr:uid="{132CF2DD-27FC-4933-A637-73AB2A1D8704}"/>
    <hyperlink ref="J3419" r:id="rId15559" display="https://statiz.sporki.com/player/?m=playerinfo&amp;p_no=1714" xr:uid="{B7B42CA9-3C31-41CB-A125-234CACB53347}"/>
    <hyperlink ref="J3420" r:id="rId15560" display="https://statiz.sporki.com/player/?m=playerinfo&amp;p_no=1706" xr:uid="{1209132C-B747-4D37-B6C3-E3E6124B27B6}"/>
    <hyperlink ref="J3421" r:id="rId15561" display="https://statiz.sporki.com/player/?m=playerinfo&amp;p_no=1626" xr:uid="{B13747C8-6967-4E00-B68A-6CCB5289E039}"/>
    <hyperlink ref="J3422" r:id="rId15562" display="https://statiz.sporki.com/player/?m=playerinfo&amp;p_no=1579" xr:uid="{4FCE6421-677B-4C21-AEE2-AA51EEA5689F}"/>
    <hyperlink ref="J3423" r:id="rId15563" display="https://statiz.sporki.com/player/?m=playerinfo&amp;p_no=15650" xr:uid="{27CA8F03-E7A9-405F-958D-FA5E654FFE63}"/>
    <hyperlink ref="J3424" r:id="rId15564" display="https://statiz.sporki.com/player/?m=playerinfo&amp;p_no=14565" xr:uid="{8C3B9E51-8695-49F2-B81E-7273902B6B87}"/>
    <hyperlink ref="J3425" r:id="rId15565" display="https://statiz.sporki.com/player/?m=playerinfo&amp;p_no=1735" xr:uid="{B6084EB0-A390-40F8-85A7-C4216C45D749}"/>
    <hyperlink ref="J3426" r:id="rId15566" display="https://statiz.sporki.com/player/?m=playerinfo&amp;p_no=1498" xr:uid="{CEAC54A4-CD88-46EC-9F8A-108518BCDFD9}"/>
    <hyperlink ref="J3427" r:id="rId15567" display="https://statiz.sporki.com/player/?m=playerinfo&amp;p_no=10386" xr:uid="{7CE08244-08F6-4D10-90E6-0E1A7160129B}"/>
    <hyperlink ref="J3428" r:id="rId15568" display="https://statiz.sporki.com/player/?m=playerinfo&amp;p_no=1524" xr:uid="{5239718B-E847-47B9-A3C1-1A6765613E9D}"/>
    <hyperlink ref="J3429" r:id="rId15569" display="https://statiz.sporki.com/player/?m=playerinfo&amp;p_no=1761" xr:uid="{F56F3405-D503-44D7-86BC-ADBEE364E23F}"/>
    <hyperlink ref="J3430" r:id="rId15570" display="https://statiz.sporki.com/player/?m=playerinfo&amp;p_no=1503" xr:uid="{53031B48-1EF2-46B9-BF55-38829D8CF675}"/>
    <hyperlink ref="J3431" r:id="rId15571" display="https://statiz.sporki.com/player/?m=playerinfo&amp;p_no=1544" xr:uid="{6443556D-D4BE-46CB-94D1-0F0E0E0D73FE}"/>
    <hyperlink ref="J3432" r:id="rId15572" display="https://statiz.sporki.com/player/?m=playerinfo&amp;p_no=1533" xr:uid="{884701AF-261D-4971-983A-FA605F360FAF}"/>
    <hyperlink ref="J3433" r:id="rId15573" display="https://statiz.sporki.com/player/?m=playerinfo&amp;p_no=1560" xr:uid="{02C1FA19-437D-4904-87E0-EFC06D27AD43}"/>
    <hyperlink ref="J3434" r:id="rId15574" display="https://statiz.sporki.com/player/?m=playerinfo&amp;p_no=1540" xr:uid="{44ED8A94-73AA-4DAA-9F06-4885670945D4}"/>
    <hyperlink ref="J3435" r:id="rId15575" display="https://statiz.sporki.com/player/?m=playerinfo&amp;p_no=1607" xr:uid="{E8922898-94F2-4F57-9EFC-6390D16C3A81}"/>
    <hyperlink ref="J3436" r:id="rId15576" display="https://statiz.sporki.com/player/?m=playerinfo&amp;p_no=1535" xr:uid="{83E133E9-2230-4A1B-9DEB-057B2C7F3F85}"/>
    <hyperlink ref="J3437" r:id="rId15577" display="https://statiz.sporki.com/player/?m=playerinfo&amp;p_no=1505" xr:uid="{0FCE704A-B0D5-4D1F-84EB-75E2B287691C}"/>
    <hyperlink ref="J3438" r:id="rId15578" display="https://statiz.sporki.com/player/?m=playerinfo&amp;p_no=1500" xr:uid="{BA96DAFC-44F3-4613-9118-83CA3B4AEE99}"/>
    <hyperlink ref="J3439" r:id="rId15579" display="https://statiz.sporki.com/player/?m=playerinfo&amp;p_no=1496" xr:uid="{3F40AEFD-5695-4DBA-9F7D-863680D69E48}"/>
    <hyperlink ref="J3440" r:id="rId15580" display="https://statiz.sporki.com/player/?m=playerinfo&amp;p_no=1835" xr:uid="{B8D7BBD5-5554-4285-AD68-23380C3BDCD0}"/>
    <hyperlink ref="J3441" r:id="rId15581" display="https://statiz.sporki.com/player/?m=playerinfo&amp;p_no=1644" xr:uid="{DA4E1B95-BE70-444C-892C-DDD46BAFC8D5}"/>
    <hyperlink ref="J3442" r:id="rId15582" display="https://statiz.sporki.com/player/?m=playerinfo&amp;p_no=1515" xr:uid="{FD6CD368-1728-40A3-9C6F-B0B50DB9BAF1}"/>
    <hyperlink ref="J3443" r:id="rId15583" display="https://statiz.sporki.com/player/?m=playerinfo&amp;p_no=1516" xr:uid="{9C8AB8BC-E4ED-427D-8580-DAA1673853DF}"/>
    <hyperlink ref="J3444" r:id="rId15584" display="https://statiz.sporki.com/player/?m=playerinfo&amp;p_no=1518" xr:uid="{0011021F-811B-4EC4-8281-AE58057534A6}"/>
    <hyperlink ref="J3445" r:id="rId15585" display="https://statiz.sporki.com/player/?m=playerinfo&amp;p_no=1534" xr:uid="{AAA36755-6FA8-4C9C-92FF-E9072B4B7EFF}"/>
    <hyperlink ref="J3446" r:id="rId15586" display="https://statiz.sporki.com/player/?m=playerinfo&amp;p_no=1643" xr:uid="{8F6EF26D-4B92-4697-AD75-E46711B4D048}"/>
    <hyperlink ref="J3447" r:id="rId15587" display="https://statiz.sporki.com/player/?m=playerinfo&amp;p_no=1641" xr:uid="{4C114367-72D5-40E3-8320-440F2EC7A801}"/>
    <hyperlink ref="J3448" r:id="rId15588" display="https://statiz.sporki.com/player/?m=playerinfo&amp;p_no=1573" xr:uid="{2D9FDBEE-9FEB-42B3-B974-51627CAC6F8E}"/>
    <hyperlink ref="J3449" r:id="rId15589" display="https://statiz.sporki.com/player/?m=playerinfo&amp;p_no=1558" xr:uid="{D43D550D-58FB-4292-BE24-652B675715EE}"/>
    <hyperlink ref="J3450" r:id="rId15590" display="https://statiz.sporki.com/player/?m=playerinfo&amp;p_no=1511" xr:uid="{71B7569A-DCF3-4265-A0EA-2ADB1FB02905}"/>
    <hyperlink ref="J3451" r:id="rId15591" display="https://statiz.sporki.com/player/?m=playerinfo&amp;p_no=11433" xr:uid="{0C7C7AB5-D766-4E2F-B02D-280B0935F808}"/>
    <hyperlink ref="J3452" r:id="rId15592" display="https://statiz.sporki.com/player/?m=playerinfo&amp;p_no=1497" xr:uid="{4378BB2D-5389-4861-813F-33201331CB31}"/>
    <hyperlink ref="J3453" r:id="rId15593" display="https://statiz.sporki.com/player/?m=playerinfo&amp;p_no=1624" xr:uid="{5F716CFE-4568-4CD3-AE5E-97242880BF1C}"/>
    <hyperlink ref="J3454" r:id="rId15594" display="https://statiz.sporki.com/player/?m=playerinfo&amp;p_no=1526" xr:uid="{EE43F19C-AD1A-4B83-96BB-43E3CB3BA7C1}"/>
    <hyperlink ref="J3455" r:id="rId15595" display="https://statiz.sporki.com/player/?m=playerinfo&amp;p_no=1537" xr:uid="{DFCDDD66-5725-46D1-8DA4-228AABD4877B}"/>
    <hyperlink ref="J3456" r:id="rId15596" display="https://statiz.sporki.com/player/?m=playerinfo&amp;p_no=1509" xr:uid="{AA3D64BD-9EB0-4867-946D-0D12501DD522}"/>
    <hyperlink ref="J3457" r:id="rId15597" display="https://statiz.sporki.com/player/?m=playerinfo&amp;p_no=1514" xr:uid="{1E333B59-6B02-408D-9264-05630AB43947}"/>
    <hyperlink ref="J3458" r:id="rId15598" display="https://statiz.sporki.com/player/?m=playerinfo&amp;p_no=1696" xr:uid="{3BC140CE-AB90-4066-B26B-D81AFD116144}"/>
    <hyperlink ref="J3459" r:id="rId15599" display="https://statiz.sporki.com/player/?m=playerinfo&amp;p_no=1510" xr:uid="{0DA42BD7-22A4-4406-B9BC-A8A54E35D738}"/>
    <hyperlink ref="J3460" r:id="rId15600" display="https://statiz.sporki.com/player/?m=playerinfo&amp;p_no=1545" xr:uid="{7C212451-B095-4800-956D-9F675A04C8F8}"/>
    <hyperlink ref="J3461" r:id="rId15601" display="https://statiz.sporki.com/player/?m=playerinfo&amp;p_no=10158" xr:uid="{534D8460-4758-42AC-A468-11C3303DF242}"/>
    <hyperlink ref="J3462" r:id="rId15602" display="https://statiz.sporki.com/player/?m=playerinfo&amp;p_no=1501" xr:uid="{7438674E-FB59-48D1-BEF4-BC12B8540D72}"/>
    <hyperlink ref="J3463" r:id="rId15603" display="https://statiz.sporki.com/player/?m=playerinfo&amp;p_no=1557" xr:uid="{99B86749-1349-444D-AA59-3C7CAD979BA4}"/>
    <hyperlink ref="J3464" r:id="rId15604" display="https://statiz.sporki.com/player/?m=playerinfo&amp;p_no=1548" xr:uid="{8676107A-89DE-47C1-979B-F3BB49F4BD23}"/>
    <hyperlink ref="J3465" r:id="rId15605" display="https://statiz.sporki.com/player/?m=playerinfo&amp;p_no=1508" xr:uid="{1B1567BC-C05F-4514-A885-0172F92A3CD0}"/>
    <hyperlink ref="J3466" r:id="rId15606" display="https://statiz.sporki.com/player/?m=playerinfo&amp;p_no=1592" xr:uid="{F820FAF8-B9F4-4403-97C3-E3B9E2731CF3}"/>
    <hyperlink ref="J3467" r:id="rId15607" display="https://statiz.sporki.com/player/?m=playerinfo&amp;p_no=1581" xr:uid="{8822A735-07E8-4EAF-86E2-28313BE1DF22}"/>
    <hyperlink ref="J3468" r:id="rId15608" display="https://statiz.sporki.com/player/?m=playerinfo&amp;p_no=1621" xr:uid="{5EFFF756-8646-4BD4-9A46-31FD7F48FB98}"/>
    <hyperlink ref="J3469" r:id="rId15609" display="https://statiz.sporki.com/player/?m=playerinfo&amp;p_no=1698" xr:uid="{FD0533B9-8577-4C47-AC59-E6265A37E838}"/>
    <hyperlink ref="J3470" r:id="rId15610" display="https://statiz.sporki.com/player/?m=playerinfo&amp;p_no=1615" xr:uid="{900FC1C6-55A2-487D-BFBC-409C2851EFF5}"/>
    <hyperlink ref="J3471" r:id="rId15611" display="https://statiz.sporki.com/player/?m=playerinfo&amp;p_no=1530" xr:uid="{7FE1F4AA-2844-4356-8959-AA0C5049408A}"/>
    <hyperlink ref="J3472" r:id="rId15612" display="https://statiz.sporki.com/player/?m=playerinfo&amp;p_no=1507" xr:uid="{9566A441-4B08-43BA-A351-13634B8F6E6C}"/>
    <hyperlink ref="J3473" r:id="rId15613" display="https://statiz.sporki.com/player/?m=playerinfo&amp;p_no=1525" xr:uid="{F3B83A7B-D722-4F6D-B270-B9AC639D8423}"/>
    <hyperlink ref="J3474" r:id="rId15614" display="https://statiz.sporki.com/player/?m=playerinfo&amp;p_no=1605" xr:uid="{F9D04B85-4D29-492B-9B3D-5CEA545A74BD}"/>
    <hyperlink ref="J3475" r:id="rId15615" display="https://statiz.sporki.com/player/?m=playerinfo&amp;p_no=1522" xr:uid="{6C726458-F27A-41C3-A6A5-FC4A37B7E243}"/>
    <hyperlink ref="J3476" r:id="rId15616" display="https://statiz.sporki.com/player/?m=playerinfo&amp;p_no=1542" xr:uid="{856D01D1-EFD8-4A21-AFB0-B008B4186D05}"/>
    <hyperlink ref="J3477" r:id="rId15617" display="https://statiz.sporki.com/player/?m=playerinfo&amp;p_no=1568" xr:uid="{1EEA69E6-06D3-452A-9A65-70364BE7E7F6}"/>
    <hyperlink ref="J3478" r:id="rId15618" display="https://statiz.sporki.com/player/?m=playerinfo&amp;p_no=1519" xr:uid="{D356D312-A747-4BAC-9908-CA28B9CA4FA6}"/>
    <hyperlink ref="J3479" r:id="rId15619" display="https://statiz.sporki.com/player/?m=playerinfo&amp;p_no=1577" xr:uid="{D02E3E13-E944-4DAF-A5EE-178876DA6FD5}"/>
    <hyperlink ref="J3480" r:id="rId15620" display="https://statiz.sporki.com/player/?m=playerinfo&amp;p_no=1597" xr:uid="{2AA05C79-5330-44B0-990D-5596076ADED5}"/>
    <hyperlink ref="J3481" r:id="rId15621" display="https://statiz.sporki.com/player/?m=playerinfo&amp;p_no=1504" xr:uid="{560FE475-CADD-4527-B57B-F872292809E6}"/>
    <hyperlink ref="J3482" r:id="rId15622" display="https://statiz.sporki.com/player/?m=playerinfo&amp;p_no=1564" xr:uid="{98DFC6D3-5E2D-4C3C-979A-F8A502B595D7}"/>
    <hyperlink ref="J3483" r:id="rId15623" display="https://statiz.sporki.com/player/?m=playerinfo&amp;p_no=1699" xr:uid="{00A7368E-4B4E-4741-983B-050EB1E100B9}"/>
    <hyperlink ref="J3484" r:id="rId15624" display="https://statiz.sporki.com/player/?m=playerinfo&amp;p_no=1538" xr:uid="{D4990AC5-2308-4774-A275-BAC44EC168D1}"/>
    <hyperlink ref="J3485" r:id="rId15625" display="https://statiz.sporki.com/player/?m=playerinfo&amp;p_no=1551" xr:uid="{E85EEB7F-1367-412F-9A13-0D64E60470D0}"/>
    <hyperlink ref="J3486" r:id="rId15626" display="https://statiz.sporki.com/player/?m=playerinfo&amp;p_no=1543" xr:uid="{81D8B796-0E4B-4BCC-B881-25EC9E28C259}"/>
    <hyperlink ref="J3487" r:id="rId15627" display="https://statiz.sporki.com/player/?m=playerinfo&amp;p_no=1705" xr:uid="{998DD6F8-9CC9-4633-80AF-C27BBE85F708}"/>
    <hyperlink ref="J3488" r:id="rId15628" display="https://statiz.sporki.com/player/?m=playerinfo&amp;p_no=1603" xr:uid="{04F811A6-BE34-4B0A-96D5-3379D7A49923}"/>
    <hyperlink ref="J3489" r:id="rId15629" display="https://statiz.sporki.com/player/?m=playerinfo&amp;p_no=1549" xr:uid="{C23FF421-9B94-4D7F-88DC-A79639BC9CE5}"/>
    <hyperlink ref="J3490" r:id="rId15630" display="https://statiz.sporki.com/player/?m=playerinfo&amp;p_no=1555" xr:uid="{70C9D0D9-A1ED-41BD-82BE-980C63829E54}"/>
    <hyperlink ref="J3491" r:id="rId15631" display="https://statiz.sporki.com/player/?m=playerinfo&amp;p_no=1512" xr:uid="{EE1D6878-75CB-4F08-A59E-3761F65BF072}"/>
    <hyperlink ref="J3492" r:id="rId15632" display="https://statiz.sporki.com/player/?m=playerinfo&amp;p_no=1584" xr:uid="{0AA423EC-9401-41C3-8E96-E2E63DBD47E3}"/>
    <hyperlink ref="J3493" r:id="rId15633" display="https://statiz.sporki.com/player/?m=playerinfo&amp;p_no=1521" xr:uid="{E545396B-299E-4263-85B1-911AF5F1744F}"/>
    <hyperlink ref="J3494" r:id="rId15634" display="https://statiz.sporki.com/player/?m=playerinfo&amp;p_no=1554" xr:uid="{5206AC7F-04F3-42A4-B0D6-21E431BDA241}"/>
    <hyperlink ref="J3495" r:id="rId15635" display="https://statiz.sporki.com/player/?m=playerinfo&amp;p_no=1527" xr:uid="{8FFC5F72-3466-4933-8F7B-DA200DBAC5A1}"/>
    <hyperlink ref="J3496" r:id="rId15636" display="https://statiz.sporki.com/player/?m=playerinfo&amp;p_no=1553" xr:uid="{34CB9FDC-F0CF-46B8-BF6A-9E2C8990339F}"/>
    <hyperlink ref="J3497" r:id="rId15637" display="https://statiz.sporki.com/player/?m=playerinfo&amp;p_no=1547" xr:uid="{54222383-1F20-4049-8241-9C79E99F56E7}"/>
    <hyperlink ref="J3498" r:id="rId15638" display="https://statiz.sporki.com/player/?m=playerinfo&amp;p_no=11440" xr:uid="{45FD79E7-7CA8-4C9A-8613-A69A847D623F}"/>
    <hyperlink ref="J3499" r:id="rId15639" display="https://statiz.sporki.com/player/?m=playerinfo&amp;p_no=1623" xr:uid="{BEDD1E93-A137-4F55-A839-A558E6949D4D}"/>
    <hyperlink ref="J3500" r:id="rId15640" display="https://statiz.sporki.com/player/?m=playerinfo&amp;p_no=1523" xr:uid="{1B457319-3352-4F2F-A63D-FB3A723BE1D8}"/>
    <hyperlink ref="J3501" r:id="rId15641" display="https://statiz.sporki.com/player/?m=playerinfo&amp;p_no=1611" xr:uid="{1D50AB6B-AA51-4C6D-B0A2-8416CAF15C9B}"/>
    <hyperlink ref="J3502" r:id="rId15642" display="https://statiz.sporki.com/player/?m=playerinfo&amp;p_no=1499" xr:uid="{8BDEC534-5522-4932-8A93-4A6EC64CFA6D}"/>
    <hyperlink ref="J3503" r:id="rId15643" display="https://statiz.sporki.com/player/?m=playerinfo&amp;p_no=10743" xr:uid="{A3CF8BAF-1A71-4F37-A816-A2E8F7D6B84D}"/>
    <hyperlink ref="J3504" r:id="rId15644" display="https://statiz.sporki.com/player/?m=playerinfo&amp;p_no=1517" xr:uid="{42CD5D1B-B125-4111-BC29-834320C5A091}"/>
    <hyperlink ref="J3505" r:id="rId15645" display="https://statiz.sporki.com/player/?m=playerinfo&amp;p_no=1550" xr:uid="{50AEECAC-32A6-4B05-AA78-37ABC73B5248}"/>
    <hyperlink ref="J3506" r:id="rId15646" display="https://statiz.sporki.com/player/?m=playerinfo&amp;p_no=1506" xr:uid="{C2316B33-7216-4E6A-96AA-B68C9758D266}"/>
    <hyperlink ref="J3507" r:id="rId15647" display="https://statiz.sporki.com/player/?m=playerinfo&amp;p_no=1513" xr:uid="{878760F0-F126-43FD-B75C-045229A633BA}"/>
    <hyperlink ref="J3508" r:id="rId15648" display="https://statiz.sporki.com/player/?m=playerinfo&amp;p_no=1529" xr:uid="{384F9124-3993-436B-B64D-41F992157F4B}"/>
    <hyperlink ref="J3509" r:id="rId15649" display="https://statiz.sporki.com/player/?m=playerinfo&amp;p_no=1702" xr:uid="{958091C4-089F-4E06-AB82-F97B4B5494BE}"/>
    <hyperlink ref="J3510" r:id="rId15650" display="https://statiz.sporki.com/player/?m=playerinfo&amp;p_no=1559" xr:uid="{1FF28011-0B63-4213-8F3B-A7D51D285EBC}"/>
    <hyperlink ref="J3511" r:id="rId15651" display="https://statiz.sporki.com/player/?m=playerinfo&amp;p_no=1541" xr:uid="{F788BF24-3880-4C61-BA9D-9FA9923E7F5D}"/>
    <hyperlink ref="J3512" r:id="rId15652" display="https://statiz.sporki.com/player/?m=playerinfo&amp;p_no=1532" xr:uid="{C221C1AB-8E07-4982-8A28-9CF95D795EF8}"/>
    <hyperlink ref="J3513" r:id="rId15653" display="https://statiz.sporki.com/player/?m=playerinfo&amp;p_no=1645" xr:uid="{1DFFE2AA-70E7-4F8F-B68D-F312303952F6}"/>
    <hyperlink ref="J3514" r:id="rId15654" display="https://statiz.sporki.com/player/?m=playerinfo&amp;p_no=1469" xr:uid="{A147F798-F38E-4FBF-882B-2FCF426B0548}"/>
    <hyperlink ref="J3515" r:id="rId15655" display="https://statiz.sporki.com/player/?m=playerinfo&amp;p_no=1457" xr:uid="{DE9261A5-743E-4F25-8298-21AC7E57BDF7}"/>
    <hyperlink ref="J3516" r:id="rId15656" display="https://statiz.sporki.com/player/?m=playerinfo&amp;p_no=1438" xr:uid="{0DAD2452-5CF7-4E1E-BD5E-0FA010677C87}"/>
    <hyperlink ref="J3517" r:id="rId15657" display="https://statiz.sporki.com/player/?m=playerinfo&amp;p_no=1461" xr:uid="{17A832FF-55DA-4668-9DEB-4960565EB99A}"/>
    <hyperlink ref="J3518" r:id="rId15658" display="https://statiz.sporki.com/player/?m=playerinfo&amp;p_no=1471" xr:uid="{747912F6-D826-456A-967E-34681650B8FD}"/>
    <hyperlink ref="J3519" r:id="rId15659" display="https://statiz.sporki.com/player/?m=playerinfo&amp;p_no=1546" xr:uid="{7978C62B-C412-4DF5-A66C-0900532BBD1B}"/>
    <hyperlink ref="J3520" r:id="rId15660" display="https://statiz.sporki.com/player/?m=playerinfo&amp;p_no=1425" xr:uid="{74226746-8F2D-4B6E-8878-936C42D0D074}"/>
    <hyperlink ref="J3521" r:id="rId15661" display="https://statiz.sporki.com/player/?m=playerinfo&amp;p_no=1491" xr:uid="{D978EE62-87E5-498E-89F9-09C34C4E75DD}"/>
    <hyperlink ref="J3522" r:id="rId15662" display="https://statiz.sporki.com/player/?m=playerinfo&amp;p_no=1421" xr:uid="{C6077931-BB98-4D42-A002-F9675A3495CE}"/>
    <hyperlink ref="J3523" r:id="rId15663" display="https://statiz.sporki.com/player/?m=playerinfo&amp;p_no=1459" xr:uid="{674D35C0-1C2C-4E72-97DB-120A814EF44F}"/>
    <hyperlink ref="J3524" r:id="rId15664" display="https://statiz.sporki.com/player/?m=playerinfo&amp;p_no=1428" xr:uid="{C34A44B6-0F7C-4C9B-B414-72A995FF51BE}"/>
    <hyperlink ref="J3525" r:id="rId15665" display="https://statiz.sporki.com/player/?m=playerinfo&amp;p_no=1427" xr:uid="{626DC0AE-20E7-4FE8-973E-FE4BE2C01529}"/>
    <hyperlink ref="J3526" r:id="rId15666" display="https://statiz.sporki.com/player/?m=playerinfo&amp;p_no=1494" xr:uid="{F9E9154A-D49E-4B83-92EA-8CC2229DE3C6}"/>
    <hyperlink ref="J3527" r:id="rId15667" display="https://statiz.sporki.com/player/?m=playerinfo&amp;p_no=1424" xr:uid="{75A6D746-41CE-41BE-925D-97F769FDA4D1}"/>
    <hyperlink ref="J3528" r:id="rId15668" display="https://statiz.sporki.com/player/?m=playerinfo&amp;p_no=1426" xr:uid="{11C148CD-2664-4EFC-827F-884C0D58C988}"/>
    <hyperlink ref="J3529" r:id="rId15669" display="https://statiz.sporki.com/player/?m=playerinfo&amp;p_no=13923" xr:uid="{4E08B172-C1C7-4305-A147-70A458A7E702}"/>
    <hyperlink ref="J3530" r:id="rId15670" display="https://statiz.sporki.com/player/?m=playerinfo&amp;p_no=1473" xr:uid="{32D207CC-96CE-43C5-ACC6-FCCA44FD27A1}"/>
    <hyperlink ref="J3531" r:id="rId15671" display="https://statiz.sporki.com/player/?m=playerinfo&amp;p_no=1478" xr:uid="{E6950805-3DB3-44F6-A1D2-EFD201E8A079}"/>
    <hyperlink ref="J3532" r:id="rId15672" display="https://statiz.sporki.com/player/?m=playerinfo&amp;p_no=1433" xr:uid="{A7440099-15D6-4F2E-A3BE-63E800163452}"/>
    <hyperlink ref="J3533" r:id="rId15673" display="https://statiz.sporki.com/player/?m=playerinfo&amp;p_no=1441" xr:uid="{7F2846E1-AD05-4530-9466-CE1D69CB8413}"/>
    <hyperlink ref="J3534" r:id="rId15674" display="https://statiz.sporki.com/player/?m=playerinfo&amp;p_no=1470" xr:uid="{5F073BC3-6EC1-4404-BF17-B8076CCE0E79}"/>
    <hyperlink ref="J3535" r:id="rId15675" display="https://statiz.sporki.com/player/?m=playerinfo&amp;p_no=1493" xr:uid="{EFFD0F7D-47B4-4FE5-9DE4-1B3F92765CDE}"/>
    <hyperlink ref="J3536" r:id="rId15676" display="https://statiz.sporki.com/player/?m=playerinfo&amp;p_no=1468" xr:uid="{B9D465F2-C3E1-4B86-982D-940BAEEBFBA0}"/>
    <hyperlink ref="J3537" r:id="rId15677" display="https://statiz.sporki.com/player/?m=playerinfo&amp;p_no=1435" xr:uid="{34344024-72B4-41A0-B83F-4824C9EE99D9}"/>
    <hyperlink ref="J3538" r:id="rId15678" display="https://statiz.sporki.com/player/?m=playerinfo&amp;p_no=1462" xr:uid="{9598385B-47A8-47E1-AB63-AE84C651A15A}"/>
    <hyperlink ref="J3539" r:id="rId15679" display="https://statiz.sporki.com/player/?m=playerinfo&amp;p_no=1476" xr:uid="{E14DF048-801F-44D3-B011-19E3E063FDCE}"/>
    <hyperlink ref="J3540" r:id="rId15680" display="https://statiz.sporki.com/player/?m=playerinfo&amp;p_no=1443" xr:uid="{8C245F8C-000A-41DA-BB76-55FF2B68F230}"/>
    <hyperlink ref="J3541" r:id="rId15681" display="https://statiz.sporki.com/player/?m=playerinfo&amp;p_no=1488" xr:uid="{A8E8A0A0-EDBC-4803-80E6-699EB1DC6A78}"/>
    <hyperlink ref="J3542" r:id="rId15682" display="https://statiz.sporki.com/player/?m=playerinfo&amp;p_no=1448" xr:uid="{F111559E-7233-4CC1-8BB5-B96C0734BB16}"/>
    <hyperlink ref="J3543" r:id="rId15683" display="https://statiz.sporki.com/player/?m=playerinfo&amp;p_no=1442" xr:uid="{03BB0506-EDB1-4D65-8BDF-871672CC8A6E}"/>
    <hyperlink ref="J3544" r:id="rId15684" display="https://statiz.sporki.com/player/?m=playerinfo&amp;p_no=1450" xr:uid="{0F368AC6-DEA6-4682-9579-DB4376BC0434}"/>
    <hyperlink ref="J3545" r:id="rId15685" display="https://statiz.sporki.com/player/?m=playerinfo&amp;p_no=11473" xr:uid="{1A70C142-BA4B-4ECB-9FB6-83D6ECC6285F}"/>
    <hyperlink ref="J3546" r:id="rId15686" display="https://statiz.sporki.com/player/?m=playerinfo&amp;p_no=1423" xr:uid="{B183887C-7B49-4FD4-9CA7-CE8320D0946A}"/>
    <hyperlink ref="J3547" r:id="rId15687" display="https://statiz.sporki.com/player/?m=playerinfo&amp;p_no=1454" xr:uid="{E6401291-7C1C-46E3-84B5-15ACC2EBB215}"/>
    <hyperlink ref="J3548" r:id="rId15688" display="https://statiz.sporki.com/player/?m=playerinfo&amp;p_no=1464" xr:uid="{B79309B3-5FDC-43FB-95BF-E1FA1B8C27A9}"/>
    <hyperlink ref="J3549" r:id="rId15689" display="https://statiz.sporki.com/player/?m=playerinfo&amp;p_no=1422" xr:uid="{D0027281-EBB9-423C-8D36-46DBCA0F43B5}"/>
    <hyperlink ref="J3550" r:id="rId15690" display="https://statiz.sporki.com/player/?m=playerinfo&amp;p_no=1452" xr:uid="{D3032853-BB99-4065-A335-F7673F5D5E54}"/>
    <hyperlink ref="J3551" r:id="rId15691" display="https://statiz.sporki.com/player/?m=playerinfo&amp;p_no=1482" xr:uid="{95F4274E-D21B-474E-A1C9-78B6D7070D5E}"/>
    <hyperlink ref="J3552" r:id="rId15692" display="https://statiz.sporki.com/player/?m=playerinfo&amp;p_no=1451" xr:uid="{0877A9F0-3B7B-46D9-8A2D-E98BBB4EA81D}"/>
    <hyperlink ref="J3553" r:id="rId15693" display="https://statiz.sporki.com/player/?m=playerinfo&amp;p_no=11428" xr:uid="{6C1673FB-C755-4335-BE27-FB5FF4F3B906}"/>
    <hyperlink ref="J3554" r:id="rId15694" display="https://statiz.sporki.com/player/?m=playerinfo&amp;p_no=1492" xr:uid="{7736511F-C3B9-4CC6-BC81-47D786A31434}"/>
    <hyperlink ref="J3555" r:id="rId15695" display="https://statiz.sporki.com/player/?m=playerinfo&amp;p_no=1432" xr:uid="{BCB1CD3E-32E5-44C9-A0FC-E9D34D2CF57F}"/>
    <hyperlink ref="J3556" r:id="rId15696" display="https://statiz.sporki.com/player/?m=playerinfo&amp;p_no=1444" xr:uid="{0FC708B8-A977-4DB7-AE09-A28DC074454B}"/>
    <hyperlink ref="J3557" r:id="rId15697" display="https://statiz.sporki.com/player/?m=playerinfo&amp;p_no=11427" xr:uid="{87ABB76A-5BC8-4A84-BD3A-8EA15C6F5495}"/>
    <hyperlink ref="J3558" r:id="rId15698" display="https://statiz.sporki.com/player/?m=playerinfo&amp;p_no=1445" xr:uid="{4C342161-8422-4945-B2AF-C1701772643A}"/>
    <hyperlink ref="J3559" r:id="rId15699" display="https://statiz.sporki.com/player/?m=playerinfo&amp;p_no=1437" xr:uid="{A81CFE15-2266-4392-B378-F9529EE0D545}"/>
    <hyperlink ref="J3560" r:id="rId15700" display="https://statiz.sporki.com/player/?m=playerinfo&amp;p_no=1480" xr:uid="{6962A0A7-1297-4BF6-BD00-2C595BC6D961}"/>
    <hyperlink ref="J3561" r:id="rId15701" display="https://statiz.sporki.com/player/?m=playerinfo&amp;p_no=1520" xr:uid="{D5C98744-9916-4DC6-AAEF-FFF67F3CB456}"/>
    <hyperlink ref="J3562" r:id="rId15702" display="https://statiz.sporki.com/player/?m=playerinfo&amp;p_no=1460" xr:uid="{31D3E06E-F8E8-49F2-A45C-11C55799A3AF}"/>
    <hyperlink ref="J3563" r:id="rId15703" display="https://statiz.sporki.com/player/?m=playerinfo&amp;p_no=1489" xr:uid="{0A14E9F5-489C-46B1-9DF6-5C53C4F02D20}"/>
    <hyperlink ref="J3564" r:id="rId15704" display="https://statiz.sporki.com/player/?m=playerinfo&amp;p_no=1490" xr:uid="{7BEABB58-AB64-44F5-9E20-AE03DC0481C1}"/>
    <hyperlink ref="J3565" r:id="rId15705" display="https://statiz.sporki.com/player/?m=playerinfo&amp;p_no=1552" xr:uid="{5BFA5868-F9C3-4E3C-87A8-FDD9B23A0D57}"/>
    <hyperlink ref="J3566" r:id="rId15706" display="https://statiz.sporki.com/player/?m=playerinfo&amp;p_no=1456" xr:uid="{02EC1DC2-0783-4814-9B3E-871D280FBB6C}"/>
    <hyperlink ref="J3567" r:id="rId15707" display="https://statiz.sporki.com/player/?m=playerinfo&amp;p_no=1447" xr:uid="{14E7F2AF-86BB-488E-B953-3014FC155F07}"/>
    <hyperlink ref="J3568" r:id="rId15708" display="https://statiz.sporki.com/player/?m=playerinfo&amp;p_no=1455" xr:uid="{32E45B8C-F43C-4D92-85C9-F25F98235BE0}"/>
    <hyperlink ref="J3569" r:id="rId15709" display="https://statiz.sporki.com/player/?m=playerinfo&amp;p_no=1475" xr:uid="{52AF7405-03B9-49C4-916D-BE8518A66561}"/>
    <hyperlink ref="J3570" r:id="rId15710" display="https://statiz.sporki.com/player/?m=playerinfo&amp;p_no=1453" xr:uid="{52EFEA3A-A67E-440B-87CF-703D33C69E90}"/>
    <hyperlink ref="J3571" r:id="rId15711" display="https://statiz.sporki.com/player/?m=playerinfo&amp;p_no=1429" xr:uid="{05D0F980-90E3-4484-8E3C-CDA3F2B9394A}"/>
    <hyperlink ref="J3572" r:id="rId15712" display="https://statiz.sporki.com/player/?m=playerinfo&amp;p_no=12707" xr:uid="{A351CD7D-5813-4161-99B7-D2B3FB6B3A67}"/>
    <hyperlink ref="J3573" r:id="rId15713" display="https://statiz.sporki.com/player/?m=playerinfo&amp;p_no=11430" xr:uid="{4AFCCBFC-2A18-419C-85B1-7B9CB1F8695B}"/>
    <hyperlink ref="J3574" r:id="rId15714" display="https://statiz.sporki.com/player/?m=playerinfo&amp;p_no=1449" xr:uid="{7F7C26A0-234C-471F-A656-3C1216108FE8}"/>
    <hyperlink ref="J3575" r:id="rId15715" display="https://statiz.sporki.com/player/?m=playerinfo&amp;p_no=1631" xr:uid="{0996F0C4-4233-465C-AB0A-07533EBBCB6A}"/>
    <hyperlink ref="J3576" r:id="rId15716" display="https://statiz.sporki.com/player/?m=playerinfo&amp;p_no=1642" xr:uid="{488CD65D-8391-4C8D-BA87-E9611F41F8F5}"/>
    <hyperlink ref="J3577" r:id="rId15717" display="https://statiz.sporki.com/player/?m=playerinfo&amp;p_no=1495" xr:uid="{FD355EF6-8C82-4C65-BD42-80FC1C58B624}"/>
    <hyperlink ref="J3578" r:id="rId15718" display="https://statiz.sporki.com/player/?m=playerinfo&amp;p_no=1436" xr:uid="{0534ECEF-9670-4273-AEDD-5E8D80C6DCE7}"/>
    <hyperlink ref="J3579" r:id="rId15719" display="https://statiz.sporki.com/player/?m=playerinfo&amp;p_no=1446" xr:uid="{20E0F889-3F11-4D40-8BC5-F07D112A23EC}"/>
    <hyperlink ref="J3580" r:id="rId15720" display="https://statiz.sporki.com/player/?m=playerinfo&amp;p_no=1483" xr:uid="{9DE8D36B-AEEB-4329-AFF5-9B0D9B80B60B}"/>
    <hyperlink ref="J3581" r:id="rId15721" display="https://statiz.sporki.com/player/?m=playerinfo&amp;p_no=1458" xr:uid="{BA447A9D-1226-4E58-ADFE-AC599BDA28BD}"/>
    <hyperlink ref="J3582" r:id="rId15722" display="https://statiz.sporki.com/player/?m=playerinfo&amp;p_no=1479" xr:uid="{D2361E27-A730-4A75-97B1-0BD9207CE002}"/>
    <hyperlink ref="J3583" r:id="rId15723" display="https://statiz.sporki.com/player/?m=playerinfo&amp;p_no=1484" xr:uid="{3DDBDA8A-7EF3-4666-A502-D569F4EFA3C0}"/>
    <hyperlink ref="J3584" r:id="rId15724" display="https://statiz.sporki.com/player/?m=playerinfo&amp;p_no=1434" xr:uid="{A5CAD3C3-F8A3-4D7F-ABD3-DC2997C5E0F6}"/>
    <hyperlink ref="J3585" r:id="rId15725" display="https://statiz.sporki.com/player/?m=playerinfo&amp;p_no=1472" xr:uid="{BBE13513-E9E2-4433-93A0-626C5B51E5D6}"/>
    <hyperlink ref="J3586" r:id="rId15726" display="https://statiz.sporki.com/player/?m=playerinfo&amp;p_no=1477" xr:uid="{7B1EBC9D-5E8C-4710-9D26-E265E139156D}"/>
    <hyperlink ref="J3587" r:id="rId15727" display="https://statiz.sporki.com/player/?m=playerinfo&amp;p_no=1502" xr:uid="{02F5ECFA-CF2B-42C6-9D57-DEBC79F3F4D0}"/>
    <hyperlink ref="J3588" r:id="rId15728" display="https://statiz.sporki.com/player/?m=playerinfo&amp;p_no=1467" xr:uid="{3398A21B-5B65-4275-96C8-CB99C687D04D}"/>
    <hyperlink ref="J3589" r:id="rId15729" display="https://statiz.sporki.com/player/?m=playerinfo&amp;p_no=1487" xr:uid="{C3330C4B-C02A-4192-8E35-203CCEA0D10C}"/>
    <hyperlink ref="J3590" r:id="rId15730" display="https://statiz.sporki.com/player/?m=playerinfo&amp;p_no=1580" xr:uid="{44F18BEA-53D9-48B1-B7FC-81E5B5268D4B}"/>
    <hyperlink ref="J3591" r:id="rId15731" display="https://statiz.sporki.com/player/?m=playerinfo&amp;p_no=1440" xr:uid="{05F1CFCE-3D4C-4D17-AFFF-C045A07B1CFE}"/>
    <hyperlink ref="J3592" r:id="rId15732" display="https://statiz.sporki.com/player/?m=playerinfo&amp;p_no=1481" xr:uid="{7416F8A1-E75E-441D-A307-F0817A8E33F9}"/>
    <hyperlink ref="J3593" r:id="rId15733" display="https://statiz.sporki.com/player/?m=playerinfo&amp;p_no=1412" xr:uid="{93BC47E7-873D-4AB6-A1DF-92FECA7A2B18}"/>
    <hyperlink ref="J3594" r:id="rId15734" display="https://statiz.sporki.com/player/?m=playerinfo&amp;p_no=1414" xr:uid="{27ED6D0A-34B8-481C-8CCC-BB6EEDB27803}"/>
    <hyperlink ref="J3595" r:id="rId15735" display="https://statiz.sporki.com/player/?m=playerinfo&amp;p_no=1380" xr:uid="{8042534B-8E80-4B07-824A-CEDBBDC76FA6}"/>
    <hyperlink ref="J3596" r:id="rId15736" display="https://statiz.sporki.com/player/?m=playerinfo&amp;p_no=1384" xr:uid="{4DF2C790-1C4C-4C84-A513-E2CB93B2E45B}"/>
    <hyperlink ref="J3597" r:id="rId15737" display="https://statiz.sporki.com/player/?m=playerinfo&amp;p_no=1528" xr:uid="{911AB7A4-F729-4A15-A7DF-4EA580112AB8}"/>
    <hyperlink ref="J3598" r:id="rId15738" display="https://statiz.sporki.com/player/?m=playerinfo&amp;p_no=1403" xr:uid="{00DC6977-7E43-4640-AD59-A197CE8AD05D}"/>
    <hyperlink ref="J3599" r:id="rId15739" display="https://statiz.sporki.com/player/?m=playerinfo&amp;p_no=1415" xr:uid="{E07B0BCF-E2DB-48B2-A455-83AC3F14D473}"/>
    <hyperlink ref="J3600" r:id="rId15740" display="https://statiz.sporki.com/player/?m=playerinfo&amp;p_no=1402" xr:uid="{7F7B6333-E2AF-4DED-8E2D-D13B251CDE2C}"/>
    <hyperlink ref="J3601" r:id="rId15741" display="https://statiz.sporki.com/player/?m=playerinfo&amp;p_no=1417" xr:uid="{C37DCCA8-8913-4252-B04D-5CD1B9605A77}"/>
    <hyperlink ref="J3602" r:id="rId15742" display="https://statiz.sporki.com/player/?m=playerinfo&amp;p_no=1465" xr:uid="{09E5F320-8A58-4468-BE1E-85C963A709E2}"/>
    <hyperlink ref="J3603" r:id="rId15743" display="https://statiz.sporki.com/player/?m=playerinfo&amp;p_no=1393" xr:uid="{6A05952E-2F42-4161-9E7E-E535E054ECB1}"/>
    <hyperlink ref="J3604" r:id="rId15744" display="https://statiz.sporki.com/player/?m=playerinfo&amp;p_no=1463" xr:uid="{49418B3F-6B41-400A-B7F7-F8FCE80B3E61}"/>
    <hyperlink ref="J3605" r:id="rId15745" display="https://statiz.sporki.com/player/?m=playerinfo&amp;p_no=1407" xr:uid="{927DBA16-6944-48C3-A0A2-D931983A9CEE}"/>
    <hyperlink ref="J3606" r:id="rId15746" display="https://statiz.sporki.com/player/?m=playerinfo&amp;p_no=12724" xr:uid="{44B32910-1009-40B1-8E92-C658203EF701}"/>
    <hyperlink ref="J3607" r:id="rId15747" display="https://statiz.sporki.com/player/?m=playerinfo&amp;p_no=1373" xr:uid="{2196C306-D005-4109-821E-203C2DAAE4E4}"/>
    <hyperlink ref="J3608" r:id="rId15748" display="https://statiz.sporki.com/player/?m=playerinfo&amp;p_no=10597" xr:uid="{E861E857-20F6-49C3-B48B-878B2CD49491}"/>
    <hyperlink ref="J3609" r:id="rId15749" display="https://statiz.sporki.com/player/?m=playerinfo&amp;p_no=1386" xr:uid="{22D8383A-2A9F-468D-8E7A-9C5E4A8F2772}"/>
    <hyperlink ref="J3610" r:id="rId15750" display="https://statiz.sporki.com/player/?m=playerinfo&amp;p_no=1396" xr:uid="{CCF529B8-0D24-4908-A6E5-C352CE60E210}"/>
    <hyperlink ref="J3611" r:id="rId15751" display="https://statiz.sporki.com/player/?m=playerinfo&amp;p_no=1376" xr:uid="{A09BC2BA-AC12-4A7A-9DF6-41716F70CF14}"/>
    <hyperlink ref="J3612" r:id="rId15752" display="https://statiz.sporki.com/player/?m=playerinfo&amp;p_no=1371" xr:uid="{B0615E22-1ECA-4251-B21D-B237F72295DE}"/>
    <hyperlink ref="J3613" r:id="rId15753" display="https://statiz.sporki.com/player/?m=playerinfo&amp;p_no=1385" xr:uid="{F5D43D06-C66F-4BCC-8E5D-532E8E758A94}"/>
    <hyperlink ref="J3614" r:id="rId15754" display="https://statiz.sporki.com/player/?m=playerinfo&amp;p_no=1410" xr:uid="{96CE574D-1B48-4A1B-8FCB-124FBF037444}"/>
    <hyperlink ref="J3615" r:id="rId15755" display="https://statiz.sporki.com/player/?m=playerinfo&amp;p_no=1377" xr:uid="{8AEF4BD0-689E-4D05-95A2-E42436B60598}"/>
    <hyperlink ref="J3616" r:id="rId15756" display="https://statiz.sporki.com/player/?m=playerinfo&amp;p_no=15156" xr:uid="{CC78D9D4-A3E8-4041-A2C8-6E790BACA0F9}"/>
    <hyperlink ref="J3617" r:id="rId15757" display="https://statiz.sporki.com/player/?m=playerinfo&amp;p_no=1372" xr:uid="{2561BD5F-66BA-42C2-A626-A095409590B0}"/>
    <hyperlink ref="J3618" r:id="rId15758" display="https://statiz.sporki.com/player/?m=playerinfo&amp;p_no=1406" xr:uid="{F61CC23B-ED51-407B-8F5E-ACFA2790436E}"/>
    <hyperlink ref="J3619" r:id="rId15759" display="https://statiz.sporki.com/player/?m=playerinfo&amp;p_no=1383" xr:uid="{A3F60837-50B4-4529-A83D-3661322BBC8A}"/>
    <hyperlink ref="J3620" r:id="rId15760" display="https://statiz.sporki.com/player/?m=playerinfo&amp;p_no=1404" xr:uid="{1110B8B7-BB2C-469E-9764-8B3AD07B9C60}"/>
    <hyperlink ref="J3621" r:id="rId15761" display="https://statiz.sporki.com/player/?m=playerinfo&amp;p_no=1394" xr:uid="{BF6718EA-C529-4460-9626-6E0920BCC6D1}"/>
    <hyperlink ref="J3622" r:id="rId15762" display="https://statiz.sporki.com/player/?m=playerinfo&amp;p_no=1395" xr:uid="{EF224A19-6E95-410D-88F6-A6B72FF8F5DE}"/>
    <hyperlink ref="J3623" r:id="rId15763" display="https://statiz.sporki.com/player/?m=playerinfo&amp;p_no=1389" xr:uid="{99942C1B-653E-4891-A132-4A058F475349}"/>
    <hyperlink ref="J3624" r:id="rId15764" display="https://statiz.sporki.com/player/?m=playerinfo&amp;p_no=1392" xr:uid="{A307AED2-839E-4DF2-B408-4918E32933A5}"/>
    <hyperlink ref="J3625" r:id="rId15765" display="https://statiz.sporki.com/player/?m=playerinfo&amp;p_no=1378" xr:uid="{4E534DAB-6482-4EBF-9F73-55D81DE573B0}"/>
    <hyperlink ref="J3626" r:id="rId15766" display="https://statiz.sporki.com/player/?m=playerinfo&amp;p_no=1374" xr:uid="{D7260371-1B11-47EE-B3D2-988355492132}"/>
    <hyperlink ref="J3627" r:id="rId15767" display="https://statiz.sporki.com/player/?m=playerinfo&amp;p_no=1379" xr:uid="{6619FDBC-4E6D-498D-B912-EC4D485B6E9D}"/>
    <hyperlink ref="J3628" r:id="rId15768" display="https://statiz.sporki.com/player/?m=playerinfo&amp;p_no=1397" xr:uid="{6AFF04E3-B169-465E-9828-F50B1027C539}"/>
    <hyperlink ref="J3629" r:id="rId15769" display="https://statiz.sporki.com/player/?m=playerinfo&amp;p_no=1676" xr:uid="{5EB19420-B171-4275-A1B6-A383C38599FE}"/>
    <hyperlink ref="J3630" r:id="rId15770" display="https://statiz.sporki.com/player/?m=playerinfo&amp;p_no=1399" xr:uid="{A5854C6E-63FD-41EE-BA04-C37CC6BC229F}"/>
    <hyperlink ref="J3631" r:id="rId15771" display="https://statiz.sporki.com/player/?m=playerinfo&amp;p_no=11472" xr:uid="{9D74D873-0C89-4000-8398-F36E295D4BF3}"/>
    <hyperlink ref="J3632" r:id="rId15772" display="https://statiz.sporki.com/player/?m=playerinfo&amp;p_no=1391" xr:uid="{A9A0BDFA-419E-431F-9B82-FBF0E0BCDAF6}"/>
    <hyperlink ref="J3633" r:id="rId15773" display="https://statiz.sporki.com/player/?m=playerinfo&amp;p_no=1599" xr:uid="{FB54C616-DAEA-485C-A439-7494B27CD0FA}"/>
    <hyperlink ref="J3634" r:id="rId15774" display="https://statiz.sporki.com/player/?m=playerinfo&amp;p_no=1413" xr:uid="{8F8731A2-80AE-4EB7-BB63-CF77CA5BDBDB}"/>
    <hyperlink ref="J3635" r:id="rId15775" display="https://statiz.sporki.com/player/?m=playerinfo&amp;p_no=1388" xr:uid="{D09AE2B6-31B6-4D0F-AE26-8589DD9EDA1D}"/>
    <hyperlink ref="J3636" r:id="rId15776" display="https://statiz.sporki.com/player/?m=playerinfo&amp;p_no=1390" xr:uid="{9EFE6B64-0A69-44C6-A96E-074DDC10F4C5}"/>
    <hyperlink ref="J3637" r:id="rId15777" display="https://statiz.sporki.com/player/?m=playerinfo&amp;p_no=1401" xr:uid="{FCBEF460-C945-4CF0-AE0E-6B706B082ECC}"/>
    <hyperlink ref="J3638" r:id="rId15778" display="https://statiz.sporki.com/player/?m=playerinfo&amp;p_no=1416" xr:uid="{4720BB62-F6A9-4470-BDF9-96DB9079CC97}"/>
    <hyperlink ref="J3639" r:id="rId15779" display="https://statiz.sporki.com/player/?m=playerinfo&amp;p_no=1405" xr:uid="{8BF36220-2985-4AC3-935D-79C1ED682CB2}"/>
    <hyperlink ref="J3640" r:id="rId15780" display="https://statiz.sporki.com/player/?m=playerinfo&amp;p_no=1375" xr:uid="{FA0523DA-6E03-4062-B2C7-7846015AC9D7}"/>
    <hyperlink ref="J3641" r:id="rId15781" display="https://statiz.sporki.com/player/?m=playerinfo&amp;p_no=1409" xr:uid="{D0A9C73E-6C5E-440C-BBD9-47F5A475924D}"/>
    <hyperlink ref="J3642" r:id="rId15782" display="https://statiz.sporki.com/player/?m=playerinfo&amp;p_no=1400" xr:uid="{D689D3E2-985D-41BA-AF6F-FA08E0F03791}"/>
    <hyperlink ref="J3643" r:id="rId15783" display="https://statiz.sporki.com/player/?m=playerinfo&amp;p_no=1381" xr:uid="{C4295EB5-644E-4CE8-B4EC-58BD81C08456}"/>
    <hyperlink ref="J3644" r:id="rId15784" display="https://statiz.sporki.com/player/?m=playerinfo&amp;p_no=1474" xr:uid="{97223737-64D1-4286-A660-B2A2FAFBCCF2}"/>
    <hyperlink ref="J3645" r:id="rId15785" display="https://statiz.sporki.com/player/?m=playerinfo&amp;p_no=1382" xr:uid="{9F0109B0-E6B3-410F-8308-782661BAC769}"/>
    <hyperlink ref="J3646" r:id="rId15786" display="https://statiz.sporki.com/player/?m=playerinfo&amp;p_no=13921" xr:uid="{AEBA383B-5D62-4C67-BA72-658B61BEF5D8}"/>
    <hyperlink ref="J3647" r:id="rId15787" display="https://statiz.sporki.com/player/?m=playerinfo&amp;p_no=1431" xr:uid="{C6782287-99D9-4CE2-AF70-8393E15F21B1}"/>
    <hyperlink ref="J3648" r:id="rId15788" display="https://statiz.sporki.com/player/?m=playerinfo&amp;p_no=1536" xr:uid="{312928BC-E29D-4B21-89A6-26EA595283CF}"/>
    <hyperlink ref="J3649" r:id="rId15789" display="https://statiz.sporki.com/player/?m=playerinfo&amp;p_no=1419" xr:uid="{59325DFF-2EFA-4B68-8C2A-382F53B6C3D3}"/>
    <hyperlink ref="J3650" r:id="rId15790" display="https://statiz.sporki.com/player/?m=playerinfo&amp;p_no=1466" xr:uid="{AA549C9A-6639-4DB7-A54B-450183C3A84B}"/>
    <hyperlink ref="J3651" r:id="rId15791" display="https://statiz.sporki.com/player/?m=playerinfo&amp;p_no=1418" xr:uid="{A7FDDF57-5838-4515-9621-2832B8E80A45}"/>
    <hyperlink ref="J3652" r:id="rId15792" display="https://statiz.sporki.com/player/?m=playerinfo&amp;p_no=1486" xr:uid="{8DDB1890-68CC-4275-889D-95126071753D}"/>
    <hyperlink ref="J3653" r:id="rId15793" display="https://statiz.sporki.com/player/?m=playerinfo&amp;p_no=1408" xr:uid="{9DA03BFB-F370-4704-A2BE-191DD9130684}"/>
    <hyperlink ref="J3654" r:id="rId15794" display="https://statiz.sporki.com/player/?m=playerinfo&amp;p_no=1364" xr:uid="{EA82F705-BB4D-41C1-A670-93DDF3BCBFD0}"/>
    <hyperlink ref="J3655" r:id="rId15795" display="https://statiz.sporki.com/player/?m=playerinfo&amp;p_no=1357" xr:uid="{3930E80A-1546-4326-96E8-7DA24279852B}"/>
    <hyperlink ref="J3656" r:id="rId15796" display="https://statiz.sporki.com/player/?m=playerinfo&amp;p_no=1439" xr:uid="{D0BC23DF-C6AD-4C8B-BE36-E2F2547F432B}"/>
    <hyperlink ref="J3657" r:id="rId15797" display="https://statiz.sporki.com/player/?m=playerinfo&amp;p_no=1342" xr:uid="{CFE0C0E8-CE68-4C78-835D-76A6812837D4}"/>
    <hyperlink ref="J3658" r:id="rId15798" display="https://statiz.sporki.com/player/?m=playerinfo&amp;p_no=1362" xr:uid="{400B41B2-0321-45A4-8964-4C3DCC41CF5C}"/>
    <hyperlink ref="J3659" r:id="rId15799" display="https://statiz.sporki.com/player/?m=playerinfo&amp;p_no=1340" xr:uid="{E8B5C8ED-AB70-4597-91B7-20AF841E2846}"/>
    <hyperlink ref="J3660" r:id="rId15800" display="https://statiz.sporki.com/player/?m=playerinfo&amp;p_no=1355" xr:uid="{E8A21BE2-D230-4A0E-824D-CBB4BD976128}"/>
    <hyperlink ref="J3661" r:id="rId15801" display="https://statiz.sporki.com/player/?m=playerinfo&amp;p_no=1411" xr:uid="{E79AC738-6B7B-4FB6-BEC4-8965342E93A7}"/>
    <hyperlink ref="J3662" r:id="rId15802" display="https://statiz.sporki.com/player/?m=playerinfo&amp;p_no=1363" xr:uid="{0BCC0CA6-775B-465A-94A0-6329F9F52270}"/>
    <hyperlink ref="J3663" r:id="rId15803" display="https://statiz.sporki.com/player/?m=playerinfo&amp;p_no=1353" xr:uid="{D60BA8D5-C07C-4A36-A364-4AC21107A0FB}"/>
    <hyperlink ref="J3664" r:id="rId15804" display="https://statiz.sporki.com/player/?m=playerinfo&amp;p_no=1358" xr:uid="{B486D2DB-D7AE-48FA-964E-D376B013094B}"/>
    <hyperlink ref="J3665" r:id="rId15805" display="https://statiz.sporki.com/player/?m=playerinfo&amp;p_no=11467" xr:uid="{E1B97875-08A2-4050-BB7D-E781B0690B28}"/>
    <hyperlink ref="J3666" r:id="rId15806" display="https://statiz.sporki.com/player/?m=playerinfo&amp;p_no=1368" xr:uid="{7B675D86-A4BA-4B5C-9ACD-4E45EC1F5108}"/>
    <hyperlink ref="J3667" r:id="rId15807" display="https://statiz.sporki.com/player/?m=playerinfo&amp;p_no=1420" xr:uid="{EA9F6119-C01B-4E85-9D16-67BC2970BC96}"/>
    <hyperlink ref="J3668" r:id="rId15808" display="https://statiz.sporki.com/player/?m=playerinfo&amp;p_no=1818" xr:uid="{9FBD369C-F89D-4D2B-B99E-1BDC0289D0D2}"/>
    <hyperlink ref="J3669" r:id="rId15809" display="https://statiz.sporki.com/player/?m=playerinfo&amp;p_no=1338" xr:uid="{A8CBEF60-1423-4C8B-B845-E9CE808EDC82}"/>
    <hyperlink ref="J3670" r:id="rId15810" display="https://statiz.sporki.com/player/?m=playerinfo&amp;p_no=1341" xr:uid="{8E1B542E-08CB-46F2-953C-C5C873A873BB}"/>
    <hyperlink ref="J3671" r:id="rId15811" display="https://statiz.sporki.com/player/?m=playerinfo&amp;p_no=1337" xr:uid="{DC508388-171E-433A-9723-2C3A2655C482}"/>
    <hyperlink ref="J3672" r:id="rId15812" display="https://statiz.sporki.com/player/?m=playerinfo&amp;p_no=1359" xr:uid="{3D021BD1-713C-417C-9AA3-6F2B605E4952}"/>
    <hyperlink ref="J3673" r:id="rId15813" display="https://statiz.sporki.com/player/?m=playerinfo&amp;p_no=1346" xr:uid="{AAD46DFA-5E65-4EC2-A924-1B19B3F34197}"/>
    <hyperlink ref="J3674" r:id="rId15814" display="https://statiz.sporki.com/player/?m=playerinfo&amp;p_no=1366" xr:uid="{10226164-1643-494B-82D7-8BBE686F5258}"/>
    <hyperlink ref="J3675" r:id="rId15815" display="https://statiz.sporki.com/player/?m=playerinfo&amp;p_no=1352" xr:uid="{88D67187-B71E-4EC1-80DD-2A4F101F13F5}"/>
    <hyperlink ref="J3676" r:id="rId15816" display="https://statiz.sporki.com/player/?m=playerinfo&amp;p_no=1398" xr:uid="{BD7FC35F-D665-4956-8AAB-848B3962A80D}"/>
    <hyperlink ref="J3677" r:id="rId15817" display="https://statiz.sporki.com/player/?m=playerinfo&amp;p_no=1349" xr:uid="{013FCF62-444B-48B7-BCF0-2D7B2D3A1C04}"/>
    <hyperlink ref="J3678" r:id="rId15818" display="https://statiz.sporki.com/player/?m=playerinfo&amp;p_no=1369" xr:uid="{0CE28C80-184F-4B72-BD7E-5E4B43A4AE94}"/>
    <hyperlink ref="J3679" r:id="rId15819" display="https://statiz.sporki.com/player/?m=playerinfo&amp;p_no=1534" xr:uid="{772D43DA-2DD3-4411-A936-C639EA381C8A}"/>
    <hyperlink ref="J3680" r:id="rId15820" display="https://statiz.sporki.com/player/?m=playerinfo&amp;p_no=12713" xr:uid="{7F12E5E6-DBB6-4F4F-B171-E43B06437B43}"/>
    <hyperlink ref="J3681" r:id="rId15821" display="https://statiz.sporki.com/player/?m=playerinfo&amp;p_no=1356" xr:uid="{A733AB9A-76F7-4002-B9F8-8A647B67E647}"/>
    <hyperlink ref="J3682" r:id="rId15822" display="https://statiz.sporki.com/player/?m=playerinfo&amp;p_no=1387" xr:uid="{E968CE09-B947-4103-963F-4AD2B0332E62}"/>
    <hyperlink ref="J3683" r:id="rId15823" display="https://statiz.sporki.com/player/?m=playerinfo&amp;p_no=1345" xr:uid="{D370D6A8-A375-4DAB-9B1D-D040B13A8D9B}"/>
    <hyperlink ref="J3684" r:id="rId15824" display="https://statiz.sporki.com/player/?m=playerinfo&amp;p_no=1370" xr:uid="{6610B594-587D-4C34-A44A-173630BD31B6}"/>
    <hyperlink ref="J3685" r:id="rId15825" display="https://statiz.sporki.com/player/?m=playerinfo&amp;p_no=1344" xr:uid="{570E5B64-39BF-42B2-99B1-4209742AA5CD}"/>
    <hyperlink ref="J3686" r:id="rId15826" display="https://statiz.sporki.com/player/?m=playerinfo&amp;p_no=1360" xr:uid="{8E13CC94-2EE7-44BC-A877-3B35C5C054DF}"/>
    <hyperlink ref="J3687" r:id="rId15827" display="https://statiz.sporki.com/player/?m=playerinfo&amp;p_no=1348" xr:uid="{C26E7407-7274-47E1-85E2-BD9AE6227483}"/>
    <hyperlink ref="J3688" r:id="rId15828" display="https://statiz.sporki.com/player/?m=playerinfo&amp;p_no=1339" xr:uid="{B5E056DA-7CEC-420D-B3EF-F6F044D265B8}"/>
    <hyperlink ref="J3689" r:id="rId15829" display="https://statiz.sporki.com/player/?m=playerinfo&amp;p_no=13282" xr:uid="{65D8D133-6B49-4957-A52A-082C348C1F10}"/>
    <hyperlink ref="J3690" r:id="rId15830" display="https://statiz.sporki.com/player/?m=playerinfo&amp;p_no=1347" xr:uid="{9F3C9ABD-2F53-4442-9F61-8F3E070E92C8}"/>
    <hyperlink ref="J3691" r:id="rId15831" display="https://statiz.sporki.com/player/?m=playerinfo&amp;p_no=1309" xr:uid="{B1C0DC64-6A66-4420-AC94-920F8AE7AB5A}"/>
    <hyperlink ref="J3692" r:id="rId15832" display="https://statiz.sporki.com/player/?m=playerinfo&amp;p_no=1485" xr:uid="{4CA50BBD-7F69-4167-B36E-CB281F08E51D}"/>
    <hyperlink ref="J3693" r:id="rId15833" display="https://statiz.sporki.com/player/?m=playerinfo&amp;p_no=1319" xr:uid="{97B74B18-4DB0-4E86-9080-34B141DCBCF5}"/>
    <hyperlink ref="J3694" r:id="rId15834" display="https://statiz.sporki.com/player/?m=playerinfo&amp;p_no=1289" xr:uid="{0A9AAA02-3ABF-45DC-A70D-6FA52E9A686E}"/>
    <hyperlink ref="J3695" r:id="rId15835" display="https://statiz.sporki.com/player/?m=playerinfo&amp;p_no=1293" xr:uid="{37AD51A8-B49C-4C86-AB09-A1D31507ACA3}"/>
    <hyperlink ref="J3696" r:id="rId15836" display="https://statiz.sporki.com/player/?m=playerinfo&amp;p_no=1291" xr:uid="{DD409E05-2137-4DBB-8BAF-37743A36654F}"/>
    <hyperlink ref="J3697" r:id="rId15837" display="https://statiz.sporki.com/player/?m=playerinfo&amp;p_no=1275" xr:uid="{4F77637E-8BEE-4AC2-A7C6-B14B7F3BA3C9}"/>
    <hyperlink ref="J3698" r:id="rId15838" display="https://statiz.sporki.com/player/?m=playerinfo&amp;p_no=1292" xr:uid="{E8005EBD-F6F9-4F83-9D79-57B9CD8E3CC1}"/>
    <hyperlink ref="J3699" r:id="rId15839" display="https://statiz.sporki.com/player/?m=playerinfo&amp;p_no=1325" xr:uid="{84D52C9C-5ED4-424D-A868-6F303B7E8A87}"/>
    <hyperlink ref="J3700" r:id="rId15840" display="https://statiz.sporki.com/player/?m=playerinfo&amp;p_no=11432" xr:uid="{CF2EC0C9-87D0-4801-BB2F-9FD1AEA901FC}"/>
    <hyperlink ref="J3701" r:id="rId15841" display="https://statiz.sporki.com/player/?m=playerinfo&amp;p_no=1305" xr:uid="{B2DDDD60-7066-458A-86AC-36B0246FA02A}"/>
    <hyperlink ref="J3702" r:id="rId15842" display="https://statiz.sporki.com/player/?m=playerinfo&amp;p_no=1306" xr:uid="{ED296626-4638-46D2-A9F0-950CE7D89DC1}"/>
    <hyperlink ref="J3703" r:id="rId15843" display="https://statiz.sporki.com/player/?m=playerinfo&amp;p_no=1284" xr:uid="{532678D4-0DD2-40C0-BFF5-A992765E0487}"/>
    <hyperlink ref="J3704" r:id="rId15844" display="https://statiz.sporki.com/player/?m=playerinfo&amp;p_no=1330" xr:uid="{864E4FBD-2540-4624-A771-110A38B09934}"/>
    <hyperlink ref="J3705" r:id="rId15845" display="https://statiz.sporki.com/player/?m=playerinfo&amp;p_no=1556" xr:uid="{85817B6B-F7E6-4ADD-A6C7-A8C349A07554}"/>
    <hyperlink ref="J3706" r:id="rId15846" display="https://statiz.sporki.com/player/?m=playerinfo&amp;p_no=1285" xr:uid="{D94E66DC-F470-47A0-BA99-DE6CCDD93EF9}"/>
    <hyperlink ref="J3707" r:id="rId15847" display="https://statiz.sporki.com/player/?m=playerinfo&amp;p_no=1297" xr:uid="{31E45488-E7AE-4FA9-AED5-3FB47C310AF1}"/>
    <hyperlink ref="J3708" r:id="rId15848" display="https://statiz.sporki.com/player/?m=playerinfo&amp;p_no=1298" xr:uid="{B1109D0E-B640-4215-BC13-B2FF918AA401}"/>
    <hyperlink ref="J3709" r:id="rId15849" display="https://statiz.sporki.com/player/?m=playerinfo&amp;p_no=1290" xr:uid="{5D70DB43-C4A1-4FBA-8622-7BAA6EDDF2F6}"/>
    <hyperlink ref="J3710" r:id="rId15850" display="https://statiz.sporki.com/player/?m=playerinfo&amp;p_no=1336" xr:uid="{7DE57704-8D9F-4D88-8242-0C1FAB734AF7}"/>
    <hyperlink ref="J3711" r:id="rId15851" display="https://statiz.sporki.com/player/?m=playerinfo&amp;p_no=1282" xr:uid="{039D1139-A52E-41A9-AC45-0246A0DF3D06}"/>
    <hyperlink ref="J3712" r:id="rId15852" display="https://statiz.sporki.com/player/?m=playerinfo&amp;p_no=1367" xr:uid="{216588B3-9407-4D65-ADF4-6F8660F2BB4C}"/>
    <hyperlink ref="J3713" r:id="rId15853" display="https://statiz.sporki.com/player/?m=playerinfo&amp;p_no=1312" xr:uid="{4A8EEAB8-F373-48A3-A3DE-E86A88939198}"/>
    <hyperlink ref="J3714" r:id="rId15854" display="https://statiz.sporki.com/player/?m=playerinfo&amp;p_no=1303" xr:uid="{81F9B417-156B-4973-BCDD-8C81D977C307}"/>
    <hyperlink ref="J3715" r:id="rId15855" display="https://statiz.sporki.com/player/?m=playerinfo&amp;p_no=1307" xr:uid="{E51468A5-972E-4603-BF9A-C967D9F23640}"/>
    <hyperlink ref="J3716" r:id="rId15856" display="https://statiz.sporki.com/player/?m=playerinfo&amp;p_no=1272" xr:uid="{6DB299B6-DCDE-4CFA-8B52-A58447647FA5}"/>
    <hyperlink ref="J3717" r:id="rId15857" display="https://statiz.sporki.com/player/?m=playerinfo&amp;p_no=1310" xr:uid="{5FFECA85-606B-4BA3-A5B8-E30F815B80E9}"/>
    <hyperlink ref="J3718" r:id="rId15858" display="https://statiz.sporki.com/player/?m=playerinfo&amp;p_no=1301" xr:uid="{68741DD9-47C9-4CBC-BB93-E6B784199151}"/>
    <hyperlink ref="J3719" r:id="rId15859" display="https://statiz.sporki.com/player/?m=playerinfo&amp;p_no=1281" xr:uid="{B3C27470-B738-4FCF-8019-2B8C26F0E7E5}"/>
    <hyperlink ref="J3720" r:id="rId15860" display="https://statiz.sporki.com/player/?m=playerinfo&amp;p_no=1316" xr:uid="{9B00E556-38F7-46FD-8003-32BF6847FF4C}"/>
    <hyperlink ref="J3721" r:id="rId15861" display="https://statiz.sporki.com/player/?m=playerinfo&amp;p_no=1317" xr:uid="{C25DB6A0-4BEA-4B3A-BC8E-6A3AA2BFB35F}"/>
    <hyperlink ref="J3722" r:id="rId15862" display="https://statiz.sporki.com/player/?m=playerinfo&amp;p_no=1327" xr:uid="{E08015B1-5050-4717-B49D-1B332EC30AA1}"/>
    <hyperlink ref="J3723" r:id="rId15863" display="https://statiz.sporki.com/player/?m=playerinfo&amp;p_no=1313" xr:uid="{1EE98DDA-9178-4E2D-95CB-4EEEDCCA100F}"/>
    <hyperlink ref="J3724" r:id="rId15864" display="https://statiz.sporki.com/player/?m=playerinfo&amp;p_no=1300" xr:uid="{727C05A0-2BCC-466A-82A2-2325BA58091A}"/>
    <hyperlink ref="J3725" r:id="rId15865" display="https://statiz.sporki.com/player/?m=playerinfo&amp;p_no=1270" xr:uid="{4345F282-E9C4-4601-AEFE-2933E24E7A9B}"/>
    <hyperlink ref="J3726" r:id="rId15866" display="https://statiz.sporki.com/player/?m=playerinfo&amp;p_no=1271" xr:uid="{3BE43CCA-A5C7-4982-91EB-5FC75F505B07}"/>
    <hyperlink ref="J3727" r:id="rId15867" display="https://statiz.sporki.com/player/?m=playerinfo&amp;p_no=1314" xr:uid="{CC251AA8-96CB-40F5-830B-445685C279B1}"/>
    <hyperlink ref="J3728" r:id="rId15868" display="https://statiz.sporki.com/player/?m=playerinfo&amp;p_no=1280" xr:uid="{90AE77B2-35D0-48F0-97AC-0DD42990ADF9}"/>
    <hyperlink ref="J3729" r:id="rId15869" display="https://statiz.sporki.com/player/?m=playerinfo&amp;p_no=1329" xr:uid="{9F1BC92A-06A1-4C94-BD34-DBF0C207C0B7}"/>
    <hyperlink ref="J3730" r:id="rId15870" display="https://statiz.sporki.com/player/?m=playerinfo&amp;p_no=1539" xr:uid="{B018144A-ABC9-47DE-A7E6-DD1ECEAFFFE0}"/>
    <hyperlink ref="J3731" r:id="rId15871" display="https://statiz.sporki.com/player/?m=playerinfo&amp;p_no=1315" xr:uid="{7127798A-6CFF-4A2A-98FB-CE855D464CF8}"/>
    <hyperlink ref="J3732" r:id="rId15872" display="https://statiz.sporki.com/player/?m=playerinfo&amp;p_no=1323" xr:uid="{19DD6C12-704E-410D-83FA-3D946293AEEA}"/>
    <hyperlink ref="J3733" r:id="rId15873" display="https://statiz.sporki.com/player/?m=playerinfo&amp;p_no=1288" xr:uid="{2F733C96-6DDF-438B-9BD9-67E14C309F38}"/>
    <hyperlink ref="J3734" r:id="rId15874" display="https://statiz.sporki.com/player/?m=playerinfo&amp;p_no=1286" xr:uid="{4C3955AF-150E-4667-A788-1EEA2D85EF17}"/>
    <hyperlink ref="J3735" r:id="rId15875" display="https://statiz.sporki.com/player/?m=playerinfo&amp;p_no=1283" xr:uid="{523D57F7-C497-4C65-8F6C-70D2A3D296E9}"/>
    <hyperlink ref="J3736" r:id="rId15876" display="https://statiz.sporki.com/player/?m=playerinfo&amp;p_no=1361" xr:uid="{2001B7A7-F841-45C9-B25E-5A4CE0A797F7}"/>
    <hyperlink ref="J3737" r:id="rId15877" display="https://statiz.sporki.com/player/?m=playerinfo&amp;p_no=1302" xr:uid="{31C72FB0-AA21-40EE-955F-B0F2368044B6}"/>
    <hyperlink ref="J3738" r:id="rId15878" display="https://statiz.sporki.com/player/?m=playerinfo&amp;p_no=1322" xr:uid="{1DD985B5-F5C5-4D24-869A-1A61FC1C0697}"/>
    <hyperlink ref="J3739" r:id="rId15879" display="https://statiz.sporki.com/player/?m=playerinfo&amp;p_no=1350" xr:uid="{E2CAF232-62AD-4048-A15A-684ADEDEB21A}"/>
    <hyperlink ref="J3740" r:id="rId15880" display="https://statiz.sporki.com/player/?m=playerinfo&amp;p_no=1296" xr:uid="{7FF437E0-8B10-4DAA-9C7B-26BF2AD519AE}"/>
    <hyperlink ref="J3741" r:id="rId15881" display="https://statiz.sporki.com/player/?m=playerinfo&amp;p_no=1331" xr:uid="{7EFC5BE3-3444-4EBB-8501-8F5A21C7C56F}"/>
    <hyperlink ref="J3742" r:id="rId15882" display="https://statiz.sporki.com/player/?m=playerinfo&amp;p_no=1333" xr:uid="{8F8E5E7B-2165-46DA-9D2D-183DE11126C8}"/>
    <hyperlink ref="J3743" r:id="rId15883" display="https://statiz.sporki.com/player/?m=playerinfo&amp;p_no=1279" xr:uid="{0CF983D1-677B-43D7-9225-E9EF670DEE1C}"/>
    <hyperlink ref="J3744" r:id="rId15884" display="https://statiz.sporki.com/player/?m=playerinfo&amp;p_no=1335" xr:uid="{88B5677C-AF27-49AB-B54A-6AC97295A7AE}"/>
    <hyperlink ref="J3745" r:id="rId15885" display="https://statiz.sporki.com/player/?m=playerinfo&amp;p_no=1295" xr:uid="{4B0A4EB6-E041-4304-BDFC-C032ED0A4A45}"/>
    <hyperlink ref="J3746" r:id="rId15886" display="https://statiz.sporki.com/player/?m=playerinfo&amp;p_no=1274" xr:uid="{8E7DA7A4-5647-4EC2-AC2E-7AF00C631A83}"/>
    <hyperlink ref="J3747" r:id="rId15887" display="https://statiz.sporki.com/player/?m=playerinfo&amp;p_no=1278" xr:uid="{7C18E045-0714-40E3-8AB6-DD1CF4F6B936}"/>
    <hyperlink ref="J3748" r:id="rId15888" display="https://statiz.sporki.com/player/?m=playerinfo&amp;p_no=1320" xr:uid="{0F306FD5-6CF7-416F-8ADE-717047ECCA38}"/>
    <hyperlink ref="J3749" r:id="rId15889" display="https://statiz.sporki.com/player/?m=playerinfo&amp;p_no=1321" xr:uid="{D96CBE69-48DF-46A9-B2C3-5DBF96BB40A5}"/>
    <hyperlink ref="J3750" r:id="rId15890" display="https://statiz.sporki.com/player/?m=playerinfo&amp;p_no=1277" xr:uid="{EF9C2A96-1DF6-4B70-B9A5-6F2978080067}"/>
    <hyperlink ref="J3751" r:id="rId15891" display="https://statiz.sporki.com/player/?m=playerinfo&amp;p_no=1326" xr:uid="{0C8C2A2D-A596-4267-B87C-8DA8CE6281D7}"/>
    <hyperlink ref="J3752" r:id="rId15892" display="https://statiz.sporki.com/player/?m=playerinfo&amp;p_no=1354" xr:uid="{C04BCC86-6EC5-427E-B055-FCA4DAD97FF3}"/>
    <hyperlink ref="J3753" r:id="rId15893" display="https://statiz.sporki.com/player/?m=playerinfo&amp;p_no=1287" xr:uid="{594D12A9-8460-46AC-BBAA-4449DF346881}"/>
    <hyperlink ref="J3754" r:id="rId15894" display="https://statiz.sporki.com/player/?m=playerinfo&amp;p_no=1531" xr:uid="{20987DBA-2835-4DC3-B787-CC344BE7F55C}"/>
    <hyperlink ref="J3755" r:id="rId15895" display="https://statiz.sporki.com/player/?m=playerinfo&amp;p_no=1251" xr:uid="{42B577A5-A806-4317-B47D-DC6C271BBCBE}"/>
    <hyperlink ref="J3756" r:id="rId15896" display="https://statiz.sporki.com/player/?m=playerinfo&amp;p_no=1252" xr:uid="{795BE325-9FCE-4602-9941-645510BB172F}"/>
    <hyperlink ref="J3757" r:id="rId15897" display="https://statiz.sporki.com/player/?m=playerinfo&amp;p_no=1328" xr:uid="{04C1F956-11D7-4024-82BC-601F5F7A6162}"/>
    <hyperlink ref="J3758" r:id="rId15898" display="https://statiz.sporki.com/player/?m=playerinfo&amp;p_no=1259" xr:uid="{8BCB667E-A990-441D-B42B-F39F8EE6C0CC}"/>
    <hyperlink ref="J3759" r:id="rId15899" display="https://statiz.sporki.com/player/?m=playerinfo&amp;p_no=1258" xr:uid="{55FF8E05-EE43-4DCD-B8F4-D7E750D0F7FB}"/>
    <hyperlink ref="J3760" r:id="rId15900" display="https://statiz.sporki.com/player/?m=playerinfo&amp;p_no=1247" xr:uid="{1A807689-78A0-43B1-973E-319EB8F835A7}"/>
    <hyperlink ref="J3761" r:id="rId15901" display="https://statiz.sporki.com/player/?m=playerinfo&amp;p_no=1246" xr:uid="{1EA683E4-B517-4F84-AB4A-B4053A77FBE7}"/>
    <hyperlink ref="J3762" r:id="rId15902" display="https://statiz.sporki.com/player/?m=playerinfo&amp;p_no=1239" xr:uid="{1AB5EE04-B1AC-4A86-81F4-29884C84F1AE}"/>
    <hyperlink ref="J3763" r:id="rId15903" display="https://statiz.sporki.com/player/?m=playerinfo&amp;p_no=1236" xr:uid="{1193566A-E33D-4A23-BCB0-F5AC12E676EA}"/>
    <hyperlink ref="J3764" r:id="rId15904" display="https://statiz.sporki.com/player/?m=playerinfo&amp;p_no=1273" xr:uid="{4BE8D205-0667-481F-9402-802234932B65}"/>
    <hyperlink ref="J3765" r:id="rId15905" display="https://statiz.sporki.com/player/?m=playerinfo&amp;p_no=1242" xr:uid="{E27BFF65-C549-480D-AD2C-A5348971B5D1}"/>
    <hyperlink ref="J3766" r:id="rId15906" display="https://statiz.sporki.com/player/?m=playerinfo&amp;p_no=1248" xr:uid="{C1D3F7B6-3C03-4D18-8F10-5382E7762C6A}"/>
    <hyperlink ref="J3767" r:id="rId15907" display="https://statiz.sporki.com/player/?m=playerinfo&amp;p_no=1256" xr:uid="{A5032868-1937-4D99-8ADA-906F76B31D03}"/>
    <hyperlink ref="J3768" r:id="rId15908" display="https://statiz.sporki.com/player/?m=playerinfo&amp;p_no=1262" xr:uid="{11B0D65C-83DF-4B3A-8D0B-3CE7D4F3B98F}"/>
    <hyperlink ref="J3769" r:id="rId15909" display="https://statiz.sporki.com/player/?m=playerinfo&amp;p_no=1265" xr:uid="{02005F6A-7A55-482D-A680-CFE6C1E25B11}"/>
    <hyperlink ref="J3770" r:id="rId15910" display="https://statiz.sporki.com/player/?m=playerinfo&amp;p_no=1351" xr:uid="{DA68AB31-BB5B-46CA-A52E-9BA5CA9EBCA1}"/>
    <hyperlink ref="J3771" r:id="rId15911" display="https://statiz.sporki.com/player/?m=playerinfo&amp;p_no=1269" xr:uid="{C0F7E386-C528-4FBB-9BFD-E1039C968242}"/>
    <hyperlink ref="J3772" r:id="rId15912" display="https://statiz.sporki.com/player/?m=playerinfo&amp;p_no=12994" xr:uid="{2773D6F9-7C11-429F-89B8-06E15E69348C}"/>
    <hyperlink ref="J3773" r:id="rId15913" display="https://statiz.sporki.com/player/?m=playerinfo&amp;p_no=1266" xr:uid="{53800801-CCBA-4253-9D2E-6D484CD46D9F}"/>
    <hyperlink ref="J3774" r:id="rId15914" display="https://statiz.sporki.com/player/?m=playerinfo&amp;p_no=1254" xr:uid="{A1B521A5-8042-4E65-B521-D0AA002242A2}"/>
    <hyperlink ref="J3775" r:id="rId15915" display="https://statiz.sporki.com/player/?m=playerinfo&amp;p_no=1254" xr:uid="{55F41B8E-9FAB-48DA-855A-4086025CFA04}"/>
    <hyperlink ref="J3776" r:id="rId15916" display="https://statiz.sporki.com/player/?m=playerinfo&amp;p_no=1249" xr:uid="{6F111FB8-6B0D-4675-AA40-9FB46FDCD346}"/>
    <hyperlink ref="J3777" r:id="rId15917" display="https://statiz.sporki.com/player/?m=playerinfo&amp;p_no=1234" xr:uid="{9200C45D-9829-4B44-B593-8BF3DAF395FA}"/>
    <hyperlink ref="J3778" r:id="rId15918" display="https://statiz.sporki.com/player/?m=playerinfo&amp;p_no=1244" xr:uid="{2D33B1CF-DF5E-4FCF-8EFC-A7C5B39688B2}"/>
    <hyperlink ref="J3779" r:id="rId15919" display="https://statiz.sporki.com/player/?m=playerinfo&amp;p_no=1235" xr:uid="{3BB38B87-BC6D-4FE4-8389-280FB4D87AB2}"/>
    <hyperlink ref="J3780" r:id="rId15920" display="https://statiz.sporki.com/player/?m=playerinfo&amp;p_no=1257" xr:uid="{806DD221-45EE-41E6-A39B-B19CE99B91E3}"/>
    <hyperlink ref="J3781" r:id="rId15921" display="https://statiz.sporki.com/player/?m=playerinfo&amp;p_no=1294" xr:uid="{451AFAA4-ECCA-46AD-B25C-BFF24F151377}"/>
    <hyperlink ref="J3782" r:id="rId15922" display="https://statiz.sporki.com/player/?m=playerinfo&amp;p_no=1237" xr:uid="{618116DC-6600-4817-8274-BB9FC12AC481}"/>
    <hyperlink ref="J3783" r:id="rId15923" display="https://statiz.sporki.com/player/?m=playerinfo&amp;p_no=1276" xr:uid="{7097C8B3-3410-47B4-B345-F5E787D48881}"/>
    <hyperlink ref="J3784" r:id="rId15924" display="https://statiz.sporki.com/player/?m=playerinfo&amp;p_no=1233" xr:uid="{F3783D3F-173A-4946-BD97-66BD3A29AC94}"/>
    <hyperlink ref="J3785" r:id="rId15925" display="https://statiz.sporki.com/player/?m=playerinfo&amp;p_no=1238" xr:uid="{167FB63A-DBF5-4127-96FA-05E37C4B2C4A}"/>
    <hyperlink ref="J3786" r:id="rId15926" display="https://statiz.sporki.com/player/?m=playerinfo&amp;p_no=1263" xr:uid="{D5A71B0A-0B6C-44AC-A9CB-F00A22A33561}"/>
    <hyperlink ref="J3787" r:id="rId15927" display="https://statiz.sporki.com/player/?m=playerinfo&amp;p_no=1250" xr:uid="{46D1E40C-5D32-4929-9312-E96BB69600A2}"/>
    <hyperlink ref="J3788" r:id="rId15928" display="https://statiz.sporki.com/player/?m=playerinfo&amp;p_no=1264" xr:uid="{5DAFE6E0-DBEF-4415-B32F-E38C12E82FDC}"/>
    <hyperlink ref="J3789" r:id="rId15929" display="https://statiz.sporki.com/player/?m=playerinfo&amp;p_no=1267" xr:uid="{5A3BF810-817F-4FDF-A44D-B8179B2E023E}"/>
    <hyperlink ref="J3790" r:id="rId15930" display="https://statiz.sporki.com/player/?m=playerinfo&amp;p_no=14223" xr:uid="{50C81BAE-4CF9-47D5-BA48-541B829A14F1}"/>
    <hyperlink ref="J3791" r:id="rId15931" display="https://statiz.sporki.com/player/?m=playerinfo&amp;p_no=1243" xr:uid="{EC2AFB1F-EDBB-4A89-9DF3-1FF7C37C3461}"/>
    <hyperlink ref="J3792" r:id="rId15932" display="https://statiz.sporki.com/player/?m=playerinfo&amp;p_no=11470" xr:uid="{719E96A3-39A6-4885-AA69-F07F4FB845A2}"/>
    <hyperlink ref="J3793" r:id="rId15933" display="https://statiz.sporki.com/player/?m=playerinfo&amp;p_no=1324" xr:uid="{6C38E96D-DE86-479C-8DED-7771DB7EB2DF}"/>
    <hyperlink ref="J3794" r:id="rId15934" display="https://statiz.sporki.com/player/?m=playerinfo&amp;p_no=1240" xr:uid="{4FBFB15E-3517-4B0C-BCB7-F0FCCE93DF53}"/>
    <hyperlink ref="J3795" r:id="rId15935" display="https://statiz.sporki.com/player/?m=playerinfo&amp;p_no=1255" xr:uid="{8AAB02E5-65D2-48DA-9BFD-A652398B99C7}"/>
    <hyperlink ref="J3796" r:id="rId15936" display="https://statiz.sporki.com/player/?m=playerinfo&amp;p_no=1430" xr:uid="{A96AD8EA-89DC-484B-BCE3-4461A741BFDE}"/>
    <hyperlink ref="J3797" r:id="rId15937" display="https://statiz.sporki.com/player/?m=playerinfo&amp;p_no=1245" xr:uid="{B2848D39-3BBD-43DF-85E2-419B17AD7409}"/>
    <hyperlink ref="J3798" r:id="rId15938" display="https://statiz.sporki.com/player/?m=playerinfo&amp;p_no=1334" xr:uid="{BE6E4310-1C36-4D2B-AA32-91C6A4F38AAB}"/>
    <hyperlink ref="J3799" r:id="rId15939" display="https://statiz.sporki.com/player/?m=playerinfo&amp;p_no=1253" xr:uid="{15C70DE2-26A5-4988-969A-6502D65E1328}"/>
    <hyperlink ref="J3800" r:id="rId15940" display="https://statiz.sporki.com/player/?m=playerinfo&amp;p_no=1365" xr:uid="{2D7CED1D-760E-409D-8B9F-A8D1FD35EAB4}"/>
    <hyperlink ref="J3801" r:id="rId15941" display="https://statiz.sporki.com/player/?m=playerinfo&amp;p_no=1224" xr:uid="{C418AA8D-DAED-49D4-ADD1-C06233971365}"/>
    <hyperlink ref="J3802" r:id="rId15942" display="https://statiz.sporki.com/player/?m=playerinfo&amp;p_no=1206" xr:uid="{E89271AE-9E04-4D4F-AE17-FF9F51373002}"/>
    <hyperlink ref="J3803" r:id="rId15943" display="https://statiz.sporki.com/player/?m=playerinfo&amp;p_no=1223" xr:uid="{132AF6EF-BD9E-467A-A99D-FC89F13989C8}"/>
    <hyperlink ref="J3804" r:id="rId15944" display="https://statiz.sporki.com/player/?m=playerinfo&amp;p_no=1193" xr:uid="{0F5042BB-F40B-4056-A523-27CE73AE631A}"/>
    <hyperlink ref="J3805" r:id="rId15945" display="https://statiz.sporki.com/player/?m=playerinfo&amp;p_no=1202" xr:uid="{ABA4AC78-4E5D-45EF-BFF7-996B5AE4D06D}"/>
    <hyperlink ref="J3806" r:id="rId15946" display="https://statiz.sporki.com/player/?m=playerinfo&amp;p_no=1211" xr:uid="{DE97F48A-6B25-4B25-9B39-6C8FC298ED71}"/>
    <hyperlink ref="J3807" r:id="rId15947" display="https://statiz.sporki.com/player/?m=playerinfo&amp;p_no=1203" xr:uid="{113E2D54-90BF-4780-97FE-1E9888BC19E9}"/>
    <hyperlink ref="J3808" r:id="rId15948" display="https://statiz.sporki.com/player/?m=playerinfo&amp;p_no=1204" xr:uid="{11F5D6A0-9BE9-464B-8575-B44D2C6668B0}"/>
    <hyperlink ref="J3809" r:id="rId15949" display="https://statiz.sporki.com/player/?m=playerinfo&amp;p_no=12962" xr:uid="{E3A043D5-1813-45A4-AB95-9B3397D1445A}"/>
    <hyperlink ref="J3810" r:id="rId15950" display="https://statiz.sporki.com/player/?m=playerinfo&amp;p_no=1268" xr:uid="{F5241AD1-339D-4826-A897-EA1F715980FB}"/>
    <hyperlink ref="J3811" r:id="rId15951" display="https://statiz.sporki.com/player/?m=playerinfo&amp;p_no=1209" xr:uid="{C7C92850-6094-449C-AC04-25AB1E626371}"/>
    <hyperlink ref="J3812" r:id="rId15952" display="https://statiz.sporki.com/player/?m=playerinfo&amp;p_no=1308" xr:uid="{9B284EE1-487A-45D3-A80B-B32EDBA9847E}"/>
    <hyperlink ref="J3813" r:id="rId15953" display="https://statiz.sporki.com/player/?m=playerinfo&amp;p_no=1205" xr:uid="{E707ED79-5825-4E8D-AF83-CAC0054C9FDB}"/>
    <hyperlink ref="J3814" r:id="rId15954" display="https://statiz.sporki.com/player/?m=playerinfo&amp;p_no=1332" xr:uid="{58EB4619-5A95-42B6-BBF4-5C8217A790A9}"/>
    <hyperlink ref="J3815" r:id="rId15955" display="https://statiz.sporki.com/player/?m=playerinfo&amp;p_no=1227" xr:uid="{CE6207AA-3A18-483C-AD0D-89C31F9340DF}"/>
    <hyperlink ref="J3816" r:id="rId15956" display="https://statiz.sporki.com/player/?m=playerinfo&amp;p_no=1318" xr:uid="{5A4BB2B7-6CF5-4D5C-8B39-521A08F2D958}"/>
    <hyperlink ref="J3817" r:id="rId15957" display="https://statiz.sporki.com/player/?m=playerinfo&amp;p_no=1217" xr:uid="{E11FB9BA-04C9-49A4-80AD-CC5E11BAFB1C}"/>
    <hyperlink ref="J3818" r:id="rId15958" display="https://statiz.sporki.com/player/?m=playerinfo&amp;p_no=1311" xr:uid="{CF02DE36-0611-4938-9391-DE8DF6C46875}"/>
    <hyperlink ref="J3819" r:id="rId15959" display="https://statiz.sporki.com/player/?m=playerinfo&amp;p_no=1207" xr:uid="{19FC258F-A183-43CE-A422-4181E47D8334}"/>
    <hyperlink ref="J3820" r:id="rId15960" display="https://statiz.sporki.com/player/?m=playerinfo&amp;p_no=1220" xr:uid="{EFF820CA-A6C1-4863-8CF5-87948BF3F493}"/>
    <hyperlink ref="J3821" r:id="rId15961" display="https://statiz.sporki.com/player/?m=playerinfo&amp;p_no=1198" xr:uid="{C78424E2-D5FC-4EBC-A5F5-0ECC53F55C59}"/>
    <hyperlink ref="J3822" r:id="rId15962" display="https://statiz.sporki.com/player/?m=playerinfo&amp;p_no=1195" xr:uid="{792081D2-F544-4F1B-934B-A7E75AC0D515}"/>
    <hyperlink ref="J3823" r:id="rId15963" display="https://statiz.sporki.com/player/?m=playerinfo&amp;p_no=1200" xr:uid="{1A1FFB86-4281-46B8-8809-5DDDFB088A39}"/>
    <hyperlink ref="J3824" r:id="rId15964" display="https://statiz.sporki.com/player/?m=playerinfo&amp;p_no=1215" xr:uid="{8C13C2F3-2961-4A31-8C33-378A3BC778B8}"/>
    <hyperlink ref="J3825" r:id="rId15965" display="https://statiz.sporki.com/player/?m=playerinfo&amp;p_no=1221" xr:uid="{280963A5-5E2A-47A6-A369-A601DDF086B4}"/>
    <hyperlink ref="J3826" r:id="rId15966" display="https://statiz.sporki.com/player/?m=playerinfo&amp;p_no=1219" xr:uid="{AB2F85EC-C203-4382-AEAF-627B6C796E40}"/>
    <hyperlink ref="J3827" r:id="rId15967" display="https://statiz.sporki.com/player/?m=playerinfo&amp;p_no=1261" xr:uid="{3F81F332-2FD6-4A7C-9C96-F0E3341F2F90}"/>
    <hyperlink ref="J3828" r:id="rId15968" display="https://statiz.sporki.com/player/?m=playerinfo&amp;p_no=1231" xr:uid="{801AC208-8A8D-4DE3-94E6-588ECE5A925B}"/>
    <hyperlink ref="J3829" r:id="rId15969" display="https://statiz.sporki.com/player/?m=playerinfo&amp;p_no=1196" xr:uid="{FE524778-50AE-400F-A9A3-B618846C25EF}"/>
    <hyperlink ref="J3830" r:id="rId15970" display="https://statiz.sporki.com/player/?m=playerinfo&amp;p_no=1229" xr:uid="{F29C6655-1211-4978-9912-E66028725B01}"/>
    <hyperlink ref="J3831" r:id="rId15971" display="https://statiz.sporki.com/player/?m=playerinfo&amp;p_no=1214" xr:uid="{7CAE4803-C012-486A-BB30-28AEB3749825}"/>
    <hyperlink ref="J3832" r:id="rId15972" display="https://statiz.sporki.com/player/?m=playerinfo&amp;p_no=1222" xr:uid="{EF2C265D-3E33-41AE-99FF-39993828383A}"/>
    <hyperlink ref="J3833" r:id="rId15973" display="https://statiz.sporki.com/player/?m=playerinfo&amp;p_no=1225" xr:uid="{0E349CF7-AE58-4EF0-BFB0-919EB9ACFB55}"/>
    <hyperlink ref="J3834" r:id="rId15974" display="https://statiz.sporki.com/player/?m=playerinfo&amp;p_no=1201" xr:uid="{88BE6D7A-3A31-441E-86BA-0270D7E49B66}"/>
    <hyperlink ref="J3835" r:id="rId15975" display="https://statiz.sporki.com/player/?m=playerinfo&amp;p_no=1230" xr:uid="{381908F2-E2B9-42E8-BD50-C654E4FC63D3}"/>
    <hyperlink ref="J3836" r:id="rId15976" display="https://statiz.sporki.com/player/?m=playerinfo&amp;p_no=1343" xr:uid="{682C63A3-0478-4609-8423-8D29565FF0C5}"/>
    <hyperlink ref="J3837" r:id="rId15977" display="https://statiz.sporki.com/player/?m=playerinfo&amp;p_no=1228" xr:uid="{4750F943-90A9-4670-BE2A-A246A16B3402}"/>
    <hyperlink ref="J3838" r:id="rId15978" display="https://statiz.sporki.com/player/?m=playerinfo&amp;p_no=1210" xr:uid="{77112045-0F7D-4C58-8261-25110A9F62E7}"/>
    <hyperlink ref="J3839" r:id="rId15979" display="https://statiz.sporki.com/player/?m=playerinfo&amp;p_no=1213" xr:uid="{120088EC-B6C1-42E4-AFE2-12F3DEC044B9}"/>
    <hyperlink ref="J3840" r:id="rId15980" display="https://statiz.sporki.com/player/?m=playerinfo&amp;p_no=1197" xr:uid="{085BE6FC-0017-4BB0-96DE-773C5BE49415}"/>
    <hyperlink ref="J3841" r:id="rId15981" display="https://statiz.sporki.com/player/?m=playerinfo&amp;p_no=1218" xr:uid="{4C33E107-6B53-4581-8401-1E71AF3B2DFA}"/>
    <hyperlink ref="J3842" r:id="rId15982" display="https://statiz.sporki.com/player/?m=playerinfo&amp;p_no=1199" xr:uid="{6C25ED49-60A7-44BA-A2A4-60230EAB2993}"/>
    <hyperlink ref="J3843" r:id="rId15983" display="https://statiz.sporki.com/player/?m=playerinfo&amp;p_no=1216" xr:uid="{24D6ED11-372C-407B-8268-FE1F893DF926}"/>
    <hyperlink ref="J3844" r:id="rId15984" display="https://statiz.sporki.com/player/?m=playerinfo&amp;p_no=1212" xr:uid="{7F481686-E66B-4517-BED9-F7FA8D6A162A}"/>
    <hyperlink ref="J3845" r:id="rId15985" display="https://statiz.sporki.com/player/?m=playerinfo&amp;p_no=1232" xr:uid="{7D26F05B-17F3-4A43-A8DC-8447176CBF7B}"/>
    <hyperlink ref="J3846" r:id="rId15986" display="https://statiz.sporki.com/player/?m=playerinfo&amp;p_no=1194" xr:uid="{834937E2-F54C-47A0-93CC-5273F868140C}"/>
    <hyperlink ref="J3847" r:id="rId15987" display="https://statiz.sporki.com/player/?m=playerinfo&amp;p_no=1226" xr:uid="{BF74E5A6-70CC-4BD5-91B6-2B67411F7B57}"/>
    <hyperlink ref="J3848" r:id="rId15988" display="https://statiz.sporki.com/player/?m=playerinfo&amp;p_no=1208" xr:uid="{D3290126-69CF-44C7-8D4F-29F42E4F5C8F}"/>
    <hyperlink ref="J3849" r:id="rId15989" display="https://statiz.sporki.com/player/?m=playerinfo&amp;p_no=1185" xr:uid="{40743F80-C179-4EF5-B344-38C4314181F8}"/>
    <hyperlink ref="J3850" r:id="rId15990" display="https://statiz.sporki.com/player/?m=playerinfo&amp;p_no=1174" xr:uid="{905A7C5A-3871-4F93-9E1B-8ABE5F4B4166}"/>
    <hyperlink ref="J3851" r:id="rId15991" display="https://statiz.sporki.com/player/?m=playerinfo&amp;p_no=1170" xr:uid="{DAC49CE3-AEA1-4A77-AB96-27C7DF6D262E}"/>
    <hyperlink ref="J3852" r:id="rId15992" display="https://statiz.sporki.com/player/?m=playerinfo&amp;p_no=1165" xr:uid="{FE08E2D8-219D-4905-9F0E-7E1D9FC1E801}"/>
    <hyperlink ref="J3853" r:id="rId15993" display="https://statiz.sporki.com/player/?m=playerinfo&amp;p_no=1158" xr:uid="{60A26B1E-32FA-44BC-AA9A-01F037467C57}"/>
    <hyperlink ref="J3854" r:id="rId15994" display="https://statiz.sporki.com/player/?m=playerinfo&amp;p_no=1151" xr:uid="{920AC40B-05DD-46B3-A58A-63B07AB076DA}"/>
    <hyperlink ref="J3855" r:id="rId15995" display="https://statiz.sporki.com/player/?m=playerinfo&amp;p_no=1148" xr:uid="{C4C6F1C3-A4C1-4B9F-BC06-229B7818D773}"/>
    <hyperlink ref="J3856" r:id="rId15996" display="https://statiz.sporki.com/player/?m=playerinfo&amp;p_no=1146" xr:uid="{E62830DC-5227-4494-B7B2-A099D0010AD7}"/>
    <hyperlink ref="J3857" r:id="rId15997" display="https://statiz.sporki.com/player/?m=playerinfo&amp;p_no=1177" xr:uid="{E8CB9D59-BE85-4B01-A8B5-06BEF466A2D5}"/>
    <hyperlink ref="J3858" r:id="rId15998" display="https://statiz.sporki.com/player/?m=playerinfo&amp;p_no=1139" xr:uid="{8B9CBFFE-29EE-42EF-94AC-B621619F139D}"/>
    <hyperlink ref="J3859" r:id="rId15999" display="https://statiz.sporki.com/player/?m=playerinfo&amp;p_no=1144" xr:uid="{15FC184D-A8EA-447D-869E-B711F2FC0E31}"/>
    <hyperlink ref="J3860" r:id="rId16000" display="https://statiz.sporki.com/player/?m=playerinfo&amp;p_no=1189" xr:uid="{D51B9324-DDA4-4D86-8AAF-5C41B6D65813}"/>
    <hyperlink ref="J3861" r:id="rId16001" display="https://statiz.sporki.com/player/?m=playerinfo&amp;p_no=1159" xr:uid="{7A12F0F6-8D8B-4751-AB2E-E0F3CB9BA6C6}"/>
    <hyperlink ref="J3862" r:id="rId16002" display="https://statiz.sporki.com/player/?m=playerinfo&amp;p_no=1164" xr:uid="{BA364A56-8562-4738-B9CD-1454FFD9B78E}"/>
    <hyperlink ref="J3863" r:id="rId16003" display="https://statiz.sporki.com/player/?m=playerinfo&amp;p_no=1143" xr:uid="{20DEC1E5-E47E-4E18-A8B6-450EF36EF483}"/>
    <hyperlink ref="J3864" r:id="rId16004" display="https://statiz.sporki.com/player/?m=playerinfo&amp;p_no=1161" xr:uid="{DA571BB0-9CF8-4B29-962A-A063367D9885}"/>
    <hyperlink ref="J3865" r:id="rId16005" display="https://statiz.sporki.com/player/?m=playerinfo&amp;p_no=1191" xr:uid="{CBDA6B85-44B4-4C3C-898D-8FC14B865C93}"/>
    <hyperlink ref="J3866" r:id="rId16006" display="https://statiz.sporki.com/player/?m=playerinfo&amp;p_no=1184" xr:uid="{70381158-839F-475E-800B-7042D95B97DA}"/>
    <hyperlink ref="J3867" r:id="rId16007" display="https://statiz.sporki.com/player/?m=playerinfo&amp;p_no=1183" xr:uid="{2262CE69-894C-4718-8791-B0FA12D050F7}"/>
    <hyperlink ref="J3868" r:id="rId16008" display="https://statiz.sporki.com/player/?m=playerinfo&amp;p_no=1140" xr:uid="{AA1109AD-B6E9-44A9-A16E-51D2D5FCD0B5}"/>
    <hyperlink ref="J3869" r:id="rId16009" display="https://statiz.sporki.com/player/?m=playerinfo&amp;p_no=1155" xr:uid="{845CA596-26D8-4DF6-8B70-C7F7EC5FB8C8}"/>
    <hyperlink ref="J3870" r:id="rId16010" display="https://statiz.sporki.com/player/?m=playerinfo&amp;p_no=1145" xr:uid="{4879CDE5-A9CB-4BD3-8015-8126E0DBA3CF}"/>
    <hyperlink ref="J3871" r:id="rId16011" display="https://statiz.sporki.com/player/?m=playerinfo&amp;p_no=1152" xr:uid="{CE893BA6-90DB-4652-9A58-06DE8C05F86C}"/>
    <hyperlink ref="J3872" r:id="rId16012" display="https://statiz.sporki.com/player/?m=playerinfo&amp;p_no=1153" xr:uid="{05C25029-B36E-4703-B6CB-407E69ACB235}"/>
    <hyperlink ref="J3873" r:id="rId16013" display="https://statiz.sporki.com/player/?m=playerinfo&amp;p_no=1157" xr:uid="{28357F5A-9F51-4717-9650-0A0582F0015B}"/>
    <hyperlink ref="J3874" r:id="rId16014" display="https://statiz.sporki.com/player/?m=playerinfo&amp;p_no=1154" xr:uid="{B8D694C8-7463-4384-8AA2-787FC433D79B}"/>
    <hyperlink ref="J3875" r:id="rId16015" display="https://statiz.sporki.com/player/?m=playerinfo&amp;p_no=1160" xr:uid="{8952B4B3-8210-4215-88A6-C5379A30C304}"/>
    <hyperlink ref="J3876" r:id="rId16016" display="https://statiz.sporki.com/player/?m=playerinfo&amp;p_no=1241" xr:uid="{C691C2AA-BF36-40D2-AE28-13D36CA37C7C}"/>
    <hyperlink ref="J3877" r:id="rId16017" display="https://statiz.sporki.com/player/?m=playerinfo&amp;p_no=1180" xr:uid="{9C1991E4-3AA0-4790-919A-63F84040CEAF}"/>
    <hyperlink ref="J3878" r:id="rId16018" display="https://statiz.sporki.com/player/?m=playerinfo&amp;p_no=1138" xr:uid="{75A8C3DD-969A-4323-899D-E92CB58CE1CD}"/>
    <hyperlink ref="J3879" r:id="rId16019" display="https://statiz.sporki.com/player/?m=playerinfo&amp;p_no=1175" xr:uid="{E1D3C614-730E-44BC-928F-3A662587BA2A}"/>
    <hyperlink ref="J3880" r:id="rId16020" display="https://statiz.sporki.com/player/?m=playerinfo&amp;p_no=1173" xr:uid="{65900DF7-6BAD-4B0A-AFD4-64E546E14CAB}"/>
    <hyperlink ref="J3881" r:id="rId16021" display="https://statiz.sporki.com/player/?m=playerinfo&amp;p_no=1171" xr:uid="{4B03077F-DC21-4675-8517-BEE6D71B2A2E}"/>
    <hyperlink ref="J3882" r:id="rId16022" display="https://statiz.sporki.com/player/?m=playerinfo&amp;p_no=1156" xr:uid="{DE4F328C-F86E-4096-9A49-5C3AEDC4C7A5}"/>
    <hyperlink ref="J3883" r:id="rId16023" display="https://statiz.sporki.com/player/?m=playerinfo&amp;p_no=1172" xr:uid="{B6ED8DD0-9C7E-4BFD-AA90-0302B82715F5}"/>
    <hyperlink ref="J3884" r:id="rId16024" display="https://statiz.sporki.com/player/?m=playerinfo&amp;p_no=1149" xr:uid="{04672E9D-6690-4477-BD9E-A571C8CABD4F}"/>
    <hyperlink ref="J3885" r:id="rId16025" display="https://statiz.sporki.com/player/?m=playerinfo&amp;p_no=1142" xr:uid="{386D3271-F38C-4E43-A8C8-AFCB49012521}"/>
    <hyperlink ref="J3886" r:id="rId16026" display="https://statiz.sporki.com/player/?m=playerinfo&amp;p_no=1168" xr:uid="{C6F0C109-8085-46FD-B5B8-27A63F47C6AB}"/>
    <hyperlink ref="J3887" r:id="rId16027" display="https://statiz.sporki.com/player/?m=playerinfo&amp;p_no=1186" xr:uid="{7C0BFC37-95C9-48CF-99A0-887D57CB24B5}"/>
    <hyperlink ref="J3888" r:id="rId16028" display="https://statiz.sporki.com/player/?m=playerinfo&amp;p_no=1150" xr:uid="{7537F553-82C0-4FB2-99AA-A21867FCD25F}"/>
    <hyperlink ref="J3889" r:id="rId16029" display="https://statiz.sporki.com/player/?m=playerinfo&amp;p_no=1167" xr:uid="{08E69D94-1658-4A7F-ABD2-3144C0CC0638}"/>
    <hyperlink ref="J3890" r:id="rId16030" display="https://statiz.sporki.com/player/?m=playerinfo&amp;p_no=1169" xr:uid="{1BE5DA32-B266-4A06-A325-40081EA16D02}"/>
    <hyperlink ref="J3891" r:id="rId16031" display="https://statiz.sporki.com/player/?m=playerinfo&amp;p_no=1136" xr:uid="{CE2FFB7A-FDE3-4FF8-9B47-C7DA5A2F916A}"/>
    <hyperlink ref="J3892" r:id="rId16032" display="https://statiz.sporki.com/player/?m=playerinfo&amp;p_no=1181" xr:uid="{6481AAE3-A0C7-4771-9CD6-5E8585D61E72}"/>
    <hyperlink ref="J3893" r:id="rId16033" display="https://statiz.sporki.com/player/?m=playerinfo&amp;p_no=1182" xr:uid="{5AA592FC-0952-42FA-8753-A9C27576B022}"/>
    <hyperlink ref="J3894" r:id="rId16034" display="https://statiz.sporki.com/player/?m=playerinfo&amp;p_no=1188" xr:uid="{ACEC833D-845B-488F-9044-625193B8689F}"/>
    <hyperlink ref="J3895" r:id="rId16035" display="https://statiz.sporki.com/player/?m=playerinfo&amp;p_no=1163" xr:uid="{57032B59-DC26-4584-90B0-CD3E71DB17D8}"/>
    <hyperlink ref="J3896" r:id="rId16036" display="https://statiz.sporki.com/player/?m=playerinfo&amp;p_no=1147" xr:uid="{8ECA428D-5245-4CD6-AC5A-0AE6E9F19216}"/>
    <hyperlink ref="J3897" r:id="rId16037" display="https://statiz.sporki.com/player/?m=playerinfo&amp;p_no=1179" xr:uid="{B6F531F9-954D-4685-B529-B0DD7767DA5E}"/>
    <hyperlink ref="J3898" r:id="rId16038" display="https://statiz.sporki.com/player/?m=playerinfo&amp;p_no=1166" xr:uid="{A4A5F2CD-64A9-43F7-89F6-06AA0C9CE0FC}"/>
    <hyperlink ref="J3899" r:id="rId16039" display="https://statiz.sporki.com/player/?m=playerinfo&amp;p_no=1176" xr:uid="{C81BD551-914F-486E-AEFB-4B2D0A9DBEE5}"/>
    <hyperlink ref="J3900" r:id="rId16040" display="https://statiz.sporki.com/player/?m=playerinfo&amp;p_no=1192" xr:uid="{5639D48C-1AA0-4DE4-8612-128B0882534D}"/>
    <hyperlink ref="J3901" r:id="rId16041" display="https://statiz.sporki.com/player/?m=playerinfo&amp;p_no=1178" xr:uid="{2BD17CAE-7F8F-440A-8592-8076A0572295}"/>
    <hyperlink ref="J3902" r:id="rId16042" display="https://statiz.sporki.com/player/?m=playerinfo&amp;p_no=1137" xr:uid="{E269AAB8-3DDE-4923-BEDB-EE24ED6ACB22}"/>
    <hyperlink ref="J3903" r:id="rId16043" display="https://statiz.sporki.com/player/?m=playerinfo&amp;p_no=1304" xr:uid="{83FB75B8-F277-454E-9CA9-82D0FD180CA3}"/>
    <hyperlink ref="J3904" r:id="rId16044" display="https://statiz.sporki.com/player/?m=playerinfo&amp;p_no=1187" xr:uid="{D4DB581F-8902-4E51-A820-590062D95B72}"/>
    <hyperlink ref="J3905" r:id="rId16045" display="https://statiz.sporki.com/player/?m=playerinfo&amp;p_no=1096" xr:uid="{488B7F0B-4C76-44BB-A24F-63BB33C79B83}"/>
    <hyperlink ref="J3906" r:id="rId16046" display="https://statiz.sporki.com/player/?m=playerinfo&amp;p_no=1060" xr:uid="{091DFCF6-9177-496A-BC5F-BB8C35C84474}"/>
    <hyperlink ref="J3907" r:id="rId16047" display="https://statiz.sporki.com/player/?m=playerinfo&amp;p_no=1128" xr:uid="{D448882E-DC6D-4420-A458-7F19A09B6133}"/>
    <hyperlink ref="J3908" r:id="rId16048" display="https://statiz.sporki.com/player/?m=playerinfo&amp;p_no=1131" xr:uid="{E9E60945-C683-422A-89CA-80E8354139C5}"/>
    <hyperlink ref="J3909" r:id="rId16049" display="https://statiz.sporki.com/player/?m=playerinfo&amp;p_no=1094" xr:uid="{B114890B-20E2-4360-92E9-25B7621DC0EE}"/>
    <hyperlink ref="J3910" r:id="rId16050" display="https://statiz.sporki.com/player/?m=playerinfo&amp;p_no=1027" xr:uid="{39D30858-420F-47EF-97B5-32E0492B7D4F}"/>
    <hyperlink ref="J3911" r:id="rId16051" display="https://statiz.sporki.com/player/?m=playerinfo&amp;p_no=1141" xr:uid="{A5A7E993-E123-4B89-A9F6-F54C7A475A8E}"/>
    <hyperlink ref="J3912" r:id="rId16052" display="https://statiz.sporki.com/player/?m=playerinfo&amp;p_no=1062" xr:uid="{D4A711C9-9AD1-4FCC-9841-9635CF603FA6}"/>
    <hyperlink ref="J3913" r:id="rId16053" display="https://statiz.sporki.com/player/?m=playerinfo&amp;p_no=1100" xr:uid="{79BEDAEE-BF30-4805-B58F-8C1D7A1EA6AF}"/>
    <hyperlink ref="J3914" r:id="rId16054" display="https://statiz.sporki.com/player/?m=playerinfo&amp;p_no=1101" xr:uid="{398DE0F3-96CC-4D9A-B2EF-EB23DFE2AB25}"/>
    <hyperlink ref="J3915" r:id="rId16055" display="https://statiz.sporki.com/player/?m=playerinfo&amp;p_no=1078" xr:uid="{A219B2A3-B2D6-4F6C-8866-C074C21BA835}"/>
    <hyperlink ref="J3916" r:id="rId16056" display="https://statiz.sporki.com/player/?m=playerinfo&amp;p_no=1026" xr:uid="{42AC6FFB-43B5-43CE-B354-8768E48F7EA9}"/>
    <hyperlink ref="J3917" r:id="rId16057" display="https://statiz.sporki.com/player/?m=playerinfo&amp;p_no=1111" xr:uid="{AD133BFF-F078-49E7-B05D-43FB77B1879E}"/>
    <hyperlink ref="J3918" r:id="rId16058" display="https://statiz.sporki.com/player/?m=playerinfo&amp;p_no=1107" xr:uid="{7CB3C947-4329-48C4-BDFE-D2819B5FA26F}"/>
    <hyperlink ref="J3919" r:id="rId16059" display="https://statiz.sporki.com/player/?m=playerinfo&amp;p_no=1083" xr:uid="{47494762-B22E-4DB9-9C5C-9DCED48954B2}"/>
    <hyperlink ref="J3920" r:id="rId16060" display="https://statiz.sporki.com/player/?m=playerinfo&amp;p_no=1073" xr:uid="{ABE7C2E1-D3CF-4428-B403-95DD556748A3}"/>
    <hyperlink ref="J3921" r:id="rId16061" display="https://statiz.sporki.com/player/?m=playerinfo&amp;p_no=1133" xr:uid="{B8A1FB73-DAE5-43B1-BAAB-20E0AE800056}"/>
    <hyperlink ref="J3922" r:id="rId16062" display="https://statiz.sporki.com/player/?m=playerinfo&amp;p_no=1130" xr:uid="{66A0F062-C9A6-479C-A532-CA2A8A1E770F}"/>
    <hyperlink ref="J3923" r:id="rId16063" display="https://statiz.sporki.com/player/?m=playerinfo&amp;p_no=1109" xr:uid="{E6C99946-8CBE-45E3-903D-BFCE4D0B2766}"/>
    <hyperlink ref="J3924" r:id="rId16064" display="https://statiz.sporki.com/player/?m=playerinfo&amp;p_no=1122" xr:uid="{3DFA2EE9-6FE5-459B-93D6-2FDDD8F2608E}"/>
    <hyperlink ref="J3925" r:id="rId16065" display="https://statiz.sporki.com/player/?m=playerinfo&amp;p_no=1127" xr:uid="{17C8B36D-1B6E-4796-B64F-06A6B5AE99EF}"/>
    <hyperlink ref="J3926" r:id="rId16066" display="https://statiz.sporki.com/player/?m=playerinfo&amp;p_no=1077" xr:uid="{B6346D81-5A3E-4912-ADB4-323842917548}"/>
    <hyperlink ref="J3927" r:id="rId16067" display="https://statiz.sporki.com/player/?m=playerinfo&amp;p_no=15155" xr:uid="{C6291075-BF4E-48E8-882E-EF0313753D84}"/>
    <hyperlink ref="J3928" r:id="rId16068" display="https://statiz.sporki.com/player/?m=playerinfo&amp;p_no=1029" xr:uid="{5472CB04-A0D8-4B5F-AB33-515A0A1DA51A}"/>
    <hyperlink ref="J3929" r:id="rId16069" display="https://statiz.sporki.com/player/?m=playerinfo&amp;p_no=1008" xr:uid="{0F987B02-BCAF-4210-93A2-44159A7146A3}"/>
    <hyperlink ref="J3930" r:id="rId16070" display="https://statiz.sporki.com/player/?m=playerinfo&amp;p_no=1080" xr:uid="{B6BDDEBC-8248-4680-AB58-2D6E0AFF6872}"/>
    <hyperlink ref="J3931" r:id="rId16071" display="https://statiz.sporki.com/player/?m=playerinfo&amp;p_no=1007" xr:uid="{BA964550-C1C6-4E18-8CAF-D616751E8E36}"/>
    <hyperlink ref="J3932" r:id="rId16072" display="https://statiz.sporki.com/player/?m=playerinfo&amp;p_no=1024" xr:uid="{496BB40B-A3BF-4CCF-B1C8-05A00641E5A4}"/>
    <hyperlink ref="J3933" r:id="rId16073" display="https://statiz.sporki.com/player/?m=playerinfo&amp;p_no=1012" xr:uid="{E2E3E6E4-B6D0-4C9D-9186-CDD0A49B1217}"/>
    <hyperlink ref="J3934" r:id="rId16074" display="https://statiz.sporki.com/player/?m=playerinfo&amp;p_no=1108" xr:uid="{EB27ACCE-4F1A-4ABD-A3D5-A7ABF0D7495D}"/>
    <hyperlink ref="J3935" r:id="rId16075" display="https://statiz.sporki.com/player/?m=playerinfo&amp;p_no=1058" xr:uid="{990DAEC5-C9BE-4DBD-94DA-B9EC99A8D0CC}"/>
    <hyperlink ref="J3936" r:id="rId16076" display="https://statiz.sporki.com/player/?m=playerinfo&amp;p_no=1017" xr:uid="{0E77A4B4-651C-4533-994F-64A8526AA60D}"/>
    <hyperlink ref="J3937" r:id="rId16077" display="https://statiz.sporki.com/player/?m=playerinfo&amp;p_no=1135" xr:uid="{FD4ABA6F-C519-4AC6-A211-40C601CEC5C2}"/>
    <hyperlink ref="J3938" r:id="rId16078" display="https://statiz.sporki.com/player/?m=playerinfo&amp;p_no=1011" xr:uid="{A9F7F2B1-8AFF-4553-911C-E26161BDF947}"/>
    <hyperlink ref="J3939" r:id="rId16079" display="https://statiz.sporki.com/player/?m=playerinfo&amp;p_no=1113" xr:uid="{8B90F025-C85A-4D53-834D-6D3D9C08B865}"/>
    <hyperlink ref="J3940" r:id="rId16080" display="https://statiz.sporki.com/player/?m=playerinfo&amp;p_no=1036" xr:uid="{A002F9D8-1C07-42F2-B159-D3D54D2833DA}"/>
    <hyperlink ref="J3941" r:id="rId16081" display="https://statiz.sporki.com/player/?m=playerinfo&amp;p_no=1045" xr:uid="{A09D33F8-4EAE-4D4F-9470-DEAEE0527ACD}"/>
    <hyperlink ref="J3942" r:id="rId16082" display="https://statiz.sporki.com/player/?m=playerinfo&amp;p_no=1019" xr:uid="{118C3F01-53A6-4AB4-89DE-36170530306F}"/>
    <hyperlink ref="J3943" r:id="rId16083" display="https://statiz.sporki.com/player/?m=playerinfo&amp;p_no=1124" xr:uid="{36C4E73C-B2D5-46E7-9A7E-2849943DAE1E}"/>
    <hyperlink ref="J3944" r:id="rId16084" display="https://statiz.sporki.com/player/?m=playerinfo&amp;p_no=1117" xr:uid="{344C3A01-6295-4F5F-9481-F9EC64A839BF}"/>
    <hyperlink ref="J3945" r:id="rId16085" display="https://statiz.sporki.com/player/?m=playerinfo&amp;p_no=1114" xr:uid="{A91DE7DF-424E-48DF-A803-C85B0FDFECBB}"/>
    <hyperlink ref="J3946" r:id="rId16086" display="https://statiz.sporki.com/player/?m=playerinfo&amp;p_no=1106" xr:uid="{4DE7DE39-C400-41DB-A5DB-8A8A0EE8F347}"/>
    <hyperlink ref="J3947" r:id="rId16087" display="https://statiz.sporki.com/player/?m=playerinfo&amp;p_no=1105" xr:uid="{FE7281A3-4DAF-4128-B3BB-8695808BB19B}"/>
    <hyperlink ref="J3948" r:id="rId16088" display="https://statiz.sporki.com/player/?m=playerinfo&amp;p_no=1071" xr:uid="{9D688BC8-834E-4DB5-95F9-6E5E348FDE07}"/>
    <hyperlink ref="J3949" r:id="rId16089" display="https://statiz.sporki.com/player/?m=playerinfo&amp;p_no=1067" xr:uid="{82F7683A-3F41-41E7-8600-1E97B02CEFC1}"/>
    <hyperlink ref="J3950" r:id="rId16090" display="https://statiz.sporki.com/player/?m=playerinfo&amp;p_no=1054" xr:uid="{588EF5BD-83A7-4F4C-B4D7-753ED395AD8B}"/>
    <hyperlink ref="J3951" r:id="rId16091" display="https://statiz.sporki.com/player/?m=playerinfo&amp;p_no=1050" xr:uid="{2ECB3682-F85A-4D74-85E2-D0347E9B37A6}"/>
    <hyperlink ref="J3952" r:id="rId16092" display="https://statiz.sporki.com/player/?m=playerinfo&amp;p_no=1049" xr:uid="{F8115D3E-629C-4216-B21E-340898304353}"/>
    <hyperlink ref="J3953" r:id="rId16093" display="https://statiz.sporki.com/player/?m=playerinfo&amp;p_no=1048" xr:uid="{69A6E951-D6B2-4F34-B06A-18465336EBAC}"/>
    <hyperlink ref="J3954" r:id="rId16094" display="https://statiz.sporki.com/player/?m=playerinfo&amp;p_no=1047" xr:uid="{B1C68437-AA20-4E16-A7FD-484307A55BA4}"/>
    <hyperlink ref="J3955" r:id="rId16095" display="https://statiz.sporki.com/player/?m=playerinfo&amp;p_no=1040" xr:uid="{8190868F-F181-4CCF-B256-CB233C011857}"/>
    <hyperlink ref="J3956" r:id="rId16096" display="https://statiz.sporki.com/player/?m=playerinfo&amp;p_no=1035" xr:uid="{4533BBA6-7044-4849-BCB0-4F2652E719E9}"/>
    <hyperlink ref="J3957" r:id="rId16097" display="https://statiz.sporki.com/player/?m=playerinfo&amp;p_no=1023" xr:uid="{DAC178D0-F66E-4B5B-8DB8-3D4784BAACF5}"/>
    <hyperlink ref="J3958" r:id="rId16098" display="https://statiz.sporki.com/player/?m=playerinfo&amp;p_no=1020" xr:uid="{54ADB416-A54D-47B7-911F-91D4FB3FC47B}"/>
    <hyperlink ref="J3959" r:id="rId16099" display="https://statiz.sporki.com/player/?m=playerinfo&amp;p_no=1046" xr:uid="{058BDC60-5EB7-4170-B9D3-F5002D416F20}"/>
    <hyperlink ref="J3960" r:id="rId16100" display="https://statiz.sporki.com/player/?m=playerinfo&amp;p_no=1001" xr:uid="{17E39EB4-9236-4862-B7B6-7100AC3FCF5E}"/>
    <hyperlink ref="J3961" r:id="rId16101" display="https://statiz.sporki.com/player/?m=playerinfo&amp;p_no=11469" xr:uid="{89764B53-567A-4AC4-ACDF-1D424DBD12E3}"/>
    <hyperlink ref="J3962" r:id="rId16102" display="https://statiz.sporki.com/player/?m=playerinfo&amp;p_no=1063" xr:uid="{3A68CD50-0A89-479B-8DE2-38A01D355587}"/>
    <hyperlink ref="J3963" r:id="rId16103" display="https://statiz.sporki.com/player/?m=playerinfo&amp;p_no=1120" xr:uid="{B389467D-0E44-4CD4-9DD8-ACED3CB089C4}"/>
    <hyperlink ref="J3964" r:id="rId16104" display="https://statiz.sporki.com/player/?m=playerinfo&amp;p_no=1134" xr:uid="{3B66F37F-1A9E-4D5A-89AC-27A034822E93}"/>
    <hyperlink ref="J3965" r:id="rId16105" display="https://statiz.sporki.com/player/?m=playerinfo&amp;p_no=1072" xr:uid="{A09AF042-85DF-4568-B192-BB06A6CE87F7}"/>
    <hyperlink ref="J3966" r:id="rId16106" display="https://statiz.sporki.com/player/?m=playerinfo&amp;p_no=1110" xr:uid="{68FC86C6-AE51-436A-9F77-28E196B3E0BD}"/>
    <hyperlink ref="J3967" r:id="rId16107" display="https://statiz.sporki.com/player/?m=playerinfo&amp;p_no=1086" xr:uid="{F3C4AEF7-08AA-4E24-8596-7E13A3EB0942}"/>
    <hyperlink ref="J3968" r:id="rId16108" display="https://statiz.sporki.com/player/?m=playerinfo&amp;p_no=1097" xr:uid="{54E3AB43-7DCE-41D5-8CF7-42B4DE82F448}"/>
    <hyperlink ref="J3969" r:id="rId16109" display="https://statiz.sporki.com/player/?m=playerinfo&amp;p_no=1082" xr:uid="{6C35DFCC-57B5-4F13-8347-ADEE9A72F51C}"/>
    <hyperlink ref="J3970" r:id="rId16110" display="https://statiz.sporki.com/player/?m=playerinfo&amp;p_no=1014" xr:uid="{55F48853-CC06-4A8C-B403-6EED20FC1970}"/>
    <hyperlink ref="J3971" r:id="rId16111" display="https://statiz.sporki.com/player/?m=playerinfo&amp;p_no=1095" xr:uid="{73B158BC-BEA2-4E6D-BC02-F661723C00EC}"/>
    <hyperlink ref="J3972" r:id="rId16112" display="https://statiz.sporki.com/player/?m=playerinfo&amp;p_no=1121" xr:uid="{331B0FBA-6B54-4961-BA5F-F94AEC9944CD}"/>
    <hyperlink ref="J3973" r:id="rId16113" display="https://statiz.sporki.com/player/?m=playerinfo&amp;p_no=1002" xr:uid="{EB7433B9-12BD-4A42-84AB-FFADCAF1CF72}"/>
    <hyperlink ref="J3974" r:id="rId16114" display="https://statiz.sporki.com/player/?m=playerinfo&amp;p_no=1061" xr:uid="{3A0E5A5D-6886-4717-B51E-6B9C77EEFE48}"/>
    <hyperlink ref="J3975" r:id="rId16115" display="https://statiz.sporki.com/player/?m=playerinfo&amp;p_no=1006" xr:uid="{C1179103-56EC-4B27-B24C-DFEE0F502D93}"/>
    <hyperlink ref="J3976" r:id="rId16116" display="https://statiz.sporki.com/player/?m=playerinfo&amp;p_no=1032" xr:uid="{0949CFD6-7333-4185-A6D2-BD79ABB29344}"/>
    <hyperlink ref="J3977" r:id="rId16117" display="https://statiz.sporki.com/player/?m=playerinfo&amp;p_no=1125" xr:uid="{F419E54C-BBE8-4F65-8E66-767ED5632C36}"/>
    <hyperlink ref="J3978" r:id="rId16118" display="https://statiz.sporki.com/player/?m=playerinfo&amp;p_no=1087" xr:uid="{F4CA8A9D-781D-4206-9D5A-E87323FBD47E}"/>
    <hyperlink ref="J3979" r:id="rId16119" display="https://statiz.sporki.com/player/?m=playerinfo&amp;p_no=11471" xr:uid="{C94B5B55-7E00-4693-A6F8-47D4A5AC1CA7}"/>
    <hyperlink ref="J3980" r:id="rId16120" display="https://statiz.sporki.com/player/?m=playerinfo&amp;p_no=1009" xr:uid="{E8A11338-1DB7-493A-89E7-BFBBF3D8F2C7}"/>
    <hyperlink ref="J3981" r:id="rId16121" display="https://statiz.sporki.com/player/?m=playerinfo&amp;p_no=1129" xr:uid="{D9DFA6D7-9FF9-4493-94C4-A48BDC2F65D3}"/>
    <hyperlink ref="J3982" r:id="rId16122" display="https://statiz.sporki.com/player/?m=playerinfo&amp;p_no=1190" xr:uid="{AAAE50ED-D4B5-4469-8D37-65E2736327DF}"/>
    <hyperlink ref="J3983" r:id="rId16123" display="https://statiz.sporki.com/player/?m=playerinfo&amp;p_no=1031" xr:uid="{F8A3F778-7301-4C44-98CD-36EF3D2E9B62}"/>
    <hyperlink ref="J3984" r:id="rId16124" display="https://statiz.sporki.com/player/?m=playerinfo&amp;p_no=1093" xr:uid="{F6990EBB-C8F4-4197-80AE-EC11CA256A6E}"/>
    <hyperlink ref="J3985" r:id="rId16125" display="https://statiz.sporki.com/player/?m=playerinfo&amp;p_no=12714" xr:uid="{991DC614-F619-47E2-95E4-17CC28CFD01D}"/>
    <hyperlink ref="J3986" r:id="rId16126" display="https://statiz.sporki.com/player/?m=playerinfo&amp;p_no=1118" xr:uid="{00C2585E-65C9-43FE-B20C-4FC4CEE47BB9}"/>
    <hyperlink ref="J3987" r:id="rId16127" display="https://statiz.sporki.com/player/?m=playerinfo&amp;p_no=1018" xr:uid="{6B73A183-2CC7-49EC-A67E-DA6CC2745308}"/>
    <hyperlink ref="J3988" r:id="rId16128" display="https://statiz.sporki.com/player/?m=playerinfo&amp;p_no=1132" xr:uid="{EDE494FF-3163-4F17-BC16-A6BF89CEBE5C}"/>
    <hyperlink ref="J3989" r:id="rId16129" display="https://statiz.sporki.com/player/?m=playerinfo&amp;p_no=1089" xr:uid="{4BF70065-2BEE-4ED7-ACB0-57BE5785C4FD}"/>
    <hyperlink ref="J3990" r:id="rId16130" display="https://statiz.sporki.com/player/?m=playerinfo&amp;p_no=1021" xr:uid="{7870B4FE-81B2-42B6-9A8A-7DF3F67530B3}"/>
    <hyperlink ref="J3991" r:id="rId16131" display="https://statiz.sporki.com/player/?m=playerinfo&amp;p_no=1126" xr:uid="{ED838063-8C54-46BC-99F6-F8F5410655AC}"/>
    <hyperlink ref="J3992" r:id="rId16132" display="https://statiz.sporki.com/player/?m=playerinfo&amp;p_no=1123" xr:uid="{DA775C62-E4FB-4910-8E86-4F6B8218AFAC}"/>
    <hyperlink ref="J3993" r:id="rId16133" display="https://statiz.sporki.com/player/?m=playerinfo&amp;p_no=1004" xr:uid="{A9197FF2-AECA-4C6C-BDE5-C9FC290A7283}"/>
    <hyperlink ref="J3994" r:id="rId16134" display="https://statiz.sporki.com/player/?m=playerinfo&amp;p_no=1070" xr:uid="{67823E96-E97F-401D-9599-FEEE4FBEA147}"/>
    <hyperlink ref="J3995" r:id="rId16135" display="https://statiz.sporki.com/player/?m=playerinfo&amp;p_no=1099" xr:uid="{94881E27-C938-4CAC-B67E-C46C33A5AF73}"/>
    <hyperlink ref="J3996" r:id="rId16136" display="https://statiz.sporki.com/player/?m=playerinfo&amp;p_no=1056" xr:uid="{6592E361-49A8-4F6C-A1F4-71F51FD7865D}"/>
    <hyperlink ref="J3997" r:id="rId16137" display="https://statiz.sporki.com/player/?m=playerinfo&amp;p_no=1057" xr:uid="{EE2EF9BC-235A-46A0-9012-027DFD6E6A23}"/>
    <hyperlink ref="J3998" r:id="rId16138" display="https://statiz.sporki.com/player/?m=playerinfo&amp;p_no=1066" xr:uid="{2CD5D79A-F34E-47A1-BF31-A85BDA0C87A6}"/>
    <hyperlink ref="J3999" r:id="rId16139" display="https://statiz.sporki.com/player/?m=playerinfo&amp;p_no=1068" xr:uid="{1725E408-EBAA-41E8-8B85-49E66B6B4641}"/>
    <hyperlink ref="J4000" r:id="rId16140" display="https://statiz.sporki.com/player/?m=playerinfo&amp;p_no=1075" xr:uid="{B64F5DDF-9524-42BD-BCF4-734A0D367EA1}"/>
    <hyperlink ref="J4001" r:id="rId16141" display="https://statiz.sporki.com/player/?m=playerinfo&amp;p_no=1003" xr:uid="{B20988EE-7D40-4FBF-B033-9647C4C4018E}"/>
    <hyperlink ref="J4002" r:id="rId16142" display="https://statiz.sporki.com/player/?m=playerinfo&amp;p_no=1102" xr:uid="{FAE93557-1D3E-4355-92C2-00C47C2F6245}"/>
    <hyperlink ref="J4003" r:id="rId16143" display="https://statiz.sporki.com/player/?m=playerinfo&amp;p_no=1090" xr:uid="{A09B4C1C-0B87-4FA8-BD3A-331198BAA322}"/>
    <hyperlink ref="J4004" r:id="rId16144" display="https://statiz.sporki.com/player/?m=playerinfo&amp;p_no=1088" xr:uid="{C9F15211-A733-45B2-BD38-6BD9C0957701}"/>
    <hyperlink ref="J4005" r:id="rId16145" display="https://statiz.sporki.com/player/?m=playerinfo&amp;p_no=1084" xr:uid="{73A7A5C8-4C2C-4AF1-92D2-C4284499E5AF}"/>
    <hyperlink ref="J4006" r:id="rId16146" display="https://statiz.sporki.com/player/?m=playerinfo&amp;p_no=1034" xr:uid="{34633E25-903A-476B-B13F-A063F90A3F98}"/>
    <hyperlink ref="J4007" r:id="rId16147" display="https://statiz.sporki.com/player/?m=playerinfo&amp;p_no=1053" xr:uid="{47D33EA7-1D33-48E8-B57D-F2CAC379F7E3}"/>
    <hyperlink ref="J4008" r:id="rId16148" display="https://statiz.sporki.com/player/?m=playerinfo&amp;p_no=1052" xr:uid="{8558803E-73B7-4CC9-A513-40C08E9F3C2D}"/>
    <hyperlink ref="J4009" r:id="rId16149" display="https://statiz.sporki.com/player/?m=playerinfo&amp;p_no=1044" xr:uid="{62D45F99-FA57-46B9-B9A6-DF6EBE81B218}"/>
    <hyperlink ref="J4010" r:id="rId16150" display="https://statiz.sporki.com/player/?m=playerinfo&amp;p_no=1043" xr:uid="{A4F06629-AB83-4CEC-B226-1004832322C8}"/>
    <hyperlink ref="J4011" r:id="rId16151" display="https://statiz.sporki.com/player/?m=playerinfo&amp;p_no=1039" xr:uid="{D6DFEA1B-FB01-49AF-A0D7-FE0978093CE3}"/>
    <hyperlink ref="J4012" r:id="rId16152" display="https://statiz.sporki.com/player/?m=playerinfo&amp;p_no=1038" xr:uid="{7907FD07-8C51-4F46-8AF8-B0D621958CA9}"/>
    <hyperlink ref="J4013" r:id="rId16153" display="https://statiz.sporki.com/player/?m=playerinfo&amp;p_no=1016" xr:uid="{719518B5-5A40-466C-8D92-6F2173FD1016}"/>
    <hyperlink ref="J4014" r:id="rId16154" display="https://statiz.sporki.com/player/?m=playerinfo&amp;p_no=1025" xr:uid="{F419AF78-5CDB-462E-A48C-C560759E541D}"/>
    <hyperlink ref="J4015" r:id="rId16155" display="https://statiz.sporki.com/player/?m=playerinfo&amp;p_no=1051" xr:uid="{6F09C4FD-7C50-495D-9927-7FA3B38A84A2}"/>
    <hyperlink ref="J4016" r:id="rId16156" display="https://statiz.sporki.com/player/?m=playerinfo&amp;p_no=1022" xr:uid="{C29A2DBB-3BA0-43EE-8971-D42B718F264C}"/>
    <hyperlink ref="J4017" r:id="rId16157" display="https://statiz.sporki.com/player/?m=playerinfo&amp;p_no=1069" xr:uid="{620AC39B-3407-46DE-A000-A3529EFE4763}"/>
    <hyperlink ref="J4018" r:id="rId16158" display="https://statiz.sporki.com/player/?m=playerinfo&amp;p_no=1079" xr:uid="{F3098E4E-B2B2-4DFA-9B83-987C9EC81DCE}"/>
    <hyperlink ref="J4019" r:id="rId16159" display="https://statiz.sporki.com/player/?m=playerinfo&amp;p_no=1042" xr:uid="{B0A7594C-9C27-416D-BDD4-9141CFFF02D8}"/>
    <hyperlink ref="J4020" r:id="rId16160" display="https://statiz.sporki.com/player/?m=playerinfo&amp;p_no=1028" xr:uid="{9BE3B1A3-9584-4F4E-98B7-C8CFED8DCC95}"/>
    <hyperlink ref="J4021" r:id="rId16161" display="https://statiz.sporki.com/player/?m=playerinfo&amp;p_no=1041" xr:uid="{EB19E394-2E67-4940-8998-0271A7E15993}"/>
    <hyperlink ref="J4022" r:id="rId16162" display="https://statiz.sporki.com/player/?m=playerinfo&amp;p_no=1104" xr:uid="{29082FB6-CD0F-4068-A4BD-A3AD21F26094}"/>
    <hyperlink ref="J4023" r:id="rId16163" display="https://statiz.sporki.com/player/?m=playerinfo&amp;p_no=1116" xr:uid="{7BF6EC3E-15D6-450F-AAAB-0B054126C064}"/>
    <hyperlink ref="J4024" r:id="rId16164" display="https://statiz.sporki.com/player/?m=playerinfo&amp;p_no=1037" xr:uid="{6DB96F5F-7C0F-41D3-80EB-EC0AA382D232}"/>
    <hyperlink ref="J4025" r:id="rId16165" display="https://statiz.sporki.com/player/?m=playerinfo&amp;p_no=1112" xr:uid="{F74D2EFD-55FC-460A-9828-0EF044B1987C}"/>
    <hyperlink ref="J4026" r:id="rId16166" display="https://statiz.sporki.com/player/?m=playerinfo&amp;p_no=1115" xr:uid="{FE242E10-52B7-4B1C-B29D-C41F37BE6E51}"/>
    <hyperlink ref="J4027" r:id="rId16167" display="https://statiz.sporki.com/player/?m=playerinfo&amp;p_no=1091" xr:uid="{D9285B31-BF84-4E51-A556-95803FF9397E}"/>
    <hyperlink ref="J4028" r:id="rId16168" display="https://statiz.sporki.com/player/?m=playerinfo&amp;p_no=1162" xr:uid="{4D1970B2-C0F0-4CDD-A1E1-63438086A2EF}"/>
    <hyperlink ref="J4029" r:id="rId16169" display="https://statiz.sporki.com/player/?m=playerinfo&amp;p_no=1076" xr:uid="{181381C6-086F-4B34-B36C-BD59E0D57955}"/>
    <hyperlink ref="J4030" r:id="rId16170" display="https://statiz.sporki.com/player/?m=playerinfo&amp;p_no=1081" xr:uid="{40127947-19B9-40BB-88DF-DAD1AFE5D231}"/>
    <hyperlink ref="J4031" r:id="rId16171" display="https://statiz.sporki.com/player/?m=playerinfo&amp;p_no=12726" xr:uid="{501DCD3C-BD36-469E-B113-2CFAFE11901E}"/>
    <hyperlink ref="J4032" r:id="rId16172" display="https://statiz.sporki.com/player/?m=playerinfo&amp;p_no=1085" xr:uid="{FCDAF0D4-ED80-4AF3-AD85-7488029BDD0B}"/>
    <hyperlink ref="J4033" r:id="rId16173" display="https://statiz.sporki.com/player/?m=playerinfo&amp;p_no=1098" xr:uid="{0DAF4B73-3BDB-4237-9F3A-37571073457A}"/>
    <hyperlink ref="J4034" r:id="rId16174" display="https://statiz.sporki.com/player/?m=playerinfo&amp;p_no=1119" xr:uid="{D76F7398-6CBC-47A1-96CC-165748B54D93}"/>
    <hyperlink ref="J4035" r:id="rId16175" display="https://statiz.sporki.com/player/?m=playerinfo&amp;p_no=1092" xr:uid="{AD58DF2F-0228-4623-9D29-587B2D2A2CF9}"/>
    <hyperlink ref="J4036" r:id="rId16176" display="https://statiz.sporki.com/player/?m=playerinfo&amp;p_no=1059" xr:uid="{2B3735FE-0F08-4D86-AFB6-08D473EBF677}"/>
    <hyperlink ref="J4037" r:id="rId16177" display="https://statiz.sporki.com/player/?m=playerinfo&amp;p_no=1103" xr:uid="{CCF04399-9923-417A-8E35-DD3AA00586F2}"/>
    <hyperlink ref="J4038" r:id="rId16178" display="https://statiz.sporki.com/player/?m=playerinfo&amp;p_no=1055" xr:uid="{3C792DE6-6785-4BB8-9267-11BE1DAE91B8}"/>
    <hyperlink ref="J4039" r:id="rId16179" display="https://statiz.sporki.com/player/?m=playerinfo&amp;p_no=1065" xr:uid="{E2F495BC-3699-482E-888C-8874FADD5B0E}"/>
    <hyperlink ref="J4040" r:id="rId16180" display="https://statiz.sporki.com/player/?m=playerinfo&amp;p_no=1013" xr:uid="{DC6FA8E5-1E19-488E-96CD-52F4AA6EEAE0}"/>
    <hyperlink ref="J4041" r:id="rId16181" display="https://statiz.sporki.com/player/?m=playerinfo&amp;p_no=1010" xr:uid="{4E040FA0-277C-4795-B22B-92BD7320EC8B}"/>
    <hyperlink ref="J4042" r:id="rId16182" display="https://statiz.sporki.com/player/?m=playerinfo&amp;p_no=1005" xr:uid="{BF59FB26-E7D2-4F93-AC58-AD4CF6E64B00}"/>
    <hyperlink ref="J4043" r:id="rId16183" display="https://statiz.sporki.com/player/?m=playerinfo&amp;p_no=1015" xr:uid="{F6C40EC3-41DD-4CEA-B510-AA4621C9D8DE}"/>
    <hyperlink ref="J4044" r:id="rId16184" display="https://statiz.sporki.com/player/?m=playerinfo&amp;p_no=1030" xr:uid="{0D47A0F6-F0B0-4F94-A8E3-1770D4E9C3A4}"/>
    <hyperlink ref="J4045" r:id="rId16185" display="https://statiz.sporki.com/player/?m=playerinfo&amp;p_no=1064" xr:uid="{AF789CE0-B1F1-4416-8675-4F107A69533D}"/>
    <hyperlink ref="J4046" r:id="rId16186" display="https://statiz.sporki.com/player/?m=playerinfo&amp;p_no=1033" xr:uid="{12A15C8B-6DDF-41E3-BF76-23C76D3E5932}"/>
    <hyperlink ref="J4047" r:id="rId16187" display="https://statiz.sporki.com/player/?m=playerinfo&amp;p_no=1074" xr:uid="{9D5B0835-4B95-4468-A72E-654DEE8A4538}"/>
    <hyperlink ref="J4048" r:id="rId16188" display="https://statiz.sporki.com/player/?m=playerinfo&amp;p_no=11476" xr:uid="{48462A59-CF89-4749-9DC4-50B0DF1D5321}"/>
    <hyperlink ref="K2" r:id="rId16189" display="https://statiz.sporki.com/add/?m=draft_school01&amp;ps_school=50107" xr:uid="{FC2FE350-493B-47D3-90AA-2D974365F09B}"/>
    <hyperlink ref="K3" r:id="rId16190" display="https://statiz.sporki.com/add/?m=draft_school01&amp;ps_school=50114" xr:uid="{080AD3EE-F4D0-4280-87CC-DBAB34EAA48B}"/>
    <hyperlink ref="K4" r:id="rId16191" display="https://statiz.sporki.com/add/?m=draft_school01&amp;ps_school=50116" xr:uid="{795D510A-404A-4079-9355-DA19B8CADEA9}"/>
    <hyperlink ref="K5" r:id="rId16192" display="https://statiz.sporki.com/add/?m=draft_school01&amp;ps_school=50802" xr:uid="{3473E784-6B06-43F1-894A-0D493D33221E}"/>
    <hyperlink ref="K6" r:id="rId16193" display="https://statiz.sporki.com/add/?m=draft_school01&amp;ps_school=50703" xr:uid="{7967AAA0-021B-4561-9674-E9B132E25FC9}"/>
    <hyperlink ref="K7" r:id="rId16194" display="https://statiz.sporki.com/add/?m=draft_school01&amp;ps_school=50903" xr:uid="{DA37A1E8-A48D-4753-9096-AF7F4C4BAAFA}"/>
    <hyperlink ref="K8" r:id="rId16195" display="https://statiz.sporki.com/add/?m=draft_school01&amp;ps_school=50802" xr:uid="{47265254-BAD2-4508-AD83-2FB3D2F90A92}"/>
    <hyperlink ref="K9" r:id="rId16196" display="https://statiz.sporki.com/add/?m=draft_school01&amp;ps_school=50209" xr:uid="{F4D63EB8-7A69-4D75-B7C9-A373F9C519A5}"/>
    <hyperlink ref="K10" r:id="rId16197" display="https://statiz.sporki.com/add/?m=draft_school01&amp;ps_school=50403" xr:uid="{40377B72-9C06-459C-9B3E-3D053FB05D9B}"/>
    <hyperlink ref="K11" r:id="rId16198" display="https://statiz.sporki.com/add/?m=draft_school01&amp;ps_school=50703" xr:uid="{1597A166-18A6-4EB6-9DA0-78F0C8438B74}"/>
    <hyperlink ref="K12" r:id="rId16199" display="https://statiz.sporki.com/add/?m=draft_school01&amp;ps_school=50403" xr:uid="{A1E220D4-BAFD-41E7-9CD4-138B51E5956B}"/>
    <hyperlink ref="K13" r:id="rId16200" display="https://statiz.sporki.com/add/?m=draft_school01&amp;ps_school=50114" xr:uid="{485D3DE1-2B42-408A-A42C-059BDE5E0919}"/>
    <hyperlink ref="K14" r:id="rId16201" display="https://statiz.sporki.com/add/?m=draft_school01&amp;ps_school=50111" xr:uid="{4B74079E-5657-4AC7-97B4-D01B7FF85DA6}"/>
    <hyperlink ref="K15" r:id="rId16202" display="https://statiz.sporki.com/add/?m=draft_school01&amp;ps_school=50701" xr:uid="{D8914F83-BB6D-4590-B783-DEA664E80B23}"/>
    <hyperlink ref="K16" r:id="rId16203" display="https://statiz.sporki.com/add/?m=draft_school01&amp;ps_school=50402" xr:uid="{644B07E0-5BC0-46F8-AA5C-B2B06262C21E}"/>
    <hyperlink ref="K17" r:id="rId16204" display="https://statiz.sporki.com/add/?m=draft_school01&amp;ps_school=50109" xr:uid="{CD002A44-6D49-4675-A75A-4FF0ECC414B6}"/>
    <hyperlink ref="K18" r:id="rId16205" display="https://statiz.sporki.com/add/?m=draft_school01&amp;ps_school=50108" xr:uid="{386F6CCF-515A-4088-AE80-ADE473840DC9}"/>
    <hyperlink ref="K19" r:id="rId16206" display="https://statiz.sporki.com/add/?m=draft_school01&amp;ps_school=50502" xr:uid="{7BDF6FF2-4816-4D53-AB15-92888B539197}"/>
    <hyperlink ref="K20" r:id="rId16207" display="https://statiz.sporki.com/add/?m=draft_school01&amp;ps_school=50809" xr:uid="{320897F2-4E47-4982-8E70-53C54DB366DE}"/>
    <hyperlink ref="K21" r:id="rId16208" display="https://statiz.sporki.com/add/?m=draft_school01&amp;ps_school=50111" xr:uid="{F64B048F-B10C-4086-8BA3-417F5700F698}"/>
    <hyperlink ref="K22" r:id="rId16209" display="https://statiz.sporki.com/add/?m=draft_school01&amp;ps_school=50111" xr:uid="{9BE53854-10A4-40C5-BFE4-870E9FA17AA5}"/>
    <hyperlink ref="K23" r:id="rId16210" display="https://statiz.sporki.com/add/?m=draft_school01&amp;ps_school=50116" xr:uid="{6C8061D4-6CF8-4E88-9B3E-9169102C31CF}"/>
    <hyperlink ref="K24" r:id="rId16211" display="https://statiz.sporki.com/add/?m=draft_school01&amp;ps_school=50301" xr:uid="{AB8541B0-7126-4BBE-9267-7722B08279B7}"/>
    <hyperlink ref="K25" r:id="rId16212" display="https://statiz.sporki.com/add/?m=draft_school01&amp;ps_school=50803" xr:uid="{2C5A468C-8F5A-4E4A-9651-46BAF4B3C97F}"/>
    <hyperlink ref="K26" r:id="rId16213" display="https://statiz.sporki.com/add/?m=draft_school01&amp;ps_school=50802" xr:uid="{F462A14C-066B-4ECB-B4ED-444B29134CBF}"/>
    <hyperlink ref="K27" r:id="rId16214" display="https://statiz.sporki.com/add/?m=draft_school01&amp;ps_school=50802" xr:uid="{F9EC2BB2-6C93-4395-83B7-CC6052AEB462}"/>
    <hyperlink ref="K28" r:id="rId16215" display="https://statiz.sporki.com/add/?m=draft_school01&amp;ps_school=50215" xr:uid="{3BF48ACA-1FB6-4BAD-B4ED-14047C7BB769}"/>
    <hyperlink ref="K29" r:id="rId16216" display="https://statiz.sporki.com/add/?m=draft_school01&amp;ps_school=50119" xr:uid="{9437B68A-8CA9-435D-956F-36758EA13DC2}"/>
    <hyperlink ref="K30" r:id="rId16217" display="https://statiz.sporki.com/add/?m=draft_school01&amp;ps_school=50403" xr:uid="{A7408CE2-A2C9-4C26-91B3-2AEDC7F72DB6}"/>
    <hyperlink ref="K31" r:id="rId16218" display="https://statiz.sporki.com/add/?m=draft_school01&amp;ps_school=50802" xr:uid="{001C4E51-C55E-4D41-9323-B5ED4FD4C48D}"/>
    <hyperlink ref="K32" r:id="rId16219" display="https://statiz.sporki.com/add/?m=draft_school01&amp;ps_school=50803" xr:uid="{69881606-4CC6-434C-971A-3B8EA03ADEAF}"/>
    <hyperlink ref="K33" r:id="rId16220" display="https://statiz.sporki.com/add/?m=draft_school01&amp;ps_school=50807" xr:uid="{639BCA16-3683-4717-907A-4BC300CE0B7D}"/>
    <hyperlink ref="K34" r:id="rId16221" display="https://statiz.sporki.com/add/?m=draft_school01&amp;ps_school=50701" xr:uid="{96417F93-ACF9-4B58-8B8C-0C1C8C913BBC}"/>
    <hyperlink ref="K35" r:id="rId16222" display="https://statiz.sporki.com/add/?m=draft_school01&amp;ps_school=50110" xr:uid="{9BA16892-4B46-4D8C-B3C8-7681ACF210A8}"/>
    <hyperlink ref="K36" r:id="rId16223" display="https://statiz.sporki.com/add/?m=draft_school01&amp;ps_school=50101" xr:uid="{F832A669-4437-4BA3-882E-88BD3F7A18DA}"/>
    <hyperlink ref="K37" r:id="rId16224" display="https://statiz.sporki.com/add/?m=draft_school01&amp;ps_school=50103" xr:uid="{51B37A7A-2F1D-490B-82C9-C4868DD50154}"/>
    <hyperlink ref="K38" r:id="rId16225" display="https://statiz.sporki.com/add/?m=draft_school01&amp;ps_school=50107" xr:uid="{E0C6B577-5485-41C7-9E5B-E1F340B5C0E6}"/>
    <hyperlink ref="K39" r:id="rId16226" display="https://statiz.sporki.com/add/?m=draft_school01&amp;ps_school=50111" xr:uid="{05358D88-7F7C-4928-BE83-5FA9DD83EEA8}"/>
    <hyperlink ref="K40" r:id="rId16227" display="https://statiz.sporki.com/add/?m=draft_school01&amp;ps_school=50102" xr:uid="{E9E1E972-CB88-44C6-A642-B54C911F4490}"/>
    <hyperlink ref="K41" r:id="rId16228" display="https://statiz.sporki.com/add/?m=draft_school01&amp;ps_school=50108" xr:uid="{75C0531A-BA4C-4394-9456-6AF329341509}"/>
    <hyperlink ref="K42" r:id="rId16229" display="https://statiz.sporki.com/add/?m=draft_school01&amp;ps_school=50402" xr:uid="{30A98312-6CCC-43B0-BEAD-651712699CAD}"/>
    <hyperlink ref="K43" r:id="rId16230" display="https://statiz.sporki.com/add/?m=draft_school01&amp;ps_school=50401" xr:uid="{EFA68E6D-E475-493B-B6D6-26554C348B32}"/>
    <hyperlink ref="K44" r:id="rId16231" display="https://statiz.sporki.com/add/?m=draft_school01&amp;ps_school=50301" xr:uid="{C829FF48-67C2-406A-966B-209107F433D8}"/>
    <hyperlink ref="K45" r:id="rId16232" display="https://statiz.sporki.com/add/?m=draft_school01&amp;ps_school=50105" xr:uid="{80923616-76DE-4236-A594-F3F246A3B894}"/>
    <hyperlink ref="K46" r:id="rId16233" display="https://statiz.sporki.com/add/?m=draft_school01&amp;ps_school=50605" xr:uid="{676871AA-78A4-4695-B600-96FC1209C382}"/>
    <hyperlink ref="K47" r:id="rId16234" display="https://statiz.sporki.com/add/?m=draft_school01&amp;ps_school=50110" xr:uid="{57CC7B55-976A-4BCC-8A57-4675C48E80C4}"/>
    <hyperlink ref="K48" r:id="rId16235" display="https://statiz.sporki.com/add/?m=draft_school01&amp;ps_school=50404" xr:uid="{2D966CD0-49A3-4291-A52D-58F9362DD099}"/>
    <hyperlink ref="K49" r:id="rId16236" display="https://statiz.sporki.com/add/?m=draft_school01&amp;ps_school=50806" xr:uid="{115B7812-0E40-4CEF-B2FE-19F26413D7D9}"/>
    <hyperlink ref="K50" r:id="rId16237" display="https://statiz.sporki.com/add/?m=draft_school01&amp;ps_school=50802" xr:uid="{A91E3FF3-CB9F-41DE-AB92-5EA7F0EC85CF}"/>
    <hyperlink ref="K51" r:id="rId16238" display="https://statiz.sporki.com/add/?m=draft_school01&amp;ps_school=50805" xr:uid="{C41E09D5-95A8-441B-9BC7-97A041AFD3F7}"/>
    <hyperlink ref="K52" r:id="rId16239" display="https://statiz.sporki.com/add/?m=draft_school01&amp;ps_school=50402" xr:uid="{34DBED0D-0543-4DBC-8F10-E36B4BBB9473}"/>
    <hyperlink ref="K53" r:id="rId16240" display="https://statiz.sporki.com/add/?m=draft_school01&amp;ps_school=50601" xr:uid="{B639FEFC-EA28-412E-B091-95004C67EC46}"/>
    <hyperlink ref="K54" r:id="rId16241" display="https://statiz.sporki.com/add/?m=draft_school01&amp;ps_school=50114" xr:uid="{1468F665-B595-4243-A6B8-7D1297AA8AF5}"/>
    <hyperlink ref="K55" r:id="rId16242" display="https://statiz.sporki.com/add/?m=draft_school01&amp;ps_school=50802" xr:uid="{0F64A018-AB64-4C98-9AE9-443FF3ECF5AD}"/>
    <hyperlink ref="K56" r:id="rId16243" display="https://statiz.sporki.com/add/?m=draft_school01&amp;ps_school=50207" xr:uid="{FE32DBCD-661D-4484-89B1-A8C1EB583897}"/>
    <hyperlink ref="K57" r:id="rId16244" display="https://statiz.sporki.com/add/?m=draft_school01&amp;ps_school=50114" xr:uid="{1C27D360-D056-434E-8B93-A07F137CC660}"/>
    <hyperlink ref="K58" r:id="rId16245" display="https://statiz.sporki.com/add/?m=draft_school01&amp;ps_school=50215" xr:uid="{20257B60-41BF-4BF0-A7AA-93D095258FFD}"/>
    <hyperlink ref="K59" r:id="rId16246" display="https://statiz.sporki.com/add/?m=draft_school01&amp;ps_school=50212" xr:uid="{E6E7BE4B-84EA-4CEE-975F-81A32290A3A4}"/>
    <hyperlink ref="K60" r:id="rId16247" display="https://statiz.sporki.com/add/?m=draft_school01&amp;ps_school=50602" xr:uid="{833E5E24-C15A-454D-AB3C-67A10644A03E}"/>
    <hyperlink ref="K61" r:id="rId16248" display="https://statiz.sporki.com/add/?m=draft_school01&amp;ps_school=50116" xr:uid="{3D4CE7B5-C3A1-42FB-AFDC-AD660F4B0CAF}"/>
    <hyperlink ref="K62" r:id="rId16249" display="https://statiz.sporki.com/add/?m=draft_school01&amp;ps_school=50402" xr:uid="{A8BED178-4AFC-405A-9D97-61576B1C18C7}"/>
    <hyperlink ref="K63" r:id="rId16250" display="https://statiz.sporki.com/add/?m=draft_school01&amp;ps_school=50116" xr:uid="{35CF2F44-3DFF-4206-A4DD-9AD7DA364BF2}"/>
    <hyperlink ref="K64" r:id="rId16251" display="https://statiz.sporki.com/add/?m=draft_school01&amp;ps_school=50113" xr:uid="{BF54759F-A119-46D2-8A20-BB92DBB953A2}"/>
    <hyperlink ref="K65" r:id="rId16252" display="https://statiz.sporki.com/add/?m=draft_school01&amp;ps_school=50803" xr:uid="{EDEB9F10-5079-44E4-ADE1-FA5922D1DD2F}"/>
    <hyperlink ref="K66" r:id="rId16253" display="https://statiz.sporki.com/add/?m=draft_school01&amp;ps_school=50403" xr:uid="{91B03FF9-1847-4755-8BFD-8B871E4789ED}"/>
    <hyperlink ref="K67" r:id="rId16254" display="https://statiz.sporki.com/add/?m=draft_school01&amp;ps_school=50402" xr:uid="{97064C84-DCC4-432B-AE65-0C1622DDCFB5}"/>
    <hyperlink ref="K68" r:id="rId16255" display="https://statiz.sporki.com/add/?m=draft_school01&amp;ps_school=50807" xr:uid="{CD581F2F-E94C-42A5-B0E6-2ACEBB731BB8}"/>
    <hyperlink ref="K69" r:id="rId16256" display="https://statiz.sporki.com/add/?m=draft_school01&amp;ps_school=50602" xr:uid="{5CC82805-E57B-4012-AE64-5381DC3AC66A}"/>
    <hyperlink ref="K70" r:id="rId16257" display="https://statiz.sporki.com/add/?m=draft_school01&amp;ps_school=50805" xr:uid="{C8915CD6-20A8-47F5-B692-51A76406F37F}"/>
    <hyperlink ref="K71" r:id="rId16258" display="https://statiz.sporki.com/add/?m=draft_school01&amp;ps_school=50604" xr:uid="{E3833C43-0C14-475F-84D2-B39776E6F9F9}"/>
    <hyperlink ref="K72" r:id="rId16259" display="https://statiz.sporki.com/add/?m=draft_school01&amp;ps_school=50219" xr:uid="{A22C1599-D67A-4C4E-B92F-C64C517EA10D}"/>
    <hyperlink ref="K73" r:id="rId16260" display="https://statiz.sporki.com/add/?m=draft_school01&amp;ps_school=50206" xr:uid="{1D8E58B3-CBD8-4F2C-B134-021246748510}"/>
    <hyperlink ref="K74" r:id="rId16261" display="https://statiz.sporki.com/add/?m=draft_school01&amp;ps_school=50901" xr:uid="{63F53309-C021-4EEC-80DC-694396350E1B}"/>
    <hyperlink ref="K75" r:id="rId16262" display="https://statiz.sporki.com/add/?m=draft_school01&amp;ps_school=50701" xr:uid="{950F5FAF-81F4-4B41-8BD8-5FF1382B5612}"/>
    <hyperlink ref="K76" r:id="rId16263" display="https://statiz.sporki.com/add/?m=draft_school01&amp;ps_school=50219" xr:uid="{2B707034-9CCB-4CB1-ADB6-6F9C12524631}"/>
    <hyperlink ref="K77" r:id="rId16264" display="https://statiz.sporki.com/add/?m=draft_school01&amp;ps_school=50215" xr:uid="{1A6295CC-1AFE-4903-9F6A-C63DFFB9289B}"/>
    <hyperlink ref="K78" r:id="rId16265" display="https://statiz.sporki.com/add/?m=draft_school01&amp;ps_school=50110" xr:uid="{3D7585BF-6319-47FF-A83E-0BBCA0BAD3AB}"/>
    <hyperlink ref="K79" r:id="rId16266" display="https://statiz.sporki.com/add/?m=draft_school01&amp;ps_school=50219" xr:uid="{5D3A6E95-875F-40ED-8BBC-328578ED80AF}"/>
    <hyperlink ref="K80" r:id="rId16267" display="https://statiz.sporki.com/add/?m=draft_school01&amp;ps_school=50807" xr:uid="{79878E4F-F76F-4A39-BC4A-2F53D9756871}"/>
    <hyperlink ref="K81" r:id="rId16268" display="https://statiz.sporki.com/add/?m=draft_school01&amp;ps_school=50701" xr:uid="{DD1AEBF9-816E-4C93-ADBC-E9DB464F6448}"/>
    <hyperlink ref="K82" r:id="rId16269" display="https://statiz.sporki.com/add/?m=draft_school01&amp;ps_school=50801" xr:uid="{BE19845A-D883-4EA4-89F7-B52118A76A78}"/>
    <hyperlink ref="K83" r:id="rId16270" display="https://statiz.sporki.com/add/?m=draft_school01&amp;ps_school=50107" xr:uid="{90F40D01-09F8-4D40-9246-F1A90930F72C}"/>
    <hyperlink ref="K84" r:id="rId16271" display="https://statiz.sporki.com/add/?m=draft_school01&amp;ps_school=50805" xr:uid="{B2EA1AA4-A6C6-4103-BD8B-1EBB04C0F875}"/>
    <hyperlink ref="K85" r:id="rId16272" display="https://statiz.sporki.com/add/?m=draft_school01&amp;ps_school=50110" xr:uid="{3A4D23CE-FFE5-45DB-8DAA-549B557F4B2F}"/>
    <hyperlink ref="K86" r:id="rId16273" display="https://statiz.sporki.com/add/?m=draft_school01&amp;ps_school=50106" xr:uid="{185EDDA1-C0A6-47ED-B99B-CDE3605CA01C}"/>
    <hyperlink ref="K87" r:id="rId16274" display="https://statiz.sporki.com/add/?m=draft_school01&amp;ps_school=50208" xr:uid="{1B5F8DCC-6B44-4B9E-8544-31BD1266B71E}"/>
    <hyperlink ref="K88" r:id="rId16275" display="https://statiz.sporki.com/add/?m=draft_school01&amp;ps_school=50109" xr:uid="{0415B173-0AE3-4714-B087-975F996D4F5B}"/>
    <hyperlink ref="K89" r:id="rId16276" display="https://statiz.sporki.com/add/?m=draft_school01&amp;ps_school=50208" xr:uid="{4182C283-CD54-4C6E-9D11-9ADFED503A55}"/>
    <hyperlink ref="K90" r:id="rId16277" display="https://statiz.sporki.com/add/?m=draft_school01&amp;ps_school=50101" xr:uid="{8C38BEBB-BB96-4001-AE27-42EBA6998071}"/>
    <hyperlink ref="K91" r:id="rId16278" display="https://statiz.sporki.com/add/?m=draft_school01&amp;ps_school=50219" xr:uid="{01165B62-CDE1-4ECF-986F-788064DFFD3E}"/>
    <hyperlink ref="K92" r:id="rId16279" display="https://statiz.sporki.com/add/?m=draft_school01&amp;ps_school=50210" xr:uid="{18E1F0AD-1C50-45EA-A2D0-93FAC48CC002}"/>
    <hyperlink ref="K93" r:id="rId16280" display="https://statiz.sporki.com/add/?m=draft_school01&amp;ps_school=50101" xr:uid="{9756AB5D-6839-4D85-A187-C01BD00E411E}"/>
    <hyperlink ref="K94" r:id="rId16281" display="https://statiz.sporki.com/add/?m=draft_school01&amp;ps_school=50501" xr:uid="{1B272C46-C944-4765-A54B-DECEB9E78B90}"/>
    <hyperlink ref="K95" r:id="rId16282" display="https://statiz.sporki.com/add/?m=draft_school01&amp;ps_school=50701" xr:uid="{F56BCBAB-A01F-4EFD-AE9B-0AA0E73E80D3}"/>
    <hyperlink ref="K96" r:id="rId16283" display="https://statiz.sporki.com/add/?m=draft_school01&amp;ps_school=50109" xr:uid="{9EAB667A-C0BD-4DC0-B479-769941F69D27}"/>
    <hyperlink ref="K97" r:id="rId16284" display="https://statiz.sporki.com/add/?m=draft_school01&amp;ps_school=50106" xr:uid="{B4A620F1-435D-4DDA-8966-8970B6A954AB}"/>
    <hyperlink ref="K98" r:id="rId16285" display="https://statiz.sporki.com/add/?m=draft_school01&amp;ps_school=50105" xr:uid="{5E654EB6-8F58-4A55-88D0-F03B07D9A9DA}"/>
    <hyperlink ref="K99" r:id="rId16286" display="https://statiz.sporki.com/add/?m=draft_school01&amp;ps_school=50703" xr:uid="{1588BA2F-7B92-4DC3-9265-D6E5DFA1C8BD}"/>
    <hyperlink ref="K100" r:id="rId16287" display="https://statiz.sporki.com/add/?m=draft_school01&amp;ps_school=50108" xr:uid="{93E1524B-A7F7-4E6F-A231-D5DD38866C14}"/>
    <hyperlink ref="K101" r:id="rId16288" display="https://statiz.sporki.com/add/?m=draft_school01&amp;ps_school=50901" xr:uid="{C28B2123-B242-461B-AD68-98605A70C14B}"/>
    <hyperlink ref="K102" r:id="rId16289" display="https://statiz.sporki.com/add/?m=draft_school01&amp;ps_school=50209" xr:uid="{EF94D142-7393-4476-B9AC-F94F0E8BDFBA}"/>
    <hyperlink ref="K103" r:id="rId16290" display="https://statiz.sporki.com/add/?m=draft_school01&amp;ps_school=50606" xr:uid="{A2E113FB-8638-479C-B7EE-D3A9AE44F14B}"/>
    <hyperlink ref="K104" r:id="rId16291" display="https://statiz.sporki.com/add/?m=draft_school01&amp;ps_school=50301" xr:uid="{BFC7E3C1-041C-46A9-BF05-4564785C025A}"/>
    <hyperlink ref="K105" r:id="rId16292" display="https://statiz.sporki.com/add/?m=draft_school01&amp;ps_school=50605" xr:uid="{AE836864-5D1B-4ECE-B967-6BA055B43173}"/>
    <hyperlink ref="K106" r:id="rId16293" display="https://statiz.sporki.com/add/?m=draft_school01&amp;ps_school=50103" xr:uid="{8BA940A6-F703-4CC7-90FB-55254D1C0DF4}"/>
    <hyperlink ref="K107" r:id="rId16294" display="https://statiz.sporki.com/add/?m=draft_school01&amp;ps_school=50302" xr:uid="{290ABEE0-89CA-41E8-880A-774C854D379C}"/>
    <hyperlink ref="K108" r:id="rId16295" display="https://statiz.sporki.com/add/?m=draft_school01&amp;ps_school=50116" xr:uid="{4A8EEB88-2478-4D1F-95D5-CC44B710BD19}"/>
    <hyperlink ref="K109" r:id="rId16296" display="https://statiz.sporki.com/add/?m=draft_school01&amp;ps_school=50211" xr:uid="{FB8F36EA-1A33-4A7B-92C7-CE6CEF2BE227}"/>
    <hyperlink ref="K134" r:id="rId16297" display="https://statiz.sporki.com/add/?m=draft_school01&amp;ps_school=50215" xr:uid="{B5A9FAD3-640E-4B58-A4BF-CB55505CB092}"/>
    <hyperlink ref="K135" r:id="rId16298" display="https://statiz.sporki.com/add/?m=draft_school01&amp;ps_school=50107" xr:uid="{6A024D1A-8574-4C89-9374-628C8214F0FF}"/>
    <hyperlink ref="K136" r:id="rId16299" display="https://statiz.sporki.com/add/?m=draft_school01&amp;ps_school=50207" xr:uid="{7C881B51-54BA-4E1C-B7A1-CFC422078ECA}"/>
    <hyperlink ref="K137" r:id="rId16300" display="https://statiz.sporki.com/add/?m=draft_school01&amp;ps_school=50703" xr:uid="{4CD3929B-5D4A-4506-84CC-FD66DCF5D824}"/>
    <hyperlink ref="K138" r:id="rId16301" display="https://statiz.sporki.com/add/?m=draft_school01&amp;ps_school=50116" xr:uid="{90B57D7C-1FDA-4552-B2EB-D5DFAB84F269}"/>
    <hyperlink ref="K139" r:id="rId16302" display="https://statiz.sporki.com/add/?m=draft_school01&amp;ps_school=50802" xr:uid="{7FB5677B-DA2C-4BBA-ABF7-5F7A7E849006}"/>
    <hyperlink ref="K140" r:id="rId16303" display="https://statiz.sporki.com/add/?m=draft_school01&amp;ps_school=50211" xr:uid="{D361D0C5-4033-44EB-BA4C-6C5025D35AB7}"/>
    <hyperlink ref="K141" r:id="rId16304" display="https://statiz.sporki.com/add/?m=draft_school01&amp;ps_school=50710" xr:uid="{BBA36EB8-FC2C-4B57-A477-DF9CE64CB75D}"/>
    <hyperlink ref="K142" r:id="rId16305" display="https://statiz.sporki.com/add/?m=draft_school01&amp;ps_school=50703" xr:uid="{5B85A9E4-778B-4E9E-A1A7-730CAF00A71F}"/>
    <hyperlink ref="K143" r:id="rId16306" display="https://statiz.sporki.com/add/?m=draft_school01&amp;ps_school=50105" xr:uid="{06D9E503-164B-4E18-A508-0A823E4B42E2}"/>
    <hyperlink ref="K144" r:id="rId16307" display="https://statiz.sporki.com/add/?m=draft_school01&amp;ps_school=50113" xr:uid="{A9D81946-9549-4E9B-991E-F6FA6B172B98}"/>
    <hyperlink ref="K145" r:id="rId16308" display="https://statiz.sporki.com/add/?m=draft_school01&amp;ps_school=50208" xr:uid="{DFD7F012-43AC-4A7B-8A2A-2BAD485BFCA3}"/>
    <hyperlink ref="K146" r:id="rId16309" display="https://statiz.sporki.com/add/?m=draft_school01&amp;ps_school=50216" xr:uid="{57E1F949-E12F-41F8-AABB-3EB3883D4B4F}"/>
    <hyperlink ref="K147" r:id="rId16310" display="https://statiz.sporki.com/add/?m=draft_school01&amp;ps_school=50903" xr:uid="{65E092C8-91E9-4963-A652-6FC875E6EC9A}"/>
    <hyperlink ref="K148" r:id="rId16311" display="https://statiz.sporki.com/add/?m=draft_school01&amp;ps_school=50702" xr:uid="{BD15ACA0-8FCC-40F0-B31D-6B10C5AB4B7D}"/>
    <hyperlink ref="K149" r:id="rId16312" display="https://statiz.sporki.com/add/?m=draft_school01&amp;ps_school=50107" xr:uid="{4F383888-791A-47AC-A665-41BE88C279A1}"/>
    <hyperlink ref="K150" r:id="rId16313" display="https://statiz.sporki.com/add/?m=draft_school01&amp;ps_school=50402" xr:uid="{FF086DBC-4C13-4290-87E0-0109CCC248BE}"/>
    <hyperlink ref="K151" r:id="rId16314" display="https://statiz.sporki.com/add/?m=draft_school01&amp;ps_school=50606" xr:uid="{0F896E91-6F8C-4F16-A509-3971169FE448}"/>
    <hyperlink ref="K152" r:id="rId16315" display="https://statiz.sporki.com/add/?m=draft_school01&amp;ps_school=50602" xr:uid="{44EAB9E2-D93F-428E-80A0-891C6A530872}"/>
    <hyperlink ref="K153" r:id="rId16316" display="https://statiz.sporki.com/add/?m=draft_school01&amp;ps_school=50601" xr:uid="{9C5B0BCD-FE24-4108-BED7-8A7F551CD3E9}"/>
    <hyperlink ref="K154" r:id="rId16317" display="https://statiz.sporki.com/add/?m=draft_school01&amp;ps_school=50301" xr:uid="{F1ADF2EE-44E8-43A4-877F-C55D75006677}"/>
    <hyperlink ref="K155" r:id="rId16318" display="https://statiz.sporki.com/add/?m=draft_school01&amp;ps_school=50302" xr:uid="{F72BD821-687E-45E6-BF5C-F2BA387B8929}"/>
    <hyperlink ref="K156" r:id="rId16319" display="https://statiz.sporki.com/add/?m=draft_school01&amp;ps_school=50105" xr:uid="{B04D303D-1386-477E-A502-85C1067ABA45}"/>
    <hyperlink ref="K157" r:id="rId16320" display="https://statiz.sporki.com/add/?m=draft_school01&amp;ps_school=50111" xr:uid="{6753EA54-B985-4496-9B7A-D4E88DE7FD50}"/>
    <hyperlink ref="K158" r:id="rId16321" display="https://statiz.sporki.com/add/?m=draft_school01&amp;ps_school=50602" xr:uid="{81081E0C-C6D1-44A9-ACF1-612538EFC8CE}"/>
    <hyperlink ref="K159" r:id="rId16322" display="https://statiz.sporki.com/add/?m=draft_school01&amp;ps_school=50202" xr:uid="{88AAD3E9-07E6-401C-B5D8-C729F95187E9}"/>
    <hyperlink ref="K160" r:id="rId16323" display="https://statiz.sporki.com/add/?m=draft_school01&amp;ps_school=50601" xr:uid="{F0F9BB05-EDA3-4702-AD7B-7C02284F2CFC}"/>
    <hyperlink ref="K161" r:id="rId16324" display="https://statiz.sporki.com/add/?m=draft_school01&amp;ps_school=50208" xr:uid="{238D8464-146A-4EA0-A717-3C3576242692}"/>
    <hyperlink ref="K162" r:id="rId16325" display="https://statiz.sporki.com/add/?m=draft_school01&amp;ps_school=50109" xr:uid="{4506AE38-7C32-4F7A-B8AD-678F5549E325}"/>
    <hyperlink ref="K163" r:id="rId16326" display="https://statiz.sporki.com/add/?m=draft_school01&amp;ps_school=50807" xr:uid="{8963841B-D4B1-4C34-A0F8-1E3C459026FD}"/>
    <hyperlink ref="K164" r:id="rId16327" display="https://statiz.sporki.com/add/?m=draft_school01&amp;ps_school=50209" xr:uid="{540A6CFB-48AD-4724-962B-EB36AD4CC714}"/>
    <hyperlink ref="K165" r:id="rId16328" display="https://statiz.sporki.com/add/?m=draft_school01&amp;ps_school=50107" xr:uid="{B6F9EB4B-8F3D-46B3-916F-8483AD42716D}"/>
    <hyperlink ref="K166" r:id="rId16329" display="https://statiz.sporki.com/add/?m=draft_school01&amp;ps_school=50801" xr:uid="{38277527-92D0-4AB5-8619-52CE2AA8B166}"/>
    <hyperlink ref="K167" r:id="rId16330" display="https://statiz.sporki.com/add/?m=draft_school01&amp;ps_school=50107" xr:uid="{D40ADCBE-8E1C-438B-9EA6-A02B4968EC01}"/>
    <hyperlink ref="K168" r:id="rId16331" display="https://statiz.sporki.com/add/?m=draft_school01&amp;ps_school=50107" xr:uid="{0CC4FF92-86A5-45AE-B907-4EAC621039E7}"/>
    <hyperlink ref="K169" r:id="rId16332" display="https://statiz.sporki.com/add/?m=draft_school01&amp;ps_school=50604" xr:uid="{463EC05E-F3D8-4864-8D88-1E1F838CA86F}"/>
    <hyperlink ref="K170" r:id="rId16333" display="https://statiz.sporki.com/add/?m=draft_school01&amp;ps_school=50901" xr:uid="{0DCD4FFA-4E36-4062-82E2-C9C5B329EEC6}"/>
    <hyperlink ref="K171" r:id="rId16334" display="https://statiz.sporki.com/add/?m=draft_school01&amp;ps_school=50208" xr:uid="{00644A06-5BD8-41F4-9FBE-4F666DCB8F94}"/>
    <hyperlink ref="K172" r:id="rId16335" display="https://statiz.sporki.com/add/?m=draft_school01&amp;ps_school=50802" xr:uid="{838FEDFB-F0A6-4EF2-BF1F-2152B7856893}"/>
    <hyperlink ref="K173" r:id="rId16336" display="https://statiz.sporki.com/add/?m=draft_school01&amp;ps_school=50212" xr:uid="{012581DF-0215-44AD-8585-F9273EF2F1AF}"/>
    <hyperlink ref="K174" r:id="rId16337" display="https://statiz.sporki.com/add/?m=draft_school01&amp;ps_school=50601" xr:uid="{BF8941EB-6CD0-441A-8996-71EC8072EEAB}"/>
    <hyperlink ref="K175" r:id="rId16338" display="https://statiz.sporki.com/add/?m=draft_school01&amp;ps_school=50501" xr:uid="{32275D41-4824-4C69-8970-0F8BAA9B34D1}"/>
    <hyperlink ref="K176" r:id="rId16339" display="https://statiz.sporki.com/add/?m=draft_school01&amp;ps_school=50107" xr:uid="{A009CD21-5B62-40F7-B4B0-75D030890FAB}"/>
    <hyperlink ref="K177" r:id="rId16340" display="https://statiz.sporki.com/add/?m=draft_school01&amp;ps_school=50811" xr:uid="{1894FAAD-5CA5-4E1E-83D8-8549A8D33B1F}"/>
    <hyperlink ref="K178" r:id="rId16341" display="https://statiz.sporki.com/add/?m=draft_school01&amp;ps_school=50403" xr:uid="{5465E531-0560-47D5-BAED-8104781F2261}"/>
    <hyperlink ref="K179" r:id="rId16342" display="https://statiz.sporki.com/add/?m=draft_school01&amp;ps_school=50301" xr:uid="{E33558D8-6559-4DD0-85C8-6C2029473FA9}"/>
    <hyperlink ref="K180" r:id="rId16343" display="https://statiz.sporki.com/add/?m=draft_school01&amp;ps_school=50602" xr:uid="{D4C82810-AF16-4C48-9DCE-C227EACFA213}"/>
    <hyperlink ref="K181" r:id="rId16344" display="https://statiz.sporki.com/add/?m=draft_school01&amp;ps_school=50209" xr:uid="{C5ED9146-344C-45A5-9022-D58DB22B9886}"/>
    <hyperlink ref="K182" r:id="rId16345" display="https://statiz.sporki.com/add/?m=draft_school01&amp;ps_school=50117" xr:uid="{EA7A8739-6974-4B2D-9F56-24A4144B2C1D}"/>
    <hyperlink ref="K183" r:id="rId16346" display="https://statiz.sporki.com/add/?m=draft_school01&amp;ps_school=50103" xr:uid="{000157A8-9B8A-468D-B6D5-F5FD9E96AFE8}"/>
    <hyperlink ref="K184" r:id="rId16347" display="https://statiz.sporki.com/add/?m=draft_school01&amp;ps_school=50213" xr:uid="{4BD2E0FF-529E-4A13-8D73-A57D53EF0D28}"/>
    <hyperlink ref="K185" r:id="rId16348" display="https://statiz.sporki.com/add/?m=draft_school01&amp;ps_school=50802" xr:uid="{4AA6ADAD-9510-46BD-BF27-326EE80B458F}"/>
    <hyperlink ref="K186" r:id="rId16349" display="https://statiz.sporki.com/add/?m=draft_school01&amp;ps_school=50701" xr:uid="{AF870A2B-969E-4BE8-9564-744B0946451F}"/>
    <hyperlink ref="K187" r:id="rId16350" display="https://statiz.sporki.com/add/?m=draft_school01&amp;ps_school=51001" xr:uid="{53065D25-77C3-4800-8C24-382D1FCA9FCD}"/>
    <hyperlink ref="K188" r:id="rId16351" display="https://statiz.sporki.com/add/?m=draft_school01&amp;ps_school=50207" xr:uid="{25255783-4A44-403F-B756-2E34361AFD49}"/>
    <hyperlink ref="K189" r:id="rId16352" display="https://statiz.sporki.com/add/?m=draft_school01&amp;ps_school=50606" xr:uid="{7AC68530-FC7F-478D-A17A-6FFD804AA130}"/>
    <hyperlink ref="K190" r:id="rId16353" display="https://statiz.sporki.com/add/?m=draft_school01&amp;ps_school=50105" xr:uid="{AEA5A2B3-F1A6-4DCD-9F91-40224C64C3FB}"/>
    <hyperlink ref="K191" r:id="rId16354" display="https://statiz.sporki.com/add/?m=draft_school01&amp;ps_school=50108" xr:uid="{EC256542-C7DC-4584-B28C-C808ACC60D8B}"/>
    <hyperlink ref="K192" r:id="rId16355" display="https://statiz.sporki.com/add/?m=draft_school01&amp;ps_school=50602" xr:uid="{C812FE4D-4609-41BE-9E7B-4E5C9D2FA574}"/>
    <hyperlink ref="K193" r:id="rId16356" display="https://statiz.sporki.com/add/?m=draft_school01&amp;ps_school=50701" xr:uid="{D87ADC30-87EB-438F-9111-F6ED04554ACC}"/>
    <hyperlink ref="K194" r:id="rId16357" display="https://statiz.sporki.com/add/?m=draft_school01&amp;ps_school=50116" xr:uid="{C2AC6680-6071-4A71-A23A-CA61C6B86875}"/>
    <hyperlink ref="K195" r:id="rId16358" display="https://statiz.sporki.com/add/?m=draft_school01&amp;ps_school=50207" xr:uid="{4EC9FAA3-F013-426B-AAF6-CA894169F79F}"/>
    <hyperlink ref="K196" r:id="rId16359" display="https://statiz.sporki.com/add/?m=draft_school01&amp;ps_school=50901" xr:uid="{9B582B46-2610-4BE0-A637-132981887C0D}"/>
    <hyperlink ref="K197" r:id="rId16360" display="https://statiz.sporki.com/add/?m=draft_school01&amp;ps_school=50901" xr:uid="{9B3C6FD5-72CA-4B1B-A05B-58A45CC6E36B}"/>
    <hyperlink ref="K198" r:id="rId16361" display="https://statiz.sporki.com/add/?m=draft_school01&amp;ps_school=50602" xr:uid="{02F609E1-FAC5-475C-BF2D-03233F03D606}"/>
    <hyperlink ref="K199" r:id="rId16362" display="https://statiz.sporki.com/add/?m=draft_school01&amp;ps_school=50105" xr:uid="{17FFD13C-A7E5-4381-892B-5350E16A7F81}"/>
    <hyperlink ref="K200" r:id="rId16363" display="https://statiz.sporki.com/add/?m=draft_school01&amp;ps_school=50502" xr:uid="{139D7D95-E97D-4D9E-8D39-047B472EAE0C}"/>
    <hyperlink ref="K201" r:id="rId16364" display="https://statiz.sporki.com/add/?m=draft_school01&amp;ps_school=50803" xr:uid="{1CED90C8-6771-48CF-A038-2D3DCF344CA7}"/>
    <hyperlink ref="K202" r:id="rId16365" display="https://statiz.sporki.com/add/?m=draft_school01&amp;ps_school=50207" xr:uid="{31054D1C-2EA2-4173-9892-B0160CF1A225}"/>
    <hyperlink ref="K203" r:id="rId16366" display="https://statiz.sporki.com/add/?m=draft_school01&amp;ps_school=50401" xr:uid="{C88B21CF-287F-40A6-8EB2-E6F6EEAE17DF}"/>
    <hyperlink ref="K204" r:id="rId16367" display="https://statiz.sporki.com/add/?m=draft_school01&amp;ps_school=50208" xr:uid="{C1142CD6-5526-4120-A565-E27FC91100C9}"/>
    <hyperlink ref="K205" r:id="rId16368" display="https://statiz.sporki.com/add/?m=draft_school01&amp;ps_school=50504" xr:uid="{71A347F1-39E2-44E4-811B-A9FA95F4D1D0}"/>
    <hyperlink ref="K206" r:id="rId16369" display="https://statiz.sporki.com/add/?m=draft_school01&amp;ps_school=50217" xr:uid="{56CE8D36-7400-4BCE-A065-B9B4B0EE4C1A}"/>
    <hyperlink ref="K207" r:id="rId16370" display="https://statiz.sporki.com/add/?m=draft_school01&amp;ps_school=50802" xr:uid="{B3E99D3A-6187-4082-860E-EE40E451B559}"/>
    <hyperlink ref="K208" r:id="rId16371" display="https://statiz.sporki.com/add/?m=draft_school01&amp;ps_school=50805" xr:uid="{E435F51F-01A4-4C43-83A8-724751F244C4}"/>
    <hyperlink ref="K209" r:id="rId16372" display="https://statiz.sporki.com/add/?m=draft_school01&amp;ps_school=50403" xr:uid="{5F4A7480-5996-4302-B0B4-C273223DC5F9}"/>
    <hyperlink ref="K210" r:id="rId16373" display="https://statiz.sporki.com/add/?m=draft_school01&amp;ps_school=50101" xr:uid="{99BBF0E7-5104-4C38-B137-FE397167BF80}"/>
    <hyperlink ref="K211" r:id="rId16374" display="https://statiz.sporki.com/add/?m=draft_school01&amp;ps_school=50116" xr:uid="{C313E026-E65E-4D15-991C-6BDB113B3165}"/>
    <hyperlink ref="K212" r:id="rId16375" display="https://statiz.sporki.com/add/?m=draft_school01&amp;ps_school=50101" xr:uid="{FDF65319-80F7-4800-83BD-C06336D45ED1}"/>
    <hyperlink ref="K213" r:id="rId16376" display="https://statiz.sporki.com/add/?m=draft_school01&amp;ps_school=50905" xr:uid="{22C88906-855C-4F31-8DDB-438D9559EE6A}"/>
    <hyperlink ref="K214" r:id="rId16377" display="https://statiz.sporki.com/add/?m=draft_school01&amp;ps_school=50202" xr:uid="{438CEF08-E1C5-4DBD-A359-8867F88AA6BD}"/>
    <hyperlink ref="K215" r:id="rId16378" display="https://statiz.sporki.com/add/?m=draft_school01&amp;ps_school=50209" xr:uid="{8202F14B-274C-41D5-BBBF-81B7558550D3}"/>
    <hyperlink ref="K216" r:id="rId16379" display="https://statiz.sporki.com/add/?m=draft_school01&amp;ps_school=50103" xr:uid="{A18F393B-C0A2-42EE-B61D-F43BAF56A068}"/>
    <hyperlink ref="K217" r:id="rId16380" display="https://statiz.sporki.com/add/?m=draft_school01&amp;ps_school=50221" xr:uid="{749C92BA-2517-4135-A94C-B700CD8ED6EE}"/>
    <hyperlink ref="K218" r:id="rId16381" display="https://statiz.sporki.com/add/?m=draft_school01&amp;ps_school=50107" xr:uid="{52520B8A-1364-499B-9425-8758D9FF994A}"/>
    <hyperlink ref="K219" r:id="rId16382" display="https://statiz.sporki.com/add/?m=draft_school01&amp;ps_school=50111" xr:uid="{1F42BA23-D606-4C09-882C-9E8A68C2D190}"/>
    <hyperlink ref="K220" r:id="rId16383" display="https://statiz.sporki.com/add/?m=draft_school01&amp;ps_school=50106" xr:uid="{0C11EF6C-5AF2-46A4-B533-544D088C6E43}"/>
    <hyperlink ref="K221" r:id="rId16384" display="https://statiz.sporki.com/add/?m=draft_school01&amp;ps_school=50111" xr:uid="{D48489CE-F92E-407C-8C4B-061F3DCF345C}"/>
    <hyperlink ref="K222" r:id="rId16385" display="https://statiz.sporki.com/add/?m=draft_school01&amp;ps_school=50805" xr:uid="{F6363FCA-FFF7-4DBF-B39A-DAFA83A08C1E}"/>
    <hyperlink ref="K223" r:id="rId16386" display="https://statiz.sporki.com/add/?m=draft_school01&amp;ps_school=50114" xr:uid="{8169817A-D544-4FD2-8FEE-42A0FDF1FC57}"/>
    <hyperlink ref="K224" r:id="rId16387" display="https://statiz.sporki.com/add/?m=draft_school01&amp;ps_school=50401" xr:uid="{96EBDFD4-A87D-467C-8674-6913D973B5A2}"/>
    <hyperlink ref="K225" r:id="rId16388" display="https://statiz.sporki.com/add/?m=draft_school01&amp;ps_school=50807" xr:uid="{49C1D5A1-0A81-43F1-A962-CA2728BC4995}"/>
    <hyperlink ref="K226" r:id="rId16389" display="https://statiz.sporki.com/add/?m=draft_school01&amp;ps_school=50103" xr:uid="{D9A5257B-87A1-4152-A626-88230FCDED38}"/>
    <hyperlink ref="K227" r:id="rId16390" display="https://statiz.sporki.com/add/?m=draft_school01&amp;ps_school=50116" xr:uid="{856814D0-C534-4F9B-A69A-7EB596E611D0}"/>
    <hyperlink ref="K228" r:id="rId16391" display="https://statiz.sporki.com/add/?m=draft_school01&amp;ps_school=50301" xr:uid="{ED8A1471-EB25-4536-9472-FC82CB83C111}"/>
    <hyperlink ref="K229" r:id="rId16392" display="https://statiz.sporki.com/add/?m=draft_school01&amp;ps_school=50810" xr:uid="{C1A5E3AB-4F5F-4BEB-8A02-E81E1D7FDB1A}"/>
    <hyperlink ref="K230" r:id="rId16393" display="https://statiz.sporki.com/add/?m=draft_school01&amp;ps_school=50504" xr:uid="{DE1F7BFA-4CD5-4DAC-A58A-F8A2E112CABB}"/>
    <hyperlink ref="K231" r:id="rId16394" display="https://statiz.sporki.com/add/?m=draft_school01&amp;ps_school=50807" xr:uid="{56BA0A00-7865-4B02-A6FE-E22029DCEFA1}"/>
    <hyperlink ref="K232" r:id="rId16395" display="https://statiz.sporki.com/add/?m=draft_school01&amp;ps_school=50106" xr:uid="{9ABE981F-E365-4C7D-8DF2-1EC19AA65A46}"/>
    <hyperlink ref="K233" r:id="rId16396" display="https://statiz.sporki.com/add/?m=draft_school01&amp;ps_school=50105" xr:uid="{3AB02C70-01F4-4515-9361-EEA7725DD22A}"/>
    <hyperlink ref="K234" r:id="rId16397" display="https://statiz.sporki.com/add/?m=draft_school01&amp;ps_school=50105" xr:uid="{3D3A3339-AC1E-407E-ABCB-46555BCB1E3D}"/>
    <hyperlink ref="K235" r:id="rId16398" display="https://statiz.sporki.com/add/?m=draft_school01&amp;ps_school=50105" xr:uid="{80BE5673-F606-46FF-8D78-45FB9ABAEC03}"/>
    <hyperlink ref="K236" r:id="rId16399" display="https://statiz.sporki.com/add/?m=draft_school01&amp;ps_school=50210" xr:uid="{57DB4665-F7B5-4574-89BD-5B22C4DEF1D0}"/>
    <hyperlink ref="K237" r:id="rId16400" display="https://statiz.sporki.com/add/?m=draft_school01&amp;ps_school=50705" xr:uid="{BC2627C0-E8EF-4AB5-ABD4-B2D46E2EF401}"/>
    <hyperlink ref="K238" r:id="rId16401" display="https://statiz.sporki.com/add/?m=draft_school01&amp;ps_school=50116" xr:uid="{E8DE68AC-E161-49E3-96C2-F99E738FCFED}"/>
    <hyperlink ref="K239" r:id="rId16402" display="https://statiz.sporki.com/add/?m=draft_school01&amp;ps_school=50804" xr:uid="{EBA206EA-9F34-4578-A510-55DD192E3EB1}"/>
    <hyperlink ref="K240" r:id="rId16403" display="https://statiz.sporki.com/add/?m=draft_school01&amp;ps_school=50502" xr:uid="{5F7E21DF-15A8-4BAF-8F3D-52A79F030F14}"/>
    <hyperlink ref="K241" r:id="rId16404" display="https://statiz.sporki.com/add/?m=draft_school01&amp;ps_school=50701" xr:uid="{1B2AB2A8-F927-419C-BFAE-DF1BA504A2EE}"/>
    <hyperlink ref="K242" r:id="rId16405" display="https://statiz.sporki.com/add/?m=draft_school01&amp;ps_school=50107" xr:uid="{5D230B76-6CDD-4B9C-9E3F-69A83DDDBC04}"/>
    <hyperlink ref="K243" r:id="rId16406" display="https://statiz.sporki.com/add/?m=draft_school01&amp;ps_school=50705" xr:uid="{014B5E45-54A6-41C0-901F-3173D59F53A0}"/>
    <hyperlink ref="K244" r:id="rId16407" display="https://statiz.sporki.com/add/?m=draft_school01&amp;ps_school=50901" xr:uid="{4342F33D-95A0-4212-AAE4-A318AD62E95E}"/>
    <hyperlink ref="K245" r:id="rId16408" display="https://statiz.sporki.com/add/?m=draft_school01&amp;ps_school=50207" xr:uid="{7B16E8A7-7F01-473C-8060-D567634D72F0}"/>
    <hyperlink ref="K246" r:id="rId16409" display="https://statiz.sporki.com/add/?m=draft_school01&amp;ps_school=50804" xr:uid="{0D258209-1C02-4B04-9F4A-93710735AD1E}"/>
    <hyperlink ref="K247" r:id="rId16410" display="https://statiz.sporki.com/add/?m=draft_school01&amp;ps_school=50805" xr:uid="{1B5DF140-5833-494D-ABC5-6D7F82BB55F1}"/>
    <hyperlink ref="K248" r:id="rId16411" display="https://statiz.sporki.com/add/?m=draft_school01&amp;ps_school=50702" xr:uid="{5343F9CB-E702-4A42-B5FF-291E056D163A}"/>
    <hyperlink ref="K249" r:id="rId16412" display="https://statiz.sporki.com/add/?m=draft_school01&amp;ps_school=50217" xr:uid="{B67679AC-3F0D-416E-9202-245892FBB975}"/>
    <hyperlink ref="K250" r:id="rId16413" display="https://statiz.sporki.com/add/?m=draft_school01&amp;ps_school=50604" xr:uid="{530CB15E-3907-4677-BD31-2BDB23B7AD0A}"/>
    <hyperlink ref="K251" r:id="rId16414" display="https://statiz.sporki.com/add/?m=draft_school01&amp;ps_school=50208" xr:uid="{1CEFA6F7-91E4-4FB2-BA2D-7F2385E72EE7}"/>
    <hyperlink ref="K252" r:id="rId16415" display="https://statiz.sporki.com/add/?m=draft_school01&amp;ps_school=50108" xr:uid="{A01C5954-2340-46BC-AF1F-0A36CD35BFCD}"/>
    <hyperlink ref="K253" r:id="rId16416" display="https://statiz.sporki.com/add/?m=draft_school01&amp;ps_school=50203" xr:uid="{3DD9840F-3503-4AAF-99C2-947ABEB605B5}"/>
    <hyperlink ref="K254" r:id="rId16417" display="https://statiz.sporki.com/add/?m=draft_school01&amp;ps_school=50703" xr:uid="{3DD1EE98-0C20-465F-AF67-3959FDB08261}"/>
    <hyperlink ref="K255" r:id="rId16418" display="https://statiz.sporki.com/add/?m=draft_school01&amp;ps_school=50102" xr:uid="{535A7683-F0FA-440B-A08D-1240A85F26F2}"/>
    <hyperlink ref="K257" r:id="rId16419" display="https://statiz.sporki.com/add/?m=draft_school01&amp;ps_school=50701" xr:uid="{CBAE2D43-9B59-44B7-A2BC-CA0FE1773B8B}"/>
    <hyperlink ref="K258" r:id="rId16420" display="https://statiz.sporki.com/add/?m=draft_school01&amp;ps_school=50801" xr:uid="{22DBA5EA-E302-4CA5-A8FF-987C2374858C}"/>
    <hyperlink ref="K259" r:id="rId16421" display="https://statiz.sporki.com/add/?m=draft_school01&amp;ps_school=50902" xr:uid="{2F6175FC-97C7-440D-B617-A4B802AE702F}"/>
    <hyperlink ref="K260" r:id="rId16422" display="https://statiz.sporki.com/add/?m=draft_school01&amp;ps_school=50211" xr:uid="{BFA95923-81B4-44CA-9EFF-F65ED2625A9E}"/>
    <hyperlink ref="K261" r:id="rId16423" display="https://statiz.sporki.com/add/?m=draft_school01&amp;ps_school=50121" xr:uid="{DC6CB81F-03B9-4074-9840-A0D6550DD534}"/>
    <hyperlink ref="K262" r:id="rId16424" display="https://statiz.sporki.com/add/?m=draft_school01&amp;ps_school=50116" xr:uid="{945D5CAD-1806-46F8-91A5-874B7230CC3B}"/>
    <hyperlink ref="K263" r:id="rId16425" display="https://statiz.sporki.com/add/?m=draft_school01&amp;ps_school=50809" xr:uid="{F5CF3D2C-13CB-4B5F-90EF-250BC6070B5D}"/>
    <hyperlink ref="K264" r:id="rId16426" display="https://statiz.sporki.com/add/?m=draft_school01&amp;ps_school=50111" xr:uid="{57F31DF1-BEB2-491D-98D7-367C44363F92}"/>
    <hyperlink ref="K265" r:id="rId16427" display="https://statiz.sporki.com/add/?m=draft_school01&amp;ps_school=50120" xr:uid="{516B0E64-54F4-47FA-8FF5-1329B35BA0E3}"/>
    <hyperlink ref="K266" r:id="rId16428" display="https://statiz.sporki.com/add/?m=draft_school01&amp;ps_school=50206" xr:uid="{3D085853-F7F6-44AA-827C-6996D6854C05}"/>
    <hyperlink ref="K267" r:id="rId16429" display="https://statiz.sporki.com/add/?m=draft_school01&amp;ps_school=50120" xr:uid="{AABD569C-00BD-4325-B7AA-E05A157E235D}"/>
    <hyperlink ref="K268" r:id="rId16430" display="https://statiz.sporki.com/add/?m=draft_school01&amp;ps_school=50501" xr:uid="{CACD68D8-C144-474B-B5DD-66FAA3640D22}"/>
    <hyperlink ref="K269" r:id="rId16431" display="https://statiz.sporki.com/add/?m=draft_school01&amp;ps_school=50301" xr:uid="{179122B3-A080-488B-A4CE-F9773763E8A4}"/>
    <hyperlink ref="K271" r:id="rId16432" display="https://statiz.sporki.com/add/?m=draft_school01&amp;ps_school=51124" xr:uid="{9D59DFA6-1517-4B94-A2FD-484081ECD80F}"/>
    <hyperlink ref="K272" r:id="rId16433" display="https://statiz.sporki.com/add/?m=draft_school01&amp;ps_school=51123" xr:uid="{F65306AF-B20C-410B-BD94-27E118BF2451}"/>
    <hyperlink ref="K273" r:id="rId16434" display="https://statiz.sporki.com/add/?m=draft_school01&amp;ps_school=51122" xr:uid="{F9F57142-22B5-42C6-802D-14ADCD9C64B9}"/>
    <hyperlink ref="K276" r:id="rId16435" display="https://statiz.sporki.com/add/?m=draft_school01&amp;ps_school=51125" xr:uid="{90654987-22BB-4C31-B408-6E310C3D0C1C}"/>
    <hyperlink ref="K279" r:id="rId16436" display="https://statiz.sporki.com/add/?m=draft_school01&amp;ps_school=51121" xr:uid="{A5F84DE4-10E1-4AE3-BADB-789AD16479A2}"/>
    <hyperlink ref="K281" r:id="rId16437" display="https://statiz.sporki.com/add/?m=draft_school01&amp;ps_school=51129" xr:uid="{F8DCA9E3-BA53-4408-96D7-FF9D5D3B7D83}"/>
    <hyperlink ref="K282" r:id="rId16438" display="https://statiz.sporki.com/add/?m=draft_school01&amp;ps_school=51127" xr:uid="{F815BA1B-1446-4CE2-8668-18765AEF37FD}"/>
    <hyperlink ref="K284" r:id="rId16439" display="https://statiz.sporki.com/add/?m=draft_school01&amp;ps_school=51128" xr:uid="{80739CD5-892A-4B19-965E-4EFA6E97BA78}"/>
    <hyperlink ref="K292" r:id="rId16440" display="https://statiz.sporki.com/add/?m=draft_school01&amp;ps_school=51126" xr:uid="{33C83307-36B7-4E6C-A9EB-7C16AE65C009}"/>
    <hyperlink ref="K296" r:id="rId16441" display="https://statiz.sporki.com/add/?m=draft_school01&amp;ps_school=51130" xr:uid="{E42564D6-3074-492F-96CB-54759A6312DE}"/>
    <hyperlink ref="K298" r:id="rId16442" display="https://statiz.sporki.com/add/?m=draft_school01&amp;ps_school=50301" xr:uid="{C84482C1-E09C-4D87-AC13-35CC2FF629C4}"/>
    <hyperlink ref="K299" r:id="rId16443" display="https://statiz.sporki.com/add/?m=draft_school01&amp;ps_school=50501" xr:uid="{13AF8CD3-9537-41C0-A77C-F884BBB17FA0}"/>
    <hyperlink ref="K300" r:id="rId16444" display="https://statiz.sporki.com/add/?m=draft_school01&amp;ps_school=50103" xr:uid="{CAC0CBB4-CC52-4E58-A28A-4A017CDE76E1}"/>
    <hyperlink ref="K301" r:id="rId16445" display="https://statiz.sporki.com/add/?m=draft_school01&amp;ps_school=50902" xr:uid="{C66348CE-25EF-4636-8104-834A34C9C79F}"/>
    <hyperlink ref="K302" r:id="rId16446" display="https://statiz.sporki.com/add/?m=draft_school01&amp;ps_school=50116" xr:uid="{70A3C2F2-3FC9-4770-A6C7-1E67696C5E2C}"/>
    <hyperlink ref="K303" r:id="rId16447" display="https://statiz.sporki.com/add/?m=draft_school01&amp;ps_school=50802" xr:uid="{0DF24286-A2AA-4656-B8EF-7D5AEDD5DE50}"/>
    <hyperlink ref="K304" r:id="rId16448" display="https://statiz.sporki.com/add/?m=draft_school01&amp;ps_school=50601" xr:uid="{D30E1A82-B2C8-4D10-AEC3-EB11FE344D58}"/>
    <hyperlink ref="K305" r:id="rId16449" display="https://statiz.sporki.com/add/?m=draft_school01&amp;ps_school=50804" xr:uid="{EC9FFEC5-7CA5-42E1-9364-A2BD9C29A285}"/>
    <hyperlink ref="K306" r:id="rId16450" display="https://statiz.sporki.com/add/?m=draft_school01&amp;ps_school=50806" xr:uid="{438BF0A6-DDF5-4082-8A02-50C4D97CBD93}"/>
    <hyperlink ref="K307" r:id="rId16451" display="https://statiz.sporki.com/add/?m=draft_school01&amp;ps_school=50111" xr:uid="{119FE63B-0D47-4197-BFAB-9B47F1B8104D}"/>
    <hyperlink ref="K308" r:id="rId16452" display="https://statiz.sporki.com/add/?m=draft_school01&amp;ps_school=50103" xr:uid="{3FB1F634-19D8-4BB8-9ACC-AB12AE97A29E}"/>
    <hyperlink ref="K309" r:id="rId16453" display="https://statiz.sporki.com/add/?m=draft_school01&amp;ps_school=50207" xr:uid="{21479241-A802-464D-A0B6-9C4A1DB93F97}"/>
    <hyperlink ref="K310" r:id="rId16454" display="https://statiz.sporki.com/add/?m=draft_school01&amp;ps_school=50209" xr:uid="{AAF91D33-33EB-43F2-8444-A0B1FFF968E2}"/>
    <hyperlink ref="K311" r:id="rId16455" display="https://statiz.sporki.com/add/?m=draft_school01&amp;ps_school=50602" xr:uid="{0ACEEFF0-6ED5-442E-BCC4-579D2CC4CA3A}"/>
    <hyperlink ref="K312" r:id="rId16456" display="https://statiz.sporki.com/add/?m=draft_school01&amp;ps_school=50114" xr:uid="{9572868E-2AC8-4174-86F4-045C8D33B37B}"/>
    <hyperlink ref="K313" r:id="rId16457" display="https://statiz.sporki.com/add/?m=draft_school01&amp;ps_school=50810" xr:uid="{35C3B959-F817-4028-85E8-E2216A8F8765}"/>
    <hyperlink ref="K314" r:id="rId16458" display="https://statiz.sporki.com/add/?m=draft_school01&amp;ps_school=50202" xr:uid="{01D5AE83-B3E8-4ECF-9BBF-20389A743312}"/>
    <hyperlink ref="K315" r:id="rId16459" display="https://statiz.sporki.com/add/?m=draft_school01&amp;ps_school=50102" xr:uid="{74937DA9-0E34-4193-9C94-15A284762BF8}"/>
    <hyperlink ref="K316" r:id="rId16460" display="https://statiz.sporki.com/add/?m=draft_school01&amp;ps_school=50220" xr:uid="{92374DFE-B540-4D17-9487-65F3888E9065}"/>
    <hyperlink ref="K317" r:id="rId16461" display="https://statiz.sporki.com/add/?m=draft_school01&amp;ps_school=50211" xr:uid="{E8C1DC40-0552-4124-9D76-CADA65D3D219}"/>
    <hyperlink ref="K318" r:id="rId16462" display="https://statiz.sporki.com/add/?m=draft_school01&amp;ps_school=50209" xr:uid="{C1B658B4-F7A2-4BCC-B8DB-4FCB6A0618A6}"/>
    <hyperlink ref="K319" r:id="rId16463" display="https://statiz.sporki.com/add/?m=draft_school01&amp;ps_school=50701" xr:uid="{4675E6C6-DC18-4704-81CD-BBAF3D7A7922}"/>
    <hyperlink ref="K320" r:id="rId16464" display="https://statiz.sporki.com/add/?m=draft_school01&amp;ps_school=50403" xr:uid="{730EC5D7-0766-4585-9715-7EACD678A305}"/>
    <hyperlink ref="K321" r:id="rId16465" display="https://statiz.sporki.com/add/?m=draft_school01&amp;ps_school=50602" xr:uid="{D6E30C44-29FA-48FC-A412-081D2A2FAAC6}"/>
    <hyperlink ref="K322" r:id="rId16466" display="https://statiz.sporki.com/add/?m=draft_school01&amp;ps_school=50211" xr:uid="{F6B68FE3-1283-4005-AE49-65741838B02E}"/>
    <hyperlink ref="K323" r:id="rId16467" display="https://statiz.sporki.com/add/?m=draft_school01&amp;ps_school=50114" xr:uid="{3BA4E919-89C2-4073-B961-73939840D16A}"/>
    <hyperlink ref="K324" r:id="rId16468" display="https://statiz.sporki.com/add/?m=draft_school01&amp;ps_school=50210" xr:uid="{62DDEBE6-FC56-4D64-890E-5275769584A2}"/>
    <hyperlink ref="K325" r:id="rId16469" display="https://statiz.sporki.com/add/?m=draft_school01&amp;ps_school=50107" xr:uid="{7D4FE048-65E5-42A1-BBE9-DF63E1875773}"/>
    <hyperlink ref="K326" r:id="rId16470" display="https://statiz.sporki.com/add/?m=draft_school01&amp;ps_school=50211" xr:uid="{DD8A47C7-1A80-4E33-8428-8DA03126AF3D}"/>
    <hyperlink ref="K327" r:id="rId16471" display="https://statiz.sporki.com/add/?m=draft_school01&amp;ps_school=50705" xr:uid="{A4477692-EA5D-4065-A580-D1C551CFAFE7}"/>
    <hyperlink ref="K328" r:id="rId16472" display="https://statiz.sporki.com/add/?m=draft_school01&amp;ps_school=50103" xr:uid="{2CB9B42E-1C0F-473D-B9C3-9E2AB0FF0832}"/>
    <hyperlink ref="K329" r:id="rId16473" display="https://statiz.sporki.com/add/?m=draft_school01&amp;ps_school=50805" xr:uid="{7B7C18E9-F145-4069-9CEB-B797DD7333FA}"/>
    <hyperlink ref="K330" r:id="rId16474" display="https://statiz.sporki.com/add/?m=draft_school01&amp;ps_school=50103" xr:uid="{7AC8723C-0281-4EB5-9BCD-F9B561210992}"/>
    <hyperlink ref="K331" r:id="rId16475" display="https://statiz.sporki.com/add/?m=draft_school01&amp;ps_school=50301" xr:uid="{0537ADAB-D727-4B7B-AD61-8C518D1F0207}"/>
    <hyperlink ref="K332" r:id="rId16476" display="https://statiz.sporki.com/add/?m=draft_school01&amp;ps_school=50301" xr:uid="{CD453DDE-2D7B-429C-A7EA-BE4EDF93AB13}"/>
    <hyperlink ref="K333" r:id="rId16477" display="https://statiz.sporki.com/add/?m=draft_school01&amp;ps_school=50208" xr:uid="{277E86BF-717B-4B6D-83BC-12C318FC719B}"/>
    <hyperlink ref="K334" r:id="rId16478" display="https://statiz.sporki.com/add/?m=draft_school01&amp;ps_school=50602" xr:uid="{632856A1-3F9F-4C1E-B017-DF67AB465DF7}"/>
    <hyperlink ref="K335" r:id="rId16479" display="https://statiz.sporki.com/add/?m=draft_school01&amp;ps_school=50109" xr:uid="{B6FC8A26-4154-4244-A1CB-3BBCA402F40D}"/>
    <hyperlink ref="K336" r:id="rId16480" display="https://statiz.sporki.com/add/?m=draft_school01&amp;ps_school=50901" xr:uid="{4350AECB-35A6-4288-9670-69AB0A6C5FF8}"/>
    <hyperlink ref="K337" r:id="rId16481" display="https://statiz.sporki.com/add/?m=draft_school01&amp;ps_school=50402" xr:uid="{3D9DF469-ADAA-49E7-B070-134D2A15AD0F}"/>
    <hyperlink ref="K338" r:id="rId16482" display="https://statiz.sporki.com/add/?m=draft_school01&amp;ps_school=50110" xr:uid="{895230D0-1CCF-46F8-9B03-E11265B922EA}"/>
    <hyperlink ref="K339" r:id="rId16483" display="https://statiz.sporki.com/add/?m=draft_school01&amp;ps_school=50208" xr:uid="{D195661D-42FF-487D-8960-BDDFECB6920A}"/>
    <hyperlink ref="K340" r:id="rId16484" display="https://statiz.sporki.com/add/?m=draft_school01&amp;ps_school=50807" xr:uid="{916F6FC6-02D6-4141-9E18-02F70207D126}"/>
    <hyperlink ref="K341" r:id="rId16485" display="https://statiz.sporki.com/add/?m=draft_school01&amp;ps_school=50706" xr:uid="{4B4EE9DB-4960-49E2-999D-44B2488C6482}"/>
    <hyperlink ref="K342" r:id="rId16486" display="https://statiz.sporki.com/add/?m=draft_school01&amp;ps_school=50501" xr:uid="{C5FB7297-789C-4E62-9B7A-26C46EC6950A}"/>
    <hyperlink ref="K343" r:id="rId16487" display="https://statiz.sporki.com/add/?m=draft_school01&amp;ps_school=50117" xr:uid="{F165E8D6-F527-4106-B8D3-21278869543B}"/>
    <hyperlink ref="K344" r:id="rId16488" display="https://statiz.sporki.com/add/?m=draft_school01&amp;ps_school=50301" xr:uid="{D1522EF7-24CC-47B0-92CC-738B900484BB}"/>
    <hyperlink ref="K345" r:id="rId16489" display="https://statiz.sporki.com/add/?m=draft_school01&amp;ps_school=50205" xr:uid="{02E43BDE-41D0-42E0-9074-694D1FA0D5D9}"/>
    <hyperlink ref="K346" r:id="rId16490" display="https://statiz.sporki.com/add/?m=draft_school01&amp;ps_school=50103" xr:uid="{95777213-4C27-496A-A05B-83120D7B97AC}"/>
    <hyperlink ref="K347" r:id="rId16491" display="https://statiz.sporki.com/add/?m=draft_school01&amp;ps_school=50101" xr:uid="{85C5B7E3-71BA-4D09-869E-F66593A6BC60}"/>
    <hyperlink ref="K348" r:id="rId16492" display="https://statiz.sporki.com/add/?m=draft_school01&amp;ps_school=50108" xr:uid="{9E878E09-84AD-4950-81E0-9C0CCC210EAC}"/>
    <hyperlink ref="K349" r:id="rId16493" display="https://statiz.sporki.com/add/?m=draft_school01&amp;ps_school=50107" xr:uid="{2EC83252-7528-4DAA-A088-117F9193E786}"/>
    <hyperlink ref="K350" r:id="rId16494" display="https://statiz.sporki.com/add/?m=draft_school01&amp;ps_school=50116" xr:uid="{85762E2F-B915-477C-B1BB-0FE263C40554}"/>
    <hyperlink ref="K351" r:id="rId16495" display="https://statiz.sporki.com/add/?m=draft_school01&amp;ps_school=50501" xr:uid="{37B70EEF-4E78-4E49-AE60-CB24EF9F45C3}"/>
    <hyperlink ref="K352" r:id="rId16496" display="https://statiz.sporki.com/add/?m=draft_school01&amp;ps_school=50107" xr:uid="{71010B3C-B633-4741-A780-089C7CDB16F3}"/>
    <hyperlink ref="K353" r:id="rId16497" display="https://statiz.sporki.com/add/?m=draft_school01&amp;ps_school=50211" xr:uid="{CE513DC2-1199-4409-AE7E-CE8EDC73C448}"/>
    <hyperlink ref="K354" r:id="rId16498" display="https://statiz.sporki.com/add/?m=draft_school01&amp;ps_school=50301" xr:uid="{A9D223A7-BB6B-4ABB-B3FD-585A5EDFCC6F}"/>
    <hyperlink ref="K355" r:id="rId16499" display="https://statiz.sporki.com/add/?m=draft_school01&amp;ps_school=50209" xr:uid="{E5C29F78-ACE1-49E3-8F6D-E4AD91C92639}"/>
    <hyperlink ref="K356" r:id="rId16500" display="https://statiz.sporki.com/add/?m=draft_school01&amp;ps_school=50802" xr:uid="{44D93544-D390-4597-A5CD-3F44DECA3842}"/>
    <hyperlink ref="K357" r:id="rId16501" display="https://statiz.sporki.com/add/?m=draft_school01&amp;ps_school=50206" xr:uid="{92E591E3-C022-48FA-84C9-C8CD14E6475C}"/>
    <hyperlink ref="K358" r:id="rId16502" display="https://statiz.sporki.com/add/?m=draft_school01&amp;ps_school=50810" xr:uid="{FC9D39E0-11BB-4449-BC7E-2D6C78ECAD4F}"/>
    <hyperlink ref="K359" r:id="rId16503" display="https://statiz.sporki.com/add/?m=draft_school01&amp;ps_school=50402" xr:uid="{B6D542DB-B37D-465F-A26A-FBF81072F0F9}"/>
    <hyperlink ref="K360" r:id="rId16504" display="https://statiz.sporki.com/add/?m=draft_school01&amp;ps_school=50110" xr:uid="{E94BAEDB-0530-4C13-B200-A0980F1DC303}"/>
    <hyperlink ref="K361" r:id="rId16505" display="https://statiz.sporki.com/add/?m=draft_school01&amp;ps_school=50110" xr:uid="{DB20FD9E-ACB7-43E3-AD28-2DD8DDE04185}"/>
    <hyperlink ref="K362" r:id="rId16506" display="https://statiz.sporki.com/add/?m=draft_school01&amp;ps_school=50901" xr:uid="{D35EC7DD-6C07-47E7-BB89-B281D81B17D4}"/>
    <hyperlink ref="K363" r:id="rId16507" display="https://statiz.sporki.com/add/?m=draft_school01&amp;ps_school=50209" xr:uid="{5166E111-4FB6-4C90-9737-BB07118F22DC}"/>
    <hyperlink ref="K364" r:id="rId16508" display="https://statiz.sporki.com/add/?m=draft_school01&amp;ps_school=50809" xr:uid="{290C2104-D5E9-41C8-BB0B-3B716F7A3E36}"/>
    <hyperlink ref="K365" r:id="rId16509" display="https://statiz.sporki.com/add/?m=draft_school01&amp;ps_school=50302" xr:uid="{B99789F5-3FBE-45C8-9F7F-99C8D6D77649}"/>
    <hyperlink ref="K366" r:id="rId16510" display="https://statiz.sporki.com/add/?m=draft_school01&amp;ps_school=50215" xr:uid="{A2856980-F2AF-477A-9B2D-B4C411BD54D9}"/>
    <hyperlink ref="K367" r:id="rId16511" display="https://statiz.sporki.com/add/?m=draft_school01&amp;ps_school=50105" xr:uid="{2663A1CD-9D99-4B77-9FCC-201A5A89F1B9}"/>
    <hyperlink ref="K368" r:id="rId16512" display="https://statiz.sporki.com/add/?m=draft_school01&amp;ps_school=50207" xr:uid="{6269C8C6-321F-4337-B7B4-858BA6D54161}"/>
    <hyperlink ref="K369" r:id="rId16513" display="https://statiz.sporki.com/add/?m=draft_school01&amp;ps_school=50209" xr:uid="{730B80DE-7D6C-4306-9AAB-3D80C7426F14}"/>
    <hyperlink ref="K370" r:id="rId16514" display="https://statiz.sporki.com/add/?m=draft_school01&amp;ps_school=50208" xr:uid="{D5F219FA-46AB-4B85-BD42-2D12D6406A7B}"/>
    <hyperlink ref="K371" r:id="rId16515" display="https://statiz.sporki.com/add/?m=draft_school01&amp;ps_school=50601" xr:uid="{D8649CD6-B218-48E3-BC6F-F955BCBB11B5}"/>
    <hyperlink ref="K372" r:id="rId16516" display="https://statiz.sporki.com/add/?m=draft_school01&amp;ps_school=50805" xr:uid="{D4AA6CB6-9AC2-4505-95B9-F8E0E2C4FDF3}"/>
    <hyperlink ref="K373" r:id="rId16517" display="https://statiz.sporki.com/add/?m=draft_school01&amp;ps_school=50113" xr:uid="{2F5C2120-0FC1-42E2-A589-DF3D8E7B04D5}"/>
    <hyperlink ref="K374" r:id="rId16518" display="https://statiz.sporki.com/add/?m=draft_school01&amp;ps_school=50101" xr:uid="{5E6472FB-70C9-4A1A-9D0B-9417F0D6EC6B}"/>
    <hyperlink ref="K375" r:id="rId16519" display="https://statiz.sporki.com/add/?m=draft_school01&amp;ps_school=50102" xr:uid="{B12D6905-DE56-4D27-A368-88509355C8FF}"/>
    <hyperlink ref="K376" r:id="rId16520" display="https://statiz.sporki.com/add/?m=draft_school01&amp;ps_school=50207" xr:uid="{B5D92A3E-2754-4F9D-90D6-A067FFD01485}"/>
    <hyperlink ref="K377" r:id="rId16521" display="https://statiz.sporki.com/add/?m=draft_school01&amp;ps_school=50902" xr:uid="{A333BC9F-954E-4CC2-80CF-FDAD336FD167}"/>
    <hyperlink ref="K378" r:id="rId16522" display="https://statiz.sporki.com/add/?m=draft_school01&amp;ps_school=50601" xr:uid="{56D55D98-0E23-42F7-830E-16EA2E8F2923}"/>
    <hyperlink ref="K379" r:id="rId16523" display="https://statiz.sporki.com/add/?m=draft_school01&amp;ps_school=50101" xr:uid="{D552ECBA-8909-422F-B109-A9805B61779B}"/>
    <hyperlink ref="K380" r:id="rId16524" display="https://statiz.sporki.com/add/?m=draft_school01&amp;ps_school=50218" xr:uid="{270016B8-8712-488B-B03F-2F2BA1A02EA7}"/>
    <hyperlink ref="K381" r:id="rId16525" display="https://statiz.sporki.com/add/?m=draft_school01&amp;ps_school=50601" xr:uid="{570B3887-1032-4352-9365-9DA404F5220B}"/>
    <hyperlink ref="K382" r:id="rId16526" display="https://statiz.sporki.com/add/?m=draft_school01&amp;ps_school=50215" xr:uid="{7372AB12-3E4F-4ACE-AB2D-25F2C7D15FA7}"/>
    <hyperlink ref="K383" r:id="rId16527" display="https://statiz.sporki.com/add/?m=draft_school01&amp;ps_school=50108" xr:uid="{87F0687B-2F54-438A-98BE-75599FBDE85F}"/>
    <hyperlink ref="K384" r:id="rId16528" display="https://statiz.sporki.com/add/?m=draft_school01&amp;ps_school=50703" xr:uid="{8D89AB18-9C92-49A0-804C-BCEC89B9069D}"/>
    <hyperlink ref="K385" r:id="rId16529" display="https://statiz.sporki.com/add/?m=draft_school01&amp;ps_school=50805" xr:uid="{78C8A485-82C6-4B5E-969C-62F42800422F}"/>
    <hyperlink ref="K386" r:id="rId16530" display="https://statiz.sporki.com/add/?m=draft_school01&amp;ps_school=50107" xr:uid="{A200EE20-5381-4297-B259-068F27AB1518}"/>
    <hyperlink ref="K387" r:id="rId16531" display="https://statiz.sporki.com/add/?m=draft_school01&amp;ps_school=50108" xr:uid="{29AEE774-D3A9-4E03-A049-E3DA2C13EA35}"/>
    <hyperlink ref="K388" r:id="rId16532" display="https://statiz.sporki.com/add/?m=draft_school01&amp;ps_school=50801" xr:uid="{8B760378-1A09-4F1D-BBBB-44E8046BA47C}"/>
    <hyperlink ref="K389" r:id="rId16533" display="https://statiz.sporki.com/add/?m=draft_school01&amp;ps_school=50803" xr:uid="{10A98FCD-B289-4752-8AA3-AFE2680CE808}"/>
    <hyperlink ref="K390" r:id="rId16534" display="https://statiz.sporki.com/add/?m=draft_school01&amp;ps_school=50114" xr:uid="{14BDD996-16C1-476F-8011-976F3DBA2222}"/>
    <hyperlink ref="K391" r:id="rId16535" display="https://statiz.sporki.com/add/?m=draft_school01&amp;ps_school=50207" xr:uid="{8081484D-8CA0-4DC8-92C5-C158BD3E8A12}"/>
    <hyperlink ref="K392" r:id="rId16536" display="https://statiz.sporki.com/add/?m=draft_school01&amp;ps_school=50103" xr:uid="{42249C54-8961-4B1F-99E0-965427F62B46}"/>
    <hyperlink ref="K393" r:id="rId16537" display="https://statiz.sporki.com/add/?m=draft_school01&amp;ps_school=50209" xr:uid="{04BC2972-3214-4B57-9950-DDEE5707CD4D}"/>
    <hyperlink ref="K394" r:id="rId16538" display="https://statiz.sporki.com/add/?m=draft_school01&amp;ps_school=50602" xr:uid="{3C457004-A30C-4D4B-8C71-2C4C87ACDE3F}"/>
    <hyperlink ref="K395" r:id="rId16539" display="https://statiz.sporki.com/add/?m=draft_school01&amp;ps_school=50213" xr:uid="{E2396689-1DE5-45E1-A85E-62AC9C0C9126}"/>
    <hyperlink ref="K396" r:id="rId16540" display="https://statiz.sporki.com/add/?m=draft_school01&amp;ps_school=50801" xr:uid="{3291CC23-652B-4232-BBB2-B499E7FC6C6B}"/>
    <hyperlink ref="K397" r:id="rId16541" display="https://statiz.sporki.com/add/?m=draft_school01&amp;ps_school=50219" xr:uid="{0669AEC2-7502-4B16-99B9-38C1B9DD0B0F}"/>
    <hyperlink ref="K398" r:id="rId16542" display="https://statiz.sporki.com/add/?m=draft_school01&amp;ps_school=50210" xr:uid="{7B746D45-804B-4441-AF4D-5CCF40A5C235}"/>
    <hyperlink ref="K399" r:id="rId16543" display="https://statiz.sporki.com/add/?m=draft_school01&amp;ps_school=50119" xr:uid="{1BA46E1E-5DB5-4D8B-BB48-A55506892968}"/>
    <hyperlink ref="K400" r:id="rId16544" display="https://statiz.sporki.com/add/?m=draft_school01&amp;ps_school=50601" xr:uid="{FBFD921B-18E0-46B0-86E1-D6E00B37775E}"/>
    <hyperlink ref="K401" r:id="rId16545" display="https://statiz.sporki.com/add/?m=draft_school01&amp;ps_school=51104" xr:uid="{54BD0F57-9BD4-4884-AD35-E22242C52E76}"/>
    <hyperlink ref="K402" r:id="rId16546" display="https://statiz.sporki.com/add/?m=draft_school01&amp;ps_school=50118" xr:uid="{08D78FEE-1B0F-4D1F-8F49-84D3405B4FF0}"/>
    <hyperlink ref="K403" r:id="rId16547" display="https://statiz.sporki.com/add/?m=draft_school01&amp;ps_school=50710" xr:uid="{8A50BBC4-F2EA-4F77-A0E5-A2BF5649932C}"/>
    <hyperlink ref="K404" r:id="rId16548" display="https://statiz.sporki.com/add/?m=draft_school01&amp;ps_school=50801" xr:uid="{F4190578-2BAE-447E-B14C-D1F8C54ED07C}"/>
    <hyperlink ref="K405" r:id="rId16549" display="https://statiz.sporki.com/add/?m=draft_school01&amp;ps_school=50805" xr:uid="{01F1551A-B084-4942-92A8-2B4ED39F990F}"/>
    <hyperlink ref="K406" r:id="rId16550" display="https://statiz.sporki.com/add/?m=draft_school01&amp;ps_school=50107" xr:uid="{010EC9F5-5EFD-434B-9049-267DA30EB474}"/>
    <hyperlink ref="K407" r:id="rId16551" display="https://statiz.sporki.com/add/?m=draft_school01&amp;ps_school=50220" xr:uid="{4D8B8850-5BD2-4F7D-A626-2D4D559CCB23}"/>
    <hyperlink ref="K408" r:id="rId16552" display="https://statiz.sporki.com/add/?m=draft_school01&amp;ps_school=50301" xr:uid="{A496FA14-AC95-4DFD-A236-19B06D33B42D}"/>
    <hyperlink ref="K409" r:id="rId16553" display="https://statiz.sporki.com/add/?m=draft_school01&amp;ps_school=50401" xr:uid="{04CEB405-3381-40EB-AF79-6BB06A70EB80}"/>
    <hyperlink ref="K410" r:id="rId16554" display="https://statiz.sporki.com/add/?m=draft_school01&amp;ps_school=50901" xr:uid="{0505A539-A5DB-449A-A570-193814A4350B}"/>
    <hyperlink ref="K411" r:id="rId16555" display="https://statiz.sporki.com/add/?m=draft_school01&amp;ps_school=50102" xr:uid="{84443173-B683-4FEF-B071-51FE678753AA}"/>
    <hyperlink ref="K412" r:id="rId16556" display="https://statiz.sporki.com/add/?m=draft_school01&amp;ps_school=50207" xr:uid="{11C3777B-3396-4F17-907E-2C7CF7FF37FC}"/>
    <hyperlink ref="K413" r:id="rId16557" display="https://statiz.sporki.com/add/?m=draft_school01&amp;ps_school=50107" xr:uid="{D98D2457-6273-4AC9-8E1C-11F0615FE509}"/>
    <hyperlink ref="K414" r:id="rId16558" display="https://statiz.sporki.com/add/?m=draft_school01&amp;ps_school=50504" xr:uid="{3B450A50-9F6B-4064-B20A-7B9E67DE53CC}"/>
    <hyperlink ref="K415" r:id="rId16559" display="https://statiz.sporki.com/add/?m=draft_school01&amp;ps_school=50219" xr:uid="{E1E3CFF6-7DBD-4D6A-B296-7C57F56EA6F0}"/>
    <hyperlink ref="K416" r:id="rId16560" display="https://statiz.sporki.com/add/?m=draft_school01&amp;ps_school=50210" xr:uid="{FCB668A2-DA91-4221-AD73-FADF8FCD6D34}"/>
    <hyperlink ref="K417" r:id="rId16561" display="https://statiz.sporki.com/add/?m=draft_school01&amp;ps_school=50801" xr:uid="{12E8F5DF-5FDE-48EF-BAF8-AEDFA90C8004}"/>
    <hyperlink ref="K418" r:id="rId16562" display="https://statiz.sporki.com/add/?m=draft_school01&amp;ps_school=50601" xr:uid="{33DEC246-20A6-4063-8D08-743F3CBF7083}"/>
    <hyperlink ref="K419" r:id="rId16563" display="https://statiz.sporki.com/add/?m=draft_school01&amp;ps_school=50119" xr:uid="{87A12CDF-A405-4122-B091-83D4128C0155}"/>
    <hyperlink ref="K420" r:id="rId16564" display="https://statiz.sporki.com/add/?m=draft_school01&amp;ps_school=50601" xr:uid="{15A7688B-FD4A-4B12-B4B3-A87CC9ABB56A}"/>
    <hyperlink ref="K421" r:id="rId16565" display="https://statiz.sporki.com/add/?m=draft_school01&amp;ps_school=50212" xr:uid="{ACE68101-A49B-4F91-816F-8E9B0DD9E73B}"/>
    <hyperlink ref="K422" r:id="rId16566" display="https://statiz.sporki.com/add/?m=draft_school01&amp;ps_school=50705" xr:uid="{08CD9D60-B69F-4FFA-911C-77432312C6A7}"/>
    <hyperlink ref="K423" r:id="rId16567" display="https://statiz.sporki.com/add/?m=draft_school01&amp;ps_school=50501" xr:uid="{024ED277-3017-4443-A9AD-6229BC0F60E3}"/>
    <hyperlink ref="K424" r:id="rId16568" display="https://statiz.sporki.com/add/?m=draft_school01&amp;ps_school=50209" xr:uid="{D327A5BA-8C54-48E0-B06D-EC0E1EA2EA6D}"/>
    <hyperlink ref="K425" r:id="rId16569" display="https://statiz.sporki.com/add/?m=draft_school01&amp;ps_school=50709" xr:uid="{56FDB02D-4DE7-4545-92AD-E7C2B7F37C8B}"/>
    <hyperlink ref="K426" r:id="rId16570" display="https://statiz.sporki.com/add/?m=draft_school01&amp;ps_school=50804" xr:uid="{62F1AC81-D34E-40B3-BA1B-91A1B1595796}"/>
    <hyperlink ref="K427" r:id="rId16571" display="https://statiz.sporki.com/add/?m=draft_school01&amp;ps_school=50807" xr:uid="{83C9C0AB-74F7-465B-85CA-753940BE5F2D}"/>
    <hyperlink ref="K428" r:id="rId16572" display="https://statiz.sporki.com/add/?m=draft_school01&amp;ps_school=50107" xr:uid="{3222C0E6-6882-445D-BF8D-42C49F7B3222}"/>
    <hyperlink ref="K431" r:id="rId16573" display="https://statiz.sporki.com/add/?m=draft_school01&amp;ps_school=51110" xr:uid="{AE4C3078-1374-464C-A45A-624A669F2563}"/>
    <hyperlink ref="K434" r:id="rId16574" display="https://statiz.sporki.com/add/?m=draft_school01&amp;ps_school=51106" xr:uid="{963EE7DA-C00B-40CA-8059-A37430D1F5D6}"/>
    <hyperlink ref="K435" r:id="rId16575" display="https://statiz.sporki.com/add/?m=draft_school01&amp;ps_school=51118" xr:uid="{CCF626B5-5699-4548-B31B-F964F590C212}"/>
    <hyperlink ref="K436" r:id="rId16576" display="https://statiz.sporki.com/add/?m=draft_school01&amp;ps_school=51117" xr:uid="{1435D94A-5210-44E9-AA7B-DF063006A7A0}"/>
    <hyperlink ref="K438" r:id="rId16577" display="https://statiz.sporki.com/add/?m=draft_school01&amp;ps_school=51108" xr:uid="{D82B1B42-34D5-4ADF-8D93-5A3C592F72FA}"/>
    <hyperlink ref="K441" r:id="rId16578" display="https://statiz.sporki.com/add/?m=draft_school01&amp;ps_school=51116" xr:uid="{AE205314-32DE-42AD-880D-ABDBBD696F89}"/>
    <hyperlink ref="K445" r:id="rId16579" display="https://statiz.sporki.com/add/?m=draft_school01&amp;ps_school=51112" xr:uid="{B9E07715-DED5-4CD5-AE97-BA8C283E2B1F}"/>
    <hyperlink ref="K449" r:id="rId16580" display="https://statiz.sporki.com/add/?m=draft_school01&amp;ps_school=50108" xr:uid="{4EF55267-ADBF-4884-9EE0-FEC29C63694D}"/>
    <hyperlink ref="K450" r:id="rId16581" display="https://statiz.sporki.com/add/?m=draft_school01&amp;ps_school=50111" xr:uid="{6D70BD11-733F-4F6A-A089-C2027C4E3858}"/>
    <hyperlink ref="K451" r:id="rId16582" display="https://statiz.sporki.com/add/?m=draft_school01&amp;ps_school=50302" xr:uid="{35E7D838-A0D7-487B-9A53-3A09295E8B0B}"/>
    <hyperlink ref="K452" r:id="rId16583" display="https://statiz.sporki.com/add/?m=draft_school01&amp;ps_school=50503" xr:uid="{6397FC4C-62FC-4F2D-914E-F57F112420DB}"/>
    <hyperlink ref="K453" r:id="rId16584" display="https://statiz.sporki.com/add/?m=draft_school01&amp;ps_school=50114" xr:uid="{5BB511A6-55A0-4ACB-BE37-DA4797DF20F2}"/>
    <hyperlink ref="K454" r:id="rId16585" display="https://statiz.sporki.com/add/?m=draft_school01&amp;ps_school=50302" xr:uid="{C9CB59F3-410F-4022-ACA4-6CA0BD43F82A}"/>
    <hyperlink ref="K455" r:id="rId16586" display="https://statiz.sporki.com/add/?m=draft_school01&amp;ps_school=50809" xr:uid="{9983490E-BE03-4583-ABA3-0A25C576ADD2}"/>
    <hyperlink ref="K456" r:id="rId16587" display="https://statiz.sporki.com/add/?m=draft_school01&amp;ps_school=50111" xr:uid="{028B53FF-C8BA-40EA-A6FC-54306C392D7A}"/>
    <hyperlink ref="K457" r:id="rId16588" display="https://statiz.sporki.com/add/?m=draft_school01&amp;ps_school=50802" xr:uid="{858D705E-75DE-441B-BCEB-CFDE2CBEB7F5}"/>
    <hyperlink ref="K458" r:id="rId16589" display="https://statiz.sporki.com/add/?m=draft_school01&amp;ps_school=50810" xr:uid="{63CA7311-E7A9-4A2F-86F9-DD73D6BEBE9D}"/>
    <hyperlink ref="K459" r:id="rId16590" display="https://statiz.sporki.com/add/?m=draft_school01&amp;ps_school=50202" xr:uid="{4B476C98-9410-4CBD-875E-33B1367A2F7E}"/>
    <hyperlink ref="K460" r:id="rId16591" display="https://statiz.sporki.com/add/?m=draft_school01&amp;ps_school=50302" xr:uid="{1556C576-9073-4D35-9E48-27D278C92B78}"/>
    <hyperlink ref="K461" r:id="rId16592" display="https://statiz.sporki.com/add/?m=draft_school01&amp;ps_school=50106" xr:uid="{0A8A25FD-779B-49AE-81B7-A626637289DF}"/>
    <hyperlink ref="K462" r:id="rId16593" display="https://statiz.sporki.com/add/?m=draft_school01&amp;ps_school=50602" xr:uid="{6BBFB1B0-E531-4A87-855A-773C5E9C536D}"/>
    <hyperlink ref="K463" r:id="rId16594" display="https://statiz.sporki.com/add/?m=draft_school01&amp;ps_school=50208" xr:uid="{7D8CC4C4-230A-4F20-9365-6C939053ECEE}"/>
    <hyperlink ref="K464" r:id="rId16595" display="https://statiz.sporki.com/add/?m=draft_school01&amp;ps_school=50116" xr:uid="{C8E78196-F868-4BA3-A4E8-F20AF542B9F4}"/>
    <hyperlink ref="K465" r:id="rId16596" display="https://statiz.sporki.com/add/?m=draft_school01&amp;ps_school=50807" xr:uid="{B1056AF0-D6CF-474E-AD88-2276950A9F97}"/>
    <hyperlink ref="K466" r:id="rId16597" display="https://statiz.sporki.com/add/?m=draft_school01&amp;ps_school=50207" xr:uid="{1A82019C-E130-4FEB-94C5-3453761A83BA}"/>
    <hyperlink ref="K467" r:id="rId16598" display="https://statiz.sporki.com/add/?m=draft_school01&amp;ps_school=50108" xr:uid="{BE3CF1D7-7853-4ED7-A16A-612CC25CAA88}"/>
    <hyperlink ref="K468" r:id="rId16599" display="https://statiz.sporki.com/add/?m=draft_school01&amp;ps_school=50802" xr:uid="{8324AAB0-A5A5-4B56-B10A-9673EF23FE7B}"/>
    <hyperlink ref="K469" r:id="rId16600" display="https://statiz.sporki.com/add/?m=draft_school01&amp;ps_school=50701" xr:uid="{C0BC6099-AF47-4920-B5F8-0AE82083F5DC}"/>
    <hyperlink ref="K470" r:id="rId16601" display="https://statiz.sporki.com/add/?m=draft_school01&amp;ps_school=50111" xr:uid="{37F069A8-9D22-4F80-9B0C-05630A7B8C17}"/>
    <hyperlink ref="K471" r:id="rId16602" display="https://statiz.sporki.com/add/?m=draft_school01&amp;ps_school=50403" xr:uid="{906F541E-1FE0-4DB7-8FF3-D4C3E431ECF5}"/>
    <hyperlink ref="K472" r:id="rId16603" display="https://statiz.sporki.com/add/?m=draft_school01&amp;ps_school=50207" xr:uid="{283588C4-173A-40BE-B087-9A4371038487}"/>
    <hyperlink ref="K473" r:id="rId16604" display="https://statiz.sporki.com/add/?m=draft_school01&amp;ps_school=50208" xr:uid="{2D062A22-3D13-4CA6-86B7-E15B26A8A097}"/>
    <hyperlink ref="K474" r:id="rId16605" display="https://statiz.sporki.com/add/?m=draft_school01&amp;ps_school=50604" xr:uid="{08B1CCCD-A27D-49FA-B2DD-78C8B7296C34}"/>
    <hyperlink ref="K475" r:id="rId16606" display="https://statiz.sporki.com/add/?m=draft_school01&amp;ps_school=50103" xr:uid="{D31A2E0A-AB8D-443A-AF94-0723C9A532F1}"/>
    <hyperlink ref="K476" r:id="rId16607" display="https://statiz.sporki.com/add/?m=draft_school01&amp;ps_school=50802" xr:uid="{7EF369BB-AFAB-4C06-8581-7C01ADFDBFE0}"/>
    <hyperlink ref="K477" r:id="rId16608" display="https://statiz.sporki.com/add/?m=draft_school01&amp;ps_school=50101" xr:uid="{AB73B8F7-75CF-40E9-81DA-D2B7F8C51B41}"/>
    <hyperlink ref="K478" r:id="rId16609" display="https://statiz.sporki.com/add/?m=draft_school01&amp;ps_school=50402" xr:uid="{161DC09E-65B5-49CE-A540-171DFCAACD30}"/>
    <hyperlink ref="K479" r:id="rId16610" display="https://statiz.sporki.com/add/?m=draft_school01&amp;ps_school=50208" xr:uid="{754922BD-31F8-4AE6-9959-E9EC2C7E695C}"/>
    <hyperlink ref="K480" r:id="rId16611" display="https://statiz.sporki.com/add/?m=draft_school01&amp;ps_school=50108" xr:uid="{CD15DC06-EEE6-4701-A7ED-9DB2C6DA770F}"/>
    <hyperlink ref="K481" r:id="rId16612" display="https://statiz.sporki.com/add/?m=draft_school01&amp;ps_school=50810" xr:uid="{EEAFD34F-A9D8-4A09-9D1C-4ACCF7E35FDB}"/>
    <hyperlink ref="K482" r:id="rId16613" display="https://statiz.sporki.com/add/?m=draft_school01&amp;ps_school=50901" xr:uid="{F1C3F291-FD58-4FCD-9C6A-510AAA7A0A6E}"/>
    <hyperlink ref="K483" r:id="rId16614" display="https://statiz.sporki.com/add/?m=draft_school01&amp;ps_school=50604" xr:uid="{EF3D8D9E-3B6D-44CD-8667-20AFC0F0F821}"/>
    <hyperlink ref="K484" r:id="rId16615" display="https://statiz.sporki.com/add/?m=draft_school01&amp;ps_school=50802" xr:uid="{BCBAD229-8D00-4466-A7C1-B7F5979A7AFF}"/>
    <hyperlink ref="K485" r:id="rId16616" display="https://statiz.sporki.com/add/?m=draft_school01&amp;ps_school=50602" xr:uid="{23AF9398-B175-4D41-8C47-F8D89AF17798}"/>
    <hyperlink ref="K486" r:id="rId16617" display="https://statiz.sporki.com/add/?m=draft_school01&amp;ps_school=50101" xr:uid="{4CF0199A-5259-42F5-A4A1-583CE53CE0A2}"/>
    <hyperlink ref="K487" r:id="rId16618" display="https://statiz.sporki.com/add/?m=draft_school01&amp;ps_school=50401" xr:uid="{C55CB395-7DFC-4BE8-846B-695091C8DB54}"/>
    <hyperlink ref="K488" r:id="rId16619" display="https://statiz.sporki.com/add/?m=draft_school01&amp;ps_school=50502" xr:uid="{A0240956-F6EE-41BB-B761-8FD5373B486B}"/>
    <hyperlink ref="K489" r:id="rId16620" display="https://statiz.sporki.com/add/?m=draft_school01&amp;ps_school=50215" xr:uid="{221F1C0E-AB12-4ECE-A1B1-A2BA2FD6A52F}"/>
    <hyperlink ref="K490" r:id="rId16621" display="https://statiz.sporki.com/add/?m=draft_school01&amp;ps_school=50703" xr:uid="{0823CD97-BD40-4036-9E80-B51C993E9941}"/>
    <hyperlink ref="K491" r:id="rId16622" display="https://statiz.sporki.com/add/?m=draft_school01&amp;ps_school=50805" xr:uid="{D62666ED-2801-4142-B429-7BE722FDA686}"/>
    <hyperlink ref="K492" r:id="rId16623" display="https://statiz.sporki.com/add/?m=draft_school01&amp;ps_school=50116" xr:uid="{C413F06F-D26E-43CC-B084-BE81B907293D}"/>
    <hyperlink ref="K493" r:id="rId16624" display="https://statiz.sporki.com/add/?m=draft_school01&amp;ps_school=50902" xr:uid="{D81E1978-6E07-4007-ACA7-A11B99475502}"/>
    <hyperlink ref="K494" r:id="rId16625" display="https://statiz.sporki.com/add/?m=draft_school01&amp;ps_school=50216" xr:uid="{F5D54FAB-4EEA-470F-ADC8-8A1088E2C950}"/>
    <hyperlink ref="K495" r:id="rId16626" display="https://statiz.sporki.com/add/?m=draft_school01&amp;ps_school=50207" xr:uid="{FA0C4A0E-159C-440D-8D2B-0327AA745E5E}"/>
    <hyperlink ref="K496" r:id="rId16627" display="https://statiz.sporki.com/add/?m=draft_school01&amp;ps_school=50602" xr:uid="{0C759842-C3FB-456E-A79E-1F9FFEF5A975}"/>
    <hyperlink ref="K497" r:id="rId16628" display="https://statiz.sporki.com/add/?m=draft_school01&amp;ps_school=50801" xr:uid="{61643A28-3A04-4323-902F-ECAFAF0E731D}"/>
    <hyperlink ref="K498" r:id="rId16629" display="https://statiz.sporki.com/add/?m=draft_school01&amp;ps_school=50207" xr:uid="{5EEF33A6-F1CC-470E-BD39-194E9B0452FF}"/>
    <hyperlink ref="K499" r:id="rId16630" display="https://statiz.sporki.com/add/?m=draft_school01&amp;ps_school=50203" xr:uid="{90335F39-CB37-41F9-8D54-9C520F58A78F}"/>
    <hyperlink ref="K500" r:id="rId16631" display="https://statiz.sporki.com/add/?m=draft_school01&amp;ps_school=50103" xr:uid="{B79AFBA8-05FB-4032-877C-FE710EA53388}"/>
    <hyperlink ref="K501" r:id="rId16632" display="https://statiz.sporki.com/add/?m=draft_school01&amp;ps_school=50403" xr:uid="{D2BE24DE-64E5-43D7-BFF7-6765A41D1B28}"/>
    <hyperlink ref="K502" r:id="rId16633" display="https://statiz.sporki.com/add/?m=draft_school01&amp;ps_school=50403" xr:uid="{5CD23B2F-3001-4274-A19A-DDE88074ED5F}"/>
    <hyperlink ref="K503" r:id="rId16634" display="https://statiz.sporki.com/add/?m=draft_school01&amp;ps_school=50114" xr:uid="{994FDC01-3A21-467F-9806-987646209511}"/>
    <hyperlink ref="K504" r:id="rId16635" display="https://statiz.sporki.com/add/?m=draft_school01&amp;ps_school=50107" xr:uid="{611EDEB0-5238-4504-ABA0-449BDAA0E1C6}"/>
    <hyperlink ref="K505" r:id="rId16636" display="https://statiz.sporki.com/add/?m=draft_school01&amp;ps_school=50209" xr:uid="{8A5DF297-6092-46C1-BFFB-9173B4AD6B72}"/>
    <hyperlink ref="K506" r:id="rId16637" display="https://statiz.sporki.com/add/?m=draft_school01&amp;ps_school=50703" xr:uid="{53D50912-24BF-43D1-A1F9-5E8AC7912DBC}"/>
    <hyperlink ref="K507" r:id="rId16638" display="https://statiz.sporki.com/add/?m=draft_school01&amp;ps_school=50807" xr:uid="{9B54F8B1-7BF1-43E3-B5EF-69A71B6ECBA0}"/>
    <hyperlink ref="K508" r:id="rId16639" display="https://statiz.sporki.com/add/?m=draft_school01&amp;ps_school=50602" xr:uid="{8820ACCD-9C15-4A08-8A01-FBAA5A08B29D}"/>
    <hyperlink ref="K509" r:id="rId16640" display="https://statiz.sporki.com/add/?m=draft_school01&amp;ps_school=50703" xr:uid="{6C062346-6A9C-4FF5-AE66-71FC6796B8A7}"/>
    <hyperlink ref="K510" r:id="rId16641" display="https://statiz.sporki.com/add/?m=draft_school01&amp;ps_school=50111" xr:uid="{79FBFAE4-549A-4B58-B56B-459D4C49EC30}"/>
    <hyperlink ref="K511" r:id="rId16642" display="https://statiz.sporki.com/add/?m=draft_school01&amp;ps_school=50807" xr:uid="{FB84CDCD-6B4E-4B40-BCD0-4A4D9CC672A3}"/>
    <hyperlink ref="K512" r:id="rId16643" display="https://statiz.sporki.com/add/?m=draft_school01&amp;ps_school=50403" xr:uid="{9888B1E5-6D57-4780-849B-2FE831AFDF9F}"/>
    <hyperlink ref="K513" r:id="rId16644" display="https://statiz.sporki.com/add/?m=draft_school01&amp;ps_school=50110" xr:uid="{8D12A879-A900-402F-BC6D-9D330EE4E001}"/>
    <hyperlink ref="K514" r:id="rId16645" display="https://statiz.sporki.com/add/?m=draft_school01&amp;ps_school=50105" xr:uid="{8E5D8E10-D72D-4722-A28E-92B48ADDF7BD}"/>
    <hyperlink ref="K515" r:id="rId16646" display="https://statiz.sporki.com/add/?m=draft_school01&amp;ps_school=50105" xr:uid="{79C0BA0C-9582-4FAA-BD40-BA2826BBB94E}"/>
    <hyperlink ref="K516" r:id="rId16647" display="https://statiz.sporki.com/add/?m=draft_school01&amp;ps_school=50215" xr:uid="{338E1118-8F19-4FA9-AFC2-BF42641F1F13}"/>
    <hyperlink ref="K517" r:id="rId16648" display="https://statiz.sporki.com/add/?m=draft_school01&amp;ps_school=50803" xr:uid="{0651D02F-7C40-4B12-82A5-33DAD06B9B5B}"/>
    <hyperlink ref="K518" r:id="rId16649" display="https://statiz.sporki.com/add/?m=draft_school01&amp;ps_school=50205" xr:uid="{94DC1821-74F5-4097-95BC-4E97F3B10448}"/>
    <hyperlink ref="K519" r:id="rId16650" display="https://statiz.sporki.com/add/?m=draft_school01&amp;ps_school=50116" xr:uid="{4F341797-D7EF-4E7D-AE7C-41887F7D7E4F}"/>
    <hyperlink ref="K520" r:id="rId16651" display="https://statiz.sporki.com/add/?m=draft_school01&amp;ps_school=50901" xr:uid="{B5299075-D486-4484-972E-8ABC2F91A999}"/>
    <hyperlink ref="K521" r:id="rId16652" display="https://statiz.sporki.com/add/?m=draft_school01&amp;ps_school=50208" xr:uid="{9C10EF58-F56F-4727-9C22-466C5EB11040}"/>
    <hyperlink ref="K522" r:id="rId16653" display="https://statiz.sporki.com/add/?m=draft_school01&amp;ps_school=50802" xr:uid="{8B66B86E-DEFD-4B06-850E-C36FB8E2AF43}"/>
    <hyperlink ref="K523" r:id="rId16654" display="https://statiz.sporki.com/add/?m=draft_school01&amp;ps_school=50109" xr:uid="{24649651-7421-40DD-B722-6E6FF3492B52}"/>
    <hyperlink ref="K524" r:id="rId16655" display="https://statiz.sporki.com/add/?m=draft_school01&amp;ps_school=50903" xr:uid="{7AE20FFC-3112-4B6E-8401-05FAA9C2F3F9}"/>
    <hyperlink ref="K525" r:id="rId16656" display="https://statiz.sporki.com/add/?m=draft_school01&amp;ps_school=50402" xr:uid="{39EAE390-BB40-46D1-811E-BC168B79CE8B}"/>
    <hyperlink ref="K526" r:id="rId16657" display="https://statiz.sporki.com/add/?m=draft_school01&amp;ps_school=50705" xr:uid="{02C88F64-E91D-407E-9C81-3075B5761435}"/>
    <hyperlink ref="K527" r:id="rId16658" display="https://statiz.sporki.com/add/?m=draft_school01&amp;ps_school=50403" xr:uid="{8EC4A1B8-E307-47D2-8F5A-28459EE0941E}"/>
    <hyperlink ref="K528" r:id="rId16659" display="https://statiz.sporki.com/add/?m=draft_school01&amp;ps_school=50111" xr:uid="{4568B28A-6D2D-4DCC-B76B-3CEE4A173E88}"/>
    <hyperlink ref="K529" r:id="rId16660" display="https://statiz.sporki.com/add/?m=draft_school01&amp;ps_school=50218" xr:uid="{6C792A9C-37E7-469F-B615-A4E1F9CC9B4B}"/>
    <hyperlink ref="K530" r:id="rId16661" display="https://statiz.sporki.com/add/?m=draft_school01&amp;ps_school=50114" xr:uid="{8B4F9A13-A551-4AE9-9ABF-992D78F8863E}"/>
    <hyperlink ref="K531" r:id="rId16662" display="https://statiz.sporki.com/add/?m=draft_school01&amp;ps_school=50710" xr:uid="{530EA193-FB2D-46B0-AB4E-21C23D33FCD1}"/>
    <hyperlink ref="K532" r:id="rId16663" display="https://statiz.sporki.com/add/?m=draft_school01&amp;ps_school=50702" xr:uid="{3151B5D6-92C8-472E-B394-1C7AD277521A}"/>
    <hyperlink ref="K533" r:id="rId16664" display="https://statiz.sporki.com/add/?m=draft_school01&amp;ps_school=50110" xr:uid="{92E892D8-0AAF-433F-A72B-F061B315AFF4}"/>
    <hyperlink ref="K534" r:id="rId16665" display="https://statiz.sporki.com/add/?m=draft_school01&amp;ps_school=50114" xr:uid="{4F01AB3B-C8C2-415C-A60F-924B1E42C922}"/>
    <hyperlink ref="K535" r:id="rId16666" display="https://statiz.sporki.com/add/?m=draft_school01&amp;ps_school=50106" xr:uid="{5F639802-28A2-4A03-BB6A-C374BEBF1966}"/>
    <hyperlink ref="K536" r:id="rId16667" display="https://statiz.sporki.com/add/?m=draft_school01&amp;ps_school=50207" xr:uid="{B51396DD-724F-4A17-8DD4-EB59F34A0300}"/>
    <hyperlink ref="K537" r:id="rId16668" display="https://statiz.sporki.com/add/?m=draft_school01&amp;ps_school=50604" xr:uid="{0760D607-AD76-42D1-B587-699F215A0FC5}"/>
    <hyperlink ref="K538" r:id="rId16669" display="https://statiz.sporki.com/add/?m=draft_school01&amp;ps_school=50210" xr:uid="{511B10F0-4939-4D79-9FA7-2B3D6222C64E}"/>
    <hyperlink ref="K539" r:id="rId16670" display="https://statiz.sporki.com/add/?m=draft_school01&amp;ps_school=50116" xr:uid="{8F9B0E7B-7C59-4DC9-9872-50C94D09F175}"/>
    <hyperlink ref="K540" r:id="rId16671" display="https://statiz.sporki.com/add/?m=draft_school01&amp;ps_school=50107" xr:uid="{A93156E1-83AD-4B49-87D7-454E40BC0F88}"/>
    <hyperlink ref="K541" r:id="rId16672" display="https://statiz.sporki.com/add/?m=draft_school01&amp;ps_school=50208" xr:uid="{02F0185A-A130-4C88-B731-3DFBAFC69CA7}"/>
    <hyperlink ref="K542" r:id="rId16673" display="https://statiz.sporki.com/add/?m=draft_school01&amp;ps_school=50111" xr:uid="{F61C5A50-344D-4DCD-89EA-A918DA6422DF}"/>
    <hyperlink ref="K543" r:id="rId16674" display="https://statiz.sporki.com/add/?m=draft_school01&amp;ps_school=50116" xr:uid="{D07C4655-0025-4709-95F9-65F8B2AA1849}"/>
    <hyperlink ref="K544" r:id="rId16675" display="https://statiz.sporki.com/add/?m=draft_school01&amp;ps_school=50108" xr:uid="{1154E9E8-29C4-498F-B9E2-454B7AEC4C90}"/>
    <hyperlink ref="K545" r:id="rId16676" display="https://statiz.sporki.com/add/?m=draft_school01&amp;ps_school=50801" xr:uid="{3A46324E-0313-4FCA-B34E-1815C1ADAD16}"/>
    <hyperlink ref="K546" r:id="rId16677" display="https://statiz.sporki.com/add/?m=draft_school01&amp;ps_school=50210" xr:uid="{718F0385-76F2-4350-A1AA-B31A1B7E985B}"/>
    <hyperlink ref="K547" r:id="rId16678" display="https://statiz.sporki.com/add/?m=draft_school01&amp;ps_school=50111" xr:uid="{C84ABCA9-C3C2-407B-B875-1F4EB1924A68}"/>
    <hyperlink ref="K548" r:id="rId16679" display="https://statiz.sporki.com/add/?m=draft_school01&amp;ps_school=50602" xr:uid="{7ED82DF2-26ED-4115-B906-5E7D2F702151}"/>
    <hyperlink ref="K549" r:id="rId16680" display="https://statiz.sporki.com/add/?m=draft_school01&amp;ps_school=50801" xr:uid="{A2965C28-1C79-42DD-9C99-C0EC8A250D38}"/>
    <hyperlink ref="K550" r:id="rId16681" display="https://statiz.sporki.com/add/?m=draft_school01&amp;ps_school=50601" xr:uid="{6A9748AB-E1B6-4E55-8693-E59DC10C0260}"/>
    <hyperlink ref="K551" r:id="rId16682" display="https://statiz.sporki.com/add/?m=draft_school01&amp;ps_school=50208" xr:uid="{7469D352-68E2-43BE-9AE1-BB0F0CDECBD4}"/>
    <hyperlink ref="K552" r:id="rId16683" display="https://statiz.sporki.com/add/?m=draft_school01&amp;ps_school=50901" xr:uid="{294767E5-A745-445B-8542-42D1F9F6C0BE}"/>
    <hyperlink ref="K553" r:id="rId16684" display="https://statiz.sporki.com/add/?m=draft_school01&amp;ps_school=50703" xr:uid="{F4D78A48-16F6-4FAA-AD52-416E6600F45D}"/>
    <hyperlink ref="K554" r:id="rId16685" display="https://statiz.sporki.com/add/?m=draft_school01&amp;ps_school=50802" xr:uid="{F50E59B1-07FC-4353-980B-BA18DAEAD695}"/>
    <hyperlink ref="K555" r:id="rId16686" display="https://statiz.sporki.com/add/?m=draft_school01&amp;ps_school=50501" xr:uid="{A570F779-C0BC-464F-8920-D2A0DFD91DB9}"/>
    <hyperlink ref="K556" r:id="rId16687" display="https://statiz.sporki.com/add/?m=draft_school01&amp;ps_school=50116" xr:uid="{86C77B8C-EBE3-42AF-8BD1-CA6D3F7C92B8}"/>
    <hyperlink ref="K557" r:id="rId16688" display="https://statiz.sporki.com/add/?m=draft_school01&amp;ps_school=50805" xr:uid="{69E2F166-60F1-4F56-BED1-3DB48BF35354}"/>
    <hyperlink ref="K559" r:id="rId16689" display="https://statiz.sporki.com/add/?m=draft_school01&amp;ps_school=50703" xr:uid="{5DB27F81-6D6F-414F-8E5A-13490211781C}"/>
    <hyperlink ref="K560" r:id="rId16690" display="https://statiz.sporki.com/add/?m=draft_school01&amp;ps_school=50605" xr:uid="{B9986430-20E6-41AA-80BA-98FCBEBC1E4E}"/>
    <hyperlink ref="K561" r:id="rId16691" display="https://statiz.sporki.com/add/?m=draft_school01&amp;ps_school=50114" xr:uid="{4FC5208C-D519-40B4-A239-FE1100598346}"/>
    <hyperlink ref="K562" r:id="rId16692" display="https://statiz.sporki.com/add/?m=draft_school01&amp;ps_school=50806" xr:uid="{7150F771-7D72-4204-A701-55147983E9C6}"/>
    <hyperlink ref="K563" r:id="rId16693" display="https://statiz.sporki.com/add/?m=draft_school01&amp;ps_school=50211" xr:uid="{6F04E02C-A400-4CED-973B-1FEF9B8D2E39}"/>
    <hyperlink ref="K564" r:id="rId16694" display="https://statiz.sporki.com/add/?m=draft_school01&amp;ps_school=50709" xr:uid="{BFEFC3B4-601A-4854-8C00-740D07AA6D97}"/>
    <hyperlink ref="K565" r:id="rId16695" display="https://statiz.sporki.com/add/?m=draft_school01&amp;ps_school=50807" xr:uid="{B20F7728-65C9-4786-8DA7-6107968BAA54}"/>
    <hyperlink ref="K566" r:id="rId16696" display="https://statiz.sporki.com/add/?m=draft_school01&amp;ps_school=50209" xr:uid="{BA3CDDEF-8D65-4F68-A2A7-2D0F9FCBE110}"/>
    <hyperlink ref="K568" r:id="rId16697" display="https://statiz.sporki.com/add/?m=draft_school01&amp;ps_school=50901" xr:uid="{01F077DD-11C2-4810-932D-1BBE61787360}"/>
    <hyperlink ref="K569" r:id="rId16698" display="https://statiz.sporki.com/add/?m=draft_school01&amp;ps_school=50710" xr:uid="{7FC233A3-9005-4F33-AFD3-6D55FA5FDAF8}"/>
    <hyperlink ref="K570" r:id="rId16699" display="https://statiz.sporki.com/add/?m=draft_school01&amp;ps_school=50116" xr:uid="{B2A87856-FE12-4311-B98F-5CBEC98328B1}"/>
    <hyperlink ref="K571" r:id="rId16700" display="https://statiz.sporki.com/add/?m=draft_school01&amp;ps_school=50802" xr:uid="{88FBD375-E2C0-4A2A-9B12-E5E5CDA2767B}"/>
    <hyperlink ref="K573" r:id="rId16701" display="https://statiz.sporki.com/add/?m=draft_school01&amp;ps_school=51113" xr:uid="{6848F332-6C43-4A31-8E3D-FB98C3285059}"/>
    <hyperlink ref="K574" r:id="rId16702" display="https://statiz.sporki.com/add/?m=draft_school01&amp;ps_school=51109" xr:uid="{36014DC0-9E8D-42B5-BE60-7F13F9C66FBC}"/>
    <hyperlink ref="K577" r:id="rId16703" display="https://statiz.sporki.com/add/?m=draft_school01&amp;ps_school=51107" xr:uid="{DF3F510D-18E5-41CF-A6FB-910491C8A3A1}"/>
    <hyperlink ref="K578" r:id="rId16704" display="https://statiz.sporki.com/add/?m=draft_school01&amp;ps_school=51120" xr:uid="{5A879428-7E45-46D6-906C-CAE7811DF1E0}"/>
    <hyperlink ref="K582" r:id="rId16705" display="https://statiz.sporki.com/add/?m=draft_school01&amp;ps_school=51100" xr:uid="{7689E885-43BA-44D3-83CD-DF0DEDF31DF5}"/>
    <hyperlink ref="K583" r:id="rId16706" display="https://statiz.sporki.com/add/?m=draft_school01&amp;ps_school=51115" xr:uid="{478402BB-BF94-4D58-B02F-73D61A0350A0}"/>
    <hyperlink ref="K584" r:id="rId16707" display="https://statiz.sporki.com/add/?m=draft_school01&amp;ps_school=51114" xr:uid="{946ECF61-4DB4-40F3-AB0C-D1F6E85ED0A7}"/>
    <hyperlink ref="K591" r:id="rId16708" display="https://statiz.sporki.com/add/?m=draft_school01&amp;ps_school=50101" xr:uid="{57E1CE3E-F370-4963-B10E-4598C0EC07C3}"/>
    <hyperlink ref="K592" r:id="rId16709" display="https://statiz.sporki.com/add/?m=draft_school01&amp;ps_school=50207" xr:uid="{DAC223E5-F7D9-4BDB-A987-0655A9D78A02}"/>
    <hyperlink ref="K593" r:id="rId16710" display="https://statiz.sporki.com/add/?m=draft_school01&amp;ps_school=50101" xr:uid="{FED808EE-9FA4-4782-88D8-376E083F809A}"/>
    <hyperlink ref="K594" r:id="rId16711" display="https://statiz.sporki.com/add/?m=draft_school01&amp;ps_school=50217" xr:uid="{BD084B6F-D57A-4EB1-B412-7484D69CE2CD}"/>
    <hyperlink ref="K595" r:id="rId16712" display="https://statiz.sporki.com/add/?m=draft_school01&amp;ps_school=50211" xr:uid="{AF9F229E-6192-40E0-9C59-D73D69F7A64A}"/>
    <hyperlink ref="K596" r:id="rId16713" display="https://statiz.sporki.com/add/?m=draft_school01&amp;ps_school=50109" xr:uid="{569845B7-CAAA-457D-B822-EB0C6604F205}"/>
    <hyperlink ref="K597" r:id="rId16714" display="https://statiz.sporki.com/add/?m=draft_school01&amp;ps_school=50209" xr:uid="{49A6EDAE-0116-4326-AF3E-24A0ED9DC35D}"/>
    <hyperlink ref="K598" r:id="rId16715" display="https://statiz.sporki.com/add/?m=draft_school01&amp;ps_school=50109" xr:uid="{FA390440-BFA8-4FCE-A5A8-62694498C56E}"/>
    <hyperlink ref="K599" r:id="rId16716" display="https://statiz.sporki.com/add/?m=draft_school01&amp;ps_school=50401" xr:uid="{6E37DED7-19B5-4137-9520-9D24C5D1A02C}"/>
    <hyperlink ref="K600" r:id="rId16717" display="https://statiz.sporki.com/add/?m=draft_school01&amp;ps_school=50110" xr:uid="{2ABF16F2-56FF-4147-BFEC-2AD6F8F7CA79}"/>
    <hyperlink ref="K601" r:id="rId16718" display="https://statiz.sporki.com/add/?m=draft_school01&amp;ps_school=50114" xr:uid="{355ED086-A045-4ACA-9BC5-2AB8C7E0442E}"/>
    <hyperlink ref="K602" r:id="rId16719" display="https://statiz.sporki.com/add/?m=draft_school01&amp;ps_school=50811" xr:uid="{471CEC4E-385E-444C-88DC-C1D3A7D8BEB5}"/>
    <hyperlink ref="K603" r:id="rId16720" display="https://statiz.sporki.com/add/?m=draft_school01&amp;ps_school=50114" xr:uid="{EC3DCD2F-7917-4DCC-9C8C-48C978E56B1D}"/>
    <hyperlink ref="K604" r:id="rId16721" display="https://statiz.sporki.com/add/?m=draft_school01&amp;ps_school=50101" xr:uid="{7EED62C0-08C4-4F76-9383-68C0DDE7C6D5}"/>
    <hyperlink ref="K605" r:id="rId16722" display="https://statiz.sporki.com/add/?m=draft_school01&amp;ps_school=50605" xr:uid="{2231AABD-78D4-4102-8796-E8048AA690E3}"/>
    <hyperlink ref="K606" r:id="rId16723" display="https://statiz.sporki.com/add/?m=draft_school01&amp;ps_school=50705" xr:uid="{323CEC9F-6BFF-491A-8E28-8A1F76832609}"/>
    <hyperlink ref="K607" r:id="rId16724" display="https://statiz.sporki.com/add/?m=draft_school01&amp;ps_school=50803" xr:uid="{E8DB56B9-4505-4D73-9332-A271FA192D80}"/>
    <hyperlink ref="K608" r:id="rId16725" display="https://statiz.sporki.com/add/?m=draft_school01&amp;ps_school=50802" xr:uid="{20BB6FD1-CA7A-4FB5-BB7B-422A4E358128}"/>
    <hyperlink ref="K609" r:id="rId16726" display="https://statiz.sporki.com/add/?m=draft_school01&amp;ps_school=50102" xr:uid="{305A6A0F-BE91-4230-8638-336DB0A1348F}"/>
    <hyperlink ref="K610" r:id="rId16727" display="https://statiz.sporki.com/add/?m=draft_school01&amp;ps_school=50103" xr:uid="{8705E1E3-F1AA-4C6C-A1B6-304B1A8BCBDB}"/>
    <hyperlink ref="K611" r:id="rId16728" display="https://statiz.sporki.com/add/?m=draft_school01&amp;ps_school=50105" xr:uid="{FFDA4E1E-E680-4EBF-8BC1-F2D89513A331}"/>
    <hyperlink ref="K612" r:id="rId16729" display="https://statiz.sporki.com/add/?m=draft_school01&amp;ps_school=50802" xr:uid="{96625124-F022-4995-9AF9-20CF07EEF8D2}"/>
    <hyperlink ref="K613" r:id="rId16730" display="https://statiz.sporki.com/add/?m=draft_school01&amp;ps_school=50606" xr:uid="{359AE522-7957-478C-9ED1-F737EE287384}"/>
    <hyperlink ref="K614" r:id="rId16731" display="https://statiz.sporki.com/add/?m=draft_school01&amp;ps_school=50302" xr:uid="{2ECEC59C-54D6-434E-9D87-F3089ED3D828}"/>
    <hyperlink ref="K615" r:id="rId16732" display="https://statiz.sporki.com/add/?m=draft_school01&amp;ps_school=50301" xr:uid="{B2D70302-5E1C-42B5-8A01-F8DC3C95857A}"/>
    <hyperlink ref="K616" r:id="rId16733" display="https://statiz.sporki.com/add/?m=draft_school01&amp;ps_school=50703" xr:uid="{482C354F-728D-43CC-9A1D-D157D4AC515F}"/>
    <hyperlink ref="K617" r:id="rId16734" display="https://statiz.sporki.com/add/?m=draft_school01&amp;ps_school=50601" xr:uid="{76BCF7CD-767F-4A13-A98B-C4651783F912}"/>
    <hyperlink ref="K618" r:id="rId16735" display="https://statiz.sporki.com/add/?m=draft_school01&amp;ps_school=50206" xr:uid="{92F1FD83-070E-43B7-85ED-7D290339CE31}"/>
    <hyperlink ref="K619" r:id="rId16736" display="https://statiz.sporki.com/add/?m=draft_school01&amp;ps_school=50108" xr:uid="{AB8D1C56-6A78-42D6-912D-12F9FACE1946}"/>
    <hyperlink ref="K620" r:id="rId16737" display="https://statiz.sporki.com/add/?m=draft_school01&amp;ps_school=50807" xr:uid="{DB1685C2-81BD-44C3-B307-D488F4CF931E}"/>
    <hyperlink ref="K621" r:id="rId16738" display="https://statiz.sporki.com/add/?m=draft_school01&amp;ps_school=50209" xr:uid="{CFE652E4-0D7E-429B-9281-A418FB0BC156}"/>
    <hyperlink ref="K622" r:id="rId16739" display="https://statiz.sporki.com/add/?m=draft_school01&amp;ps_school=50101" xr:uid="{345A69D6-7D9F-4F98-9BD8-388AC5365954}"/>
    <hyperlink ref="K623" r:id="rId16740" display="https://statiz.sporki.com/add/?m=draft_school01&amp;ps_school=50116" xr:uid="{1E7918F2-02DD-4D14-A5E7-9F1FB51F6D5E}"/>
    <hyperlink ref="K624" r:id="rId16741" display="https://statiz.sporki.com/add/?m=draft_school01&amp;ps_school=50802" xr:uid="{C9C49078-A395-4ED2-AD5E-00DB72B7AD1C}"/>
    <hyperlink ref="K625" r:id="rId16742" display="https://statiz.sporki.com/add/?m=draft_school01&amp;ps_school=50701" xr:uid="{FDB4B6B7-8324-46D1-A20E-45E5962CC3C9}"/>
    <hyperlink ref="K626" r:id="rId16743" display="https://statiz.sporki.com/add/?m=draft_school01&amp;ps_school=50403" xr:uid="{612BC0DC-0619-48BD-9A2D-292F9941B6BE}"/>
    <hyperlink ref="K627" r:id="rId16744" display="https://statiz.sporki.com/add/?m=draft_school01&amp;ps_school=50103" xr:uid="{C119DC97-8DEF-409D-A985-F0CD01502123}"/>
    <hyperlink ref="K628" r:id="rId16745" display="https://statiz.sporki.com/add/?m=draft_school01&amp;ps_school=50110" xr:uid="{A538AC9D-CFE8-44C9-9211-62920FA8A600}"/>
    <hyperlink ref="K629" r:id="rId16746" display="https://statiz.sporki.com/add/?m=draft_school01&amp;ps_school=50805" xr:uid="{F58CE6F7-EFC7-44F5-B747-802A29E9780A}"/>
    <hyperlink ref="K630" r:id="rId16747" display="https://statiz.sporki.com/add/?m=draft_school01&amp;ps_school=50111" xr:uid="{C30A0188-6088-4240-9AD8-E0F6A614300B}"/>
    <hyperlink ref="K631" r:id="rId16748" display="https://statiz.sporki.com/add/?m=draft_school01&amp;ps_school=50602" xr:uid="{9AEEF6B8-B9F2-45E5-8918-168EBFBC3F97}"/>
    <hyperlink ref="K632" r:id="rId16749" display="https://statiz.sporki.com/add/?m=draft_school01&amp;ps_school=50301" xr:uid="{0A7B7F42-DC4E-4920-8C90-EC9002D4A67B}"/>
    <hyperlink ref="K633" r:id="rId16750" display="https://statiz.sporki.com/add/?m=draft_school01&amp;ps_school=50203" xr:uid="{1C1A3B27-C4B6-48E2-9138-57774AB71A65}"/>
    <hyperlink ref="K634" r:id="rId16751" display="https://statiz.sporki.com/add/?m=draft_school01&amp;ps_school=50403" xr:uid="{57D028CD-4BD6-4D6F-A186-82A8DEA5A661}"/>
    <hyperlink ref="K635" r:id="rId16752" display="https://statiz.sporki.com/add/?m=draft_school01&amp;ps_school=50114" xr:uid="{5D0CE4BB-49E2-4856-9B7D-47953E9DB181}"/>
    <hyperlink ref="K636" r:id="rId16753" display="https://statiz.sporki.com/add/?m=draft_school01&amp;ps_school=50802" xr:uid="{B610F4F0-4703-4220-A9EC-17F6815B7E38}"/>
    <hyperlink ref="K637" r:id="rId16754" display="https://statiz.sporki.com/add/?m=draft_school01&amp;ps_school=50108" xr:uid="{DBB7AC34-9B53-40C2-8A3B-843E3C753E1B}"/>
    <hyperlink ref="K638" r:id="rId16755" display="https://statiz.sporki.com/add/?m=draft_school01&amp;ps_school=50802" xr:uid="{6F626CEB-D51F-4F86-8605-CF1AD1D74E1D}"/>
    <hyperlink ref="K639" r:id="rId16756" display="https://statiz.sporki.com/add/?m=draft_school01&amp;ps_school=50107" xr:uid="{FEB6AA37-8CCE-473A-BE17-0F46390DFC7C}"/>
    <hyperlink ref="K640" r:id="rId16757" display="https://statiz.sporki.com/add/?m=draft_school01&amp;ps_school=50810" xr:uid="{DEA521C1-A42A-451F-ACEB-599BACDDFB8C}"/>
    <hyperlink ref="K641" r:id="rId16758" display="https://statiz.sporki.com/add/?m=draft_school01&amp;ps_school=50807" xr:uid="{B563C7E6-657C-4F5C-A4B1-CEFAC01B0E0D}"/>
    <hyperlink ref="K642" r:id="rId16759" display="https://statiz.sporki.com/add/?m=draft_school01&amp;ps_school=50213" xr:uid="{98E7DEAF-74EF-45DF-9759-3812447253CE}"/>
    <hyperlink ref="K643" r:id="rId16760" display="https://statiz.sporki.com/add/?m=draft_school01&amp;ps_school=50107" xr:uid="{7D414A02-3AE5-4DEF-B430-DE344CEDC117}"/>
    <hyperlink ref="K644" r:id="rId16761" display="https://statiz.sporki.com/add/?m=draft_school01&amp;ps_school=50108" xr:uid="{AC6C7B66-B21D-4C70-A0A1-BE8582903435}"/>
    <hyperlink ref="K645" r:id="rId16762" display="https://statiz.sporki.com/add/?m=draft_school01&amp;ps_school=50110" xr:uid="{1E6EF762-BC26-49E6-B665-AB4F16E827BF}"/>
    <hyperlink ref="K646" r:id="rId16763" display="https://statiz.sporki.com/add/?m=draft_school01&amp;ps_school=50602" xr:uid="{0529C22A-B791-4D13-8BD1-6E94248A06F9}"/>
    <hyperlink ref="K647" r:id="rId16764" display="https://statiz.sporki.com/add/?m=draft_school01&amp;ps_school=50211" xr:uid="{BB5C1DB6-6C0D-4142-B161-257EC65EBD75}"/>
    <hyperlink ref="K648" r:id="rId16765" display="https://statiz.sporki.com/add/?m=draft_school01&amp;ps_school=50108" xr:uid="{CC4AC2BE-17FD-49FF-9352-1C4152A722E4}"/>
    <hyperlink ref="K649" r:id="rId16766" display="https://statiz.sporki.com/add/?m=draft_school01&amp;ps_school=50110" xr:uid="{8696DD52-BA87-45F1-82DC-9C7ADBFAB631}"/>
    <hyperlink ref="K650" r:id="rId16767" display="https://statiz.sporki.com/add/?m=draft_school01&amp;ps_school=50403" xr:uid="{4ECD34C3-2F90-479C-A063-B055D5861245}"/>
    <hyperlink ref="K651" r:id="rId16768" display="https://statiz.sporki.com/add/?m=draft_school01&amp;ps_school=50403" xr:uid="{1B36B7D5-E238-4E5F-B3F6-F4FA88AF9C5F}"/>
    <hyperlink ref="K652" r:id="rId16769" display="https://statiz.sporki.com/add/?m=draft_school01&amp;ps_school=50801" xr:uid="{E425C06E-150D-4EF6-B6B8-123EC6A61A27}"/>
    <hyperlink ref="K653" r:id="rId16770" display="https://statiz.sporki.com/add/?m=draft_school01&amp;ps_school=50107" xr:uid="{1BEC16D0-FB7B-4BE2-8608-8893606C3573}"/>
    <hyperlink ref="K654" r:id="rId16771" display="https://statiz.sporki.com/add/?m=draft_school01&amp;ps_school=50111" xr:uid="{003DC927-8526-44B4-A0C9-1A01F71E69AD}"/>
    <hyperlink ref="K655" r:id="rId16772" display="https://statiz.sporki.com/add/?m=draft_school01&amp;ps_school=50114" xr:uid="{1618C5E4-CECC-45E1-82FA-AF991B5DF5E3}"/>
    <hyperlink ref="K656" r:id="rId16773" display="https://statiz.sporki.com/add/?m=draft_school01&amp;ps_school=50805" xr:uid="{5F377275-359A-437B-897D-B08EC27CE796}"/>
    <hyperlink ref="K657" r:id="rId16774" display="https://statiz.sporki.com/add/?m=draft_school01&amp;ps_school=50604" xr:uid="{30D8A2D2-044F-4B8A-AEC9-670471D83528}"/>
    <hyperlink ref="K658" r:id="rId16775" display="https://statiz.sporki.com/add/?m=draft_school01&amp;ps_school=50701" xr:uid="{7057735D-87A6-49A7-8797-5135B5A59573}"/>
    <hyperlink ref="K659" r:id="rId16776" display="https://statiz.sporki.com/add/?m=draft_school01&amp;ps_school=50804" xr:uid="{79022214-E032-45CA-A327-8733B60E18F1}"/>
    <hyperlink ref="K660" r:id="rId16777" display="https://statiz.sporki.com/add/?m=draft_school01&amp;ps_school=50705" xr:uid="{6EB034CE-972D-44EC-A48C-C982B00951A5}"/>
    <hyperlink ref="K661" r:id="rId16778" display="https://statiz.sporki.com/add/?m=draft_school01&amp;ps_school=50401" xr:uid="{71084C06-1F2C-49EC-A75A-BBB535C33EFC}"/>
    <hyperlink ref="K662" r:id="rId16779" display="https://statiz.sporki.com/add/?m=draft_school01&amp;ps_school=50502" xr:uid="{C138F1A3-4E43-4C7D-81E3-EA29DE204FCF}"/>
    <hyperlink ref="K663" r:id="rId16780" display="https://statiz.sporki.com/add/?m=draft_school01&amp;ps_school=50111" xr:uid="{D42C5B60-FB74-4C82-AAD6-94F98D0B36A6}"/>
    <hyperlink ref="K664" r:id="rId16781" display="https://statiz.sporki.com/add/?m=draft_school01&amp;ps_school=50805" xr:uid="{900146A8-8042-4FCC-B9C7-1B67931EFC2C}"/>
    <hyperlink ref="K665" r:id="rId16782" display="https://statiz.sporki.com/add/?m=draft_school01&amp;ps_school=50210" xr:uid="{0667D507-5CC3-490A-A5B1-85DEDEDDAAD0}"/>
    <hyperlink ref="K666" r:id="rId16783" display="https://statiz.sporki.com/add/?m=draft_school01&amp;ps_school=50110" xr:uid="{D37DD329-88FF-48E3-ABAF-9C495C20718A}"/>
    <hyperlink ref="K667" r:id="rId16784" display="https://statiz.sporki.com/add/?m=draft_school01&amp;ps_school=50105" xr:uid="{61A3015F-B006-4656-BE08-E06D85223971}"/>
    <hyperlink ref="K668" r:id="rId16785" display="https://statiz.sporki.com/add/?m=draft_school01&amp;ps_school=50111" xr:uid="{D5406048-D35E-4658-AB35-BB5C054408D1}"/>
    <hyperlink ref="K669" r:id="rId16786" display="https://statiz.sporki.com/add/?m=draft_school01&amp;ps_school=50208" xr:uid="{16C96B9E-BC37-4E50-BAF5-9580B1A0BE7C}"/>
    <hyperlink ref="K670" r:id="rId16787" display="https://statiz.sporki.com/add/?m=draft_school01&amp;ps_school=50703" xr:uid="{37577E27-2B2E-4F09-8510-4945BCCD2CB0}"/>
    <hyperlink ref="K671" r:id="rId16788" display="https://statiz.sporki.com/add/?m=draft_school01&amp;ps_school=50207" xr:uid="{83B9CD9C-8553-47F8-BAB9-C479F9E139C9}"/>
    <hyperlink ref="K672" r:id="rId16789" display="https://statiz.sporki.com/add/?m=draft_school01&amp;ps_school=50601" xr:uid="{9B8B1EA2-AEBD-4198-8945-4367D65BE5BB}"/>
    <hyperlink ref="K673" r:id="rId16790" display="https://statiz.sporki.com/add/?m=draft_school01&amp;ps_school=50105" xr:uid="{FD531ACF-BD81-4B43-B5F3-0EA23DD0E5AE}"/>
    <hyperlink ref="K674" r:id="rId16791" display="https://statiz.sporki.com/add/?m=draft_school01&amp;ps_school=50703" xr:uid="{794D153C-4044-4C71-86E1-1ABC6FECE92A}"/>
    <hyperlink ref="K675" r:id="rId16792" display="https://statiz.sporki.com/add/?m=draft_school01&amp;ps_school=50701" xr:uid="{8060EAF1-44CB-4AA0-9192-A7C12BF87384}"/>
    <hyperlink ref="K676" r:id="rId16793" display="https://statiz.sporki.com/add/?m=draft_school01&amp;ps_school=50802" xr:uid="{DC038F5F-9B64-4D3D-8404-2008AC2EB17A}"/>
    <hyperlink ref="K677" r:id="rId16794" display="https://statiz.sporki.com/add/?m=draft_school01&amp;ps_school=50709" xr:uid="{FF81427F-722D-4005-877C-51EF6FD6D1A2}"/>
    <hyperlink ref="K678" r:id="rId16795" display="https://statiz.sporki.com/add/?m=draft_school01&amp;ps_school=50701" xr:uid="{6EFD64A8-5FF4-4261-AD4E-E3F442EDD247}"/>
    <hyperlink ref="K679" r:id="rId16796" display="https://statiz.sporki.com/add/?m=draft_school01&amp;ps_school=50111" xr:uid="{280C7EA3-9E54-491E-A3F4-4EA0EAD3B65D}"/>
    <hyperlink ref="K680" r:id="rId16797" display="https://statiz.sporki.com/add/?m=draft_school01&amp;ps_school=50804" xr:uid="{45F952B4-3BCF-4965-B332-5EC6A211E9AF}"/>
    <hyperlink ref="K681" r:id="rId16798" display="https://statiz.sporki.com/add/?m=draft_school01&amp;ps_school=50701" xr:uid="{06670C57-11C3-445D-AD76-9020FCD547A5}"/>
    <hyperlink ref="K682" r:id="rId16799" display="https://statiz.sporki.com/add/?m=draft_school01&amp;ps_school=50602" xr:uid="{0AFE5429-9679-4603-B018-AF584820B336}"/>
    <hyperlink ref="K683" r:id="rId16800" display="https://statiz.sporki.com/add/?m=draft_school01&amp;ps_school=50212" xr:uid="{B6EED663-30D6-44DF-9796-22EB23DFC3F2}"/>
    <hyperlink ref="K684" r:id="rId16801" display="https://statiz.sporki.com/add/?m=draft_school01&amp;ps_school=50710" xr:uid="{5FB10707-C7ED-4F91-A61F-6C8C7C13D216}"/>
    <hyperlink ref="K685" r:id="rId16802" display="https://statiz.sporki.com/add/?m=draft_school01&amp;ps_school=50701" xr:uid="{CFC59DD0-DA15-4F82-8AE7-2F5A1AC59501}"/>
    <hyperlink ref="K686" r:id="rId16803" display="https://statiz.sporki.com/add/?m=draft_school01&amp;ps_school=50604" xr:uid="{8DC867C1-8C48-4190-8109-7CB98D3E762C}"/>
    <hyperlink ref="K687" r:id="rId16804" display="https://statiz.sporki.com/add/?m=draft_school01&amp;ps_school=50802" xr:uid="{F9019F4C-8AD9-4065-9B27-5F1C692F40CF}"/>
    <hyperlink ref="K688" r:id="rId16805" display="https://statiz.sporki.com/add/?m=draft_school01&amp;ps_school=50208" xr:uid="{8FA045D2-26FC-45C8-BB17-8DB1E4B4ECC1}"/>
    <hyperlink ref="K689" r:id="rId16806" display="https://statiz.sporki.com/add/?m=draft_school01&amp;ps_school=50207" xr:uid="{D03D7B58-2C0F-4F81-B847-BA84995A2DC3}"/>
    <hyperlink ref="K690" r:id="rId16807" display="https://statiz.sporki.com/add/?m=draft_school01&amp;ps_school=50302" xr:uid="{5B3077BB-BB5C-4798-B5A6-3781BADA5729}"/>
    <hyperlink ref="K691" r:id="rId16808" display="https://statiz.sporki.com/add/?m=draft_school01&amp;ps_school=50709" xr:uid="{6B1ACA94-C3BB-439F-AC94-5010589FF9B8}"/>
    <hyperlink ref="K692" r:id="rId16809" display="https://statiz.sporki.com/add/?m=draft_school01&amp;ps_school=50202" xr:uid="{DFC67393-8FAA-4452-AFED-CB7BF32949DF}"/>
    <hyperlink ref="K693" r:id="rId16810" display="https://statiz.sporki.com/add/?m=draft_school01&amp;ps_school=50807" xr:uid="{B85A496F-67A8-40C9-8D51-DFB1428EDC33}"/>
    <hyperlink ref="K694" r:id="rId16811" display="https://statiz.sporki.com/add/?m=draft_school01&amp;ps_school=50901" xr:uid="{BA3A3DF5-E68D-4DEE-96DC-24F0F53B9553}"/>
    <hyperlink ref="K695" r:id="rId16812" display="https://statiz.sporki.com/add/?m=draft_school01&amp;ps_school=50215" xr:uid="{29A13670-CD09-4E42-9CCD-31EF18AA1E0A}"/>
    <hyperlink ref="K696" r:id="rId16813" display="https://statiz.sporki.com/add/?m=draft_school01&amp;ps_school=50701" xr:uid="{AB41971C-E7A9-4CAF-BE30-851AB9F44314}"/>
    <hyperlink ref="K697" r:id="rId16814" display="https://statiz.sporki.com/add/?m=draft_school01&amp;ps_school=50805" xr:uid="{4685AADB-4E28-43EE-B311-2E6A6AF238BC}"/>
    <hyperlink ref="K698" r:id="rId16815" display="https://statiz.sporki.com/add/?m=draft_school01&amp;ps_school=50604" xr:uid="{64FABAEA-105F-4822-8156-F38981FC2BDB}"/>
    <hyperlink ref="K699" r:id="rId16816" display="https://statiz.sporki.com/add/?m=draft_school01&amp;ps_school=50805" xr:uid="{381483BF-8409-410C-9B08-B998991A0E99}"/>
    <hyperlink ref="K700" r:id="rId16817" display="https://statiz.sporki.com/add/?m=draft_school01&amp;ps_school=50705" xr:uid="{76D32A63-5FA5-4646-A13D-88B8AD845BF5}"/>
    <hyperlink ref="K701" r:id="rId16818" display="https://statiz.sporki.com/add/?m=draft_school01&amp;ps_school=50210" xr:uid="{2561CDD2-B063-44F6-9EE8-C093C3AD45F1}"/>
    <hyperlink ref="K702" r:id="rId16819" display="https://statiz.sporki.com/add/?m=draft_school01&amp;ps_school=50703" xr:uid="{57C5C552-19C1-468B-94CC-1751B5B81C40}"/>
    <hyperlink ref="K703" r:id="rId16820" display="https://statiz.sporki.com/add/?m=draft_school01&amp;ps_school=50103" xr:uid="{65760F96-ECEE-4104-B40E-111222002B3F}"/>
    <hyperlink ref="K704" r:id="rId16821" display="https://statiz.sporki.com/add/?m=draft_school01&amp;ps_school=50209" xr:uid="{57094C5C-25F8-4E70-B8E3-F9033A6C5BA0}"/>
    <hyperlink ref="K705" r:id="rId16822" display="https://statiz.sporki.com/add/?m=draft_school01&amp;ps_school=50402" xr:uid="{64784400-73D0-435D-9E0F-3B6CBB793797}"/>
    <hyperlink ref="K706" r:id="rId16823" display="https://statiz.sporki.com/add/?m=draft_school01&amp;ps_school=50101" xr:uid="{312F1CD7-5F8A-4BC0-9420-B405A9E27EA2}"/>
    <hyperlink ref="K707" r:id="rId16824" display="https://statiz.sporki.com/add/?m=draft_school01&amp;ps_school=51001" xr:uid="{EF1C8396-BDF0-40FB-B9EE-8C4BFB309BF7}"/>
    <hyperlink ref="K708" r:id="rId16825" display="https://statiz.sporki.com/add/?m=draft_school01&amp;ps_school=50205" xr:uid="{6123BDC4-BCD9-4BC6-B522-7253AF19190D}"/>
    <hyperlink ref="K709" r:id="rId16826" display="https://statiz.sporki.com/add/?m=draft_school01&amp;ps_school=50606" xr:uid="{2E3D4CC3-9050-4AE4-925C-14663C8FE5E8}"/>
    <hyperlink ref="K710" r:id="rId16827" display="https://statiz.sporki.com/add/?m=draft_school01&amp;ps_school=50202" xr:uid="{712C27F0-D6BA-4BBE-8350-C9689972DEEF}"/>
    <hyperlink ref="K711" r:id="rId16828" display="https://statiz.sporki.com/add/?m=draft_school01&amp;ps_school=50212" xr:uid="{1BE89D7D-5E34-4C3C-97BE-2D061BE08F15}"/>
    <hyperlink ref="K712" r:id="rId16829" display="https://statiz.sporki.com/add/?m=draft_school01&amp;ps_school=50116" xr:uid="{33E1DD64-A6DB-4E27-9868-9D8D30300DC7}"/>
    <hyperlink ref="K713" r:id="rId16830" display="https://statiz.sporki.com/add/?m=draft_school01&amp;ps_school=50803" xr:uid="{65FCCD59-417F-43B2-AFA2-1C59746461DE}"/>
    <hyperlink ref="K714" r:id="rId16831" display="https://statiz.sporki.com/add/?m=draft_school01&amp;ps_school=50101" xr:uid="{36B748E6-039B-4056-9A8F-1D601D76CC12}"/>
    <hyperlink ref="K715" r:id="rId16832" display="https://statiz.sporki.com/add/?m=draft_school01&amp;ps_school=50101" xr:uid="{188FA20A-7D07-466D-BC2D-B26ADECF334A}"/>
    <hyperlink ref="K716" r:id="rId16833" display="https://statiz.sporki.com/add/?m=draft_school01&amp;ps_school=50403" xr:uid="{E82CF3B0-8103-4826-9D95-B7DE35E7A1F3}"/>
    <hyperlink ref="K717" r:id="rId16834" display="https://statiz.sporki.com/add/?m=draft_school01&amp;ps_school=50601" xr:uid="{757A710B-6FD3-41AF-AFE1-C90B025D446E}"/>
    <hyperlink ref="K718" r:id="rId16835" display="https://statiz.sporki.com/add/?m=draft_school01&amp;ps_school=50214" xr:uid="{E124FAF6-232E-48AF-AC5A-B8108D07174B}"/>
    <hyperlink ref="K719" r:id="rId16836" display="https://statiz.sporki.com/add/?m=draft_school01&amp;ps_school=50807" xr:uid="{81374C41-CA1F-4549-8C39-1337E85C0F22}"/>
    <hyperlink ref="K720" r:id="rId16837" display="https://statiz.sporki.com/add/?m=draft_school01&amp;ps_school=50802" xr:uid="{1900DBB1-2082-4B17-82D8-AB9800416347}"/>
    <hyperlink ref="K721" r:id="rId16838" display="https://statiz.sporki.com/add/?m=draft_school01&amp;ps_school=50501" xr:uid="{76473772-653E-4D0D-B1CF-27F0AAD7CAF9}"/>
    <hyperlink ref="K722" r:id="rId16839" display="https://statiz.sporki.com/add/?m=draft_school01&amp;ps_school=50803" xr:uid="{8713FDC1-DF88-4BA6-9A67-D670981E98F7}"/>
    <hyperlink ref="K723" r:id="rId16840" display="https://statiz.sporki.com/add/?m=draft_school01&amp;ps_school=50111" xr:uid="{C6F09289-26C5-4A3F-A0BB-720C4EC7657F}"/>
    <hyperlink ref="K724" r:id="rId16841" display="https://statiz.sporki.com/add/?m=draft_school01&amp;ps_school=50107" xr:uid="{583F721D-C445-4036-98A1-91A8BE41C0C3}"/>
    <hyperlink ref="K731" r:id="rId16842" display="https://statiz.sporki.com/add/?m=draft_school01&amp;ps_school=51111" xr:uid="{8443A6A5-14CC-4C3A-BDA9-EFFC8F3BC740}"/>
    <hyperlink ref="K734" r:id="rId16843" display="https://statiz.sporki.com/add/?m=draft_school01&amp;ps_school=51105" xr:uid="{B389E104-FEEC-43B6-A953-D69538528972}"/>
    <hyperlink ref="K751" r:id="rId16844" display="https://statiz.sporki.com/add/?m=draft_school01&amp;ps_school=50210" xr:uid="{B5357BFB-642D-4AFD-8005-8F0AE765EC5A}"/>
    <hyperlink ref="K752" r:id="rId16845" display="https://statiz.sporki.com/add/?m=draft_school01&amp;ps_school=50102" xr:uid="{77B27FA8-75D2-4610-A7BB-829BAF171CA8}"/>
    <hyperlink ref="K753" r:id="rId16846" display="https://statiz.sporki.com/add/?m=draft_school01&amp;ps_school=50901" xr:uid="{BB3CDC4B-C098-4BCF-993A-64B4DEA5F2F9}"/>
    <hyperlink ref="K754" r:id="rId16847" display="https://statiz.sporki.com/add/?m=draft_school01&amp;ps_school=50103" xr:uid="{237F08BE-2AF2-409D-B520-350A7669685E}"/>
    <hyperlink ref="K755" r:id="rId16848" display="https://statiz.sporki.com/add/?m=draft_school01&amp;ps_school=50101" xr:uid="{B70C6852-F5A4-4526-8037-36D574846536}"/>
    <hyperlink ref="K756" r:id="rId16849" display="https://statiz.sporki.com/add/?m=draft_school01&amp;ps_school=50114" xr:uid="{EC213718-7CB8-45AD-82C1-C718FDF3A44F}"/>
    <hyperlink ref="K757" r:id="rId16850" display="https://statiz.sporki.com/add/?m=draft_school01&amp;ps_school=50807" xr:uid="{C6626F98-0F38-4945-8C5A-A129C1589541}"/>
    <hyperlink ref="K758" r:id="rId16851" display="https://statiz.sporki.com/add/?m=draft_school01&amp;ps_school=50503" xr:uid="{76C78E19-8B9E-4165-9CEA-98DC768A7297}"/>
    <hyperlink ref="K759" r:id="rId16852" display="https://statiz.sporki.com/add/?m=draft_school01&amp;ps_school=50208" xr:uid="{FB957DE0-360D-4A49-B7B8-3E109A7DAD9C}"/>
    <hyperlink ref="K760" r:id="rId16853" display="https://statiz.sporki.com/add/?m=draft_school01&amp;ps_school=50113" xr:uid="{E91557C2-82F2-4E23-84D5-6E3773B00074}"/>
    <hyperlink ref="K761" r:id="rId16854" display="https://statiz.sporki.com/add/?m=draft_school01&amp;ps_school=50116" xr:uid="{3AEA2610-BEC2-42B6-9416-00857A04E71B}"/>
    <hyperlink ref="K762" r:id="rId16855" display="https://statiz.sporki.com/add/?m=draft_school01&amp;ps_school=50209" xr:uid="{938E4793-D01F-4257-B6DE-A34C0F3877FC}"/>
    <hyperlink ref="K763" r:id="rId16856" display="https://statiz.sporki.com/add/?m=draft_school01&amp;ps_school=50207" xr:uid="{E8ABE5B0-E91B-40FE-9FE9-39209B432E06}"/>
    <hyperlink ref="K764" r:id="rId16857" display="https://statiz.sporki.com/add/?m=draft_school01&amp;ps_school=50110" xr:uid="{82C26C53-EB90-4D44-8683-A4F5A2B013AE}"/>
    <hyperlink ref="K765" r:id="rId16858" display="https://statiz.sporki.com/add/?m=draft_school01&amp;ps_school=50601" xr:uid="{41341B24-5A8A-47D6-97BF-EFD64A3696B1}"/>
    <hyperlink ref="K766" r:id="rId16859" display="https://statiz.sporki.com/add/?m=draft_school01&amp;ps_school=50208" xr:uid="{9863B8E0-7AD3-44CA-A111-816224F903CF}"/>
    <hyperlink ref="K767" r:id="rId16860" display="https://statiz.sporki.com/add/?m=draft_school01&amp;ps_school=50109" xr:uid="{8B3ACF8B-CEE1-4144-887F-7E4C2EBB7E8B}"/>
    <hyperlink ref="K768" r:id="rId16861" display="https://statiz.sporki.com/add/?m=draft_school01&amp;ps_school=50803" xr:uid="{521D160E-2CA3-4EB6-8F37-DB3519451D21}"/>
    <hyperlink ref="K769" r:id="rId16862" display="https://statiz.sporki.com/add/?m=draft_school01&amp;ps_school=50202" xr:uid="{3C891308-530E-478F-B14E-6BE8D5F1726E}"/>
    <hyperlink ref="K770" r:id="rId16863" display="https://statiz.sporki.com/add/?m=draft_school01&amp;ps_school=50116" xr:uid="{470AF6FC-B3CE-4253-8EE0-AA273CB7E740}"/>
    <hyperlink ref="K771" r:id="rId16864" display="https://statiz.sporki.com/add/?m=draft_school01&amp;ps_school=50105" xr:uid="{60C1B9F1-04A8-4C23-8893-501323FC33C2}"/>
    <hyperlink ref="K772" r:id="rId16865" display="https://statiz.sporki.com/add/?m=draft_school01&amp;ps_school=50802" xr:uid="{D49B6222-AD68-411D-8734-BEFBE07DB7E9}"/>
    <hyperlink ref="K773" r:id="rId16866" display="https://statiz.sporki.com/add/?m=draft_school01&amp;ps_school=50705" xr:uid="{9DA55044-2221-49C0-878D-E942F4CA903F}"/>
    <hyperlink ref="K774" r:id="rId16867" display="https://statiz.sporki.com/add/?m=draft_school01&amp;ps_school=50403" xr:uid="{07673B75-3D7D-4364-AF6B-BA21A32270F5}"/>
    <hyperlink ref="K775" r:id="rId16868" display="https://statiz.sporki.com/add/?m=draft_school01&amp;ps_school=50301" xr:uid="{38A686AF-47F3-4BE6-9D2A-5D39037188E2}"/>
    <hyperlink ref="K776" r:id="rId16869" display="https://statiz.sporki.com/add/?m=draft_school01&amp;ps_school=50107" xr:uid="{7513D923-A8A1-4EFE-83B3-852D98FE592E}"/>
    <hyperlink ref="K777" r:id="rId16870" display="https://statiz.sporki.com/add/?m=draft_school01&amp;ps_school=50111" xr:uid="{08BAD7B1-11B9-4979-985A-663B3DA936CC}"/>
    <hyperlink ref="K778" r:id="rId16871" display="https://statiz.sporki.com/add/?m=draft_school01&amp;ps_school=50301" xr:uid="{292A602F-6F91-49F0-BEF7-6B4192167857}"/>
    <hyperlink ref="K779" r:id="rId16872" display="https://statiz.sporki.com/add/?m=draft_school01&amp;ps_school=50113" xr:uid="{1BC033A9-ABA5-4768-A2FD-01A9C1DC64A9}"/>
    <hyperlink ref="K780" r:id="rId16873" display="https://statiz.sporki.com/add/?m=draft_school01&amp;ps_school=50301" xr:uid="{1432DDCF-63D2-4816-9D0C-3159142C83BD}"/>
    <hyperlink ref="K781" r:id="rId16874" display="https://statiz.sporki.com/add/?m=draft_school01&amp;ps_school=50101" xr:uid="{2C57DC06-F23A-4009-99D9-29B5623C36D4}"/>
    <hyperlink ref="K782" r:id="rId16875" display="https://statiz.sporki.com/add/?m=draft_school01&amp;ps_school=50807" xr:uid="{2D31D1E2-6E34-4C61-9756-D61AA4B4AF5F}"/>
    <hyperlink ref="K783" r:id="rId16876" display="https://statiz.sporki.com/add/?m=draft_school01&amp;ps_school=50103" xr:uid="{0A10A966-EC0D-494C-B8C2-3AA6929413A3}"/>
    <hyperlink ref="K784" r:id="rId16877" display="https://statiz.sporki.com/add/?m=draft_school01&amp;ps_school=50207" xr:uid="{8021B635-F6EF-4A01-9278-715B75AC5FDD}"/>
    <hyperlink ref="K785" r:id="rId16878" display="https://statiz.sporki.com/add/?m=draft_school01&amp;ps_school=50108" xr:uid="{0EFA2D93-EA98-4B9D-9BD3-6CA7C5BF4C7F}"/>
    <hyperlink ref="K786" r:id="rId16879" display="https://statiz.sporki.com/add/?m=draft_school01&amp;ps_school=50111" xr:uid="{F66FF19B-4286-4F70-8CD8-FC9886E08519}"/>
    <hyperlink ref="K787" r:id="rId16880" display="https://statiz.sporki.com/add/?m=draft_school01&amp;ps_school=50107" xr:uid="{9C1D5F05-286E-4D56-9A42-ED16EB5E0539}"/>
    <hyperlink ref="K788" r:id="rId16881" display="https://statiz.sporki.com/add/?m=draft_school01&amp;ps_school=50807" xr:uid="{E0F0DE5C-4749-43B7-AA7A-3E1A05A16274}"/>
    <hyperlink ref="K789" r:id="rId16882" display="https://statiz.sporki.com/add/?m=draft_school01&amp;ps_school=50802" xr:uid="{97A74BB8-7E52-4741-8663-7DF251678896}"/>
    <hyperlink ref="K790" r:id="rId16883" display="https://statiz.sporki.com/add/?m=draft_school01&amp;ps_school=50802" xr:uid="{AF7385A7-D3D7-458D-B10F-16E2CD6C728C}"/>
    <hyperlink ref="K791" r:id="rId16884" display="https://statiz.sporki.com/add/?m=draft_school01&amp;ps_school=50206" xr:uid="{FA011DC1-D385-4E66-AD98-CA2623EC8DB2}"/>
    <hyperlink ref="K792" r:id="rId16885" display="https://statiz.sporki.com/add/?m=draft_school01&amp;ps_school=50602" xr:uid="{CC268637-B894-4715-8958-C8FD56BAEE00}"/>
    <hyperlink ref="K793" r:id="rId16886" display="https://statiz.sporki.com/add/?m=draft_school01&amp;ps_school=50701" xr:uid="{9BC17434-43D3-4E2D-8867-E2BA2FDC7B0A}"/>
    <hyperlink ref="K794" r:id="rId16887" display="https://statiz.sporki.com/add/?m=draft_school01&amp;ps_school=50602" xr:uid="{40440C5C-8954-4B7C-85D7-34B9F3B74980}"/>
    <hyperlink ref="K795" r:id="rId16888" display="https://statiz.sporki.com/add/?m=draft_school01&amp;ps_school=50805" xr:uid="{02564415-225E-4605-B31C-B4AEDF059734}"/>
    <hyperlink ref="K796" r:id="rId16889" display="https://statiz.sporki.com/add/?m=draft_school01&amp;ps_school=50807" xr:uid="{6F3CBA97-D401-454D-B5C8-520942ED5B8C}"/>
    <hyperlink ref="K797" r:id="rId16890" display="https://statiz.sporki.com/add/?m=draft_school01&amp;ps_school=50107" xr:uid="{378284FC-C472-4006-995E-F5B0C4DF2CD9}"/>
    <hyperlink ref="K798" r:id="rId16891" display="https://statiz.sporki.com/add/?m=draft_school01&amp;ps_school=50212" xr:uid="{EA64498D-988B-4F5F-9AEA-7A63C7919717}"/>
    <hyperlink ref="K799" r:id="rId16892" display="https://statiz.sporki.com/add/?m=draft_school01&amp;ps_school=50108" xr:uid="{6323F8AD-BB50-4ABD-9DF1-6BD707DB5483}"/>
    <hyperlink ref="K800" r:id="rId16893" display="https://statiz.sporki.com/add/?m=draft_school01&amp;ps_school=50110" xr:uid="{976F8D26-2669-42EC-A056-E91CB6360A29}"/>
    <hyperlink ref="K801" r:id="rId16894" display="https://statiz.sporki.com/add/?m=draft_school01&amp;ps_school=50116" xr:uid="{4355F4E5-5402-413A-9F8D-DC5F3657A5AA}"/>
    <hyperlink ref="K802" r:id="rId16895" display="https://statiz.sporki.com/add/?m=draft_school01&amp;ps_school=50206" xr:uid="{16D59FA5-3954-4325-957F-55AAEF3667D9}"/>
    <hyperlink ref="K803" r:id="rId16896" display="https://statiz.sporki.com/add/?m=draft_school01&amp;ps_school=50602" xr:uid="{9242B058-FD83-48F8-BB25-C1B97002801F}"/>
    <hyperlink ref="K804" r:id="rId16897" display="https://statiz.sporki.com/add/?m=draft_school01&amp;ps_school=50209" xr:uid="{7B0C4030-9B36-4751-81A1-9FC40B68854B}"/>
    <hyperlink ref="K805" r:id="rId16898" display="https://statiz.sporki.com/add/?m=draft_school01&amp;ps_school=50101" xr:uid="{36EA4D17-CE6E-4183-B97D-55CAFE66829D}"/>
    <hyperlink ref="K806" r:id="rId16899" display="https://statiz.sporki.com/add/?m=draft_school01&amp;ps_school=50501" xr:uid="{B9544A45-DA11-4AD4-94F8-76A61E22BF5D}"/>
    <hyperlink ref="K807" r:id="rId16900" display="https://statiz.sporki.com/add/?m=draft_school01&amp;ps_school=50118" xr:uid="{C3B36C17-2B51-439D-B64F-9E3E852ABF9D}"/>
    <hyperlink ref="K808" r:id="rId16901" display="https://statiz.sporki.com/add/?m=draft_school01&amp;ps_school=50114" xr:uid="{5F72A8E7-5B1E-4777-9F89-3DA6C1646314}"/>
    <hyperlink ref="K809" r:id="rId16902" display="https://statiz.sporki.com/add/?m=draft_school01&amp;ps_school=50111" xr:uid="{869AEFA7-DC53-4A3D-B727-87C96AE6A82D}"/>
    <hyperlink ref="K810" r:id="rId16903" display="https://statiz.sporki.com/add/?m=draft_school01&amp;ps_school=50701" xr:uid="{4C7487C0-0638-4C5D-B060-B482F7C23AC3}"/>
    <hyperlink ref="K811" r:id="rId16904" display="https://statiz.sporki.com/add/?m=draft_school01&amp;ps_school=50402" xr:uid="{C2FC711C-545B-45E8-A65B-F29B093157A1}"/>
    <hyperlink ref="K812" r:id="rId16905" display="https://statiz.sporki.com/add/?m=draft_school01&amp;ps_school=50207" xr:uid="{BEABF8C8-1A0A-4058-8705-D7781EE62C1D}"/>
    <hyperlink ref="K813" r:id="rId16906" display="https://statiz.sporki.com/add/?m=draft_school01&amp;ps_school=50601" xr:uid="{D1DA427B-4B7E-4E84-9F16-E766DFD5A914}"/>
    <hyperlink ref="K814" r:id="rId16907" display="https://statiz.sporki.com/add/?m=draft_school01&amp;ps_school=50114" xr:uid="{F2BC96B0-4028-484F-B280-34979825B3D2}"/>
    <hyperlink ref="K815" r:id="rId16908" display="https://statiz.sporki.com/add/?m=draft_school01&amp;ps_school=50107" xr:uid="{78A2C324-840B-41D3-8334-E1293E1E7F7E}"/>
    <hyperlink ref="K816" r:id="rId16909" display="https://statiz.sporki.com/add/?m=draft_school01&amp;ps_school=50809" xr:uid="{0D8279F1-7AA4-4765-B489-C205404765B0}"/>
    <hyperlink ref="K817" r:id="rId16910" display="https://statiz.sporki.com/add/?m=draft_school01&amp;ps_school=50114" xr:uid="{EDD816EA-21BA-4058-86E8-E5DC43C11B20}"/>
    <hyperlink ref="K818" r:id="rId16911" display="https://statiz.sporki.com/add/?m=draft_school01&amp;ps_school=50207" xr:uid="{127FBC7A-0677-4B55-9C6A-DBD5D9601B9E}"/>
    <hyperlink ref="K819" r:id="rId16912" display="https://statiz.sporki.com/add/?m=draft_school01&amp;ps_school=50108" xr:uid="{AB74C752-C7FB-4039-9FC8-8198FAD0612D}"/>
    <hyperlink ref="K820" r:id="rId16913" display="https://statiz.sporki.com/add/?m=draft_school01&amp;ps_school=50210" xr:uid="{FFEDA555-B6D8-41AA-A09A-F3DBAE518492}"/>
    <hyperlink ref="K821" r:id="rId16914" display="https://statiz.sporki.com/add/?m=draft_school01&amp;ps_school=50701" xr:uid="{23765AD4-1932-490C-8C6D-F099AE7525C9}"/>
    <hyperlink ref="K822" r:id="rId16915" display="https://statiz.sporki.com/add/?m=draft_school01&amp;ps_school=50705" xr:uid="{68E6F0B5-7201-405F-B734-B9B2A4271C42}"/>
    <hyperlink ref="K823" r:id="rId16916" display="https://statiz.sporki.com/add/?m=draft_school01&amp;ps_school=50203" xr:uid="{15B9C335-98DA-462F-868D-AA7FB8BC2743}"/>
    <hyperlink ref="K824" r:id="rId16917" display="https://statiz.sporki.com/add/?m=draft_school01&amp;ps_school=50501" xr:uid="{AE42BB13-3771-41F9-B2F4-8BB1D8CB2011}"/>
    <hyperlink ref="K825" r:id="rId16918" display="https://statiz.sporki.com/add/?m=draft_school01&amp;ps_school=50202" xr:uid="{B165226A-3713-4923-9DEB-8585379AF970}"/>
    <hyperlink ref="K826" r:id="rId16919" display="https://statiz.sporki.com/add/?m=draft_school01&amp;ps_school=50116" xr:uid="{713B4C72-24C2-4800-9E38-69101774D007}"/>
    <hyperlink ref="K827" r:id="rId16920" display="https://statiz.sporki.com/add/?m=draft_school01&amp;ps_school=50601" xr:uid="{0E72EDA9-97A2-44EF-BF1B-99CC97824DE8}"/>
    <hyperlink ref="K828" r:id="rId16921" display="https://statiz.sporki.com/add/?m=draft_school01&amp;ps_school=50809" xr:uid="{E5B992B7-D1D3-4FA8-8C6D-EC01D9001BAE}"/>
    <hyperlink ref="K829" r:id="rId16922" display="https://statiz.sporki.com/add/?m=draft_school01&amp;ps_school=50807" xr:uid="{F2AFB0A7-12E1-4380-ACEF-44CB2C9D886B}"/>
    <hyperlink ref="K830" r:id="rId16923" display="https://statiz.sporki.com/add/?m=draft_school01&amp;ps_school=50701" xr:uid="{A6CEDAC5-12F2-42FB-BB10-B8E59F47F9DA}"/>
    <hyperlink ref="K831" r:id="rId16924" display="https://statiz.sporki.com/add/?m=draft_school01&amp;ps_school=50111" xr:uid="{53523143-09D5-4723-B86D-875212084CAD}"/>
    <hyperlink ref="K832" r:id="rId16925" display="https://statiz.sporki.com/add/?m=draft_school01&amp;ps_school=50602" xr:uid="{E9A1614E-6D35-462B-A323-64C8DDE8BF3F}"/>
    <hyperlink ref="K833" r:id="rId16926" display="https://statiz.sporki.com/add/?m=draft_school01&amp;ps_school=50403" xr:uid="{03136008-E5F4-4C97-BDC0-BE4A32F89659}"/>
    <hyperlink ref="K834" r:id="rId16927" display="https://statiz.sporki.com/add/?m=draft_school01&amp;ps_school=50211" xr:uid="{DDC2F14A-28D1-4D22-89ED-9E30FFD046A5}"/>
    <hyperlink ref="K835" r:id="rId16928" display="https://statiz.sporki.com/add/?m=draft_school01&amp;ps_school=50103" xr:uid="{6DA7B57B-0874-40E7-8F30-B90C5830177E}"/>
    <hyperlink ref="K836" r:id="rId16929" display="https://statiz.sporki.com/add/?m=draft_school01&amp;ps_school=50705" xr:uid="{71C821B6-980D-4875-8FA5-E73E9678A698}"/>
    <hyperlink ref="K837" r:id="rId16930" display="https://statiz.sporki.com/add/?m=draft_school01&amp;ps_school=50109" xr:uid="{D2A30771-CA2D-4CD3-9F3A-084C8C64B435}"/>
    <hyperlink ref="K838" r:id="rId16931" display="https://statiz.sporki.com/add/?m=draft_school01&amp;ps_school=50801" xr:uid="{C826BA25-7796-4CE9-867D-32E19705EA28}"/>
    <hyperlink ref="K839" r:id="rId16932" display="https://statiz.sporki.com/add/?m=draft_school01&amp;ps_school=50706" xr:uid="{D5E1190F-D1F3-416B-8DE4-4E63D88D2847}"/>
    <hyperlink ref="K840" r:id="rId16933" display="https://statiz.sporki.com/add/?m=draft_school01&amp;ps_school=50301" xr:uid="{763AC725-64ED-41E9-A1FB-0008C222E6F4}"/>
    <hyperlink ref="K841" r:id="rId16934" display="https://statiz.sporki.com/add/?m=draft_school01&amp;ps_school=50501" xr:uid="{96E90B60-1628-4854-8801-9AF02C239D6B}"/>
    <hyperlink ref="K842" r:id="rId16935" display="https://statiz.sporki.com/add/?m=draft_school01&amp;ps_school=50101" xr:uid="{EFDDAE42-C899-409A-AB4D-32E88A355910}"/>
    <hyperlink ref="K843" r:id="rId16936" display="https://statiz.sporki.com/add/?m=draft_school01&amp;ps_school=50103" xr:uid="{DF979726-7A84-4805-A935-AC6BF6BB5910}"/>
    <hyperlink ref="K844" r:id="rId16937" display="https://statiz.sporki.com/add/?m=draft_school01&amp;ps_school=50103" xr:uid="{F022452A-0695-45BA-8994-CDA8AF211B15}"/>
    <hyperlink ref="K845" r:id="rId16938" display="https://statiz.sporki.com/add/?m=draft_school01&amp;ps_school=50106" xr:uid="{96A8989C-C3A7-4E64-A471-A61F84BDF5DE}"/>
    <hyperlink ref="K846" r:id="rId16939" display="https://statiz.sporki.com/add/?m=draft_school01&amp;ps_school=50114" xr:uid="{D1CEB257-4B1C-4CFA-821F-031B230CDD14}"/>
    <hyperlink ref="K847" r:id="rId16940" display="https://statiz.sporki.com/add/?m=draft_school01&amp;ps_school=50114" xr:uid="{A3D9D026-5356-4CB7-9E27-5009529EE298}"/>
    <hyperlink ref="K848" r:id="rId16941" display="https://statiz.sporki.com/add/?m=draft_school01&amp;ps_school=50602" xr:uid="{42612542-0F15-45B5-96D5-3B88B877A55C}"/>
    <hyperlink ref="K849" r:id="rId16942" display="https://statiz.sporki.com/add/?m=draft_school01&amp;ps_school=50807" xr:uid="{AFDACE68-A137-426E-8CD8-B6D58FE15EC9}"/>
    <hyperlink ref="K850" r:id="rId16943" display="https://statiz.sporki.com/add/?m=draft_school01&amp;ps_school=50105" xr:uid="{6FE654FE-C562-426A-95BB-1B4129D0CF72}"/>
    <hyperlink ref="K851" r:id="rId16944" display="https://statiz.sporki.com/add/?m=draft_school01&amp;ps_school=50402" xr:uid="{6C9E2916-68BF-4412-9EA9-C842CD1C5874}"/>
    <hyperlink ref="K852" r:id="rId16945" display="https://statiz.sporki.com/add/?m=draft_school01&amp;ps_school=50805" xr:uid="{E62EBD35-69E1-4E58-8B20-C7B4878CF13D}"/>
    <hyperlink ref="K853" r:id="rId16946" display="https://statiz.sporki.com/add/?m=draft_school01&amp;ps_school=50209" xr:uid="{B5EBE883-7161-49E0-8058-2A4DED33192E}"/>
    <hyperlink ref="K854" r:id="rId16947" display="https://statiz.sporki.com/add/?m=draft_school01&amp;ps_school=50606" xr:uid="{B8EB66D6-9797-4FE8-9BE6-C32DF4AC7B07}"/>
    <hyperlink ref="K855" r:id="rId16948" display="https://statiz.sporki.com/add/?m=draft_school01&amp;ps_school=50602" xr:uid="{3825DEB2-46E2-4EBD-A20F-8CD3B8593C40}"/>
    <hyperlink ref="K856" r:id="rId16949" display="https://statiz.sporki.com/add/?m=draft_school01&amp;ps_school=50705" xr:uid="{620DDFB5-7018-4AE3-A5F4-306F1F1D0D06}"/>
    <hyperlink ref="K857" r:id="rId16950" display="https://statiz.sporki.com/add/?m=draft_school01&amp;ps_school=50107" xr:uid="{6B0CB8E9-7AE9-4883-802A-EA01F9A3A330}"/>
    <hyperlink ref="K858" r:id="rId16951" display="https://statiz.sporki.com/add/?m=draft_school01&amp;ps_school=50110" xr:uid="{0C3ACFB0-E02F-4889-8614-D1514BB6A31A}"/>
    <hyperlink ref="K859" r:id="rId16952" display="https://statiz.sporki.com/add/?m=draft_school01&amp;ps_school=50701" xr:uid="{B4530680-57BA-44B8-AEA7-DC6FAD062492}"/>
    <hyperlink ref="K860" r:id="rId16953" display="https://statiz.sporki.com/add/?m=draft_school01&amp;ps_school=50203" xr:uid="{AA4C17B2-BA9D-4D3F-8BD2-8E6ABEE5BC6E}"/>
    <hyperlink ref="K861" r:id="rId16954" display="https://statiz.sporki.com/add/?m=draft_school01&amp;ps_school=50110" xr:uid="{1BF9BAE1-76B5-4A9F-937C-57DF803B0788}"/>
    <hyperlink ref="K862" r:id="rId16955" display="https://statiz.sporki.com/add/?m=draft_school01&amp;ps_school=50802" xr:uid="{F4D304FF-5316-4250-A27A-5B9197228DED}"/>
    <hyperlink ref="K863" r:id="rId16956" display="https://statiz.sporki.com/add/?m=draft_school01&amp;ps_school=50402" xr:uid="{C1B2987D-8A2B-49D4-961C-28AB3AD77AC1}"/>
    <hyperlink ref="K864" r:id="rId16957" display="https://statiz.sporki.com/add/?m=draft_school01&amp;ps_school=50107" xr:uid="{A8D6FD24-84CC-40FE-AE36-2B7BC5A84260}"/>
    <hyperlink ref="K865" r:id="rId16958" display="https://statiz.sporki.com/add/?m=draft_school01&amp;ps_school=50606" xr:uid="{9BE5890E-3553-482E-9A75-5494D2E905BA}"/>
    <hyperlink ref="K866" r:id="rId16959" display="https://statiz.sporki.com/add/?m=draft_school01&amp;ps_school=50208" xr:uid="{04397575-F9A7-4C1F-A297-729E6B667602}"/>
    <hyperlink ref="K867" r:id="rId16960" display="https://statiz.sporki.com/add/?m=draft_school01&amp;ps_school=50701" xr:uid="{A8C1BC49-AB25-4D88-B14E-190189CC03CA}"/>
    <hyperlink ref="K868" r:id="rId16961" display="https://statiz.sporki.com/add/?m=draft_school01&amp;ps_school=50103" xr:uid="{774DB3BF-BE3D-436A-A6F3-BF9B32B7067D}"/>
    <hyperlink ref="K869" r:id="rId16962" display="https://statiz.sporki.com/add/?m=draft_school01&amp;ps_school=50209" xr:uid="{073F7E49-4F81-4572-B4E1-36A43EB625BC}"/>
    <hyperlink ref="K870" r:id="rId16963" display="https://statiz.sporki.com/add/?m=draft_school01&amp;ps_school=50901" xr:uid="{A52277FA-F1E9-46F0-BF19-4B8A011A2155}"/>
    <hyperlink ref="K871" r:id="rId16964" display="https://statiz.sporki.com/add/?m=draft_school01&amp;ps_school=50202" xr:uid="{B8FBBAFE-EB07-4D1A-BC4B-A3CBD65B9369}"/>
    <hyperlink ref="K872" r:id="rId16965" display="https://statiz.sporki.com/add/?m=draft_school01&amp;ps_school=50105" xr:uid="{48080005-40AB-4B77-8DCC-12EC16DD94CD}"/>
    <hyperlink ref="K873" r:id="rId16966" display="https://statiz.sporki.com/add/?m=draft_school01&amp;ps_school=50208" xr:uid="{48B45A31-11CE-491A-B016-07F2D61556BC}"/>
    <hyperlink ref="K890" r:id="rId16967" display="https://statiz.sporki.com/add/?m=draft_school01&amp;ps_school=50210" xr:uid="{E9E912EF-1CE3-4C1D-BA7E-AD3CE8DD7031}"/>
    <hyperlink ref="K891" r:id="rId16968" display="https://statiz.sporki.com/add/?m=draft_school01&amp;ps_school=50602" xr:uid="{F426BC6A-72B5-458C-BFB5-AA8A9AC3B194}"/>
    <hyperlink ref="K892" r:id="rId16969" display="https://statiz.sporki.com/add/?m=draft_school01&amp;ps_school=50113" xr:uid="{3F19CE15-3FDC-47C4-8F06-1AB14AAFD79D}"/>
    <hyperlink ref="K893" r:id="rId16970" display="https://statiz.sporki.com/add/?m=draft_school01&amp;ps_school=50602" xr:uid="{6FB7BC9D-A1E1-4AC0-862D-9DB6D82921BB}"/>
    <hyperlink ref="K894" r:id="rId16971" display="https://statiz.sporki.com/add/?m=draft_school01&amp;ps_school=50201" xr:uid="{B20384AE-E111-440C-AD80-184BE96D0155}"/>
    <hyperlink ref="K895" r:id="rId16972" display="https://statiz.sporki.com/add/?m=draft_school01&amp;ps_school=50107" xr:uid="{069F145A-B249-45A8-A946-5AC1C18F5B37}"/>
    <hyperlink ref="K896" r:id="rId16973" display="https://statiz.sporki.com/add/?m=draft_school01&amp;ps_school=50201" xr:uid="{38CFE232-F8A0-4E55-9E80-B0C3ED2FF332}"/>
    <hyperlink ref="K897" r:id="rId16974" display="https://statiz.sporki.com/add/?m=draft_school01&amp;ps_school=50804" xr:uid="{61B1F76A-6DBE-4474-8996-D43DE542D1AC}"/>
    <hyperlink ref="K898" r:id="rId16975" display="https://statiz.sporki.com/add/?m=draft_school01&amp;ps_school=50901" xr:uid="{E0ADEA20-1828-4FFE-95A8-DFEBD938B4BA}"/>
    <hyperlink ref="K899" r:id="rId16976" display="https://statiz.sporki.com/add/?m=draft_school01&amp;ps_school=50401" xr:uid="{1BCCC21F-70E3-457F-9140-57D890D6F5BA}"/>
    <hyperlink ref="K900" r:id="rId16977" display="https://statiz.sporki.com/add/?m=draft_school01&amp;ps_school=50403" xr:uid="{D06697FD-ADA1-4002-93C1-974184F92B75}"/>
    <hyperlink ref="K901" r:id="rId16978" display="https://statiz.sporki.com/add/?m=draft_school01&amp;ps_school=50102" xr:uid="{BFB8E0FC-4C07-4C66-B101-F16E1FE7D68D}"/>
    <hyperlink ref="K902" r:id="rId16979" display="https://statiz.sporki.com/add/?m=draft_school01&amp;ps_school=50210" xr:uid="{47EFC8AC-3E01-43E9-8B0E-B28D682F4B3E}"/>
    <hyperlink ref="K903" r:id="rId16980" display="https://statiz.sporki.com/add/?m=draft_school01&amp;ps_school=50103" xr:uid="{970F3D2E-0B3B-4A92-B9BF-93C7B923D74E}"/>
    <hyperlink ref="K904" r:id="rId16981" display="https://statiz.sporki.com/add/?m=draft_school01&amp;ps_school=50707" xr:uid="{EE36B6F4-B592-4F90-A708-9C2C67942E41}"/>
    <hyperlink ref="K905" r:id="rId16982" display="https://statiz.sporki.com/add/?m=draft_school01&amp;ps_school=50114" xr:uid="{BB36E3E2-41CF-45D0-A061-7D49F1D28A61}"/>
    <hyperlink ref="K906" r:id="rId16983" display="https://statiz.sporki.com/add/?m=draft_school01&amp;ps_school=50903" xr:uid="{09CE1BD7-AD12-433B-AFED-0832D62803E7}"/>
    <hyperlink ref="K907" r:id="rId16984" display="https://statiz.sporki.com/add/?m=draft_school01&amp;ps_school=51101" xr:uid="{5EB7A63F-C572-4141-88A6-052DAB383E1A}"/>
    <hyperlink ref="K908" r:id="rId16985" display="https://statiz.sporki.com/add/?m=draft_school01&amp;ps_school=50206" xr:uid="{224E7DB2-3732-4A2D-91C5-AD75863251DB}"/>
    <hyperlink ref="K909" r:id="rId16986" display="https://statiz.sporki.com/add/?m=draft_school01&amp;ps_school=50805" xr:uid="{BDB5AEB1-AF62-46A8-BCDA-01A27B0B6F51}"/>
    <hyperlink ref="K910" r:id="rId16987" display="https://statiz.sporki.com/add/?m=draft_school01&amp;ps_school=50703" xr:uid="{53DD7A76-67CC-4685-9FDE-B798CFFD7F23}"/>
    <hyperlink ref="K911" r:id="rId16988" display="https://statiz.sporki.com/add/?m=draft_school01&amp;ps_school=50111" xr:uid="{D50A3CB7-AF52-49E9-A911-BA598F44591D}"/>
    <hyperlink ref="K912" r:id="rId16989" display="https://statiz.sporki.com/add/?m=draft_school01&amp;ps_school=50103" xr:uid="{09938597-6540-4DCA-A4B5-477E8983B5B7}"/>
    <hyperlink ref="K913" r:id="rId16990" display="https://statiz.sporki.com/add/?m=draft_school01&amp;ps_school=50201" xr:uid="{02BB5845-169B-4299-861C-19169F378FCB}"/>
    <hyperlink ref="K914" r:id="rId16991" display="https://statiz.sporki.com/add/?m=draft_school01&amp;ps_school=50401" xr:uid="{4E148121-4B7C-4F78-A3D0-79F84748333E}"/>
    <hyperlink ref="K915" r:id="rId16992" display="https://statiz.sporki.com/add/?m=draft_school01&amp;ps_school=50606" xr:uid="{07FCB6FA-6F98-4544-B757-E0399106C828}"/>
    <hyperlink ref="K916" r:id="rId16993" display="https://statiz.sporki.com/add/?m=draft_school01&amp;ps_school=50211" xr:uid="{FC9C4643-D198-4921-8342-8C34B729BECA}"/>
    <hyperlink ref="K917" r:id="rId16994" display="https://statiz.sporki.com/add/?m=draft_school01&amp;ps_school=50114" xr:uid="{46DDE3F7-F4CD-417F-BF02-27257D286AB8}"/>
    <hyperlink ref="K918" r:id="rId16995" display="https://statiz.sporki.com/add/?m=draft_school01&amp;ps_school=50809" xr:uid="{173C7F6D-BF0A-4774-A07A-2D593EABEE57}"/>
    <hyperlink ref="K919" r:id="rId16996" display="https://statiz.sporki.com/add/?m=draft_school01&amp;ps_school=50207" xr:uid="{12AB14F2-F481-4853-AA16-6CAAC4B63DBE}"/>
    <hyperlink ref="K920" r:id="rId16997" display="https://statiz.sporki.com/add/?m=draft_school01&amp;ps_school=50116" xr:uid="{510D35E8-FBAA-4273-B1E0-E5CC9B6A38B0}"/>
    <hyperlink ref="K921" r:id="rId16998" display="https://statiz.sporki.com/add/?m=draft_school01&amp;ps_school=50110" xr:uid="{E1A94439-C5CA-400C-86F2-F4F32B542ABF}"/>
    <hyperlink ref="K922" r:id="rId16999" display="https://statiz.sporki.com/add/?m=draft_school01&amp;ps_school=50805" xr:uid="{FF3F55D4-CE8E-4787-A0FC-28A00912E30F}"/>
    <hyperlink ref="K923" r:id="rId17000" display="https://statiz.sporki.com/add/?m=draft_school01&amp;ps_school=50702" xr:uid="{EB480B66-5FD6-4648-BF0E-6054FA8B76F8}"/>
    <hyperlink ref="K924" r:id="rId17001" display="https://statiz.sporki.com/add/?m=draft_school01&amp;ps_school=50403" xr:uid="{7D0D3442-9EDD-44D7-9DD9-627025CA5AB7}"/>
    <hyperlink ref="K925" r:id="rId17002" display="https://statiz.sporki.com/add/?m=draft_school01&amp;ps_school=50802" xr:uid="{E607D4AC-CD82-4E4C-9981-AE5650E0AC74}"/>
    <hyperlink ref="K926" r:id="rId17003" display="https://statiz.sporki.com/add/?m=draft_school01&amp;ps_school=50807" xr:uid="{2096B254-F507-436B-8387-AF5F00D6E50E}"/>
    <hyperlink ref="K927" r:id="rId17004" display="https://statiz.sporki.com/add/?m=draft_school01&amp;ps_school=50802" xr:uid="{1C541D0A-6DE2-49F7-8CAC-BC97AE2A4006}"/>
    <hyperlink ref="K928" r:id="rId17005" display="https://statiz.sporki.com/add/?m=draft_school01&amp;ps_school=50605" xr:uid="{4850630C-DDA6-45E1-9995-6239DAFCB982}"/>
    <hyperlink ref="K929" r:id="rId17006" display="https://statiz.sporki.com/add/?m=draft_school01&amp;ps_school=50705" xr:uid="{77E9237B-E196-4D97-A8C0-E45F95AF3F63}"/>
    <hyperlink ref="K930" r:id="rId17007" display="https://statiz.sporki.com/add/?m=draft_school01&amp;ps_school=50202" xr:uid="{8439AC79-6D5B-4177-9D0F-3D109C013C25}"/>
    <hyperlink ref="K931" r:id="rId17008" display="https://statiz.sporki.com/add/?m=draft_school01&amp;ps_school=50210" xr:uid="{3CB5EE25-22C8-40E0-8050-CB38EC9BC74D}"/>
    <hyperlink ref="K932" r:id="rId17009" display="https://statiz.sporki.com/add/?m=draft_school01&amp;ps_school=50807" xr:uid="{37B7090E-90F4-4329-8099-B0BBC6419586}"/>
    <hyperlink ref="K933" r:id="rId17010" display="https://statiz.sporki.com/add/?m=draft_school01&amp;ps_school=50805" xr:uid="{1F934831-76BA-4EF1-9102-B20BC577269D}"/>
    <hyperlink ref="K934" r:id="rId17011" display="https://statiz.sporki.com/add/?m=draft_school01&amp;ps_school=50103" xr:uid="{C112E3DE-8039-473F-90C1-BC4231806529}"/>
    <hyperlink ref="K935" r:id="rId17012" display="https://statiz.sporki.com/add/?m=draft_school01&amp;ps_school=50108" xr:uid="{4FF065A3-8B41-42E7-B50C-226889FB371E}"/>
    <hyperlink ref="K936" r:id="rId17013" display="https://statiz.sporki.com/add/?m=draft_school01&amp;ps_school=50703" xr:uid="{B031485E-803D-4AAE-BED6-326A4F53B2D6}"/>
    <hyperlink ref="K937" r:id="rId17014" display="https://statiz.sporki.com/add/?m=draft_school01&amp;ps_school=50710" xr:uid="{6F22C9AD-D33A-45A0-8E50-86BE84FFC62F}"/>
    <hyperlink ref="K938" r:id="rId17015" display="https://statiz.sporki.com/add/?m=draft_school01&amp;ps_school=50601" xr:uid="{F4954645-8562-49E5-A2B9-D8DB67F9CDF5}"/>
    <hyperlink ref="K939" r:id="rId17016" display="https://statiz.sporki.com/add/?m=draft_school01&amp;ps_school=50606" xr:uid="{07E83856-0802-44A3-898E-2FC29A9075C8}"/>
    <hyperlink ref="K940" r:id="rId17017" display="https://statiz.sporki.com/add/?m=draft_school01&amp;ps_school=50111" xr:uid="{7A840C5B-B712-4EDB-B5F6-4CFBAEA8C752}"/>
    <hyperlink ref="K941" r:id="rId17018" display="https://statiz.sporki.com/add/?m=draft_school01&amp;ps_school=50701" xr:uid="{EA17DA28-EF8C-4964-8D51-F4DA7C3EC452}"/>
    <hyperlink ref="K942" r:id="rId17019" display="https://statiz.sporki.com/add/?m=draft_school01&amp;ps_school=50210" xr:uid="{AE10E0B0-2330-43B4-A873-07A7EA30F8E8}"/>
    <hyperlink ref="K943" r:id="rId17020" display="https://statiz.sporki.com/add/?m=draft_school01&amp;ps_school=50301" xr:uid="{4C4DD865-5E9E-4535-8160-B7EE31914538}"/>
    <hyperlink ref="K944" r:id="rId17021" display="https://statiz.sporki.com/add/?m=draft_school01&amp;ps_school=50101" xr:uid="{2159299F-273D-4510-B275-7368486D4798}"/>
    <hyperlink ref="K945" r:id="rId17022" display="https://statiz.sporki.com/add/?m=draft_school01&amp;ps_school=50601" xr:uid="{BE0A65CB-999D-42BE-99D2-374C29FE0486}"/>
    <hyperlink ref="K946" r:id="rId17023" display="https://statiz.sporki.com/add/?m=draft_school01&amp;ps_school=50208" xr:uid="{76071129-F586-4703-B96A-FBA25C531561}"/>
    <hyperlink ref="K947" r:id="rId17024" display="https://statiz.sporki.com/add/?m=draft_school01&amp;ps_school=50107" xr:uid="{A714A681-C39E-4D2D-8D7C-B08889B0296C}"/>
    <hyperlink ref="K948" r:id="rId17025" display="https://statiz.sporki.com/add/?m=draft_school01&amp;ps_school=50117" xr:uid="{B569445A-94FA-42E3-8E65-B228D38540AA}"/>
    <hyperlink ref="K949" r:id="rId17026" display="https://statiz.sporki.com/add/?m=draft_school01&amp;ps_school=50210" xr:uid="{540A2301-4847-4631-A885-51299EB73F9C}"/>
    <hyperlink ref="K950" r:id="rId17027" display="https://statiz.sporki.com/add/?m=draft_school01&amp;ps_school=50803" xr:uid="{CBB4CB21-598E-4724-A869-76FD2278D36B}"/>
    <hyperlink ref="K951" r:id="rId17028" display="https://statiz.sporki.com/add/?m=draft_school01&amp;ps_school=50210" xr:uid="{4FDD9900-F769-4A8B-8D90-312E6834CAD1}"/>
    <hyperlink ref="K952" r:id="rId17029" display="https://statiz.sporki.com/add/?m=draft_school01&amp;ps_school=50106" xr:uid="{16FDC0DB-4299-450F-BE92-AD07DB5F5147}"/>
    <hyperlink ref="K953" r:id="rId17030" display="https://statiz.sporki.com/add/?m=draft_school01&amp;ps_school=50901" xr:uid="{A0C66FF4-FE02-4C76-B5B8-5B6889106071}"/>
    <hyperlink ref="K954" r:id="rId17031" display="https://statiz.sporki.com/add/?m=draft_school01&amp;ps_school=50116" xr:uid="{47C0EC90-E988-46D8-82C8-6E5AF68A419D}"/>
    <hyperlink ref="K955" r:id="rId17032" display="https://statiz.sporki.com/add/?m=draft_school01&amp;ps_school=50201" xr:uid="{695FBB58-1109-456D-87B4-3EC6AE43213E}"/>
    <hyperlink ref="K956" r:id="rId17033" display="https://statiz.sporki.com/add/?m=draft_school01&amp;ps_school=50805" xr:uid="{E3840AEA-CFC9-457C-967C-133D03E3E170}"/>
    <hyperlink ref="K957" r:id="rId17034" display="https://statiz.sporki.com/add/?m=draft_school01&amp;ps_school=50108" xr:uid="{1D52D31C-5399-45CA-8194-5504B9D954FD}"/>
    <hyperlink ref="K958" r:id="rId17035" display="https://statiz.sporki.com/add/?m=draft_school01&amp;ps_school=50501" xr:uid="{56BA3B8E-9803-44D6-A8D9-19E774E0472E}"/>
    <hyperlink ref="K959" r:id="rId17036" display="https://statiz.sporki.com/add/?m=draft_school01&amp;ps_school=50702" xr:uid="{C6A5594A-43EB-4D8C-B80B-6E7FB69C0AC3}"/>
    <hyperlink ref="K960" r:id="rId17037" display="https://statiz.sporki.com/add/?m=draft_school01&amp;ps_school=50209" xr:uid="{FF39BAC5-185C-4AA2-899A-465E6E87B657}"/>
    <hyperlink ref="K961" r:id="rId17038" display="https://statiz.sporki.com/add/?m=draft_school01&amp;ps_school=50901" xr:uid="{28538CC0-53BE-45DA-AADD-F74ABA111C1B}"/>
    <hyperlink ref="K962" r:id="rId17039" display="https://statiz.sporki.com/add/?m=draft_school01&amp;ps_school=50808" xr:uid="{AE52948D-3B29-4E95-90F0-AED472C1E2DE}"/>
    <hyperlink ref="K963" r:id="rId17040" display="https://statiz.sporki.com/add/?m=draft_school01&amp;ps_school=50706" xr:uid="{250998E2-01B0-477C-9E44-2C8A70480EBB}"/>
    <hyperlink ref="K964" r:id="rId17041" display="https://statiz.sporki.com/add/?m=draft_school01&amp;ps_school=50111" xr:uid="{2626CE95-03B9-46CE-8659-45969DD7A81F}"/>
    <hyperlink ref="K965" r:id="rId17042" display="https://statiz.sporki.com/add/?m=draft_school01&amp;ps_school=50209" xr:uid="{F5612405-F791-4524-BFAD-30843B288C7C}"/>
    <hyperlink ref="K966" r:id="rId17043" display="https://statiz.sporki.com/add/?m=draft_school01&amp;ps_school=50801" xr:uid="{508865FE-3F74-4B36-9D58-97DA874142F9}"/>
    <hyperlink ref="K967" r:id="rId17044" display="https://statiz.sporki.com/add/?m=draft_school01&amp;ps_school=50802" xr:uid="{B244F800-E1BF-41F2-A7F7-F367C32FD4C0}"/>
    <hyperlink ref="K968" r:id="rId17045" display="https://statiz.sporki.com/add/?m=draft_school01&amp;ps_school=50702" xr:uid="{CC97E117-CA21-4ACF-86EC-AD2C6893D34B}"/>
    <hyperlink ref="K969" r:id="rId17046" display="https://statiz.sporki.com/add/?m=draft_school01&amp;ps_school=50106" xr:uid="{A663FCB5-513E-4E04-97F4-A352ECA0DC94}"/>
    <hyperlink ref="K970" r:id="rId17047" display="https://statiz.sporki.com/add/?m=draft_school01&amp;ps_school=50111" xr:uid="{08E77700-9BE9-4565-A9B3-A359427E6335}"/>
    <hyperlink ref="K971" r:id="rId17048" display="https://statiz.sporki.com/add/?m=draft_school01&amp;ps_school=50403" xr:uid="{CBB7727E-EFF9-4FF4-9FA7-602322680078}"/>
    <hyperlink ref="K972" r:id="rId17049" display="https://statiz.sporki.com/add/?m=draft_school01&amp;ps_school=50807" xr:uid="{D2637B3A-976A-401D-B0E1-8C08EB9E419D}"/>
    <hyperlink ref="K973" r:id="rId17050" display="https://statiz.sporki.com/add/?m=draft_school01&amp;ps_school=50402" xr:uid="{77A437FB-5DEA-4417-BB5B-DC097D507ECE}"/>
    <hyperlink ref="K974" r:id="rId17051" display="https://statiz.sporki.com/add/?m=draft_school01&amp;ps_school=50108" xr:uid="{0AD22C85-0920-4CB7-B931-FCD79A2C585E}"/>
    <hyperlink ref="K975" r:id="rId17052" display="https://statiz.sporki.com/add/?m=draft_school01&amp;ps_school=50103" xr:uid="{0BE1B923-C269-480E-92D6-6D50254A5B63}"/>
    <hyperlink ref="K976" r:id="rId17053" display="https://statiz.sporki.com/add/?m=draft_school01&amp;ps_school=50403" xr:uid="{133A1DCE-756C-4DF9-B1BB-4BBDB96F8AA4}"/>
    <hyperlink ref="K977" r:id="rId17054" display="https://statiz.sporki.com/add/?m=draft_school01&amp;ps_school=51001" xr:uid="{8EAEEC6C-EDBA-492D-83C6-98A7A5F978EA}"/>
    <hyperlink ref="K978" r:id="rId17055" display="https://statiz.sporki.com/add/?m=draft_school01&amp;ps_school=50210" xr:uid="{C36D2ABC-CC9D-4C5D-B30A-F5D2A7F81F4E}"/>
    <hyperlink ref="K979" r:id="rId17056" display="https://statiz.sporki.com/add/?m=draft_school01&amp;ps_school=50110" xr:uid="{7215F78A-D344-43A4-B877-BBB837F0DC0F}"/>
    <hyperlink ref="K980" r:id="rId17057" display="https://statiz.sporki.com/add/?m=draft_school01&amp;ps_school=50103" xr:uid="{E9E75084-2FEE-49AB-BD8F-2F59CB0B4A5F}"/>
    <hyperlink ref="K981" r:id="rId17058" display="https://statiz.sporki.com/add/?m=draft_school01&amp;ps_school=50202" xr:uid="{45A478BA-8989-4688-B668-B3FC9686C8E2}"/>
    <hyperlink ref="K982" r:id="rId17059" display="https://statiz.sporki.com/add/?m=draft_school01&amp;ps_school=50207" xr:uid="{2B99928C-3BB4-4906-A9E1-875AE74C45BE}"/>
    <hyperlink ref="K983" r:id="rId17060" display="https://statiz.sporki.com/add/?m=draft_school01&amp;ps_school=50113" xr:uid="{2D3CE191-7A73-4E10-AD8C-7ADFE93F4F1C}"/>
    <hyperlink ref="K984" r:id="rId17061" display="https://statiz.sporki.com/add/?m=draft_school01&amp;ps_school=50205" xr:uid="{435A4DB3-1883-48D9-9125-61E1489A7741}"/>
    <hyperlink ref="K985" r:id="rId17062" display="https://statiz.sporki.com/add/?m=draft_school01&amp;ps_school=50103" xr:uid="{36323FCB-9A93-49F0-8713-FEA0FF2FACE7}"/>
    <hyperlink ref="K986" r:id="rId17063" display="https://statiz.sporki.com/add/?m=draft_school01&amp;ps_school=51001" xr:uid="{C34BA92D-9252-466D-BDF1-DE34638D8016}"/>
    <hyperlink ref="K987" r:id="rId17064" display="https://statiz.sporki.com/add/?m=draft_school01&amp;ps_school=50402" xr:uid="{86DA352F-77C7-434C-8CEE-2F1D4D9959B2}"/>
    <hyperlink ref="K988" r:id="rId17065" display="https://statiz.sporki.com/add/?m=draft_school01&amp;ps_school=50805" xr:uid="{78429993-9D84-4819-9032-111038C8DBBE}"/>
    <hyperlink ref="K989" r:id="rId17066" display="https://statiz.sporki.com/add/?m=draft_school01&amp;ps_school=50111" xr:uid="{5806978F-B277-4BC7-9751-5E6BE14A6B78}"/>
    <hyperlink ref="K990" r:id="rId17067" display="https://statiz.sporki.com/add/?m=draft_school01&amp;ps_school=50106" xr:uid="{C8144642-2A76-48A2-BEF2-7F2418CF5875}"/>
    <hyperlink ref="K991" r:id="rId17068" display="https://statiz.sporki.com/add/?m=draft_school01&amp;ps_school=50211" xr:uid="{686681F7-CF56-4A91-BDF7-2B2E6E70C751}"/>
    <hyperlink ref="K992" r:id="rId17069" display="https://statiz.sporki.com/add/?m=draft_school01&amp;ps_school=50209" xr:uid="{E149FBD1-AA7B-43D2-AB5D-86277DD9CE2D}"/>
    <hyperlink ref="K993" r:id="rId17070" display="https://statiz.sporki.com/add/?m=draft_school01&amp;ps_school=50705" xr:uid="{1C499648-38A8-4516-B7EA-98D05F180039}"/>
    <hyperlink ref="K994" r:id="rId17071" display="https://statiz.sporki.com/add/?m=draft_school01&amp;ps_school=50601" xr:uid="{E367784E-A845-45FD-B344-F335784426E9}"/>
    <hyperlink ref="K995" r:id="rId17072" display="https://statiz.sporki.com/add/?m=draft_school01&amp;ps_school=50207" xr:uid="{A0E9E635-B2EE-4250-B193-3A4CF7067CDC}"/>
    <hyperlink ref="K996" r:id="rId17073" display="https://statiz.sporki.com/add/?m=draft_school01&amp;ps_school=50107" xr:uid="{F81635A9-FF09-42C3-8ECD-B0DBD1C569AE}"/>
    <hyperlink ref="K997" r:id="rId17074" display="https://statiz.sporki.com/add/?m=draft_school01&amp;ps_school=50301" xr:uid="{28358943-ACD8-4270-B0CD-BF4F386F9201}"/>
    <hyperlink ref="K998" r:id="rId17075" display="https://statiz.sporki.com/add/?m=draft_school01&amp;ps_school=50804" xr:uid="{5FA8F1A4-A69C-40FE-86F2-228B687DC277}"/>
    <hyperlink ref="K999" r:id="rId17076" display="https://statiz.sporki.com/add/?m=draft_school01&amp;ps_school=50604" xr:uid="{F931C939-57A3-41D1-9DB5-0632C91F74A4}"/>
    <hyperlink ref="K1000" r:id="rId17077" display="https://statiz.sporki.com/add/?m=draft_school01&amp;ps_school=50802" xr:uid="{A6F40877-A2E1-4AC4-81CD-BD5DF3D59A3F}"/>
    <hyperlink ref="K1001" r:id="rId17078" display="https://statiz.sporki.com/add/?m=draft_school01&amp;ps_school=50701" xr:uid="{5EA43BF2-1101-471E-9D59-643E563C9B3A}"/>
    <hyperlink ref="K1002" r:id="rId17079" display="https://statiz.sporki.com/add/?m=draft_school01&amp;ps_school=50809" xr:uid="{225A473F-EBED-4C45-8D09-1EF01D2492C6}"/>
    <hyperlink ref="K1003" r:id="rId17080" display="https://statiz.sporki.com/add/?m=draft_school01&amp;ps_school=50604" xr:uid="{3B302264-AD25-4D19-ACA1-1F5DA1313319}"/>
    <hyperlink ref="K1004" r:id="rId17081" display="https://statiz.sporki.com/add/?m=draft_school01&amp;ps_school=50805" xr:uid="{12FB7809-C43A-4A30-B48E-0D8D1C964CB6}"/>
    <hyperlink ref="K1005" r:id="rId17082" display="https://statiz.sporki.com/add/?m=draft_school01&amp;ps_school=50109" xr:uid="{2F7DB91A-B2B9-44A5-A1DC-B81CCC18FEC5}"/>
    <hyperlink ref="K1006" r:id="rId17083" display="https://statiz.sporki.com/add/?m=draft_school01&amp;ps_school=50807" xr:uid="{CA7D3EEF-33AC-48D8-8D24-320B1B7189E0}"/>
    <hyperlink ref="K1007" r:id="rId17084" display="https://statiz.sporki.com/add/?m=draft_school01&amp;ps_school=50116" xr:uid="{7189B60D-B477-4A45-BA3C-84112D939036}"/>
    <hyperlink ref="K1008" r:id="rId17085" display="https://statiz.sporki.com/add/?m=draft_school01&amp;ps_school=50503" xr:uid="{21B77671-D6A4-4231-84D9-A20B4B9310F8}"/>
    <hyperlink ref="K1009" r:id="rId17086" display="https://statiz.sporki.com/add/?m=draft_school01&amp;ps_school=50604" xr:uid="{396F5291-B2C6-493D-A203-68DB0D84BFD0}"/>
    <hyperlink ref="K1010" r:id="rId17087" display="https://statiz.sporki.com/add/?m=draft_school01&amp;ps_school=50703" xr:uid="{DBE00A08-3E76-4E2E-BDC1-E800E9E82E3B}"/>
    <hyperlink ref="K1011" r:id="rId17088" display="https://statiz.sporki.com/add/?m=draft_school01&amp;ps_school=50601" xr:uid="{12027E35-A28E-4954-B80E-DF1FB96E42A8}"/>
    <hyperlink ref="K1012" r:id="rId17089" display="https://statiz.sporki.com/add/?m=draft_school01&amp;ps_school=50116" xr:uid="{2EE8E8A6-BDF0-4B96-A1E7-DCF883513A30}"/>
    <hyperlink ref="K1013" r:id="rId17090" display="https://statiz.sporki.com/add/?m=draft_school01&amp;ps_school=50809" xr:uid="{0236CECF-CCA0-4313-B95F-F8729B86BA34}"/>
    <hyperlink ref="K1014" r:id="rId17091" display="https://statiz.sporki.com/add/?m=draft_school01&amp;ps_school=50113" xr:uid="{6FB8B73F-5B23-43A0-B782-16D20302DF54}"/>
    <hyperlink ref="K1015" r:id="rId17092" display="https://statiz.sporki.com/add/?m=draft_school01&amp;ps_school=50703" xr:uid="{AE30A8D2-B06A-4ABE-9B02-FE1477AF7BBE}"/>
    <hyperlink ref="K1016" r:id="rId17093" display="https://statiz.sporki.com/add/?m=draft_school01&amp;ps_school=50202" xr:uid="{5666A378-6670-4050-8C3B-534C7953BA44}"/>
    <hyperlink ref="K1017" r:id="rId17094" display="https://statiz.sporki.com/add/?m=draft_school01&amp;ps_school=50108" xr:uid="{A9D2320C-184B-41EB-88D4-618374D89385}"/>
    <hyperlink ref="K1018" r:id="rId17095" display="https://statiz.sporki.com/add/?m=draft_school01&amp;ps_school=50113" xr:uid="{19D8AC87-ED11-422C-A9E3-12BAF7AB2BD1}"/>
    <hyperlink ref="K1027" r:id="rId17096" display="https://statiz.sporki.com/add/?m=draft_school01&amp;ps_school=51119" xr:uid="{E4916647-44FF-4631-A730-9E6CCDE16DD5}"/>
    <hyperlink ref="K1041" r:id="rId17097" display="https://statiz.sporki.com/add/?m=draft_school01&amp;ps_school=50802" xr:uid="{979912E6-E14A-4EF8-B4D7-FD807617C015}"/>
    <hyperlink ref="K1042" r:id="rId17098" display="https://statiz.sporki.com/add/?m=draft_school01&amp;ps_school=50701" xr:uid="{DE5EC392-4579-4583-BFEC-855D562FF186}"/>
    <hyperlink ref="K1043" r:id="rId17099" display="https://statiz.sporki.com/add/?m=draft_school01&amp;ps_school=50114" xr:uid="{16DBD509-44D4-49C9-9731-3945EE63E9FF}"/>
    <hyperlink ref="K1044" r:id="rId17100" display="https://statiz.sporki.com/add/?m=draft_school01&amp;ps_school=50605" xr:uid="{2203EA35-9DB2-4E8A-8B35-CD9CA8D72918}"/>
    <hyperlink ref="K1045" r:id="rId17101" display="https://statiz.sporki.com/add/?m=draft_school01&amp;ps_school=50114" xr:uid="{1F3742EB-0533-471F-B1C9-82AC8E8B1010}"/>
    <hyperlink ref="K1046" r:id="rId17102" display="https://statiz.sporki.com/add/?m=draft_school01&amp;ps_school=50114" xr:uid="{3135C7C9-878F-4ADA-B5BE-1219CC77F63A}"/>
    <hyperlink ref="K1047" r:id="rId17103" display="https://statiz.sporki.com/add/?m=draft_school01&amp;ps_school=50116" xr:uid="{A0F8EBD1-5631-422E-A43D-BA5DA4853BB7}"/>
    <hyperlink ref="K1048" r:id="rId17104" display="https://statiz.sporki.com/add/?m=draft_school01&amp;ps_school=50110" xr:uid="{504F5042-0227-4908-9B0E-AF10643BAD4A}"/>
    <hyperlink ref="K1049" r:id="rId17105" display="https://statiz.sporki.com/add/?m=draft_school01&amp;ps_school=50403" xr:uid="{906C041E-3526-4E2B-B7A4-478A6B8890D9}"/>
    <hyperlink ref="K1050" r:id="rId17106" display="https://statiz.sporki.com/add/?m=draft_school01&amp;ps_school=50102" xr:uid="{1271E4C1-018D-47AB-94DD-BC60F7E9794B}"/>
    <hyperlink ref="K1051" r:id="rId17107" display="https://statiz.sporki.com/add/?m=draft_school01&amp;ps_school=50602" xr:uid="{528351A2-8519-475C-8846-7AA50FCA42FF}"/>
    <hyperlink ref="K1052" r:id="rId17108" display="https://statiz.sporki.com/add/?m=draft_school01&amp;ps_school=50701" xr:uid="{0CE45FF7-AA18-463A-8E79-2DB72BB0015E}"/>
    <hyperlink ref="K1053" r:id="rId17109" display="https://statiz.sporki.com/add/?m=draft_school01&amp;ps_school=50109" xr:uid="{80F22294-EE97-42A2-B444-176FED7AE77B}"/>
    <hyperlink ref="K1054" r:id="rId17110" display="https://statiz.sporki.com/add/?m=draft_school01&amp;ps_school=50101" xr:uid="{241BC5AD-6587-4EA0-97ED-2A01E54FD76F}"/>
    <hyperlink ref="K1055" r:id="rId17111" display="https://statiz.sporki.com/add/?m=draft_school01&amp;ps_school=50207" xr:uid="{68B3EF12-567D-45B4-9655-0F430DE67DB8}"/>
    <hyperlink ref="K1056" r:id="rId17112" display="https://statiz.sporki.com/add/?m=draft_school01&amp;ps_school=50107" xr:uid="{7516A89F-8D96-4D91-8153-F8FB987CE602}"/>
    <hyperlink ref="K1057" r:id="rId17113" display="https://statiz.sporki.com/add/?m=draft_school01&amp;ps_school=50109" xr:uid="{CFB7767C-D231-4BCB-8D15-16406F3AC4F1}"/>
    <hyperlink ref="K1058" r:id="rId17114" display="https://statiz.sporki.com/add/?m=draft_school01&amp;ps_school=50805" xr:uid="{C007B15D-EFBE-446C-92FA-EA5FA983C1D6}"/>
    <hyperlink ref="K1059" r:id="rId17115" display="https://statiz.sporki.com/add/?m=draft_school01&amp;ps_school=50701" xr:uid="{A5D0BA34-CF43-4457-B80E-DC9C36505270}"/>
    <hyperlink ref="K1060" r:id="rId17116" display="https://statiz.sporki.com/add/?m=draft_school01&amp;ps_school=50403" xr:uid="{67BCA497-7343-4749-A193-04DE96C7BF7B}"/>
    <hyperlink ref="K1061" r:id="rId17117" display="https://statiz.sporki.com/add/?m=draft_school01&amp;ps_school=50107" xr:uid="{F7C91BD5-6C1B-4003-AC09-A52E5683CE74}"/>
    <hyperlink ref="K1062" r:id="rId17118" display="https://statiz.sporki.com/add/?m=draft_school01&amp;ps_school=50210" xr:uid="{0E83AF53-7CAC-49BF-91BE-97ACB142CAF5}"/>
    <hyperlink ref="K1063" r:id="rId17119" display="https://statiz.sporki.com/add/?m=draft_school01&amp;ps_school=50114" xr:uid="{A82AE5C7-9E96-4B9F-9D12-4B08513B33E6}"/>
    <hyperlink ref="K1064" r:id="rId17120" display="https://statiz.sporki.com/add/?m=draft_school01&amp;ps_school=50805" xr:uid="{702FDA28-79E2-4D2C-925F-DBC48FB5A6D0}"/>
    <hyperlink ref="K1065" r:id="rId17121" display="https://statiz.sporki.com/add/?m=draft_school01&amp;ps_school=50107" xr:uid="{BBDBAC22-738A-4AAA-A8E1-5FA93A35E7ED}"/>
    <hyperlink ref="K1066" r:id="rId17122" display="https://statiz.sporki.com/add/?m=draft_school01&amp;ps_school=50108" xr:uid="{9BF5EAF9-D063-408E-B3B1-49CB7F7D581A}"/>
    <hyperlink ref="K1067" r:id="rId17123" display="https://statiz.sporki.com/add/?m=draft_school01&amp;ps_school=50901" xr:uid="{14F51F35-5B09-48D9-B3D8-2371CDE101F7}"/>
    <hyperlink ref="K1068" r:id="rId17124" display="https://statiz.sporki.com/add/?m=draft_school01&amp;ps_school=50606" xr:uid="{0420A88D-5026-4813-B513-71005717540A}"/>
    <hyperlink ref="K1069" r:id="rId17125" display="https://statiz.sporki.com/add/?m=draft_school01&amp;ps_school=50901" xr:uid="{99B5FBBC-9936-41DB-A83C-BB855164AC24}"/>
    <hyperlink ref="K1070" r:id="rId17126" display="https://statiz.sporki.com/add/?m=draft_school01&amp;ps_school=50107" xr:uid="{C517BD8D-E8DC-432B-847C-36756BFC3D91}"/>
    <hyperlink ref="K1071" r:id="rId17127" display="https://statiz.sporki.com/add/?m=draft_school01&amp;ps_school=50301" xr:uid="{6C7BECF7-3E00-4885-B6FF-BDD2B3FA87BE}"/>
    <hyperlink ref="K1072" r:id="rId17128" display="https://statiz.sporki.com/add/?m=draft_school01&amp;ps_school=50706" xr:uid="{79D1D7C3-2EAA-4CAA-8D78-E77C50D1B457}"/>
    <hyperlink ref="K1073" r:id="rId17129" display="https://statiz.sporki.com/add/?m=draft_school01&amp;ps_school=50116" xr:uid="{90A3B06D-9C8E-4F4B-ACBF-603A61662427}"/>
    <hyperlink ref="K1074" r:id="rId17130" display="https://statiz.sporki.com/add/?m=draft_school01&amp;ps_school=50902" xr:uid="{82BC2BC7-B5DA-4636-8BF3-A29604450BB1}"/>
    <hyperlink ref="K1075" r:id="rId17131" display="https://statiz.sporki.com/add/?m=draft_school01&amp;ps_school=50108" xr:uid="{0EC645EF-6BA0-494C-99FF-4632A0D0AC75}"/>
    <hyperlink ref="K1076" r:id="rId17132" display="https://statiz.sporki.com/add/?m=draft_school01&amp;ps_school=50202" xr:uid="{C333BEA4-39F5-4C0F-A971-87C446AAECE4}"/>
    <hyperlink ref="K1077" r:id="rId17133" display="https://statiz.sporki.com/add/?m=draft_school01&amp;ps_school=50705" xr:uid="{C967E6E9-D0D5-411A-A652-0CD2C3FC4AFE}"/>
    <hyperlink ref="K1078" r:id="rId17134" display="https://statiz.sporki.com/add/?m=draft_school01&amp;ps_school=50105" xr:uid="{2C6C1247-35DB-4CF2-A8A5-F9F67A71F8D0}"/>
    <hyperlink ref="K1080" r:id="rId17135" display="https://statiz.sporki.com/add/?m=draft_school01&amp;ps_school=50705" xr:uid="{5686220F-5475-42BB-877B-4C313F6428EB}"/>
    <hyperlink ref="K1081" r:id="rId17136" display="https://statiz.sporki.com/add/?m=draft_school01&amp;ps_school=50116" xr:uid="{9B9BE6BA-E064-4ABC-856B-747B36466AA1}"/>
    <hyperlink ref="K1082" r:id="rId17137" display="https://statiz.sporki.com/add/?m=draft_school01&amp;ps_school=50101" xr:uid="{4934117D-4CDD-4FF4-8952-C024269C299F}"/>
    <hyperlink ref="K1083" r:id="rId17138" display="https://statiz.sporki.com/add/?m=draft_school01&amp;ps_school=50206" xr:uid="{595543B8-EA8F-4A23-8D7A-2B5F80DC8CCE}"/>
    <hyperlink ref="K1084" r:id="rId17139" display="https://statiz.sporki.com/add/?m=draft_school01&amp;ps_school=50208" xr:uid="{88C595E2-72DA-46F9-9B93-9089F0EE856D}"/>
    <hyperlink ref="K1085" r:id="rId17140" display="https://statiz.sporki.com/add/?m=draft_school01&amp;ps_school=50807" xr:uid="{1A6F55F2-1D65-43C4-B74C-0C1C5856B171}"/>
    <hyperlink ref="K1086" r:id="rId17141" display="https://statiz.sporki.com/add/?m=draft_school01&amp;ps_school=50202" xr:uid="{692E1C63-767B-4EA7-A7C8-D955ED5D0F5C}"/>
    <hyperlink ref="K1087" r:id="rId17142" display="https://statiz.sporki.com/add/?m=draft_school01&amp;ps_school=50802" xr:uid="{E13EB722-DE2D-429D-916E-F1FACDC6770F}"/>
    <hyperlink ref="K1088" r:id="rId17143" display="https://statiz.sporki.com/add/?m=draft_school01&amp;ps_school=50103" xr:uid="{8DEF8CDE-CD04-46DC-A2C9-568D14352458}"/>
    <hyperlink ref="K1089" r:id="rId17144" display="https://statiz.sporki.com/add/?m=draft_school01&amp;ps_school=50113" xr:uid="{15B4E63F-E09B-4B5F-A1D2-9FB425FA6277}"/>
    <hyperlink ref="K1090" r:id="rId17145" display="https://statiz.sporki.com/add/?m=draft_school01&amp;ps_school=50108" xr:uid="{148657E5-A4D6-4911-ABB4-8876766CF012}"/>
    <hyperlink ref="K1091" r:id="rId17146" display="https://statiz.sporki.com/add/?m=draft_school01&amp;ps_school=50705" xr:uid="{DA17904D-AB45-4BE6-BE6B-E83942C9A767}"/>
    <hyperlink ref="K1092" r:id="rId17147" display="https://statiz.sporki.com/add/?m=draft_school01&amp;ps_school=50210" xr:uid="{31E55CED-31C0-44C1-A4CB-852A7B2FC39A}"/>
    <hyperlink ref="K1093" r:id="rId17148" display="https://statiz.sporki.com/add/?m=draft_school01&amp;ps_school=50604" xr:uid="{5018BE6C-6A58-477E-AC4F-6FD1CA6F5E59}"/>
    <hyperlink ref="K1094" r:id="rId17149" display="https://statiz.sporki.com/add/?m=draft_school01&amp;ps_school=50706" xr:uid="{8B3D4F53-5C22-4033-9F82-385732C9ACFA}"/>
    <hyperlink ref="K1095" r:id="rId17150" display="https://statiz.sporki.com/add/?m=draft_school01&amp;ps_school=50202" xr:uid="{D345423F-21EA-4FA7-ADEF-DB57FE9B3A53}"/>
    <hyperlink ref="K1096" r:id="rId17151" display="https://statiz.sporki.com/add/?m=draft_school01&amp;ps_school=50103" xr:uid="{A988133F-9520-4447-A1AF-F853C2A9B28D}"/>
    <hyperlink ref="K1097" r:id="rId17152" display="https://statiz.sporki.com/add/?m=draft_school01&amp;ps_school=50109" xr:uid="{EB242D3B-BCC7-4181-A1DB-045C15D73169}"/>
    <hyperlink ref="K1098" r:id="rId17153" display="https://statiz.sporki.com/add/?m=draft_school01&amp;ps_school=50403" xr:uid="{3807F78A-ED47-4569-97DB-179F0A7E6CD6}"/>
    <hyperlink ref="K1099" r:id="rId17154" display="https://statiz.sporki.com/add/?m=draft_school01&amp;ps_school=50601" xr:uid="{A658360B-8073-4EB5-B8AA-79934B85A48D}"/>
    <hyperlink ref="K1100" r:id="rId17155" display="https://statiz.sporki.com/add/?m=draft_school01&amp;ps_school=50602" xr:uid="{5BDCFC39-D1B1-4972-A23A-12EA1BA547DB}"/>
    <hyperlink ref="K1101" r:id="rId17156" display="https://statiz.sporki.com/add/?m=draft_school01&amp;ps_school=50111" xr:uid="{89A87BD6-7451-4504-8153-CBF2F02522DD}"/>
    <hyperlink ref="K1102" r:id="rId17157" display="https://statiz.sporki.com/add/?m=draft_school01&amp;ps_school=50107" xr:uid="{66D6B8D1-0081-4DA6-ABAE-06872D73A936}"/>
    <hyperlink ref="K1103" r:id="rId17158" display="https://statiz.sporki.com/add/?m=draft_school01&amp;ps_school=51001" xr:uid="{A87E717A-D205-47A9-B430-E3BD6C0239FE}"/>
    <hyperlink ref="K1104" r:id="rId17159" display="https://statiz.sporki.com/add/?m=draft_school01&amp;ps_school=50604" xr:uid="{C4A38781-CD0E-4AD1-BCD2-41C8E1BA2747}"/>
    <hyperlink ref="K1105" r:id="rId17160" display="https://statiz.sporki.com/add/?m=draft_school01&amp;ps_school=50209" xr:uid="{7E542581-47B3-421D-ADB2-F262A2C32A41}"/>
    <hyperlink ref="K1106" r:id="rId17161" display="https://statiz.sporki.com/add/?m=draft_school01&amp;ps_school=50203" xr:uid="{2E8DCC49-A915-45E7-A6AE-C963C336C17C}"/>
    <hyperlink ref="K1107" r:id="rId17162" display="https://statiz.sporki.com/add/?m=draft_school01&amp;ps_school=50901" xr:uid="{40FC5AF4-BC32-4233-BE73-ACF626DFAF5B}"/>
    <hyperlink ref="K1108" r:id="rId17163" display="https://statiz.sporki.com/add/?m=draft_school01&amp;ps_school=50206" xr:uid="{22CE5BE3-39FE-47DF-B889-538771400720}"/>
    <hyperlink ref="K1109" r:id="rId17164" display="https://statiz.sporki.com/add/?m=draft_school01&amp;ps_school=50402" xr:uid="{51B905E9-2191-4A19-976B-737B53D05D67}"/>
    <hyperlink ref="K1110" r:id="rId17165" display="https://statiz.sporki.com/add/?m=draft_school01&amp;ps_school=50903" xr:uid="{6089AB1E-7383-4668-A30D-88A87220B245}"/>
    <hyperlink ref="K1111" r:id="rId17166" display="https://statiz.sporki.com/add/?m=draft_school01&amp;ps_school=50109" xr:uid="{412064B1-9C63-48F0-AC78-3E1828EF596C}"/>
    <hyperlink ref="K1112" r:id="rId17167" display="https://statiz.sporki.com/add/?m=draft_school01&amp;ps_school=50109" xr:uid="{5FDBEA25-CC55-49B6-ABAB-0D488AED24BB}"/>
    <hyperlink ref="K1113" r:id="rId17168" display="https://statiz.sporki.com/add/?m=draft_school01&amp;ps_school=50108" xr:uid="{C7CAAE3F-F86E-4D9A-AE96-2A32FC1D02E6}"/>
    <hyperlink ref="K1114" r:id="rId17169" display="https://statiz.sporki.com/add/?m=draft_school01&amp;ps_school=50802" xr:uid="{2BDA1252-8629-4520-A1DA-6A61881C1809}"/>
    <hyperlink ref="K1115" r:id="rId17170" display="https://statiz.sporki.com/add/?m=draft_school01&amp;ps_school=50206" xr:uid="{D239D4FB-E852-4081-B7D5-0015027B4E12}"/>
    <hyperlink ref="K1116" r:id="rId17171" display="https://statiz.sporki.com/add/?m=draft_school01&amp;ps_school=50401" xr:uid="{8CFA76E2-82E7-4EC9-9F21-BDFE2E888F34}"/>
    <hyperlink ref="K1117" r:id="rId17172" display="https://statiz.sporki.com/add/?m=draft_school01&amp;ps_school=50108" xr:uid="{E5DA4FD7-6943-4514-A860-463CC450F0BB}"/>
    <hyperlink ref="K1118" r:id="rId17173" display="https://statiz.sporki.com/add/?m=draft_school01&amp;ps_school=50705" xr:uid="{85ED2AD0-9E7A-43BE-8988-66316E19E631}"/>
    <hyperlink ref="K1119" r:id="rId17174" display="https://statiz.sporki.com/add/?m=draft_school01&amp;ps_school=50113" xr:uid="{1B048179-10BB-4C63-9808-CEEC928EFB0F}"/>
    <hyperlink ref="K1120" r:id="rId17175" display="https://statiz.sporki.com/add/?m=draft_school01&amp;ps_school=50207" xr:uid="{F9BAEB66-6F74-4427-A7F4-48101C7A11D9}"/>
    <hyperlink ref="K1121" r:id="rId17176" display="https://statiz.sporki.com/add/?m=draft_school01&amp;ps_school=50109" xr:uid="{3118E99F-1966-482D-8ADC-EA89CEA89655}"/>
    <hyperlink ref="K1122" r:id="rId17177" display="https://statiz.sporki.com/add/?m=draft_school01&amp;ps_school=50801" xr:uid="{BA618326-CA11-48D4-9897-46126CB4D201}"/>
    <hyperlink ref="K1123" r:id="rId17178" display="https://statiz.sporki.com/add/?m=draft_school01&amp;ps_school=50703" xr:uid="{D1BD5390-2D9C-40F1-9101-9A85D5A3D32B}"/>
    <hyperlink ref="K1124" r:id="rId17179" display="https://statiz.sporki.com/add/?m=draft_school01&amp;ps_school=50401" xr:uid="{A84F3D92-DB90-46FE-9EA2-4A6CF129AA2B}"/>
    <hyperlink ref="K1125" r:id="rId17180" display="https://statiz.sporki.com/add/?m=draft_school01&amp;ps_school=50801" xr:uid="{C4B6DF48-AA00-44DA-89F0-526B13E14351}"/>
    <hyperlink ref="K1126" r:id="rId17181" display="https://statiz.sporki.com/add/?m=draft_school01&amp;ps_school=50807" xr:uid="{E4230C74-BCBD-44C6-969F-C63A5A5871CB}"/>
    <hyperlink ref="K1127" r:id="rId17182" display="https://statiz.sporki.com/add/?m=draft_school01&amp;ps_school=50703" xr:uid="{3D133840-C4E0-4D46-9C79-C840BDBE14FF}"/>
    <hyperlink ref="K1128" r:id="rId17183" display="https://statiz.sporki.com/add/?m=draft_school01&amp;ps_school=50113" xr:uid="{21AB7D88-1277-4FD4-BBEE-8E5E914A1D8A}"/>
    <hyperlink ref="K1129" r:id="rId17184" display="https://statiz.sporki.com/add/?m=draft_school01&amp;ps_school=50601" xr:uid="{8744C301-D9A5-4F78-9CCC-D29B8C63357A}"/>
    <hyperlink ref="K1130" r:id="rId17185" display="https://statiz.sporki.com/add/?m=draft_school01&amp;ps_school=50403" xr:uid="{BCAD7D84-BC44-4CA1-A68E-5D02A5C93B58}"/>
    <hyperlink ref="K1131" r:id="rId17186" display="https://statiz.sporki.com/add/?m=draft_school01&amp;ps_school=50601" xr:uid="{48A3D66E-1B9B-4B39-B4ED-BDC612AE83DF}"/>
    <hyperlink ref="K1132" r:id="rId17187" display="https://statiz.sporki.com/add/?m=draft_school01&amp;ps_school=50208" xr:uid="{DAFEFC9A-A10A-46FD-B62F-852BCFEFA5B1}"/>
    <hyperlink ref="K1133" r:id="rId17188" display="https://statiz.sporki.com/add/?m=draft_school01&amp;ps_school=50114" xr:uid="{CF3FC6E0-D37C-4CBE-B926-71D476DD7F52}"/>
    <hyperlink ref="K1134" r:id="rId17189" display="https://statiz.sporki.com/add/?m=draft_school01&amp;ps_school=50107" xr:uid="{64472FDB-B6AB-43D3-A357-B6148C2B2BFD}"/>
    <hyperlink ref="K1135" r:id="rId17190" display="https://statiz.sporki.com/add/?m=draft_school01&amp;ps_school=50108" xr:uid="{FF3CB372-780D-4E5D-A070-53D0A8B9546F}"/>
    <hyperlink ref="K1136" r:id="rId17191" display="https://statiz.sporki.com/add/?m=draft_school01&amp;ps_school=50111" xr:uid="{3B6D21D2-55A8-49F5-BDB5-F5F8B82D174A}"/>
    <hyperlink ref="K1137" r:id="rId17192" display="https://statiz.sporki.com/add/?m=draft_school01&amp;ps_school=50604" xr:uid="{62A8DB08-D347-4539-A732-6DDC3D1FC16C}"/>
    <hyperlink ref="K1138" r:id="rId17193" display="https://statiz.sporki.com/add/?m=draft_school01&amp;ps_school=50205" xr:uid="{1B7050CE-C933-46DF-A93E-A35D67C4E9CC}"/>
    <hyperlink ref="K1139" r:id="rId17194" display="https://statiz.sporki.com/add/?m=draft_school01&amp;ps_school=50703" xr:uid="{8D5494CC-A454-4003-B6A0-708736CEFDFC}"/>
    <hyperlink ref="K1140" r:id="rId17195" display="https://statiz.sporki.com/add/?m=draft_school01&amp;ps_school=50208" xr:uid="{4D03BC51-631C-4E6F-9D5F-213C789BDC7E}"/>
    <hyperlink ref="K1141" r:id="rId17196" display="https://statiz.sporki.com/add/?m=draft_school01&amp;ps_school=50116" xr:uid="{F4C114EF-20C3-4FCE-855B-B177944FE5D6}"/>
    <hyperlink ref="K1142" r:id="rId17197" display="https://statiz.sporki.com/add/?m=draft_school01&amp;ps_school=50602" xr:uid="{1284916D-F888-442B-9DDF-C633FE1E70D5}"/>
    <hyperlink ref="K1143" r:id="rId17198" display="https://statiz.sporki.com/add/?m=draft_school01&amp;ps_school=50501" xr:uid="{3E4BE034-B8B3-4DAE-83D2-B324AB9249FB}"/>
    <hyperlink ref="K1144" r:id="rId17199" display="https://statiz.sporki.com/add/?m=draft_school01&amp;ps_school=50116" xr:uid="{53EA7538-6BB5-4984-94F9-1B15D1D97989}"/>
    <hyperlink ref="K1145" r:id="rId17200" display="https://statiz.sporki.com/add/?m=draft_school01&amp;ps_school=50403" xr:uid="{AC285A73-7BF2-455C-8ACF-3D8BFF9EF7F0}"/>
    <hyperlink ref="K1146" r:id="rId17201" display="https://statiz.sporki.com/add/?m=draft_school01&amp;ps_school=50110" xr:uid="{4AD9E166-F5A8-435E-9BC4-E79E06EADA8A}"/>
    <hyperlink ref="K1147" r:id="rId17202" display="https://statiz.sporki.com/add/?m=draft_school01&amp;ps_school=50107" xr:uid="{C2F6477C-6FC7-4157-BC5C-3316CFA57D7D}"/>
    <hyperlink ref="K1148" r:id="rId17203" display="https://statiz.sporki.com/add/?m=draft_school01&amp;ps_school=50802" xr:uid="{F0BCB2C1-B2D7-41EB-B8A9-ABA073E09764}"/>
    <hyperlink ref="K1149" r:id="rId17204" display="https://statiz.sporki.com/add/?m=draft_school01&amp;ps_school=50901" xr:uid="{84DE6828-0DC3-4005-9D67-01F11D288193}"/>
    <hyperlink ref="K1150" r:id="rId17205" display="https://statiz.sporki.com/add/?m=draft_school01&amp;ps_school=50105" xr:uid="{A55A89E7-10CB-4058-B63A-A4178E9DE36C}"/>
    <hyperlink ref="K1151" r:id="rId17206" display="https://statiz.sporki.com/add/?m=draft_school01&amp;ps_school=50602" xr:uid="{7DC054D7-6D96-441B-874F-9AA267F960AD}"/>
    <hyperlink ref="K1152" r:id="rId17207" display="https://statiz.sporki.com/add/?m=draft_school01&amp;ps_school=50401" xr:uid="{C0648680-3B1A-4457-B6F6-B30996731F19}"/>
    <hyperlink ref="K1153" r:id="rId17208" display="https://statiz.sporki.com/add/?m=draft_school01&amp;ps_school=50802" xr:uid="{5BDAD750-7EE0-4B74-A7C0-9FE5F3FB19B1}"/>
    <hyperlink ref="K1154" r:id="rId17209" display="https://statiz.sporki.com/add/?m=draft_school01&amp;ps_school=50705" xr:uid="{49344B00-D37F-4506-A4BD-8DB12E0A5D0D}"/>
    <hyperlink ref="K1155" r:id="rId17210" display="https://statiz.sporki.com/add/?m=draft_school01&amp;ps_school=50105" xr:uid="{67A4DBD1-C048-4408-8D72-7FB677B85EE5}"/>
    <hyperlink ref="K1156" r:id="rId17211" display="https://statiz.sporki.com/add/?m=draft_school01&amp;ps_school=50109" xr:uid="{ABBF1DA8-BE89-4E7F-8B12-06D0A6CD455D}"/>
    <hyperlink ref="K1157" r:id="rId17212" display="https://statiz.sporki.com/add/?m=draft_school01&amp;ps_school=50101" xr:uid="{6E4E30E5-4963-46EC-95DB-77B9CC6A6D83}"/>
    <hyperlink ref="K1158" r:id="rId17213" display="https://statiz.sporki.com/add/?m=draft_school01&amp;ps_school=50301" xr:uid="{19968C92-B057-4E35-9B32-F6E5F22DF503}"/>
    <hyperlink ref="K1159" r:id="rId17214" display="https://statiz.sporki.com/add/?m=draft_school01&amp;ps_school=50102" xr:uid="{23234B78-7636-49E0-8C68-FA94D1C8D986}"/>
    <hyperlink ref="K1160" r:id="rId17215" display="https://statiz.sporki.com/add/?m=draft_school01&amp;ps_school=50403" xr:uid="{88D8A79A-BD44-43B6-B302-33407EE9C8E4}"/>
    <hyperlink ref="K1185" r:id="rId17216" display="https://statiz.sporki.com/add/?m=draft_school01&amp;ps_school=50803" xr:uid="{B788DEA7-75C5-4A56-8989-F516A4CE6599}"/>
    <hyperlink ref="K1186" r:id="rId17217" display="https://statiz.sporki.com/add/?m=draft_school01&amp;ps_school=50902" xr:uid="{19DB9093-DB7E-4F00-936D-0977876EB922}"/>
    <hyperlink ref="K1187" r:id="rId17218" display="https://statiz.sporki.com/add/?m=draft_school01&amp;ps_school=50103" xr:uid="{F88E2791-336D-4235-80A2-96DD2648E7B4}"/>
    <hyperlink ref="K1188" r:id="rId17219" display="https://statiz.sporki.com/add/?m=draft_school01&amp;ps_school=50403" xr:uid="{46927F1F-A1BA-48F2-98C3-49CE95108C76}"/>
    <hyperlink ref="K1189" r:id="rId17220" display="https://statiz.sporki.com/add/?m=draft_school01&amp;ps_school=50805" xr:uid="{EA501ACE-3BF3-4D37-9774-B8B88973501A}"/>
    <hyperlink ref="K1190" r:id="rId17221" display="https://statiz.sporki.com/add/?m=draft_school01&amp;ps_school=50804" xr:uid="{BED7344C-BE09-4E02-82B9-6FD90A156FB9}"/>
    <hyperlink ref="K1191" r:id="rId17222" display="https://statiz.sporki.com/add/?m=draft_school01&amp;ps_school=50602" xr:uid="{5DC47F4C-A760-4E1E-B08A-16979DC0D34C}"/>
    <hyperlink ref="K1192" r:id="rId17223" display="https://statiz.sporki.com/add/?m=draft_school01&amp;ps_school=50801" xr:uid="{10ED651F-1DB8-4EFB-8D00-18450E3978F0}"/>
    <hyperlink ref="K1193" r:id="rId17224" display="https://statiz.sporki.com/add/?m=draft_school01&amp;ps_school=50705" xr:uid="{7A82FF09-DDF2-4C8A-B290-9117AAC3509C}"/>
    <hyperlink ref="K1194" r:id="rId17225" display="https://statiz.sporki.com/add/?m=draft_school01&amp;ps_school=50101" xr:uid="{AF6C5CE6-D884-45FA-8D21-8EA1D6207306}"/>
    <hyperlink ref="K1195" r:id="rId17226" display="https://statiz.sporki.com/add/?m=draft_school01&amp;ps_school=50601" xr:uid="{37A37FE7-66D0-49F5-B8C5-E799CA7076DF}"/>
    <hyperlink ref="K1196" r:id="rId17227" display="https://statiz.sporki.com/add/?m=draft_school01&amp;ps_school=50602" xr:uid="{DC403FD0-5247-4F42-9F1C-B3976A7CFE24}"/>
    <hyperlink ref="K1197" r:id="rId17228" display="https://statiz.sporki.com/add/?m=draft_school01&amp;ps_school=50801" xr:uid="{90E8C8D8-C75F-433E-955E-8B7FD4EB9FAD}"/>
    <hyperlink ref="K1198" r:id="rId17229" display="https://statiz.sporki.com/add/?m=draft_school01&amp;ps_school=50105" xr:uid="{44674609-FCD3-41AB-B624-3154DBA962B4}"/>
    <hyperlink ref="K1199" r:id="rId17230" display="https://statiz.sporki.com/add/?m=draft_school01&amp;ps_school=50804" xr:uid="{D1249A3E-F819-4463-8F5D-39755D430EBB}"/>
    <hyperlink ref="K1200" r:id="rId17231" display="https://statiz.sporki.com/add/?m=draft_school01&amp;ps_school=50402" xr:uid="{1CFD0688-EC9F-43A0-81E1-F39D2A9BD3D7}"/>
    <hyperlink ref="K1201" r:id="rId17232" display="https://statiz.sporki.com/add/?m=draft_school01&amp;ps_school=50403" xr:uid="{45CF2EA5-026F-4F94-9C53-E8ED7ED2A43B}"/>
    <hyperlink ref="K1202" r:id="rId17233" display="https://statiz.sporki.com/add/?m=draft_school01&amp;ps_school=50605" xr:uid="{989EAA41-B94C-4899-B059-674E35673A79}"/>
    <hyperlink ref="K1203" r:id="rId17234" display="https://statiz.sporki.com/add/?m=draft_school01&amp;ps_school=50605" xr:uid="{93549C42-041B-41C1-BDC5-B168F7A44FD3}"/>
    <hyperlink ref="K1204" r:id="rId17235" display="https://statiz.sporki.com/add/?m=draft_school01&amp;ps_school=50602" xr:uid="{301915FC-55F6-444F-830B-E1C3488094AA}"/>
    <hyperlink ref="K1205" r:id="rId17236" display="https://statiz.sporki.com/add/?m=draft_school01&amp;ps_school=50606" xr:uid="{D8D35B0C-84F3-4058-B466-5FD50543D9E3}"/>
    <hyperlink ref="K1206" r:id="rId17237" display="https://statiz.sporki.com/add/?m=draft_school01&amp;ps_school=50103" xr:uid="{C069BA0F-1247-43CD-BCDD-132A1D268E2A}"/>
    <hyperlink ref="K1207" r:id="rId17238" display="https://statiz.sporki.com/add/?m=draft_school01&amp;ps_school=50103" xr:uid="{C5C5F4FE-91EA-4285-B364-65DF33E5440F}"/>
    <hyperlink ref="K1208" r:id="rId17239" display="https://statiz.sporki.com/add/?m=draft_school01&amp;ps_school=50105" xr:uid="{6EEA00DB-0AA6-4830-B4BB-4457D86B5BCD}"/>
    <hyperlink ref="K1209" r:id="rId17240" display="https://statiz.sporki.com/add/?m=draft_school01&amp;ps_school=50210" xr:uid="{B51D99F4-70ED-4485-BF68-9D878B3D5ACC}"/>
    <hyperlink ref="K1210" r:id="rId17241" display="https://statiz.sporki.com/add/?m=draft_school01&amp;ps_school=50107" xr:uid="{F513EB6B-6A5F-4D6B-B452-20FDB7D87CB2}"/>
    <hyperlink ref="K1211" r:id="rId17242" display="https://statiz.sporki.com/add/?m=draft_school01&amp;ps_school=50107" xr:uid="{DD2B4881-00E2-4128-94BD-AE1FAF57D4C1}"/>
    <hyperlink ref="K1212" r:id="rId17243" display="https://statiz.sporki.com/add/?m=draft_school01&amp;ps_school=50804" xr:uid="{9623B5AD-E46F-40AB-941A-94E9F5ADEE97}"/>
    <hyperlink ref="K1213" r:id="rId17244" display="https://statiz.sporki.com/add/?m=draft_school01&amp;ps_school=50902" xr:uid="{DA75F51E-7999-453E-A92B-4498D98489C8}"/>
    <hyperlink ref="K1214" r:id="rId17245" display="https://statiz.sporki.com/add/?m=draft_school01&amp;ps_school=50403" xr:uid="{29530F61-0250-427F-BB07-42F100CFB458}"/>
    <hyperlink ref="K1215" r:id="rId17246" display="https://statiz.sporki.com/add/?m=draft_school01&amp;ps_school=50101" xr:uid="{AC6D52BA-6971-4BC7-99CF-990CED6874E8}"/>
    <hyperlink ref="K1216" r:id="rId17247" display="https://statiz.sporki.com/add/?m=draft_school01&amp;ps_school=50210" xr:uid="{B7FBB03B-D37F-44D5-B1A4-8C44348BFD19}"/>
    <hyperlink ref="K1217" r:id="rId17248" display="https://statiz.sporki.com/add/?m=draft_school01&amp;ps_school=50113" xr:uid="{663B6A46-F8FD-4927-BDC9-1E6A24A29449}"/>
    <hyperlink ref="K1218" r:id="rId17249" display="https://statiz.sporki.com/add/?m=draft_school01&amp;ps_school=50101" xr:uid="{CC1335F4-6DA7-4EBC-8C8A-07B4850F8969}"/>
    <hyperlink ref="K1219" r:id="rId17250" display="https://statiz.sporki.com/add/?m=draft_school01&amp;ps_school=50116" xr:uid="{DF6B64B7-DE68-40B6-9007-FE4DB9FD6483}"/>
    <hyperlink ref="K1220" r:id="rId17251" display="https://statiz.sporki.com/add/?m=draft_school01&amp;ps_school=50402" xr:uid="{0430D462-438D-4BB6-A0E5-D6858D24A721}"/>
    <hyperlink ref="K1221" r:id="rId17252" display="https://statiz.sporki.com/add/?m=draft_school01&amp;ps_school=50808" xr:uid="{6DB2B9BF-304C-4257-9F70-76D6DA219A17}"/>
    <hyperlink ref="K1222" r:id="rId17253" display="https://statiz.sporki.com/add/?m=draft_school01&amp;ps_school=50114" xr:uid="{D346F86E-F08A-46F9-885B-E80C31CD14E6}"/>
    <hyperlink ref="K1223" r:id="rId17254" display="https://statiz.sporki.com/add/?m=draft_school01&amp;ps_school=50101" xr:uid="{24DA079D-DADB-48C2-83B2-70E221F22C60}"/>
    <hyperlink ref="K1224" r:id="rId17255" display="https://statiz.sporki.com/add/?m=draft_school01&amp;ps_school=50602" xr:uid="{73F661CB-AA55-4DD3-9FE7-4EAE51C505AE}"/>
    <hyperlink ref="K1225" r:id="rId17256" display="https://statiz.sporki.com/add/?m=draft_school01&amp;ps_school=50805" xr:uid="{18118C64-1F09-4246-9DFC-4C4899441870}"/>
    <hyperlink ref="K1226" r:id="rId17257" display="https://statiz.sporki.com/add/?m=draft_school01&amp;ps_school=50403" xr:uid="{9B2A348C-22D6-4A63-BBFC-472D3E2FF133}"/>
    <hyperlink ref="K1227" r:id="rId17258" display="https://statiz.sporki.com/add/?m=draft_school01&amp;ps_school=50807" xr:uid="{100B4236-3F9A-4F13-B217-BC38C5DFC1CD}"/>
    <hyperlink ref="K1228" r:id="rId17259" display="https://statiz.sporki.com/add/?m=draft_school01&amp;ps_school=50209" xr:uid="{D705CA83-897F-4563-A450-E83DBCF85244}"/>
    <hyperlink ref="K1229" r:id="rId17260" display="https://statiz.sporki.com/add/?m=draft_school01&amp;ps_school=50201" xr:uid="{93E311D6-8D91-42A5-A29C-29C6C0E08A43}"/>
    <hyperlink ref="K1230" r:id="rId17261" display="https://statiz.sporki.com/add/?m=draft_school01&amp;ps_school=50110" xr:uid="{216F6029-64F1-42EA-B04E-4594E6F81019}"/>
    <hyperlink ref="K1231" r:id="rId17262" display="https://statiz.sporki.com/add/?m=draft_school01&amp;ps_school=50805" xr:uid="{8BB6C801-44DD-4968-96C2-2D24EDE10B7A}"/>
    <hyperlink ref="K1232" r:id="rId17263" display="https://statiz.sporki.com/add/?m=draft_school01&amp;ps_school=50701" xr:uid="{0C92370F-59BB-416F-A74B-B0EFBC346EE7}"/>
    <hyperlink ref="K1233" r:id="rId17264" display="https://statiz.sporki.com/add/?m=draft_school01&amp;ps_school=50202" xr:uid="{6D757C21-D624-4A0B-B323-A49D8D0BCBB1}"/>
    <hyperlink ref="K1234" r:id="rId17265" display="https://statiz.sporki.com/add/?m=draft_school01&amp;ps_school=50601" xr:uid="{05A5E9C9-1931-4525-A1F4-A9FE0E510C87}"/>
    <hyperlink ref="K1235" r:id="rId17266" display="https://statiz.sporki.com/add/?m=draft_school01&amp;ps_school=50203" xr:uid="{E21541EB-D413-45DD-90F2-E2E69DF6C171}"/>
    <hyperlink ref="K1236" r:id="rId17267" display="https://statiz.sporki.com/add/?m=draft_school01&amp;ps_school=50301" xr:uid="{19651260-88A4-418D-A0E1-4AC7375CAE70}"/>
    <hyperlink ref="K1237" r:id="rId17268" display="https://statiz.sporki.com/add/?m=draft_school01&amp;ps_school=50302" xr:uid="{AE23C2F5-DFA8-4129-B9A7-FDA7AC94BC21}"/>
    <hyperlink ref="K1238" r:id="rId17269" display="https://statiz.sporki.com/add/?m=draft_school01&amp;ps_school=50603" xr:uid="{69DD77D3-AA82-4132-A638-BC39FBC00AC1}"/>
    <hyperlink ref="K1239" r:id="rId17270" display="https://statiz.sporki.com/add/?m=draft_school01&amp;ps_school=50602" xr:uid="{F6E56869-4C4C-461A-8CDE-8F93C69D657E}"/>
    <hyperlink ref="K1240" r:id="rId17271" display="https://statiz.sporki.com/add/?m=draft_school01&amp;ps_school=50209" xr:uid="{DF17920D-7959-412C-9B4B-5A34FD9D741E}"/>
    <hyperlink ref="K1241" r:id="rId17272" display="https://statiz.sporki.com/add/?m=draft_school01&amp;ps_school=50602" xr:uid="{0BBAC75B-CFA4-4C94-9D2E-BFE5050848FF}"/>
    <hyperlink ref="K1242" r:id="rId17273" display="https://statiz.sporki.com/add/?m=draft_school01&amp;ps_school=50808" xr:uid="{F5A912F9-4207-417C-9B2A-C956190A61DF}"/>
    <hyperlink ref="K1243" r:id="rId17274" display="https://statiz.sporki.com/add/?m=draft_school01&amp;ps_school=50111" xr:uid="{399A2357-E388-47F1-AE1C-540D1F7740D0}"/>
    <hyperlink ref="K1244" r:id="rId17275" display="https://statiz.sporki.com/add/?m=draft_school01&amp;ps_school=50111" xr:uid="{8E352555-5E9B-49EE-B932-42BBCC7AF5BA}"/>
    <hyperlink ref="K1245" r:id="rId17276" display="https://statiz.sporki.com/add/?m=draft_school01&amp;ps_school=50801" xr:uid="{B8F086F0-6C0E-43DB-A017-374FAA0C5970}"/>
    <hyperlink ref="K1246" r:id="rId17277" display="https://statiz.sporki.com/add/?m=draft_school01&amp;ps_school=50205" xr:uid="{ED09B23D-E9F4-4B4C-A224-1AF6891F1C9E}"/>
    <hyperlink ref="K1247" r:id="rId17278" display="https://statiz.sporki.com/add/?m=draft_school01&amp;ps_school=50403" xr:uid="{480EBB62-F363-4505-9341-5FC12F4E8BD5}"/>
    <hyperlink ref="K1248" r:id="rId17279" display="https://statiz.sporki.com/add/?m=draft_school01&amp;ps_school=50501" xr:uid="{79E5CED0-5FF5-46A6-870E-B5B9BD0B88B0}"/>
    <hyperlink ref="K1249" r:id="rId17280" display="https://statiz.sporki.com/add/?m=draft_school01&amp;ps_school=50606" xr:uid="{10CBBC34-0FFC-43CF-9B23-6E10200E8000}"/>
    <hyperlink ref="K1250" r:id="rId17281" display="https://statiz.sporki.com/add/?m=draft_school01&amp;ps_school=51101" xr:uid="{37CBBC83-006E-4B25-8D9C-F965A48C46B5}"/>
    <hyperlink ref="K1251" r:id="rId17282" display="https://statiz.sporki.com/add/?m=draft_school01&amp;ps_school=50207" xr:uid="{B8A0EF64-6070-4EE8-87C7-EFCCCBBBADD7}"/>
    <hyperlink ref="K1252" r:id="rId17283" display="https://statiz.sporki.com/add/?m=draft_school01&amp;ps_school=50302" xr:uid="{8D02B858-F4E7-43FE-B2F9-4F7B72433534}"/>
    <hyperlink ref="K1253" r:id="rId17284" display="https://statiz.sporki.com/add/?m=draft_school01&amp;ps_school=50705" xr:uid="{9FB7B095-D74A-4D1C-998B-F3AD64E68A43}"/>
    <hyperlink ref="K1254" r:id="rId17285" display="https://statiz.sporki.com/add/?m=draft_school01&amp;ps_school=50601" xr:uid="{A41BCA92-F191-4A8D-A762-212561981E30}"/>
    <hyperlink ref="K1255" r:id="rId17286" display="https://statiz.sporki.com/add/?m=draft_school01&amp;ps_school=50114" xr:uid="{8F56CB3B-0145-4417-9027-2FCC530C1720}"/>
    <hyperlink ref="K1256" r:id="rId17287" display="https://statiz.sporki.com/add/?m=draft_school01&amp;ps_school=50402" xr:uid="{1C13DBE8-BD32-4F03-9E2E-F0212E0180BA}"/>
    <hyperlink ref="K1257" r:id="rId17288" display="https://statiz.sporki.com/add/?m=draft_school01&amp;ps_school=50208" xr:uid="{7A0FFBBC-8207-4104-99F7-5F94075CF6A5}"/>
    <hyperlink ref="K1258" r:id="rId17289" display="https://statiz.sporki.com/add/?m=draft_school01&amp;ps_school=50705" xr:uid="{D9D1D012-42FA-4415-A44F-417883BF7BFC}"/>
    <hyperlink ref="K1259" r:id="rId17290" display="https://statiz.sporki.com/add/?m=draft_school01&amp;ps_school=50803" xr:uid="{A303D243-59EB-4EA1-990A-43D1E6A85FA0}"/>
    <hyperlink ref="K1260" r:id="rId17291" display="https://statiz.sporki.com/add/?m=draft_school01&amp;ps_school=50210" xr:uid="{5ABDA584-792B-413D-8DDF-3D1F5F816B5E}"/>
    <hyperlink ref="K1261" r:id="rId17292" display="https://statiz.sporki.com/add/?m=draft_school01&amp;ps_school=50111" xr:uid="{522FE9E3-3261-4C95-ADA1-DBE634A9DF40}"/>
    <hyperlink ref="K1262" r:id="rId17293" display="https://statiz.sporki.com/add/?m=draft_school01&amp;ps_school=50301" xr:uid="{D41B46EE-C1C4-4476-9968-A97A497E5B0C}"/>
    <hyperlink ref="K1263" r:id="rId17294" display="https://statiz.sporki.com/add/?m=draft_school01&amp;ps_school=50706" xr:uid="{5E353345-C766-4115-A909-7255AAE1026E}"/>
    <hyperlink ref="K1264" r:id="rId17295" display="https://statiz.sporki.com/add/?m=draft_school01&amp;ps_school=50705" xr:uid="{18BA73DF-8A46-4A17-814E-C1010A27E641}"/>
    <hyperlink ref="K1265" r:id="rId17296" display="https://statiz.sporki.com/add/?m=draft_school01&amp;ps_school=50701" xr:uid="{B7CF298C-04C4-425A-A2AD-B1F0168DD1D6}"/>
    <hyperlink ref="K1266" r:id="rId17297" display="https://statiz.sporki.com/add/?m=draft_school01&amp;ps_school=50109" xr:uid="{E8BA5E3A-4C6B-4180-A3F3-8E657B61D85F}"/>
    <hyperlink ref="K1267" r:id="rId17298" display="https://statiz.sporki.com/add/?m=draft_school01&amp;ps_school=50705" xr:uid="{6F37D195-4942-46D7-BC89-ECF196EE2B37}"/>
    <hyperlink ref="K1268" r:id="rId17299" display="https://statiz.sporki.com/add/?m=draft_school01&amp;ps_school=50209" xr:uid="{82BEB6AA-6256-46A5-9198-BA8D7CE06044}"/>
    <hyperlink ref="K1269" r:id="rId17300" display="https://statiz.sporki.com/add/?m=draft_school01&amp;ps_school=50501" xr:uid="{7910FA87-2EDE-427E-983E-44BA2BDE6193}"/>
    <hyperlink ref="K1270" r:id="rId17301" display="https://statiz.sporki.com/add/?m=draft_school01&amp;ps_school=50116" xr:uid="{81C70416-24CC-4EFC-B712-784A32FCF6BC}"/>
    <hyperlink ref="K1271" r:id="rId17302" display="https://statiz.sporki.com/add/?m=draft_school01&amp;ps_school=50403" xr:uid="{05E2D73C-AD57-415F-ABAC-A3541337EA97}"/>
    <hyperlink ref="K1272" r:id="rId17303" display="https://statiz.sporki.com/add/?m=draft_school01&amp;ps_school=50116" xr:uid="{F3DEF47D-A2F8-42BF-883F-476C95F2FB41}"/>
    <hyperlink ref="K1273" r:id="rId17304" display="https://statiz.sporki.com/add/?m=draft_school01&amp;ps_school=50401" xr:uid="{AC614540-8DAF-433A-8E3E-9DD884299474}"/>
    <hyperlink ref="K1274" r:id="rId17305" display="https://statiz.sporki.com/add/?m=draft_school01&amp;ps_school=50103" xr:uid="{2601B717-E9E1-4162-A19B-708C44A184D0}"/>
    <hyperlink ref="K1275" r:id="rId17306" display="https://statiz.sporki.com/add/?m=draft_school01&amp;ps_school=50207" xr:uid="{1BA31180-71C7-4D4D-BF8A-5B844DF63D7C}"/>
    <hyperlink ref="K1276" r:id="rId17307" display="https://statiz.sporki.com/add/?m=draft_school01&amp;ps_school=50113" xr:uid="{39B17AD1-01E2-4250-B816-31C2A45A5767}"/>
    <hyperlink ref="K1277" r:id="rId17308" display="https://statiz.sporki.com/add/?m=draft_school01&amp;ps_school=50106" xr:uid="{7BADC77A-BBE6-4C4A-8377-DF3BB423266B}"/>
    <hyperlink ref="K1278" r:id="rId17309" display="https://statiz.sporki.com/add/?m=draft_school01&amp;ps_school=50402" xr:uid="{92C57DB8-AD92-43DF-9DD8-2805FB3B4AE2}"/>
    <hyperlink ref="K1279" r:id="rId17310" display="https://statiz.sporki.com/add/?m=draft_school01&amp;ps_school=50605" xr:uid="{2AC78552-5A6C-4589-AD3A-189D27414BB1}"/>
    <hyperlink ref="K1280" r:id="rId17311" display="https://statiz.sporki.com/add/?m=draft_school01&amp;ps_school=50804" xr:uid="{459EDB67-E7B0-42A9-8D2C-5C6F73B3863C}"/>
    <hyperlink ref="K1281" r:id="rId17312" display="https://statiz.sporki.com/add/?m=draft_school01&amp;ps_school=50808" xr:uid="{1A8A3564-19F9-4BDD-9A53-489522B3E997}"/>
    <hyperlink ref="K1282" r:id="rId17313" display="https://statiz.sporki.com/add/?m=draft_school01&amp;ps_school=50302" xr:uid="{7A40AD38-7483-4520-85CF-3A7E81ECE8F5}"/>
    <hyperlink ref="K1283" r:id="rId17314" display="https://statiz.sporki.com/add/?m=draft_school01&amp;ps_school=50105" xr:uid="{823B099A-016F-4CAD-901E-259095B89B5C}"/>
    <hyperlink ref="K1284" r:id="rId17315" display="https://statiz.sporki.com/add/?m=draft_school01&amp;ps_school=50110" xr:uid="{95C1C827-BB4A-4FFD-AFFC-1112F0D2796D}"/>
    <hyperlink ref="K1285" r:id="rId17316" display="https://statiz.sporki.com/add/?m=draft_school01&amp;ps_school=50101" xr:uid="{266306A4-0B85-4489-A92E-BCD7FADE1B77}"/>
    <hyperlink ref="K1286" r:id="rId17317" display="https://statiz.sporki.com/add/?m=draft_school01&amp;ps_school=50207" xr:uid="{F72A03F3-6EB9-4DD1-B7DA-5F2852843315}"/>
    <hyperlink ref="K1287" r:id="rId17318" display="https://statiz.sporki.com/add/?m=draft_school01&amp;ps_school=50110" xr:uid="{B2687EA0-6A40-4D9C-ABB7-EF75BA5CCE7E}"/>
    <hyperlink ref="K1288" r:id="rId17319" display="https://statiz.sporki.com/add/?m=draft_school01&amp;ps_school=50116" xr:uid="{780AEC9B-A254-4ADF-B6FF-5FC664B2FA4D}"/>
    <hyperlink ref="K1289" r:id="rId17320" display="https://statiz.sporki.com/add/?m=draft_school01&amp;ps_school=50110" xr:uid="{4142483A-EDF3-4008-BE3B-6008690A5592}"/>
    <hyperlink ref="K1290" r:id="rId17321" display="https://statiz.sporki.com/add/?m=draft_school01&amp;ps_school=50708" xr:uid="{2FEAC9FE-B515-45D9-A3F7-D1784B08FC77}"/>
    <hyperlink ref="K1291" r:id="rId17322" display="https://statiz.sporki.com/add/?m=draft_school01&amp;ps_school=50403" xr:uid="{5C6D907F-0CA9-422F-9156-3935F8D6062F}"/>
    <hyperlink ref="K1292" r:id="rId17323" display="https://statiz.sporki.com/add/?m=draft_school01&amp;ps_school=50207" xr:uid="{FD5AF15B-E7D7-46C2-861A-F875ABE8D954}"/>
    <hyperlink ref="K1293" r:id="rId17324" display="https://statiz.sporki.com/add/?m=draft_school01&amp;ps_school=50108" xr:uid="{F60259AB-B7FB-42E6-B9F0-6B684B168FB7}"/>
    <hyperlink ref="K1294" r:id="rId17325" display="https://statiz.sporki.com/add/?m=draft_school01&amp;ps_school=50501" xr:uid="{291C2000-ADE1-4971-9619-46E334B2761F}"/>
    <hyperlink ref="K1295" r:id="rId17326" display="https://statiz.sporki.com/add/?m=draft_school01&amp;ps_school=50803" xr:uid="{62F5181A-9BEF-4AF4-8FD5-51A20079889D}"/>
    <hyperlink ref="K1296" r:id="rId17327" display="https://statiz.sporki.com/add/?m=draft_school01&amp;ps_school=50705" xr:uid="{B18F8A3E-7D89-4BAA-A445-54787DE1D552}"/>
    <hyperlink ref="K1297" r:id="rId17328" display="https://statiz.sporki.com/add/?m=draft_school01&amp;ps_school=50302" xr:uid="{7F24CB9F-0D4F-4DA2-B13F-98083CE4E800}"/>
    <hyperlink ref="K1298" r:id="rId17329" display="https://statiz.sporki.com/add/?m=draft_school01&amp;ps_school=50804" xr:uid="{DDDB32C3-3C6C-48D0-AE36-6C81CD807FAD}"/>
    <hyperlink ref="K1323" r:id="rId17330" display="https://statiz.sporki.com/add/?m=draft_school01&amp;ps_school=50807" xr:uid="{70256CE9-0611-4BBD-89FC-98B726427C83}"/>
    <hyperlink ref="K1324" r:id="rId17331" display="https://statiz.sporki.com/add/?m=draft_school01&amp;ps_school=50110" xr:uid="{E61F1C15-CAD3-4110-9DCE-4DCD272A96D9}"/>
    <hyperlink ref="K1325" r:id="rId17332" display="https://statiz.sporki.com/add/?m=draft_school01&amp;ps_school=50206" xr:uid="{348EF0B3-44C7-4F49-A449-8F27E86CBC01}"/>
    <hyperlink ref="K1326" r:id="rId17333" display="https://statiz.sporki.com/add/?m=draft_school01&amp;ps_school=50209" xr:uid="{10577E2A-888F-4971-95E0-24BB94A032F2}"/>
    <hyperlink ref="K1327" r:id="rId17334" display="https://statiz.sporki.com/add/?m=draft_school01&amp;ps_school=50116" xr:uid="{80A65E93-243D-4088-8149-F6E8A4610B0F}"/>
    <hyperlink ref="K1328" r:id="rId17335" display="https://statiz.sporki.com/add/?m=draft_school01&amp;ps_school=50502" xr:uid="{4871F612-487A-47D7-9866-91B7BE3AD442}"/>
    <hyperlink ref="K1329" r:id="rId17336" display="https://statiz.sporki.com/add/?m=draft_school01&amp;ps_school=50209" xr:uid="{91F26906-D870-4840-A583-058EF11C596A}"/>
    <hyperlink ref="K1330" r:id="rId17337" display="https://statiz.sporki.com/add/?m=draft_school01&amp;ps_school=50403" xr:uid="{62CDC928-F17A-40DD-B668-D512996AE963}"/>
    <hyperlink ref="K1331" r:id="rId17338" display="https://statiz.sporki.com/add/?m=draft_school01&amp;ps_school=50208" xr:uid="{71972B46-9270-4D9D-AE27-70AF4F9E8D5D}"/>
    <hyperlink ref="K1332" r:id="rId17339" display="https://statiz.sporki.com/add/?m=draft_school01&amp;ps_school=50208" xr:uid="{E2B0EB48-A3BA-421E-9E15-BEB6C55E958A}"/>
    <hyperlink ref="K1333" r:id="rId17340" display="https://statiz.sporki.com/add/?m=draft_school01&amp;ps_school=50113" xr:uid="{31B3C4EB-DFAD-46B7-8505-3B605CB7F557}"/>
    <hyperlink ref="K1334" r:id="rId17341" display="https://statiz.sporki.com/add/?m=draft_school01&amp;ps_school=50804" xr:uid="{0503350D-B915-4668-8A24-59C7641AF2BC}"/>
    <hyperlink ref="K1335" r:id="rId17342" display="https://statiz.sporki.com/add/?m=draft_school01&amp;ps_school=50107" xr:uid="{514604D1-3696-4073-B148-91E1463D66F6}"/>
    <hyperlink ref="K1336" r:id="rId17343" display="https://statiz.sporki.com/add/?m=draft_school01&amp;ps_school=50109" xr:uid="{BB77F960-80E5-4C49-BE2E-AFB8BFF44902}"/>
    <hyperlink ref="K1337" r:id="rId17344" display="https://statiz.sporki.com/add/?m=draft_school01&amp;ps_school=50109" xr:uid="{A25030B1-E637-4419-A94F-C46494F32319}"/>
    <hyperlink ref="K1338" r:id="rId17345" display="https://statiz.sporki.com/add/?m=draft_school01&amp;ps_school=51101" xr:uid="{5E9AD6C8-284A-4372-87FC-1232D3626E9D}"/>
    <hyperlink ref="K1339" r:id="rId17346" display="https://statiz.sporki.com/add/?m=draft_school01&amp;ps_school=50606" xr:uid="{B26C44DB-E5C1-46F1-894B-8F7E84762295}"/>
    <hyperlink ref="K1340" r:id="rId17347" display="https://statiz.sporki.com/add/?m=draft_school01&amp;ps_school=50701" xr:uid="{744742DA-20E7-450A-8229-BE8CA408CE7D}"/>
    <hyperlink ref="K1341" r:id="rId17348" display="https://statiz.sporki.com/add/?m=draft_school01&amp;ps_school=51001" xr:uid="{8689B093-DD91-4C9B-94AC-AB6F4EFD4219}"/>
    <hyperlink ref="K1342" r:id="rId17349" display="https://statiz.sporki.com/add/?m=draft_school01&amp;ps_school=50602" xr:uid="{2AA33A5B-5947-4B8E-80DC-3DA7427CA3DA}"/>
    <hyperlink ref="K1343" r:id="rId17350" display="https://statiz.sporki.com/add/?m=draft_school01&amp;ps_school=50202" xr:uid="{CB52E0E7-3B30-439E-9896-99D83DDFD016}"/>
    <hyperlink ref="K1344" r:id="rId17351" display="https://statiz.sporki.com/add/?m=draft_school01&amp;ps_school=50103" xr:uid="{B000285D-0ADA-4FCD-BFCB-7290E6C753DA}"/>
    <hyperlink ref="K1345" r:id="rId17352" display="https://statiz.sporki.com/add/?m=draft_school01&amp;ps_school=50103" xr:uid="{155DF3F2-2614-4452-825C-6347C1DE4E83}"/>
    <hyperlink ref="K1346" r:id="rId17353" display="https://statiz.sporki.com/add/?m=draft_school01&amp;ps_school=50802" xr:uid="{CFE0C139-27EC-42FF-A888-19E4F9488D8E}"/>
    <hyperlink ref="K1347" r:id="rId17354" display="https://statiz.sporki.com/add/?m=draft_school01&amp;ps_school=50705" xr:uid="{108EA8A8-28E6-4383-8E11-58EEE9C4A1D6}"/>
    <hyperlink ref="K1348" r:id="rId17355" display="https://statiz.sporki.com/add/?m=draft_school01&amp;ps_school=50302" xr:uid="{EE826DED-CFFA-4C24-B238-795E3B12132A}"/>
    <hyperlink ref="K1349" r:id="rId17356" display="https://statiz.sporki.com/add/?m=draft_school01&amp;ps_school=50206" xr:uid="{9784A559-77A5-4733-B761-C628747750C2}"/>
    <hyperlink ref="K1350" r:id="rId17357" display="https://statiz.sporki.com/add/?m=draft_school01&amp;ps_school=50605" xr:uid="{A3286C14-4B68-4483-813E-142991D2CB94}"/>
    <hyperlink ref="K1351" r:id="rId17358" display="https://statiz.sporki.com/add/?m=draft_school01&amp;ps_school=50105" xr:uid="{744EC8B2-8649-43C7-8184-FEDE293841A8}"/>
    <hyperlink ref="K1352" r:id="rId17359" display="https://statiz.sporki.com/add/?m=draft_school01&amp;ps_school=50114" xr:uid="{2A3F3816-E205-4320-BB33-4B7670D695D0}"/>
    <hyperlink ref="K1353" r:id="rId17360" display="https://statiz.sporki.com/add/?m=draft_school01&amp;ps_school=50202" xr:uid="{A77D488B-AE0C-4DEB-8E3D-D36DF4992ED6}"/>
    <hyperlink ref="K1354" r:id="rId17361" display="https://statiz.sporki.com/add/?m=draft_school01&amp;ps_school=50101" xr:uid="{3FC9D822-C493-433B-BF35-B25FE59F7F4B}"/>
    <hyperlink ref="K1355" r:id="rId17362" display="https://statiz.sporki.com/add/?m=draft_school01&amp;ps_school=50805" xr:uid="{0DB653FA-7DFD-4E4E-86E6-732070281B53}"/>
    <hyperlink ref="K1356" r:id="rId17363" display="https://statiz.sporki.com/add/?m=draft_school01&amp;ps_school=50108" xr:uid="{2FDDEECB-26DD-45C3-82C1-5FB885B12117}"/>
    <hyperlink ref="K1357" r:id="rId17364" display="https://statiz.sporki.com/add/?m=draft_school01&amp;ps_school=50107" xr:uid="{7402E065-1279-409F-A97E-6CF55E4ADE95}"/>
    <hyperlink ref="K1358" r:id="rId17365" display="https://statiz.sporki.com/add/?m=draft_school01&amp;ps_school=50601" xr:uid="{4EF629DD-0FAD-4499-BBE9-7C691C5DF469}"/>
    <hyperlink ref="K1359" r:id="rId17366" display="https://statiz.sporki.com/add/?m=draft_school01&amp;ps_school=50604" xr:uid="{B80362F6-F339-49D0-8522-4F23C305362F}"/>
    <hyperlink ref="K1360" r:id="rId17367" display="https://statiz.sporki.com/add/?m=draft_school01&amp;ps_school=50702" xr:uid="{E701BE40-4772-41FE-BCFB-C2E9D85ACB75}"/>
    <hyperlink ref="K1361" r:id="rId17368" display="https://statiz.sporki.com/add/?m=draft_school01&amp;ps_school=50601" xr:uid="{B13510ED-3801-40D4-B72E-7694C24E9F63}"/>
    <hyperlink ref="K1362" r:id="rId17369" display="https://statiz.sporki.com/add/?m=draft_school01&amp;ps_school=50103" xr:uid="{0572C2B9-984E-4162-B795-999924D45C1D}"/>
    <hyperlink ref="K1363" r:id="rId17370" display="https://statiz.sporki.com/add/?m=draft_school01&amp;ps_school=50801" xr:uid="{941BEAC5-433D-45CF-825E-305316A7699C}"/>
    <hyperlink ref="K1364" r:id="rId17371" display="https://statiz.sporki.com/add/?m=draft_school01&amp;ps_school=50113" xr:uid="{E55BFFC8-072A-4522-B3E8-41FE142D20F9}"/>
    <hyperlink ref="K1365" r:id="rId17372" display="https://statiz.sporki.com/add/?m=draft_school01&amp;ps_school=50501" xr:uid="{BD3A4F3E-52EC-40A3-9B2C-FCD0B00318A7}"/>
    <hyperlink ref="K1366" r:id="rId17373" display="https://statiz.sporki.com/add/?m=draft_school01&amp;ps_school=50802" xr:uid="{E0286743-AB17-466D-9ACE-AA2A566EF704}"/>
    <hyperlink ref="K1367" r:id="rId17374" display="https://statiz.sporki.com/add/?m=draft_school01&amp;ps_school=50116" xr:uid="{B2C4AEA4-766D-4D9D-846D-952C1A53154C}"/>
    <hyperlink ref="K1368" r:id="rId17375" display="https://statiz.sporki.com/add/?m=draft_school01&amp;ps_school=50108" xr:uid="{32CFD811-B1E1-49C0-AF07-EC96CC816BB6}"/>
    <hyperlink ref="K1369" r:id="rId17376" display="https://statiz.sporki.com/add/?m=draft_school01&amp;ps_school=50103" xr:uid="{58FC41CD-16DF-4C07-83F9-1E2C7C644BDE}"/>
    <hyperlink ref="K1370" r:id="rId17377" display="https://statiz.sporki.com/add/?m=draft_school01&amp;ps_school=50103" xr:uid="{B2D0FAAB-C394-44E0-95BC-4F6E9F6FC358}"/>
    <hyperlink ref="K1371" r:id="rId17378" display="https://statiz.sporki.com/add/?m=draft_school01&amp;ps_school=50107" xr:uid="{6D6D90D1-BE97-4D24-91A1-9E02E4EA3C8D}"/>
    <hyperlink ref="K1372" r:id="rId17379" display="https://statiz.sporki.com/add/?m=draft_school01&amp;ps_school=50606" xr:uid="{39A07E8C-FA92-49CA-9354-E1FC37F51533}"/>
    <hyperlink ref="K1373" r:id="rId17380" display="https://statiz.sporki.com/add/?m=draft_school01&amp;ps_school=50705" xr:uid="{FDB0F23E-D3E1-4EF1-A802-58CD671D3E53}"/>
    <hyperlink ref="K1374" r:id="rId17381" display="https://statiz.sporki.com/add/?m=draft_school01&amp;ps_school=50803" xr:uid="{0459E0D2-4C80-49BF-9371-F5D554756C4B}"/>
    <hyperlink ref="K1375" r:id="rId17382" display="https://statiz.sporki.com/add/?m=draft_school01&amp;ps_school=50705" xr:uid="{9F5CE037-CF40-4670-B1F1-372BB9B32CD3}"/>
    <hyperlink ref="K1376" r:id="rId17383" display="https://statiz.sporki.com/add/?m=draft_school01&amp;ps_school=50110" xr:uid="{A3E2DE60-CCF4-4C20-8B1D-48106EC4ADCF}"/>
    <hyperlink ref="K1377" r:id="rId17384" display="https://statiz.sporki.com/add/?m=draft_school01&amp;ps_school=50701" xr:uid="{32A9D299-8109-4C3E-B80C-10C72CC21858}"/>
    <hyperlink ref="K1378" r:id="rId17385" display="https://statiz.sporki.com/add/?m=draft_school01&amp;ps_school=50209" xr:uid="{0D5D868E-17A0-460F-8970-964B936D46C8}"/>
    <hyperlink ref="K1379" r:id="rId17386" display="https://statiz.sporki.com/add/?m=draft_school01&amp;ps_school=50207" xr:uid="{75BCBC31-D08B-4A9D-BD0A-8EF90E3CD755}"/>
    <hyperlink ref="K1380" r:id="rId17387" display="https://statiz.sporki.com/add/?m=draft_school01&amp;ps_school=50101" xr:uid="{5DE5E868-A645-4267-AE64-C0F821FE0A9E}"/>
    <hyperlink ref="K1381" r:id="rId17388" display="https://statiz.sporki.com/add/?m=draft_school01&amp;ps_school=50113" xr:uid="{0F6A3BF1-D455-42AB-A2DC-1CC6A841BB4D}"/>
    <hyperlink ref="K1382" r:id="rId17389" display="https://statiz.sporki.com/add/?m=draft_school01&amp;ps_school=50903" xr:uid="{D92A5980-E483-4804-9E4D-69FA09640450}"/>
    <hyperlink ref="K1383" r:id="rId17390" display="https://statiz.sporki.com/add/?m=draft_school01&amp;ps_school=50111" xr:uid="{B9C923B0-96CD-4A57-9AE1-FE706A0F0B84}"/>
    <hyperlink ref="K1384" r:id="rId17391" display="https://statiz.sporki.com/add/?m=draft_school01&amp;ps_school=50903" xr:uid="{40F12D49-AAF5-4B62-AEB0-55E63138A19F}"/>
    <hyperlink ref="K1385" r:id="rId17392" display="https://statiz.sporki.com/add/?m=draft_school01&amp;ps_school=50301" xr:uid="{A1E77B04-5C6C-476C-BE5E-EB42487D8CEE}"/>
    <hyperlink ref="K1386" r:id="rId17393" display="https://statiz.sporki.com/add/?m=draft_school01&amp;ps_school=50210" xr:uid="{6CC9A7C1-EE75-42E0-B216-57C44A79E007}"/>
    <hyperlink ref="K1387" r:id="rId17394" display="https://statiz.sporki.com/add/?m=draft_school01&amp;ps_school=50110" xr:uid="{4AC6C768-14D4-484B-BB60-C3918C0C2D89}"/>
    <hyperlink ref="K1388" r:id="rId17395" display="https://statiz.sporki.com/add/?m=draft_school01&amp;ps_school=50114" xr:uid="{2D30C13E-1805-43E0-AC46-80455B2B5F65}"/>
    <hyperlink ref="K1389" r:id="rId17396" display="https://statiz.sporki.com/add/?m=draft_school01&amp;ps_school=50102" xr:uid="{481EECEE-11F5-481D-98F1-5954EE916B1C}"/>
    <hyperlink ref="K1390" r:id="rId17397" display="https://statiz.sporki.com/add/?m=draft_school01&amp;ps_school=50808" xr:uid="{C88B48E4-E9AB-420B-9AC4-C1C13DB034D4}"/>
    <hyperlink ref="K1391" r:id="rId17398" display="https://statiz.sporki.com/add/?m=draft_school01&amp;ps_school=50209" xr:uid="{CFB115D9-8FA3-4769-A404-FC82E9774B8B}"/>
    <hyperlink ref="K1392" r:id="rId17399" display="https://statiz.sporki.com/add/?m=draft_school01&amp;ps_school=50111" xr:uid="{0F72DDD3-28F2-4337-925A-62659C09C3CD}"/>
    <hyperlink ref="K1393" r:id="rId17400" display="https://statiz.sporki.com/add/?m=draft_school01&amp;ps_school=50209" xr:uid="{DCAB29EF-6B86-4357-B867-5D519016DD07}"/>
    <hyperlink ref="K1394" r:id="rId17401" display="https://statiz.sporki.com/add/?m=draft_school01&amp;ps_school=50802" xr:uid="{6E719487-9329-4EBB-A4FA-578880E4A751}"/>
    <hyperlink ref="K1395" r:id="rId17402" display="https://statiz.sporki.com/add/?m=draft_school01&amp;ps_school=50112" xr:uid="{C32B9098-F768-427E-8BC5-45FF01B333AF}"/>
    <hyperlink ref="K1396" r:id="rId17403" display="https://statiz.sporki.com/add/?m=draft_school01&amp;ps_school=50604" xr:uid="{680AB9FC-CD38-459F-80AA-F55CB4C4FCF8}"/>
    <hyperlink ref="K1397" r:id="rId17404" display="https://statiz.sporki.com/add/?m=draft_school01&amp;ps_school=50208" xr:uid="{524F5C07-6902-4123-812E-94958AC2D8FA}"/>
    <hyperlink ref="K1398" r:id="rId17405" display="https://statiz.sporki.com/add/?m=draft_school01&amp;ps_school=50602" xr:uid="{E2F58677-8243-4F56-86A9-FABDDE5DB4E9}"/>
    <hyperlink ref="K1399" r:id="rId17406" display="https://statiz.sporki.com/add/?m=draft_school01&amp;ps_school=50703" xr:uid="{FD5188DF-8FA0-4DDF-A390-417842BCD910}"/>
    <hyperlink ref="K1400" r:id="rId17407" display="https://statiz.sporki.com/add/?m=draft_school01&amp;ps_school=50105" xr:uid="{5DA63259-58D7-4BCF-B26E-5FF73B687161}"/>
    <hyperlink ref="K1401" r:id="rId17408" display="https://statiz.sporki.com/add/?m=draft_school01&amp;ps_school=51001" xr:uid="{E99C0FAB-E3DA-46DA-98F5-319C7C2DF3C8}"/>
    <hyperlink ref="K1402" r:id="rId17409" display="https://statiz.sporki.com/add/?m=draft_school01&amp;ps_school=50801" xr:uid="{F249DA36-82D2-4E77-9023-0D5FB9074A16}"/>
    <hyperlink ref="K1403" r:id="rId17410" display="https://statiz.sporki.com/add/?m=draft_school01&amp;ps_school=50106" xr:uid="{89C7584D-32CF-4DDA-96F0-655A9CF92DC6}"/>
    <hyperlink ref="K1404" r:id="rId17411" display="https://statiz.sporki.com/add/?m=draft_school01&amp;ps_school=50109" xr:uid="{0ADE41A6-C460-4156-AAB6-8BD678683337}"/>
    <hyperlink ref="K1405" r:id="rId17412" display="https://statiz.sporki.com/add/?m=draft_school01&amp;ps_school=50703" xr:uid="{6860F93A-ABD5-41FF-9DA4-5CB32A3266F7}"/>
    <hyperlink ref="K1406" r:id="rId17413" display="https://statiz.sporki.com/add/?m=draft_school01&amp;ps_school=50108" xr:uid="{6A93558B-9CA7-4E8A-BB0B-89B1A279D49C}"/>
    <hyperlink ref="K1407" r:id="rId17414" display="https://statiz.sporki.com/add/?m=draft_school01&amp;ps_school=50207" xr:uid="{A28A692D-7EFB-49FE-B1A6-6A6C0872E6BF}"/>
    <hyperlink ref="K1408" r:id="rId17415" display="https://statiz.sporki.com/add/?m=draft_school01&amp;ps_school=50209" xr:uid="{71C5E14A-401E-4040-A205-4991ED1AD8DF}"/>
    <hyperlink ref="K1409" r:id="rId17416" display="https://statiz.sporki.com/add/?m=draft_school01&amp;ps_school=50105" xr:uid="{4C033DD3-FA0D-400A-8663-9EA39AE263C1}"/>
    <hyperlink ref="K1410" r:id="rId17417" display="https://statiz.sporki.com/add/?m=draft_school01&amp;ps_school=50108" xr:uid="{8DB43295-C110-4112-9E49-0362EE738BE8}"/>
    <hyperlink ref="K1411" r:id="rId17418" display="https://statiz.sporki.com/add/?m=draft_school01&amp;ps_school=50808" xr:uid="{54A463FE-20C8-4EF3-B184-66B755B5EF96}"/>
    <hyperlink ref="K1412" r:id="rId17419" display="https://statiz.sporki.com/add/?m=draft_school01&amp;ps_school=50103" xr:uid="{857E8CD3-3C84-4B88-9847-A0D672078736}"/>
    <hyperlink ref="K1413" r:id="rId17420" display="https://statiz.sporki.com/add/?m=draft_school01&amp;ps_school=50111" xr:uid="{DF369396-FB3A-4F59-9909-3CD80C95B616}"/>
    <hyperlink ref="K1414" r:id="rId17421" display="https://statiz.sporki.com/add/?m=draft_school01&amp;ps_school=50207" xr:uid="{AF97426C-AF19-4F60-8D9C-EBB168D8131C}"/>
    <hyperlink ref="K1415" r:id="rId17422" display="https://statiz.sporki.com/add/?m=draft_school01&amp;ps_school=50805" xr:uid="{8BE84DF6-BF54-4C8C-B9B1-50C472C3047D}"/>
    <hyperlink ref="K1416" r:id="rId17423" display="https://statiz.sporki.com/add/?m=draft_school01&amp;ps_school=50111" xr:uid="{F57916BD-C6B6-408F-8ADA-5AA1059A3B1A}"/>
    <hyperlink ref="K1417" r:id="rId17424" display="https://statiz.sporki.com/add/?m=draft_school01&amp;ps_school=50110" xr:uid="{9533D105-645E-4E34-B000-0E1087F54232}"/>
    <hyperlink ref="K1418" r:id="rId17425" display="https://statiz.sporki.com/add/?m=draft_school01&amp;ps_school=50604" xr:uid="{1B06C299-F718-428C-AB63-58711898171F}"/>
    <hyperlink ref="K1419" r:id="rId17426" display="https://statiz.sporki.com/add/?m=draft_school01&amp;ps_school=50701" xr:uid="{2BAE716D-35B6-42E3-83C1-BA8F44C035CA}"/>
    <hyperlink ref="K1420" r:id="rId17427" display="https://statiz.sporki.com/add/?m=draft_school01&amp;ps_school=50802" xr:uid="{C00E3B3B-6615-4EBE-8B72-492E6C3BB716}"/>
    <hyperlink ref="K1421" r:id="rId17428" display="https://statiz.sporki.com/add/?m=draft_school01&amp;ps_school=50103" xr:uid="{D2902CCE-2842-4B71-8091-B76ECF83146E}"/>
    <hyperlink ref="K1422" r:id="rId17429" display="https://statiz.sporki.com/add/?m=draft_school01&amp;ps_school=50501" xr:uid="{117151C7-B5E4-42DB-A384-333984C59119}"/>
    <hyperlink ref="K1423" r:id="rId17430" display="https://statiz.sporki.com/add/?m=draft_school01&amp;ps_school=50210" xr:uid="{F1197B22-0262-42AE-948E-3019027EFEB1}"/>
    <hyperlink ref="K1424" r:id="rId17431" display="https://statiz.sporki.com/add/?m=draft_school01&amp;ps_school=50113" xr:uid="{65387DC9-2A58-4055-BA51-06B0C8AC0F15}"/>
    <hyperlink ref="K1425" r:id="rId17432" display="https://statiz.sporki.com/add/?m=draft_school01&amp;ps_school=50114" xr:uid="{393CC7AC-8ABB-4379-9F61-B500FFBA049A}"/>
    <hyperlink ref="K1426" r:id="rId17433" display="https://statiz.sporki.com/add/?m=draft_school01&amp;ps_school=50601" xr:uid="{24EC21DF-ED5B-4EFE-9F68-F42AE64082A1}"/>
    <hyperlink ref="K1427" r:id="rId17434" display="https://statiz.sporki.com/add/?m=draft_school01&amp;ps_school=50210" xr:uid="{9C456884-E708-4575-9B7D-2CF1BAA57450}"/>
    <hyperlink ref="K1428" r:id="rId17435" display="https://statiz.sporki.com/add/?m=draft_school01&amp;ps_school=50108" xr:uid="{8D5E0C7E-435F-402F-9C8E-349292E78F1A}"/>
    <hyperlink ref="K1429" r:id="rId17436" display="https://statiz.sporki.com/add/?m=draft_school01&amp;ps_school=50801" xr:uid="{0A805B6B-D0FF-4181-9446-DA71ACFA4671}"/>
    <hyperlink ref="K1430" r:id="rId17437" display="https://statiz.sporki.com/add/?m=draft_school01&amp;ps_school=50208" xr:uid="{E9B3F103-095A-4257-866B-501820350D19}"/>
    <hyperlink ref="K1431" r:id="rId17438" display="https://statiz.sporki.com/add/?m=draft_school01&amp;ps_school=50209" xr:uid="{694C4694-4ED5-4210-B1CD-16FD882593BE}"/>
    <hyperlink ref="K1432" r:id="rId17439" display="https://statiz.sporki.com/add/?m=draft_school01&amp;ps_school=50705" xr:uid="{3E308CF9-5C8A-409F-97BE-CEB2B3505060}"/>
    <hyperlink ref="K1433" r:id="rId17440" display="https://statiz.sporki.com/add/?m=draft_school01&amp;ps_school=50403" xr:uid="{413299F5-AC1E-42D4-8870-4CA0964DD736}"/>
    <hyperlink ref="K1434" r:id="rId17441" display="https://statiz.sporki.com/add/?m=draft_school01&amp;ps_school=50403" xr:uid="{8715C6EF-97B0-49DB-9735-4E330B95C4CE}"/>
    <hyperlink ref="K1435" r:id="rId17442" display="https://statiz.sporki.com/add/?m=draft_school01&amp;ps_school=50801" xr:uid="{44290EB8-6872-4BE0-9AC6-C4902AC54465}"/>
    <hyperlink ref="K1441" r:id="rId17443" display="https://statiz.sporki.com/add/?m=draft_school01&amp;ps_school=50602" xr:uid="{0EF9707E-B989-411A-A2EF-4CC30F611808}"/>
    <hyperlink ref="K1442" r:id="rId17444" display="https://statiz.sporki.com/add/?m=draft_school01&amp;ps_school=51001" xr:uid="{72BCDADA-4335-4FC3-9AD3-E1C3C3058A90}"/>
    <hyperlink ref="K1463" r:id="rId17445" display="https://statiz.sporki.com/add/?m=draft_school01&amp;ps_school=50802" xr:uid="{042CDB50-4336-4F45-BC96-FA521837CF60}"/>
    <hyperlink ref="K1464" r:id="rId17446" display="https://statiz.sporki.com/add/?m=draft_school01&amp;ps_school=51103" xr:uid="{E213EEBD-11AA-432D-B847-26ABF94ABF7D}"/>
    <hyperlink ref="K1465" r:id="rId17447" display="https://statiz.sporki.com/add/?m=draft_school01&amp;ps_school=50109" xr:uid="{2DE08FE0-C562-40D3-B23C-1ED229463006}"/>
    <hyperlink ref="K1466" r:id="rId17448" display="https://statiz.sporki.com/add/?m=draft_school01&amp;ps_school=50109" xr:uid="{B987111F-BE73-49EE-AEDE-42209A1DB3CD}"/>
    <hyperlink ref="K1467" r:id="rId17449" display="https://statiz.sporki.com/add/?m=draft_school01&amp;ps_school=50209" xr:uid="{53905F1F-1A5C-44EC-B658-9A1F7CE4779A}"/>
    <hyperlink ref="K1468" r:id="rId17450" display="https://statiz.sporki.com/add/?m=draft_school01&amp;ps_school=50109" xr:uid="{14F01391-B835-4066-BB94-C67C7A0F8FDC}"/>
    <hyperlink ref="K1469" r:id="rId17451" display="https://statiz.sporki.com/add/?m=draft_school01&amp;ps_school=50801" xr:uid="{0AE7C5F5-E508-420B-A2D4-411133552E43}"/>
    <hyperlink ref="K1470" r:id="rId17452" display="https://statiz.sporki.com/add/?m=draft_school01&amp;ps_school=50207" xr:uid="{D536EB65-EDA4-49ED-8D80-205B004EC0FE}"/>
    <hyperlink ref="K1471" r:id="rId17453" display="https://statiz.sporki.com/add/?m=draft_school01&amp;ps_school=50102" xr:uid="{C46F45FA-4504-45CC-B6FD-D5A0B2B964FC}"/>
    <hyperlink ref="K1472" r:id="rId17454" display="https://statiz.sporki.com/add/?m=draft_school01&amp;ps_school=50706" xr:uid="{31A19B85-EB11-4F60-81F0-C9AC31565ED1}"/>
    <hyperlink ref="K1473" r:id="rId17455" display="https://statiz.sporki.com/add/?m=draft_school01&amp;ps_school=50604" xr:uid="{397E4078-5AAA-4644-B350-8A1EDA46A2C6}"/>
    <hyperlink ref="K1474" r:id="rId17456" display="https://statiz.sporki.com/add/?m=draft_school01&amp;ps_school=50105" xr:uid="{2702E557-F09A-4449-8A4B-D9B787B805C7}"/>
    <hyperlink ref="K1475" r:id="rId17457" display="https://statiz.sporki.com/add/?m=draft_school01&amp;ps_school=50101" xr:uid="{1B64BC70-5F81-4DC8-B036-CDBC491C9C75}"/>
    <hyperlink ref="K1476" r:id="rId17458" display="https://statiz.sporki.com/add/?m=draft_school01&amp;ps_school=50201" xr:uid="{7689BD1A-C4B6-4222-8942-D71601CB0588}"/>
    <hyperlink ref="K1477" r:id="rId17459" display="https://statiz.sporki.com/add/?m=draft_school01&amp;ps_school=50111" xr:uid="{BAAFEC39-7580-406B-84AC-BBC61D1E03DA}"/>
    <hyperlink ref="K1478" r:id="rId17460" display="https://statiz.sporki.com/add/?m=draft_school01&amp;ps_school=50302" xr:uid="{B61C7D8A-E7F6-4946-96EE-666FB5304F6B}"/>
    <hyperlink ref="K1479" r:id="rId17461" display="https://statiz.sporki.com/add/?m=draft_school01&amp;ps_school=50107" xr:uid="{399EC51F-2DE2-4D6E-9268-46FDC67D101C}"/>
    <hyperlink ref="K1480" r:id="rId17462" display="https://statiz.sporki.com/add/?m=draft_school01&amp;ps_school=50805" xr:uid="{7AA72B52-6BB5-49AA-B18C-64C05DD66F69}"/>
    <hyperlink ref="K1481" r:id="rId17463" display="https://statiz.sporki.com/add/?m=draft_school01&amp;ps_school=50402" xr:uid="{6987D177-1125-4D68-8D0F-F990689E9D0B}"/>
    <hyperlink ref="K1482" r:id="rId17464" display="https://statiz.sporki.com/add/?m=draft_school01&amp;ps_school=50403" xr:uid="{93A340F2-6CD1-4D52-995E-A1A77EE53331}"/>
    <hyperlink ref="K1483" r:id="rId17465" display="https://statiz.sporki.com/add/?m=draft_school01&amp;ps_school=50111" xr:uid="{529B288C-840D-42A9-9068-3D01D0667649}"/>
    <hyperlink ref="K1484" r:id="rId17466" display="https://statiz.sporki.com/add/?m=draft_school01&amp;ps_school=50403" xr:uid="{C89170ED-8470-483D-8F1E-0B206AE5CCEB}"/>
    <hyperlink ref="K1485" r:id="rId17467" display="https://statiz.sporki.com/add/?m=draft_school01&amp;ps_school=50203" xr:uid="{FFD060F8-08F1-4290-8A32-E5F9CB2A5341}"/>
    <hyperlink ref="K1486" r:id="rId17468" display="https://statiz.sporki.com/add/?m=draft_school01&amp;ps_school=50805" xr:uid="{FC5F62D5-62BA-4159-AE92-66A2E46A281D}"/>
    <hyperlink ref="K1487" r:id="rId17469" display="https://statiz.sporki.com/add/?m=draft_school01&amp;ps_school=50805" xr:uid="{C0F6CC86-6C8E-48CA-982D-A9B415AE693C}"/>
    <hyperlink ref="K1488" r:id="rId17470" display="https://statiz.sporki.com/add/?m=draft_school01&amp;ps_school=50103" xr:uid="{96712689-A140-48B5-8DCF-29C16A757064}"/>
    <hyperlink ref="K1489" r:id="rId17471" display="https://statiz.sporki.com/add/?m=draft_school01&amp;ps_school=50903" xr:uid="{CB006F6B-5494-4F69-8AA0-2E95B2757228}"/>
    <hyperlink ref="K1490" r:id="rId17472" display="https://statiz.sporki.com/add/?m=draft_school01&amp;ps_school=50809" xr:uid="{3045DAB1-802E-4690-AF82-13D5AB837372}"/>
    <hyperlink ref="K1491" r:id="rId17473" display="https://statiz.sporki.com/add/?m=draft_school01&amp;ps_school=50402" xr:uid="{60F50A64-480C-4013-8BDB-237091BA8394}"/>
    <hyperlink ref="K1492" r:id="rId17474" display="https://statiz.sporki.com/add/?m=draft_school01&amp;ps_school=50901" xr:uid="{C3DE7B77-438B-4D3D-ABD9-5CB864DAE6A4}"/>
    <hyperlink ref="K1493" r:id="rId17475" display="https://statiz.sporki.com/add/?m=draft_school01&amp;ps_school=50110" xr:uid="{35167EE9-436C-455C-81BF-DB35AE0E595B}"/>
    <hyperlink ref="K1494" r:id="rId17476" display="https://statiz.sporki.com/add/?m=draft_school01&amp;ps_school=50901" xr:uid="{8E781217-BEB6-4DDE-B88D-F1DA80A89B8E}"/>
    <hyperlink ref="K1495" r:id="rId17477" display="https://statiz.sporki.com/add/?m=draft_school01&amp;ps_school=50111" xr:uid="{D6802EDF-9370-4F01-9B92-B992208818DF}"/>
    <hyperlink ref="K1496" r:id="rId17478" display="https://statiz.sporki.com/add/?m=draft_school01&amp;ps_school=50705" xr:uid="{47F35C97-3833-439B-AE92-2184892E421A}"/>
    <hyperlink ref="K1497" r:id="rId17479" display="https://statiz.sporki.com/add/?m=draft_school01&amp;ps_school=50110" xr:uid="{EC094DF1-4811-46B2-9E59-177FA57C66BE}"/>
    <hyperlink ref="K1498" r:id="rId17480" display="https://statiz.sporki.com/add/?m=draft_school01&amp;ps_school=50605" xr:uid="{2F0598D2-DF8D-48FE-B381-50E7B2397A13}"/>
    <hyperlink ref="K1499" r:id="rId17481" display="https://statiz.sporki.com/add/?m=draft_school01&amp;ps_school=50403" xr:uid="{C2175D0F-EA9E-439E-A4B2-2BA6EA71B817}"/>
    <hyperlink ref="K1500" r:id="rId17482" display="https://statiz.sporki.com/add/?m=draft_school01&amp;ps_school=50403" xr:uid="{E074FFCA-F166-4652-A610-2158F68593F0}"/>
    <hyperlink ref="K1501" r:id="rId17483" display="https://statiz.sporki.com/add/?m=draft_school01&amp;ps_school=50103" xr:uid="{984D1438-BF51-4360-8E2B-15DB763E481C}"/>
    <hyperlink ref="K1502" r:id="rId17484" display="https://statiz.sporki.com/add/?m=draft_school01&amp;ps_school=50110" xr:uid="{1D73CAE3-C246-4045-83F5-91D56F5A2041}"/>
    <hyperlink ref="K1503" r:id="rId17485" display="https://statiz.sporki.com/add/?m=draft_school01&amp;ps_school=50114" xr:uid="{BCE8F679-77BC-411F-82A0-BD563787C48D}"/>
    <hyperlink ref="K1504" r:id="rId17486" display="https://statiz.sporki.com/add/?m=draft_school01&amp;ps_school=50207" xr:uid="{FCCF17DB-5D36-4310-B81C-806A03FF3E3E}"/>
    <hyperlink ref="K1505" r:id="rId17487" display="https://statiz.sporki.com/add/?m=draft_school01&amp;ps_school=50403" xr:uid="{560DCA27-F60D-4058-8A08-9A2C6F74CD5A}"/>
    <hyperlink ref="K1506" r:id="rId17488" display="https://statiz.sporki.com/add/?m=draft_school01&amp;ps_school=50604" xr:uid="{4DBA1CDB-974F-4C4F-8783-67AB8784C5A4}"/>
    <hyperlink ref="K1507" r:id="rId17489" display="https://statiz.sporki.com/add/?m=draft_school01&amp;ps_school=50605" xr:uid="{4E3B4076-8EE2-4032-8A24-038FB3387EFC}"/>
    <hyperlink ref="K1508" r:id="rId17490" display="https://statiz.sporki.com/add/?m=draft_school01&amp;ps_school=50109" xr:uid="{FD5B5B84-27A1-421A-B8E5-68A2AD8F1B23}"/>
    <hyperlink ref="K1509" r:id="rId17491" display="https://statiz.sporki.com/add/?m=draft_school01&amp;ps_school=50210" xr:uid="{EB8AA6DB-9C3C-4034-AE51-A30F1A2BF300}"/>
    <hyperlink ref="K1510" r:id="rId17492" display="https://statiz.sporki.com/add/?m=draft_school01&amp;ps_school=50114" xr:uid="{F6C80624-5B68-4A3C-822D-CE624E98A6DC}"/>
    <hyperlink ref="K1511" r:id="rId17493" display="https://statiz.sporki.com/add/?m=draft_school01&amp;ps_school=50111" xr:uid="{A1109810-8BC3-479A-BFB9-63E64C4D6014}"/>
    <hyperlink ref="K1512" r:id="rId17494" display="https://statiz.sporki.com/add/?m=draft_school01&amp;ps_school=50105" xr:uid="{17E49276-88E6-4C55-9521-875E0A91D389}"/>
    <hyperlink ref="K1513" r:id="rId17495" display="https://statiz.sporki.com/add/?m=draft_school01&amp;ps_school=50705" xr:uid="{C3479AA7-01FD-46B0-871C-507AB1B418D0}"/>
    <hyperlink ref="K1514" r:id="rId17496" display="https://statiz.sporki.com/add/?m=draft_school01&amp;ps_school=50101" xr:uid="{B731772D-AF07-4786-A0F0-BABCEAD2F41E}"/>
    <hyperlink ref="K1515" r:id="rId17497" display="https://statiz.sporki.com/add/?m=draft_school01&amp;ps_school=50103" xr:uid="{FA6040D0-915B-46FD-ACD3-9B1B484D85FC}"/>
    <hyperlink ref="K1516" r:id="rId17498" display="https://statiz.sporki.com/add/?m=draft_school01&amp;ps_school=50705" xr:uid="{D654D620-4C7D-4646-BB62-34151B470D22}"/>
    <hyperlink ref="K1517" r:id="rId17499" display="https://statiz.sporki.com/add/?m=draft_school01&amp;ps_school=50808" xr:uid="{B6F2D7FC-2148-41B1-9C74-620FCDC696E3}"/>
    <hyperlink ref="K1518" r:id="rId17500" display="https://statiz.sporki.com/add/?m=draft_school01&amp;ps_school=50903" xr:uid="{4976481B-D06F-4A4A-8A01-56C0E06644ED}"/>
    <hyperlink ref="K1519" r:id="rId17501" display="https://statiz.sporki.com/add/?m=draft_school01&amp;ps_school=50207" xr:uid="{B8274241-C2E6-42C2-BD58-01E566C2382C}"/>
    <hyperlink ref="K1520" r:id="rId17502" display="https://statiz.sporki.com/add/?m=draft_school01&amp;ps_school=50601" xr:uid="{B6D3468B-3F5D-429A-B71C-3301808D0774}"/>
    <hyperlink ref="K1521" r:id="rId17503" display="https://statiz.sporki.com/add/?m=draft_school01&amp;ps_school=50108" xr:uid="{B8CFC3F8-1ABE-4D3C-9C84-827D6874C560}"/>
    <hyperlink ref="K1522" r:id="rId17504" display="https://statiz.sporki.com/add/?m=draft_school01&amp;ps_school=50207" xr:uid="{21E4AEE5-9080-4FCD-8D68-28CDFBD607CF}"/>
    <hyperlink ref="K1523" r:id="rId17505" display="https://statiz.sporki.com/add/?m=draft_school01&amp;ps_school=50706" xr:uid="{93FF8C20-ACE2-4C77-9AF7-AD8A13D1F16D}"/>
    <hyperlink ref="K1524" r:id="rId17506" display="https://statiz.sporki.com/add/?m=draft_school01&amp;ps_school=50216" xr:uid="{A9F1F8DC-238B-4466-ABA2-49DE6B703AE6}"/>
    <hyperlink ref="K1525" r:id="rId17507" display="https://statiz.sporki.com/add/?m=draft_school01&amp;ps_school=50209" xr:uid="{6F6FAE31-415F-4D74-83BA-8332CBC6F78A}"/>
    <hyperlink ref="K1526" r:id="rId17508" display="https://statiz.sporki.com/add/?m=draft_school01&amp;ps_school=50106" xr:uid="{E297CAF8-0AC0-4331-9E5F-2221A7B342D6}"/>
    <hyperlink ref="K1527" r:id="rId17509" display="https://statiz.sporki.com/add/?m=draft_school01&amp;ps_school=50116" xr:uid="{D8682F03-DF62-4ED2-A567-E1C523FFC090}"/>
    <hyperlink ref="K1528" r:id="rId17510" display="https://statiz.sporki.com/add/?m=draft_school01&amp;ps_school=50113" xr:uid="{BC0487C1-6907-4487-9740-C2B4DBE13E89}"/>
    <hyperlink ref="K1529" r:id="rId17511" display="https://statiz.sporki.com/add/?m=draft_school01&amp;ps_school=50604" xr:uid="{B773727D-FA28-4D89-BC07-AF9777054F9E}"/>
    <hyperlink ref="K1530" r:id="rId17512" display="https://statiz.sporki.com/add/?m=draft_school01&amp;ps_school=50210" xr:uid="{AE6013D5-32E1-4F2C-B7EF-1F7179B523CD}"/>
    <hyperlink ref="K1531" r:id="rId17513" display="https://statiz.sporki.com/add/?m=draft_school01&amp;ps_school=50701" xr:uid="{75CAA060-A48C-4433-B0BB-2CEA125DE189}"/>
    <hyperlink ref="K1532" r:id="rId17514" display="https://statiz.sporki.com/add/?m=draft_school01&amp;ps_school=50110" xr:uid="{DF84DABA-3D43-4696-8B5E-D28261EE771F}"/>
    <hyperlink ref="K1533" r:id="rId17515" display="https://statiz.sporki.com/add/?m=draft_school01&amp;ps_school=50403" xr:uid="{500C0F54-25D5-49B3-A44F-D4DB8318E7AC}"/>
    <hyperlink ref="K1534" r:id="rId17516" display="https://statiz.sporki.com/add/?m=draft_school01&amp;ps_school=50112" xr:uid="{7110055F-954B-46FF-9BEA-8C1010C353F4}"/>
    <hyperlink ref="K1535" r:id="rId17517" display="https://statiz.sporki.com/add/?m=draft_school01&amp;ps_school=50703" xr:uid="{6B5EDE8A-9A8C-4DF4-810F-68A7FD8FB438}"/>
    <hyperlink ref="K1536" r:id="rId17518" display="https://statiz.sporki.com/add/?m=draft_school01&amp;ps_school=50209" xr:uid="{77843605-19D3-43F2-90C9-DF75C6C18FAA}"/>
    <hyperlink ref="K1537" r:id="rId17519" display="https://statiz.sporki.com/add/?m=draft_school01&amp;ps_school=50802" xr:uid="{893E1C0C-CCD2-41F1-8142-380ED6F215F8}"/>
    <hyperlink ref="K1538" r:id="rId17520" display="https://statiz.sporki.com/add/?m=draft_school01&amp;ps_school=50803" xr:uid="{37F1B5F3-4F3E-4184-8D2F-9416BC359975}"/>
    <hyperlink ref="K1539" r:id="rId17521" display="https://statiz.sporki.com/add/?m=draft_school01&amp;ps_school=50209" xr:uid="{8F66A52A-F888-4DC8-9D91-AA7CDB081FAC}"/>
    <hyperlink ref="K1540" r:id="rId17522" display="https://statiz.sporki.com/add/?m=draft_school01&amp;ps_school=50808" xr:uid="{45673C2D-1631-4760-A862-19308F12A93D}"/>
    <hyperlink ref="K1541" r:id="rId17523" display="https://statiz.sporki.com/add/?m=draft_school01&amp;ps_school=50208" xr:uid="{EB038AD5-04F4-4057-85B6-62692CDFADC4}"/>
    <hyperlink ref="K1542" r:id="rId17524" display="https://statiz.sporki.com/add/?m=draft_school01&amp;ps_school=50108" xr:uid="{61E84A9A-50BA-4B76-AF96-9BC621C255F0}"/>
    <hyperlink ref="K1543" r:id="rId17525" display="https://statiz.sporki.com/add/?m=draft_school01&amp;ps_school=50702" xr:uid="{5198CBFF-335D-474A-8A35-851645231EF7}"/>
    <hyperlink ref="K1544" r:id="rId17526" display="https://statiz.sporki.com/add/?m=draft_school01&amp;ps_school=50101" xr:uid="{A5CD8DF7-D07E-4A31-92C4-BA1EA48D75EB}"/>
    <hyperlink ref="K1545" r:id="rId17527" display="https://statiz.sporki.com/add/?m=draft_school01&amp;ps_school=50105" xr:uid="{1E2438BE-405E-4197-85B1-509829C475A8}"/>
    <hyperlink ref="K1546" r:id="rId17528" display="https://statiz.sporki.com/add/?m=draft_school01&amp;ps_school=50601" xr:uid="{1BD665DE-1036-430D-B59C-A3CC80F4FB24}"/>
    <hyperlink ref="K1547" r:id="rId17529" display="https://statiz.sporki.com/add/?m=draft_school01&amp;ps_school=50114" xr:uid="{8F19EE99-5EBF-40B9-958F-59B823471C0D}"/>
    <hyperlink ref="K1548" r:id="rId17530" display="https://statiz.sporki.com/add/?m=draft_school01&amp;ps_school=50101" xr:uid="{89185224-35AB-4465-9DBF-13BE699AA2AA}"/>
    <hyperlink ref="K1549" r:id="rId17531" display="https://statiz.sporki.com/add/?m=draft_school01&amp;ps_school=50102" xr:uid="{2644BFA7-4A89-4DCF-92BD-E5B2900A365C}"/>
    <hyperlink ref="K1550" r:id="rId17532" display="https://statiz.sporki.com/add/?m=draft_school01&amp;ps_school=50805" xr:uid="{9F4EA5BF-AA17-42DC-AA55-41EB71FB6D49}"/>
    <hyperlink ref="K1551" r:id="rId17533" display="https://statiz.sporki.com/add/?m=draft_school01&amp;ps_school=50602" xr:uid="{E8E5B3E3-8065-48FA-9C9E-D9D3E37F72E5}"/>
    <hyperlink ref="K1552" r:id="rId17534" display="https://statiz.sporki.com/add/?m=draft_school01&amp;ps_school=50701" xr:uid="{1C184617-195C-4EA6-8273-51E5909794A4}"/>
    <hyperlink ref="K1553" r:id="rId17535" display="https://statiz.sporki.com/add/?m=draft_school01&amp;ps_school=50403" xr:uid="{65B81E2B-873D-40E2-A505-C4F0EF69200F}"/>
    <hyperlink ref="K1554" r:id="rId17536" display="https://statiz.sporki.com/add/?m=draft_school01&amp;ps_school=50403" xr:uid="{9206D57B-BDB5-4D0C-A42C-8F37EB37902E}"/>
    <hyperlink ref="K1555" r:id="rId17537" display="https://statiz.sporki.com/add/?m=draft_school01&amp;ps_school=50301" xr:uid="{BA88D151-6746-4829-B040-146D64631495}"/>
    <hyperlink ref="K1568" r:id="rId17538" display="https://statiz.sporki.com/add/?m=draft_school01&amp;ps_school=50105" xr:uid="{60C9A659-DCB4-4F8C-A86B-4463A11CCFE5}"/>
    <hyperlink ref="K1569" r:id="rId17539" display="https://statiz.sporki.com/add/?m=draft_school01&amp;ps_school=50502" xr:uid="{916510A8-27F6-4F7A-BF18-D4BB5059DB34}"/>
    <hyperlink ref="K1570" r:id="rId17540" display="https://statiz.sporki.com/add/?m=draft_school01&amp;ps_school=50202" xr:uid="{6C35E7C0-CDBD-4404-B0A0-91CEC6C604EB}"/>
    <hyperlink ref="K1571" r:id="rId17541" display="https://statiz.sporki.com/add/?m=draft_school01&amp;ps_school=50706" xr:uid="{0ACE1B66-C471-4DFB-A8D6-DD491E453FC6}"/>
    <hyperlink ref="K1572" r:id="rId17542" display="https://statiz.sporki.com/add/?m=draft_school01&amp;ps_school=50113" xr:uid="{B6C3BC95-3DD5-491A-979F-F98273E8E658}"/>
    <hyperlink ref="K1573" r:id="rId17543" display="https://statiz.sporki.com/add/?m=draft_school01&amp;ps_school=50107" xr:uid="{2DA03B2A-A45A-4B00-981F-8D4F725715F4}"/>
    <hyperlink ref="K1574" r:id="rId17544" display="https://statiz.sporki.com/add/?m=draft_school01&amp;ps_school=51101" xr:uid="{21C3D38F-BE3A-4B2C-9991-3303957EE2C7}"/>
    <hyperlink ref="K1575" r:id="rId17545" display="https://statiz.sporki.com/add/?m=draft_school01&amp;ps_school=50802" xr:uid="{AAC74EA0-EA9C-4485-8536-8BB5B5E04413}"/>
    <hyperlink ref="K1576" r:id="rId17546" display="https://statiz.sporki.com/add/?m=draft_school01&amp;ps_school=50111" xr:uid="{1060045B-A707-4303-A63E-9A5924AB6DD1}"/>
    <hyperlink ref="K1577" r:id="rId17547" display="https://statiz.sporki.com/add/?m=draft_school01&amp;ps_school=50101" xr:uid="{F19BF72F-CA33-4B37-83DF-E86D999D12B3}"/>
    <hyperlink ref="K1578" r:id="rId17548" display="https://statiz.sporki.com/add/?m=draft_school01&amp;ps_school=50301" xr:uid="{835CC137-F0D0-4630-BC12-A0D77892C0A3}"/>
    <hyperlink ref="K1579" r:id="rId17549" display="https://statiz.sporki.com/add/?m=draft_school01&amp;ps_school=50201" xr:uid="{0E957866-8D2D-4D17-809F-F7768284CE3A}"/>
    <hyperlink ref="K1580" r:id="rId17550" display="https://statiz.sporki.com/add/?m=draft_school01&amp;ps_school=50804" xr:uid="{5BBC6040-C03A-427F-AD0C-42623E682A48}"/>
    <hyperlink ref="K1581" r:id="rId17551" display="https://statiz.sporki.com/add/?m=draft_school01&amp;ps_school=50804" xr:uid="{195EC1FD-A5C8-4FBA-8876-529FC0E89421}"/>
    <hyperlink ref="K1582" r:id="rId17552" display="https://statiz.sporki.com/add/?m=draft_school01&amp;ps_school=50113" xr:uid="{3474EDC6-683D-41EC-B2C3-FF710ACB2173}"/>
    <hyperlink ref="K1583" r:id="rId17553" display="https://statiz.sporki.com/add/?m=draft_school01&amp;ps_school=50114" xr:uid="{831FB64E-25C2-413A-A424-9A98D77B0EC2}"/>
    <hyperlink ref="K1584" r:id="rId17554" display="https://statiz.sporki.com/add/?m=draft_school01&amp;ps_school=50901" xr:uid="{05E7F660-4FD7-4E95-AAEA-A51ADF1FEE18}"/>
    <hyperlink ref="K1585" r:id="rId17555" display="https://statiz.sporki.com/add/?m=draft_school01&amp;ps_school=50302" xr:uid="{5B95425B-4453-4EEC-B05C-DF14F445F378}"/>
    <hyperlink ref="K1586" r:id="rId17556" display="https://statiz.sporki.com/add/?m=draft_school01&amp;ps_school=51102" xr:uid="{7F755B4F-95FD-48F0-8968-E2488807E50F}"/>
    <hyperlink ref="K1587" r:id="rId17557" display="https://statiz.sporki.com/add/?m=draft_school01&amp;ps_school=50102" xr:uid="{73A733D8-6711-4150-BF78-C7D11DEE6450}"/>
    <hyperlink ref="K1588" r:id="rId17558" display="https://statiz.sporki.com/add/?m=draft_school01&amp;ps_school=50302" xr:uid="{16CB8FB5-5001-46B6-BAAC-ADD768E71CEB}"/>
    <hyperlink ref="K1589" r:id="rId17559" display="https://statiz.sporki.com/add/?m=draft_school01&amp;ps_school=50110" xr:uid="{79F863CE-5E2F-4EBE-8DDF-6F24D2599A3B}"/>
    <hyperlink ref="K1590" r:id="rId17560" display="https://statiz.sporki.com/add/?m=draft_school01&amp;ps_school=50802" xr:uid="{9041AA45-8883-47E1-82DD-189BFDCF4830}"/>
    <hyperlink ref="K1591" r:id="rId17561" display="https://statiz.sporki.com/add/?m=draft_school01&amp;ps_school=50403" xr:uid="{1CE9B1DD-8D0C-4616-99B3-2144179CB7F2}"/>
    <hyperlink ref="K1592" r:id="rId17562" display="https://statiz.sporki.com/add/?m=draft_school01&amp;ps_school=50701" xr:uid="{DF054E8B-6A05-4F47-A35A-7D875B2BE43C}"/>
    <hyperlink ref="K1593" r:id="rId17563" display="https://statiz.sporki.com/add/?m=draft_school01&amp;ps_school=50601" xr:uid="{24F17F59-19B8-48E5-840E-8387F34681E5}"/>
    <hyperlink ref="K1594" r:id="rId17564" display="https://statiz.sporki.com/add/?m=draft_school01&amp;ps_school=50601" xr:uid="{0BD43B2B-491F-428E-9EC7-52654864B87F}"/>
    <hyperlink ref="K1595" r:id="rId17565" display="https://statiz.sporki.com/add/?m=draft_school01&amp;ps_school=50602" xr:uid="{8F7790B3-3FB7-4C4D-9E9D-CA2196290ACE}"/>
    <hyperlink ref="K1596" r:id="rId17566" display="https://statiz.sporki.com/add/?m=draft_school01&amp;ps_school=50105" xr:uid="{07C64601-1EBF-4E7A-BB66-6AB699FCC2C9}"/>
    <hyperlink ref="K1597" r:id="rId17567" display="https://statiz.sporki.com/add/?m=draft_school01&amp;ps_school=50116" xr:uid="{5A851432-9ED6-4409-A036-DBFD9435A4FB}"/>
    <hyperlink ref="K1598" r:id="rId17568" display="https://statiz.sporki.com/add/?m=draft_school01&amp;ps_school=50604" xr:uid="{B6319F19-C766-4E65-AEDF-300E5229B29E}"/>
    <hyperlink ref="K1599" r:id="rId17569" display="https://statiz.sporki.com/add/?m=draft_school01&amp;ps_school=50803" xr:uid="{F0361EC3-0E35-4541-84F5-9960DEB95C46}"/>
    <hyperlink ref="K1600" r:id="rId17570" display="https://statiz.sporki.com/add/?m=draft_school01&amp;ps_school=50703" xr:uid="{2903F3F3-D5A5-413D-92A8-D86BDFF559A0}"/>
    <hyperlink ref="K1601" r:id="rId17571" display="https://statiz.sporki.com/add/?m=draft_school01&amp;ps_school=50114" xr:uid="{316FF768-C949-4ED8-807B-01A69BF5E0B4}"/>
    <hyperlink ref="K1602" r:id="rId17572" display="https://statiz.sporki.com/add/?m=draft_school01&amp;ps_school=50802" xr:uid="{F946FB71-C3A2-4C92-A225-C61026D2EE32}"/>
    <hyperlink ref="K1603" r:id="rId17573" display="https://statiz.sporki.com/add/?m=draft_school01&amp;ps_school=50801" xr:uid="{9A2E501A-43DB-4EF6-88C0-10D68130BF86}"/>
    <hyperlink ref="K1604" r:id="rId17574" display="https://statiz.sporki.com/add/?m=draft_school01&amp;ps_school=50101" xr:uid="{65F1171D-7E74-4A2D-B850-12207D3DB26D}"/>
    <hyperlink ref="K1605" r:id="rId17575" display="https://statiz.sporki.com/add/?m=draft_school01&amp;ps_school=50703" xr:uid="{022D0845-94C9-4884-A178-439D4D1862C6}"/>
    <hyperlink ref="K1606" r:id="rId17576" display="https://statiz.sporki.com/add/?m=draft_school01&amp;ps_school=50701" xr:uid="{9EF62485-5EFC-4483-AF3D-20DFC225BFF8}"/>
    <hyperlink ref="K1607" r:id="rId17577" display="https://statiz.sporki.com/add/?m=draft_school01&amp;ps_school=50111" xr:uid="{42C8E6E3-1929-4858-9475-345935CEADFC}"/>
    <hyperlink ref="K1608" r:id="rId17578" display="https://statiz.sporki.com/add/?m=draft_school01&amp;ps_school=50103" xr:uid="{386C0942-80FA-4116-BE00-1B8996D813EC}"/>
    <hyperlink ref="K1609" r:id="rId17579" display="https://statiz.sporki.com/add/?m=draft_school01&amp;ps_school=50207" xr:uid="{C9E249C0-EADB-4143-9023-9B33810DED32}"/>
    <hyperlink ref="K1610" r:id="rId17580" display="https://statiz.sporki.com/add/?m=draft_school01&amp;ps_school=50207" xr:uid="{D8A2A809-6D54-465F-96E8-47732F14F261}"/>
    <hyperlink ref="K1611" r:id="rId17581" display="https://statiz.sporki.com/add/?m=draft_school01&amp;ps_school=50103" xr:uid="{4E4BD95F-18E3-4FFE-8AC0-A5CA5B350EBF}"/>
    <hyperlink ref="K1612" r:id="rId17582" display="https://statiz.sporki.com/add/?m=draft_school01&amp;ps_school=50808" xr:uid="{61F0CA96-93EB-4767-B961-B91033C56873}"/>
    <hyperlink ref="K1613" r:id="rId17583" display="https://statiz.sporki.com/add/?m=draft_school01&amp;ps_school=50705" xr:uid="{13BB1303-686F-4A3D-9BCD-1D6A59B90686}"/>
    <hyperlink ref="K1614" r:id="rId17584" display="https://statiz.sporki.com/add/?m=draft_school01&amp;ps_school=50604" xr:uid="{D4DBD3EF-BD69-4578-8773-6EBD929A96F2}"/>
    <hyperlink ref="K1615" r:id="rId17585" display="https://statiz.sporki.com/add/?m=draft_school01&amp;ps_school=50101" xr:uid="{95AE68B4-88FA-49B6-9491-9938608CFC9A}"/>
    <hyperlink ref="K1616" r:id="rId17586" display="https://statiz.sporki.com/add/?m=draft_school01&amp;ps_school=50706" xr:uid="{FE74043C-8651-4B27-8DE3-530B3BD1F163}"/>
    <hyperlink ref="K1617" r:id="rId17587" display="https://statiz.sporki.com/add/?m=draft_school01&amp;ps_school=50705" xr:uid="{38796852-EE70-4CA3-A547-C0A2DFABD264}"/>
    <hyperlink ref="K1618" r:id="rId17588" display="https://statiz.sporki.com/add/?m=draft_school01&amp;ps_school=50114" xr:uid="{4B595B03-46E5-4BBC-9CF0-E74F2D3025AC}"/>
    <hyperlink ref="K1619" r:id="rId17589" display="https://statiz.sporki.com/add/?m=draft_school01&amp;ps_school=50806" xr:uid="{E58FA6B5-6797-4574-8832-B7B9E4C0D21F}"/>
    <hyperlink ref="K1620" r:id="rId17590" display="https://statiz.sporki.com/add/?m=draft_school01&amp;ps_school=50701" xr:uid="{F0B55A52-95A6-41E4-8094-19F7F7FF9ADF}"/>
    <hyperlink ref="K1621" r:id="rId17591" display="https://statiz.sporki.com/add/?m=draft_school01&amp;ps_school=50703" xr:uid="{24B6F1EC-E19A-464D-BDE6-0602D4F4962E}"/>
    <hyperlink ref="K1622" r:id="rId17592" display="https://statiz.sporki.com/add/?m=draft_school01&amp;ps_school=50502" xr:uid="{3B7670DF-184D-4112-BA3D-B3A8E8CE616E}"/>
    <hyperlink ref="K1623" r:id="rId17593" display="https://statiz.sporki.com/add/?m=draft_school01&amp;ps_school=50114" xr:uid="{23D0E24A-5289-4405-9878-3086859AC4AB}"/>
    <hyperlink ref="K1624" r:id="rId17594" display="https://statiz.sporki.com/add/?m=draft_school01&amp;ps_school=50208" xr:uid="{5EE4B7C0-B206-479E-9F0E-BDBB7D8EB97F}"/>
    <hyperlink ref="K1625" r:id="rId17595" display="https://statiz.sporki.com/add/?m=draft_school01&amp;ps_school=50606" xr:uid="{0C7EB4AE-FAFF-47C1-83A4-C5F00BF1FF27}"/>
    <hyperlink ref="K1626" r:id="rId17596" display="https://statiz.sporki.com/add/?m=draft_school01&amp;ps_school=50802" xr:uid="{C7E6A608-9A16-4073-A80B-F235561C1F2E}"/>
    <hyperlink ref="K1627" r:id="rId17597" display="https://statiz.sporki.com/add/?m=draft_school01&amp;ps_school=50602" xr:uid="{E1CA9CFB-4D5E-4E68-9133-3C42464A7085}"/>
    <hyperlink ref="K1628" r:id="rId17598" display="https://statiz.sporki.com/add/?m=draft_school01&amp;ps_school=50109" xr:uid="{F966B453-85D3-4591-B726-193DB8ED5539}"/>
    <hyperlink ref="K1629" r:id="rId17599" display="https://statiz.sporki.com/add/?m=draft_school01&amp;ps_school=50110" xr:uid="{8E64EA93-000A-4C66-8E33-F986D83CF680}"/>
    <hyperlink ref="K1630" r:id="rId17600" display="https://statiz.sporki.com/add/?m=draft_school01&amp;ps_school=50403" xr:uid="{A63D4CD8-02E5-450A-BE8E-FE40148247C6}"/>
    <hyperlink ref="K1631" r:id="rId17601" display="https://statiz.sporki.com/add/?m=draft_school01&amp;ps_school=50803" xr:uid="{7F8DCA5D-24E1-43C5-A928-5E89EDBA5D34}"/>
    <hyperlink ref="K1632" r:id="rId17602" display="https://statiz.sporki.com/add/?m=draft_school01&amp;ps_school=50302" xr:uid="{BDA18289-967A-4CC2-831A-CE66DFEFAC0B}"/>
    <hyperlink ref="K1633" r:id="rId17603" display="https://statiz.sporki.com/add/?m=draft_school01&amp;ps_school=50501" xr:uid="{247BDF9A-96B2-48FF-B000-4C97BA6672A7}"/>
    <hyperlink ref="K1634" r:id="rId17604" display="https://statiz.sporki.com/add/?m=draft_school01&amp;ps_school=50107" xr:uid="{39A2296E-0AAC-4449-9A35-67884B99970C}"/>
    <hyperlink ref="K1635" r:id="rId17605" display="https://statiz.sporki.com/add/?m=draft_school01&amp;ps_school=50502" xr:uid="{387B0FDB-E30C-45F8-A22D-0C2A2F111E8E}"/>
    <hyperlink ref="K1636" r:id="rId17606" display="https://statiz.sporki.com/add/?m=draft_school01&amp;ps_school=50901" xr:uid="{9E5845AC-0366-4DCA-B85E-B0F64663DB63}"/>
    <hyperlink ref="K1637" r:id="rId17607" display="https://statiz.sporki.com/add/?m=draft_school01&amp;ps_school=50107" xr:uid="{90427B70-70EA-4982-8FA8-0D9F34E02269}"/>
    <hyperlink ref="K1638" r:id="rId17608" display="https://statiz.sporki.com/add/?m=draft_school01&amp;ps_school=50116" xr:uid="{49A7CC79-E1A7-40F2-9CAC-26F7C1D3DA9D}"/>
    <hyperlink ref="K1639" r:id="rId17609" display="https://statiz.sporki.com/add/?m=draft_school01&amp;ps_school=50403" xr:uid="{9B760FE2-34BD-4970-A53D-C329F7165318}"/>
    <hyperlink ref="K1640" r:id="rId17610" display="https://statiz.sporki.com/add/?m=draft_school01&amp;ps_school=50806" xr:uid="{5F5E8EFB-4E56-4CD6-AC64-999B5FD4FBC5}"/>
    <hyperlink ref="K1642" r:id="rId17611" display="https://statiz.sporki.com/add/?m=draft_school01&amp;ps_school=50101" xr:uid="{5950E6AA-DD58-4E3F-835A-FBD2A9F4E5FB}"/>
    <hyperlink ref="K1643" r:id="rId17612" display="https://statiz.sporki.com/add/?m=draft_school01&amp;ps_school=50109" xr:uid="{51F666FF-5FCB-4B90-9AF1-60A8E73BF929}"/>
    <hyperlink ref="K1644" r:id="rId17613" display="https://statiz.sporki.com/add/?m=draft_school01&amp;ps_school=50111" xr:uid="{69F90ED7-B7C9-4862-B331-23DF2750E7FD}"/>
    <hyperlink ref="K1645" r:id="rId17614" display="https://statiz.sporki.com/add/?m=draft_school01&amp;ps_school=50107" xr:uid="{266B5621-D26D-4C3D-8E85-D09C089715F4}"/>
    <hyperlink ref="K1646" r:id="rId17615" display="https://statiz.sporki.com/add/?m=draft_school01&amp;ps_school=50201" xr:uid="{B77D1593-45DB-426E-9D53-4EC217AA8BFE}"/>
    <hyperlink ref="K1647" r:id="rId17616" display="https://statiz.sporki.com/add/?m=draft_school01&amp;ps_school=50204" xr:uid="{0A2AE37E-8DA6-4FD8-A395-06E5FD6ABDE9}"/>
    <hyperlink ref="K1648" r:id="rId17617" display="https://statiz.sporki.com/add/?m=draft_school01&amp;ps_school=50807" xr:uid="{69FD54CF-CD6E-4C56-A795-286133BF4F8E}"/>
    <hyperlink ref="K1649" r:id="rId17618" display="https://statiz.sporki.com/add/?m=draft_school01&amp;ps_school=50402" xr:uid="{882F07A2-7E4B-4BD1-AB55-CE93189EB000}"/>
    <hyperlink ref="K1650" r:id="rId17619" display="https://statiz.sporki.com/add/?m=draft_school01&amp;ps_school=50208" xr:uid="{ED027834-A5E5-4AE0-A8E6-72C5702A50CD}"/>
    <hyperlink ref="K1651" r:id="rId17620" display="https://statiz.sporki.com/add/?m=draft_school01&amp;ps_school=50402" xr:uid="{547AF0BD-B0A3-4EB1-87D9-8A92405B4873}"/>
    <hyperlink ref="K1652" r:id="rId17621" display="https://statiz.sporki.com/add/?m=draft_school01&amp;ps_school=50702" xr:uid="{7199F05B-AF88-459F-A536-A306CC402072}"/>
    <hyperlink ref="K1653" r:id="rId17622" display="https://statiz.sporki.com/add/?m=draft_school01&amp;ps_school=50105" xr:uid="{88406DF7-260E-4817-95EA-9490C4C45F9C}"/>
    <hyperlink ref="K1654" r:id="rId17623" display="https://statiz.sporki.com/add/?m=draft_school01&amp;ps_school=50402" xr:uid="{852CEE0C-FC23-493B-9A87-A042DCCB953F}"/>
    <hyperlink ref="K1655" r:id="rId17624" display="https://statiz.sporki.com/add/?m=draft_school01&amp;ps_school=50301" xr:uid="{488DFB52-39D8-45F7-8FE9-74F9046E1CFA}"/>
    <hyperlink ref="K1656" r:id="rId17625" display="https://statiz.sporki.com/add/?m=draft_school01&amp;ps_school=50802" xr:uid="{467F502D-A7BB-4DD8-85B4-4AD7ED5C8366}"/>
    <hyperlink ref="K1657" r:id="rId17626" display="https://statiz.sporki.com/add/?m=draft_school01&amp;ps_school=50804" xr:uid="{7E669F85-34CB-4299-8B7D-EEFF2E3A6EB9}"/>
    <hyperlink ref="K1658" r:id="rId17627" display="https://statiz.sporki.com/add/?m=draft_school01&amp;ps_school=51001" xr:uid="{3E379CC3-509F-468C-803A-FBBCC09E434D}"/>
    <hyperlink ref="K1659" r:id="rId17628" display="https://statiz.sporki.com/add/?m=draft_school01&amp;ps_school=50208" xr:uid="{0AF1230E-A966-4AB0-85DA-11B2B1BA84EE}"/>
    <hyperlink ref="K1660" r:id="rId17629" display="https://statiz.sporki.com/add/?m=draft_school01&amp;ps_school=50602" xr:uid="{F07E5605-B5F2-4804-B17A-3FF782673B1F}"/>
    <hyperlink ref="K1662" r:id="rId17630" display="https://statiz.sporki.com/add/?m=draft_school01&amp;ps_school=50502" xr:uid="{AA6014CA-6A2E-48DC-B643-C4B2E30F8867}"/>
    <hyperlink ref="K1663" r:id="rId17631" display="https://statiz.sporki.com/add/?m=draft_school01&amp;ps_school=50802" xr:uid="{0E82274B-9A5A-4E90-9B22-C0512F080DA2}"/>
    <hyperlink ref="K1664" r:id="rId17632" display="https://statiz.sporki.com/add/?m=draft_school01&amp;ps_school=50114" xr:uid="{28E2A74D-FFF1-45A3-BFDE-8E6DF924FA3A}"/>
    <hyperlink ref="K1665" r:id="rId17633" display="https://statiz.sporki.com/add/?m=draft_school01&amp;ps_school=50701" xr:uid="{CBEDAF94-8B99-45CD-B754-BC7C46CCBA79}"/>
    <hyperlink ref="K1666" r:id="rId17634" display="https://statiz.sporki.com/add/?m=draft_school01&amp;ps_school=50111" xr:uid="{520DDA7D-47C0-47AA-BE3C-3D1C5C190B08}"/>
    <hyperlink ref="K1667" r:id="rId17635" display="https://statiz.sporki.com/add/?m=draft_school01&amp;ps_school=50801" xr:uid="{ED75BDD4-5FAE-4C17-AE9E-262B3866DCD8}"/>
    <hyperlink ref="K1668" r:id="rId17636" display="https://statiz.sporki.com/add/?m=draft_school01&amp;ps_school=50207" xr:uid="{3C930537-0853-4FF1-AF32-A490C64C95AC}"/>
    <hyperlink ref="K1669" r:id="rId17637" display="https://statiz.sporki.com/add/?m=draft_school01&amp;ps_school=50403" xr:uid="{FF0FCDCD-BE6A-42E3-A70B-3F1D45206576}"/>
    <hyperlink ref="K1670" r:id="rId17638" display="https://statiz.sporki.com/add/?m=draft_school01&amp;ps_school=50601" xr:uid="{0A06D217-8E99-4921-B0D7-AC5A8BA6A3F4}"/>
    <hyperlink ref="K1671" r:id="rId17639" display="https://statiz.sporki.com/add/?m=draft_school01&amp;ps_school=50605" xr:uid="{2A4F8A7A-A2EA-4436-B4D6-8DB2FD747850}"/>
    <hyperlink ref="K1672" r:id="rId17640" display="https://statiz.sporki.com/add/?m=draft_school01&amp;ps_school=50401" xr:uid="{EE0EF91B-F705-446C-AE3B-2C7F46C01B47}"/>
    <hyperlink ref="K1673" r:id="rId17641" display="https://statiz.sporki.com/add/?m=draft_school01&amp;ps_school=50108" xr:uid="{8CAC9909-0141-436E-824A-DD793E1EDB32}"/>
    <hyperlink ref="K1674" r:id="rId17642" display="https://statiz.sporki.com/add/?m=draft_school01&amp;ps_school=50202" xr:uid="{AA092740-7FFB-4A4F-B8FB-7EA930E8FD04}"/>
    <hyperlink ref="K1675" r:id="rId17643" display="https://statiz.sporki.com/add/?m=draft_school01&amp;ps_school=50805" xr:uid="{E5BB075D-4B3A-4A75-A097-A3CBB9902336}"/>
    <hyperlink ref="K1676" r:id="rId17644" display="https://statiz.sporki.com/add/?m=draft_school01&amp;ps_school=50207" xr:uid="{52811BB7-F70E-4869-8D7F-A47C93282DE1}"/>
    <hyperlink ref="K1677" r:id="rId17645" display="https://statiz.sporki.com/add/?m=draft_school01&amp;ps_school=50605" xr:uid="{0C2189FF-2E90-433F-8510-AFA1D23D17BF}"/>
    <hyperlink ref="K1681" r:id="rId17646" display="https://statiz.sporki.com/add/?m=draft_school01&amp;ps_school=50103" xr:uid="{210A0120-93DD-470A-9240-5206CE72BF54}"/>
    <hyperlink ref="K1682" r:id="rId17647" display="https://statiz.sporki.com/add/?m=draft_school01&amp;ps_school=50109" xr:uid="{0E2D0C96-A4C4-4011-B939-8BC9E902A363}"/>
    <hyperlink ref="K1683" r:id="rId17648" display="https://statiz.sporki.com/add/?m=draft_school01&amp;ps_school=50606" xr:uid="{8719DE9E-D964-478A-B569-1BAFE0FA865E}"/>
    <hyperlink ref="K1684" r:id="rId17649" display="https://statiz.sporki.com/add/?m=draft_school01&amp;ps_school=51100" xr:uid="{A8E50A68-6DFC-4D69-A5A8-CBC9820B5E47}"/>
    <hyperlink ref="K1692" r:id="rId17650" display="https://statiz.sporki.com/add/?m=draft_school01&amp;ps_school=50501" xr:uid="{BD30AB0D-38A1-4B45-AF0C-5B2DD81E13F9}"/>
    <hyperlink ref="K1693" r:id="rId17651" display="https://statiz.sporki.com/add/?m=draft_school01&amp;ps_school=50204" xr:uid="{EDD43615-A3C5-4B3F-9FE0-8D38A6B02365}"/>
    <hyperlink ref="K1694" r:id="rId17652" display="https://statiz.sporki.com/add/?m=draft_school01&amp;ps_school=50602" xr:uid="{2C76FE55-F25A-4B4B-83BF-3C7C27C93588}"/>
    <hyperlink ref="K1695" r:id="rId17653" display="https://statiz.sporki.com/add/?m=draft_school01&amp;ps_school=50111" xr:uid="{9B1B05EB-88C9-45C0-B4EC-7C784447467F}"/>
    <hyperlink ref="K1696" r:id="rId17654" display="https://statiz.sporki.com/add/?m=draft_school01&amp;ps_school=50109" xr:uid="{CFCD747A-9C53-4591-93F2-8D38491AE614}"/>
    <hyperlink ref="K1697" r:id="rId17655" display="https://statiz.sporki.com/add/?m=draft_school01&amp;ps_school=50209" xr:uid="{7F196634-B0B1-4F18-A7EF-1635290F7943}"/>
    <hyperlink ref="K1698" r:id="rId17656" display="https://statiz.sporki.com/add/?m=draft_school01&amp;ps_school=50812" xr:uid="{DF3B53C7-0C30-4C88-8F55-CB7A3A928610}"/>
    <hyperlink ref="K1699" r:id="rId17657" display="https://statiz.sporki.com/add/?m=draft_school01&amp;ps_school=50110" xr:uid="{CBF06EFF-5284-4DB7-8593-5BFDF31727A3}"/>
    <hyperlink ref="K1700" r:id="rId17658" display="https://statiz.sporki.com/add/?m=draft_school01&amp;ps_school=50802" xr:uid="{555ECEF5-D29E-414F-AFD1-F18DA82EEDEF}"/>
    <hyperlink ref="K1701" r:id="rId17659" display="https://statiz.sporki.com/add/?m=draft_school01&amp;ps_school=50401" xr:uid="{F9732CCC-C163-48AF-9F18-B1B2432FF623}"/>
    <hyperlink ref="K1702" r:id="rId17660" display="https://statiz.sporki.com/add/?m=draft_school01&amp;ps_school=50116" xr:uid="{BE82D5A1-808D-4EDD-820B-7D8CC0039460}"/>
    <hyperlink ref="K1703" r:id="rId17661" display="https://statiz.sporki.com/add/?m=draft_school01&amp;ps_school=50605" xr:uid="{0C4356B0-1BB2-4817-B64C-70056D6D5604}"/>
    <hyperlink ref="K1704" r:id="rId17662" display="https://statiz.sporki.com/add/?m=draft_school01&amp;ps_school=50112" xr:uid="{A4CFD429-D9B6-4775-922C-C9C197E99D40}"/>
    <hyperlink ref="K1705" r:id="rId17663" display="https://statiz.sporki.com/add/?m=draft_school01&amp;ps_school=50303" xr:uid="{5E7B4F5C-30AB-441D-9D35-0383D869EEE4}"/>
    <hyperlink ref="K1706" r:id="rId17664" display="https://statiz.sporki.com/add/?m=draft_school01&amp;ps_school=50207" xr:uid="{E748FB2E-C4AE-480B-BAA6-C8A3120F99A7}"/>
    <hyperlink ref="K1707" r:id="rId17665" display="https://statiz.sporki.com/add/?m=draft_school01&amp;ps_school=50208" xr:uid="{2F8D0548-E3EB-43F2-BEDF-C135F309E539}"/>
    <hyperlink ref="K1708" r:id="rId17666" display="https://statiz.sporki.com/add/?m=draft_school01&amp;ps_school=50208" xr:uid="{A4880E29-308D-4442-8DE3-0F9ED6DF279D}"/>
    <hyperlink ref="K1709" r:id="rId17667" display="https://statiz.sporki.com/add/?m=draft_school01&amp;ps_school=51001" xr:uid="{67F007F4-0B2A-429C-9A43-92A8C3B8D975}"/>
    <hyperlink ref="K1710" r:id="rId17668" display="https://statiz.sporki.com/add/?m=draft_school01&amp;ps_school=50802" xr:uid="{7AB170C8-8F35-47D8-A434-F2AE9A2F4C6C}"/>
    <hyperlink ref="K1711" r:id="rId17669" display="https://statiz.sporki.com/add/?m=draft_school01&amp;ps_school=50208" xr:uid="{3D245AA7-4F62-425C-8001-F18C37CF8400}"/>
    <hyperlink ref="K1712" r:id="rId17670" display="https://statiz.sporki.com/add/?m=draft_school01&amp;ps_school=50206" xr:uid="{02256A81-4D1D-4E45-9416-8EF1A50EB16A}"/>
    <hyperlink ref="K1713" r:id="rId17671" display="https://statiz.sporki.com/add/?m=draft_school01&amp;ps_school=50110" xr:uid="{0298BDF9-C204-40B4-B577-9438D77DA331}"/>
    <hyperlink ref="K1714" r:id="rId17672" display="https://statiz.sporki.com/add/?m=draft_school01&amp;ps_school=50110" xr:uid="{ADCC0025-4B4C-439E-8599-445D9879A2D5}"/>
    <hyperlink ref="K1715" r:id="rId17673" display="https://statiz.sporki.com/add/?m=draft_school01&amp;ps_school=50116" xr:uid="{361C01A1-6E4E-45EA-A970-D1ED95687461}"/>
    <hyperlink ref="K1716" r:id="rId17674" display="https://statiz.sporki.com/add/?m=draft_school01&amp;ps_school=50101" xr:uid="{A387C936-17B9-4F81-A523-19324357B34B}"/>
    <hyperlink ref="K1717" r:id="rId17675" display="https://statiz.sporki.com/add/?m=draft_school01&amp;ps_school=50403" xr:uid="{98BFF954-8C63-476C-9370-1EEFB3A321CD}"/>
    <hyperlink ref="K1718" r:id="rId17676" display="https://statiz.sporki.com/add/?m=draft_school01&amp;ps_school=50103" xr:uid="{DDA9E940-1D19-478E-BBD4-6E2854C58018}"/>
    <hyperlink ref="K1719" r:id="rId17677" display="https://statiz.sporki.com/add/?m=draft_school01&amp;ps_school=50602" xr:uid="{395CB168-2D71-4E86-AD7D-8B1035477F97}"/>
    <hyperlink ref="K1720" r:id="rId17678" display="https://statiz.sporki.com/add/?m=draft_school01&amp;ps_school=50116" xr:uid="{B73086C2-651F-4EAD-9609-708247383C95}"/>
    <hyperlink ref="K1721" r:id="rId17679" display="https://statiz.sporki.com/add/?m=draft_school01&amp;ps_school=50806" xr:uid="{DF18775F-8F9D-4316-B41E-B94724B526D6}"/>
    <hyperlink ref="K1722" r:id="rId17680" display="https://statiz.sporki.com/add/?m=draft_school01&amp;ps_school=50802" xr:uid="{3C9283B8-1578-459B-B38F-6E7BC9823547}"/>
    <hyperlink ref="K1723" r:id="rId17681" display="https://statiz.sporki.com/add/?m=draft_school01&amp;ps_school=50111" xr:uid="{F7253382-F154-48F8-9613-60233FAB7215}"/>
    <hyperlink ref="K1724" r:id="rId17682" display="https://statiz.sporki.com/add/?m=draft_school01&amp;ps_school=50114" xr:uid="{DD2181E7-C1C8-4861-974F-7DA177F0B138}"/>
    <hyperlink ref="K1725" r:id="rId17683" display="https://statiz.sporki.com/add/?m=draft_school01&amp;ps_school=50802" xr:uid="{A3690FAD-37D1-4F29-882F-C77C241D1A32}"/>
    <hyperlink ref="K1726" r:id="rId17684" display="https://statiz.sporki.com/add/?m=draft_school01&amp;ps_school=50103" xr:uid="{87D8B15C-C9E0-4F7C-B6BD-2557AFA66AC1}"/>
    <hyperlink ref="K1727" r:id="rId17685" display="https://statiz.sporki.com/add/?m=draft_school01&amp;ps_school=50605" xr:uid="{CBFB8B75-237D-47C0-A267-72E514DF642C}"/>
    <hyperlink ref="K1728" r:id="rId17686" display="https://statiz.sporki.com/add/?m=draft_school01&amp;ps_school=50801" xr:uid="{4A355043-AAEC-43E1-9B81-E2C04CC99675}"/>
    <hyperlink ref="K1729" r:id="rId17687" display="https://statiz.sporki.com/add/?m=draft_school01&amp;ps_school=50210" xr:uid="{5D237C5F-36D2-478E-834B-998B335E4BE3}"/>
    <hyperlink ref="K1730" r:id="rId17688" display="https://statiz.sporki.com/add/?m=draft_school01&amp;ps_school=50602" xr:uid="{D7E6B0F8-5DE6-40EE-A260-C3B3938CE61C}"/>
    <hyperlink ref="K1731" r:id="rId17689" display="https://statiz.sporki.com/add/?m=draft_school01&amp;ps_school=50111" xr:uid="{E922EC39-1280-48BF-B0EA-E639ADDEF757}"/>
    <hyperlink ref="K1732" r:id="rId17690" display="https://statiz.sporki.com/add/?m=draft_school01&amp;ps_school=50302" xr:uid="{EACE57F3-7541-4BCE-9E7C-2667D900741C}"/>
    <hyperlink ref="K1733" r:id="rId17691" display="https://statiz.sporki.com/add/?m=draft_school01&amp;ps_school=50403" xr:uid="{F0D3C667-8B6A-4987-AAD6-CD328D9927C3}"/>
    <hyperlink ref="K1734" r:id="rId17692" display="https://statiz.sporki.com/add/?m=draft_school01&amp;ps_school=50601" xr:uid="{BEE50996-BB2B-4A59-AE06-5D239A2F63D8}"/>
    <hyperlink ref="K1735" r:id="rId17693" display="https://statiz.sporki.com/add/?m=draft_school01&amp;ps_school=50604" xr:uid="{6FB6621E-F3BD-4993-8530-57318E0DD493}"/>
    <hyperlink ref="K1736" r:id="rId17694" display="https://statiz.sporki.com/add/?m=draft_school01&amp;ps_school=50111" xr:uid="{E8C77642-5454-4BB6-A38A-DB696C578042}"/>
    <hyperlink ref="K1737" r:id="rId17695" display="https://statiz.sporki.com/add/?m=draft_school01&amp;ps_school=50101" xr:uid="{C7CCCD22-D564-438C-BF2C-2C976C6D1EFA}"/>
    <hyperlink ref="K1738" r:id="rId17696" display="https://statiz.sporki.com/add/?m=draft_school01&amp;ps_school=50809" xr:uid="{60A64FE1-314C-4F27-890C-5CB9792ED5D6}"/>
    <hyperlink ref="K1739" r:id="rId17697" display="https://statiz.sporki.com/add/?m=draft_school01&amp;ps_school=50102" xr:uid="{49E2008C-2E7F-4B62-81CF-E887685CF9FD}"/>
    <hyperlink ref="K1740" r:id="rId17698" display="https://statiz.sporki.com/add/?m=draft_school01&amp;ps_school=51001" xr:uid="{5774C8E6-CE1C-4621-B993-1A5EDECFC2E5}"/>
    <hyperlink ref="K1741" r:id="rId17699" display="https://statiz.sporki.com/add/?m=draft_school01&amp;ps_school=50605" xr:uid="{2201F95E-CC86-4C48-8E7E-4C6A2E8AC70C}"/>
    <hyperlink ref="K1742" r:id="rId17700" display="https://statiz.sporki.com/add/?m=draft_school01&amp;ps_school=50602" xr:uid="{95A95064-A209-40C7-8CF2-DD9DFF15D2D4}"/>
    <hyperlink ref="K1743" r:id="rId17701" display="https://statiz.sporki.com/add/?m=draft_school01&amp;ps_school=50301" xr:uid="{2003074B-D0AE-429B-990B-442D2F0C0C16}"/>
    <hyperlink ref="K1744" r:id="rId17702" display="https://statiz.sporki.com/add/?m=draft_school01&amp;ps_school=50107" xr:uid="{DCB5D4D8-A476-4D94-B4F5-DD2DB1A6737A}"/>
    <hyperlink ref="K1745" r:id="rId17703" display="https://statiz.sporki.com/add/?m=draft_school01&amp;ps_school=50116" xr:uid="{A2A04072-7554-4EF6-8B7E-2F60A4855057}"/>
    <hyperlink ref="K1746" r:id="rId17704" display="https://statiz.sporki.com/add/?m=draft_school01&amp;ps_school=50602" xr:uid="{C4788D0E-6DC3-4D91-988F-8129193DFA01}"/>
    <hyperlink ref="K1747" r:id="rId17705" display="https://statiz.sporki.com/add/?m=draft_school01&amp;ps_school=50703" xr:uid="{EE6E1E4A-8394-4BDC-87A3-0B7006247BE3}"/>
    <hyperlink ref="K1748" r:id="rId17706" display="https://statiz.sporki.com/add/?m=draft_school01&amp;ps_school=50703" xr:uid="{1A52556C-67B5-40A2-82C8-DE76FAE6F051}"/>
    <hyperlink ref="K1749" r:id="rId17707" display="https://statiz.sporki.com/add/?m=draft_school01&amp;ps_school=50403" xr:uid="{A3AF545B-635F-4913-929A-CF14DFB009CF}"/>
    <hyperlink ref="K1750" r:id="rId17708" display="https://statiz.sporki.com/add/?m=draft_school01&amp;ps_school=50601" xr:uid="{DBEBF919-31A6-4907-8433-83FA0EC809C1}"/>
    <hyperlink ref="K1751" r:id="rId17709" display="https://statiz.sporki.com/add/?m=draft_school01&amp;ps_school=50904" xr:uid="{5DE60D54-D68F-49B4-B545-83C1CB3F1362}"/>
    <hyperlink ref="K1752" r:id="rId17710" display="https://statiz.sporki.com/add/?m=draft_school01&amp;ps_school=50602" xr:uid="{435F3617-0F1D-4B59-B94F-4EFADF1B6E9B}"/>
    <hyperlink ref="K1753" r:id="rId17711" display="https://statiz.sporki.com/add/?m=draft_school01&amp;ps_school=50606" xr:uid="{CB564292-A5F7-4451-B32A-9580838D9CA8}"/>
    <hyperlink ref="K1754" r:id="rId17712" display="https://statiz.sporki.com/add/?m=draft_school01&amp;ps_school=51001" xr:uid="{C9DD6A19-594D-4629-A9DD-612B3A3C750B}"/>
    <hyperlink ref="K1755" r:id="rId17713" display="https://statiz.sporki.com/add/?m=draft_school01&amp;ps_school=50501" xr:uid="{14788AD9-24C3-4D24-9760-30D7F2521257}"/>
    <hyperlink ref="K1756" r:id="rId17714" display="https://statiz.sporki.com/add/?m=draft_school01&amp;ps_school=50208" xr:uid="{53340AEB-6AE2-41FD-8FEF-1E4EF80DCEE9}"/>
    <hyperlink ref="K1757" r:id="rId17715" display="https://statiz.sporki.com/add/?m=draft_school01&amp;ps_school=50703" xr:uid="{27734A47-4433-421D-8CCD-658A512D3CCF}"/>
    <hyperlink ref="K1758" r:id="rId17716" display="https://statiz.sporki.com/add/?m=draft_school01&amp;ps_school=50210" xr:uid="{B728C416-B36E-4294-A559-F6CBE8695A26}"/>
    <hyperlink ref="K1759" r:id="rId17717" display="https://statiz.sporki.com/add/?m=draft_school01&amp;ps_school=50501" xr:uid="{F9E42C1A-1FCA-4E4C-940E-F1BE36FDDB87}"/>
    <hyperlink ref="K1760" r:id="rId17718" display="https://statiz.sporki.com/add/?m=draft_school01&amp;ps_school=50101" xr:uid="{2A876323-70EA-4AF3-9712-E5CCFCA605A2}"/>
    <hyperlink ref="K1761" r:id="rId17719" display="https://statiz.sporki.com/add/?m=draft_school01&amp;ps_school=50901" xr:uid="{5A950F9E-9FD3-4061-A71C-A09F28506F79}"/>
    <hyperlink ref="K1762" r:id="rId17720" display="https://statiz.sporki.com/add/?m=draft_school01&amp;ps_school=50107" xr:uid="{A9DA018B-99F4-4035-99E1-83CF8C26E45A}"/>
    <hyperlink ref="K1763" r:id="rId17721" display="https://statiz.sporki.com/add/?m=draft_school01&amp;ps_school=50403" xr:uid="{AC65A9AB-2B46-456A-9F5F-E99AFCC95870}"/>
    <hyperlink ref="K1764" r:id="rId17722" display="https://statiz.sporki.com/add/?m=draft_school01&amp;ps_school=50114" xr:uid="{E67EC79B-F79E-4847-8AA2-33572022585A}"/>
    <hyperlink ref="K1765" r:id="rId17723" display="https://statiz.sporki.com/add/?m=draft_school01&amp;ps_school=50202" xr:uid="{6AC6E2E1-44F2-427D-BECE-A8E8D94411E6}"/>
    <hyperlink ref="K1766" r:id="rId17724" display="https://statiz.sporki.com/add/?m=draft_school01&amp;ps_school=50103" xr:uid="{4031B6E1-EC11-40AA-AFB4-A1DBA85FC8F2}"/>
    <hyperlink ref="K1767" r:id="rId17725" display="https://statiz.sporki.com/add/?m=draft_school01&amp;ps_school=50107" xr:uid="{6941D8CC-DDB3-4FC5-811E-271ED5851157}"/>
    <hyperlink ref="K1768" r:id="rId17726" display="https://statiz.sporki.com/add/?m=draft_school01&amp;ps_school=50604" xr:uid="{441741F3-04EC-4903-843D-4C9183C4BD4B}"/>
    <hyperlink ref="K1769" r:id="rId17727" display="https://statiz.sporki.com/add/?m=draft_school01&amp;ps_school=50111" xr:uid="{D743C892-CFB7-4102-ADA8-693718FD132C}"/>
    <hyperlink ref="K1770" r:id="rId17728" display="https://statiz.sporki.com/add/?m=draft_school01&amp;ps_school=50602" xr:uid="{CC9D23E1-338D-4CE6-8CC1-8D5CED653AA6}"/>
    <hyperlink ref="K1771" r:id="rId17729" display="https://statiz.sporki.com/add/?m=draft_school01&amp;ps_school=50702" xr:uid="{380508D6-1D8F-4162-AEA7-435113B4CBA6}"/>
    <hyperlink ref="K1772" r:id="rId17730" display="https://statiz.sporki.com/add/?m=draft_school01&amp;ps_school=50602" xr:uid="{9ADF63B1-B3DE-4B5F-8CA4-744D06193AF4}"/>
    <hyperlink ref="K1774" r:id="rId17731" display="https://statiz.sporki.com/add/?m=draft_school01&amp;ps_school=50702" xr:uid="{3F14B708-B493-4708-A274-4941C5D6416A}"/>
    <hyperlink ref="K1775" r:id="rId17732" display="https://statiz.sporki.com/add/?m=draft_school01&amp;ps_school=50111" xr:uid="{84629011-FFF7-4080-B28C-002FD48E2AAF}"/>
    <hyperlink ref="K1776" r:id="rId17733" display="https://statiz.sporki.com/add/?m=draft_school01&amp;ps_school=50601" xr:uid="{6E747F17-F780-4359-93E4-5A0ACD86ED98}"/>
    <hyperlink ref="K1777" r:id="rId17734" display="https://statiz.sporki.com/add/?m=draft_school01&amp;ps_school=50403" xr:uid="{D50D071F-5120-4340-97CF-A33D9A7475D5}"/>
    <hyperlink ref="K1778" r:id="rId17735" display="https://statiz.sporki.com/add/?m=draft_school01&amp;ps_school=50107" xr:uid="{B0676DAB-CDEF-486F-8D99-485BBD81BF60}"/>
    <hyperlink ref="K1779" r:id="rId17736" display="https://statiz.sporki.com/add/?m=draft_school01&amp;ps_school=50701" xr:uid="{F3F03D1D-2971-41EA-9836-BA857F06B159}"/>
    <hyperlink ref="K1780" r:id="rId17737" display="https://statiz.sporki.com/add/?m=draft_school01&amp;ps_school=50107" xr:uid="{8619E4A0-1D9D-4A19-BDCB-3365AEB8FCA4}"/>
    <hyperlink ref="K1781" r:id="rId17738" display="https://statiz.sporki.com/add/?m=draft_school01&amp;ps_school=50202" xr:uid="{734CE8F6-1429-43E7-8755-341713C31D1B}"/>
    <hyperlink ref="K1782" r:id="rId17739" display="https://statiz.sporki.com/add/?m=draft_school01&amp;ps_school=50201" xr:uid="{97714CF9-ABF2-4731-B6B0-DF71210DE390}"/>
    <hyperlink ref="K1783" r:id="rId17740" display="https://statiz.sporki.com/add/?m=draft_school01&amp;ps_school=50402" xr:uid="{343F860D-4243-4353-9572-70434CDCBBED}"/>
    <hyperlink ref="K1784" r:id="rId17741" display="https://statiz.sporki.com/add/?m=draft_school01&amp;ps_school=50112" xr:uid="{4E66BDE5-3713-4EF2-B3C3-F2C22601B423}"/>
    <hyperlink ref="K1785" r:id="rId17742" display="https://statiz.sporki.com/add/?m=draft_school01&amp;ps_school=50802" xr:uid="{D7FDD9A9-9579-43AD-A657-4055243AD07E}"/>
    <hyperlink ref="K1786" r:id="rId17743" display="https://statiz.sporki.com/add/?m=draft_school01&amp;ps_school=50402" xr:uid="{C290134A-855E-4648-A5CC-273351EA5CB3}"/>
    <hyperlink ref="K1787" r:id="rId17744" display="https://statiz.sporki.com/add/?m=draft_school01&amp;ps_school=50602" xr:uid="{FEBC556F-C602-42BB-8E8E-43CD6AAA16BA}"/>
    <hyperlink ref="K1788" r:id="rId17745" display="https://statiz.sporki.com/add/?m=draft_school01&amp;ps_school=50114" xr:uid="{E9F991A1-FB30-4B7D-A804-D5FFC6E7A805}"/>
    <hyperlink ref="K1789" r:id="rId17746" display="https://statiz.sporki.com/add/?m=draft_school01&amp;ps_school=50301" xr:uid="{B57A2935-C8F6-4CC6-98D5-0A8118C434CE}"/>
    <hyperlink ref="K1793" r:id="rId17747" display="https://statiz.sporki.com/add/?m=draft_school01&amp;ps_school=51100" xr:uid="{E1A21154-49DA-46C8-8DA1-409A8305D97D}"/>
    <hyperlink ref="K1806" r:id="rId17748" display="https://statiz.sporki.com/add/?m=draft_school01&amp;ps_school=50111" xr:uid="{BB6F1E5B-51EE-45B8-A3BC-54DF5E11EABA}"/>
    <hyperlink ref="K1807" r:id="rId17749" display="https://statiz.sporki.com/add/?m=draft_school01&amp;ps_school=50703" xr:uid="{F4EABF29-470D-456B-9A1B-EC19FEC8E1B2}"/>
    <hyperlink ref="K1808" r:id="rId17750" display="https://statiz.sporki.com/add/?m=draft_school01&amp;ps_school=50209" xr:uid="{52791F98-EE47-469A-9221-37604D8366A8}"/>
    <hyperlink ref="K1809" r:id="rId17751" display="https://statiz.sporki.com/add/?m=draft_school01&amp;ps_school=50204" xr:uid="{EA3F2B64-C403-4644-A3F1-4751ADE9DD56}"/>
    <hyperlink ref="K1810" r:id="rId17752" display="https://statiz.sporki.com/add/?m=draft_school01&amp;ps_school=50102" xr:uid="{9021CB73-2A3A-4DDF-9EC4-71515AC92F28}"/>
    <hyperlink ref="K1811" r:id="rId17753" display="https://statiz.sporki.com/add/?m=draft_school01&amp;ps_school=50901" xr:uid="{44E65247-463E-4AD0-A5D6-CA7DD1B8A4C1}"/>
    <hyperlink ref="K1812" r:id="rId17754" display="https://statiz.sporki.com/add/?m=draft_school01&amp;ps_school=50902" xr:uid="{1B27CA36-481F-4A5B-ADB7-9BD339D07F70}"/>
    <hyperlink ref="K1813" r:id="rId17755" display="https://statiz.sporki.com/add/?m=draft_school01&amp;ps_school=50110" xr:uid="{6AE5AE1A-8C3D-4E2C-A995-96D78904CA7D}"/>
    <hyperlink ref="K1814" r:id="rId17756" display="https://statiz.sporki.com/add/?m=draft_school01&amp;ps_school=50109" xr:uid="{0ACA42B0-362D-4691-818F-CC5E59509EB7}"/>
    <hyperlink ref="K1815" r:id="rId17757" display="https://statiz.sporki.com/add/?m=draft_school01&amp;ps_school=50601" xr:uid="{EB4DBA72-6414-44CF-AE14-7655A32E263A}"/>
    <hyperlink ref="K1816" r:id="rId17758" display="https://statiz.sporki.com/add/?m=draft_school01&amp;ps_school=50601" xr:uid="{9A313E22-EFDE-4719-BD19-BE8B50C52FD6}"/>
    <hyperlink ref="K1817" r:id="rId17759" display="https://statiz.sporki.com/add/?m=draft_school01&amp;ps_school=50108" xr:uid="{78783D59-016C-4028-B2A3-25925295FB64}"/>
    <hyperlink ref="K1818" r:id="rId17760" display="https://statiz.sporki.com/add/?m=draft_school01&amp;ps_school=50805" xr:uid="{3F411D6E-C390-45D5-A086-7B4F1BD62E85}"/>
    <hyperlink ref="K1819" r:id="rId17761" display="https://statiz.sporki.com/add/?m=draft_school01&amp;ps_school=50208" xr:uid="{1B54E36C-976C-452B-8F14-8B86777AEAD2}"/>
    <hyperlink ref="K1820" r:id="rId17762" display="https://statiz.sporki.com/add/?m=draft_school01&amp;ps_school=50805" xr:uid="{7D2EBEE9-A4E1-4BC5-ADE6-F340862EE609}"/>
    <hyperlink ref="K1821" r:id="rId17763" display="https://statiz.sporki.com/add/?m=draft_school01&amp;ps_school=50802" xr:uid="{BDD391BE-1B75-4DB5-A27B-92DA955FD183}"/>
    <hyperlink ref="K1822" r:id="rId17764" display="https://statiz.sporki.com/add/?m=draft_school01&amp;ps_school=50105" xr:uid="{81CC6364-AC9A-4954-B77D-C2C1CDFD3D41}"/>
    <hyperlink ref="K1823" r:id="rId17765" display="https://statiz.sporki.com/add/?m=draft_school01&amp;ps_school=50706" xr:uid="{53B7C89F-7105-42C8-954E-488644069BF8}"/>
    <hyperlink ref="K1824" r:id="rId17766" display="https://statiz.sporki.com/add/?m=draft_school01&amp;ps_school=50403" xr:uid="{F0E4C7D7-52E6-4540-B1B3-8A8FD7420CDB}"/>
    <hyperlink ref="K1825" r:id="rId17767" display="https://statiz.sporki.com/add/?m=draft_school01&amp;ps_school=50604" xr:uid="{152EFF74-F42E-44F7-B084-4528AA4E9C02}"/>
    <hyperlink ref="K1826" r:id="rId17768" display="https://statiz.sporki.com/add/?m=draft_school01&amp;ps_school=50602" xr:uid="{8D4BEDB8-C1C1-457F-ABAD-18D501F3BE9E}"/>
    <hyperlink ref="K1827" r:id="rId17769" display="https://statiz.sporki.com/add/?m=draft_school01&amp;ps_school=50403" xr:uid="{396E820C-B7B3-4C3B-A644-B4025BF06614}"/>
    <hyperlink ref="K1828" r:id="rId17770" display="https://statiz.sporki.com/add/?m=draft_school01&amp;ps_school=50105" xr:uid="{99D04BAF-BA53-42DA-98A7-0C1CF61F082E}"/>
    <hyperlink ref="K1829" r:id="rId17771" display="https://statiz.sporki.com/add/?m=draft_school01&amp;ps_school=50802" xr:uid="{F91655D1-CA47-47FD-B32D-1CD700AEB3AE}"/>
    <hyperlink ref="K1830" r:id="rId17772" display="https://statiz.sporki.com/add/?m=draft_school01&amp;ps_school=50606" xr:uid="{660077E3-6861-4E55-9ADC-6CC9070CCAA3}"/>
    <hyperlink ref="K1831" r:id="rId17773" display="https://statiz.sporki.com/add/?m=draft_school01&amp;ps_school=50604" xr:uid="{A2651047-3F2C-477D-9BDC-60951F9C24C3}"/>
    <hyperlink ref="K1832" r:id="rId17774" display="https://statiz.sporki.com/add/?m=draft_school01&amp;ps_school=50501" xr:uid="{6310F708-3126-4201-9293-B0990FD9CF21}"/>
    <hyperlink ref="K1833" r:id="rId17775" display="https://statiz.sporki.com/add/?m=draft_school01&amp;ps_school=50703" xr:uid="{3E958FB4-E37D-4614-A4D1-8C7163671F67}"/>
    <hyperlink ref="K1834" r:id="rId17776" display="https://statiz.sporki.com/add/?m=draft_school01&amp;ps_school=50207" xr:uid="{7D893D8F-3936-4323-BB22-377FACE1FB95}"/>
    <hyperlink ref="K1835" r:id="rId17777" display="https://statiz.sporki.com/add/?m=draft_school01&amp;ps_school=50901" xr:uid="{E9C0CF80-E6E3-42D6-994E-DD3F246BD7A8}"/>
    <hyperlink ref="K1836" r:id="rId17778" display="https://statiz.sporki.com/add/?m=draft_school01&amp;ps_school=50403" xr:uid="{19AB00D3-E948-4ECB-A82A-0D7DFB1E34B7}"/>
    <hyperlink ref="K1837" r:id="rId17779" display="https://statiz.sporki.com/add/?m=draft_school01&amp;ps_school=50604" xr:uid="{4837F498-076A-4BB2-BA47-8B220B9BD3D9}"/>
    <hyperlink ref="K1838" r:id="rId17780" display="https://statiz.sporki.com/add/?m=draft_school01&amp;ps_school=50303" xr:uid="{F60DDF57-7341-479A-9722-DA5CC4953096}"/>
    <hyperlink ref="K1839" r:id="rId17781" display="https://statiz.sporki.com/add/?m=draft_school01&amp;ps_school=50605" xr:uid="{06583E1A-8357-440E-88AF-7F18524F718E}"/>
    <hyperlink ref="K1840" r:id="rId17782" display="https://statiz.sporki.com/add/?m=draft_school01&amp;ps_school=50601" xr:uid="{38FF9CD4-7DA6-4A88-BF38-097E9456C0E0}"/>
    <hyperlink ref="K1841" r:id="rId17783" display="https://statiz.sporki.com/add/?m=draft_school01&amp;ps_school=50805" xr:uid="{A3F31536-8E30-45E5-B24E-01F229C4BDBE}"/>
    <hyperlink ref="K1842" r:id="rId17784" display="https://statiz.sporki.com/add/?m=draft_school01&amp;ps_school=50103" xr:uid="{ED299D88-8431-4DFD-9577-3E0F739CC150}"/>
    <hyperlink ref="K1843" r:id="rId17785" display="https://statiz.sporki.com/add/?m=draft_school01&amp;ps_school=50401" xr:uid="{39DB5A2E-9217-4100-9EC3-4707233C0CFE}"/>
    <hyperlink ref="K1844" r:id="rId17786" display="https://statiz.sporki.com/add/?m=draft_school01&amp;ps_school=50801" xr:uid="{D8F30057-BB30-463B-B873-9280DB815E9A}"/>
    <hyperlink ref="K1845" r:id="rId17787" display="https://statiz.sporki.com/add/?m=draft_school01&amp;ps_school=50113" xr:uid="{B1CCFC93-9283-4D03-9613-07AA2A564DC2}"/>
    <hyperlink ref="K1846" r:id="rId17788" display="https://statiz.sporki.com/add/?m=draft_school01&amp;ps_school=50108" xr:uid="{607EF1ED-A6AD-4CF0-A828-D10DFE2E6F82}"/>
    <hyperlink ref="K1847" r:id="rId17789" display="https://statiz.sporki.com/add/?m=draft_school01&amp;ps_school=50110" xr:uid="{617C5351-7733-43A1-B288-6786AE53C18F}"/>
    <hyperlink ref="K1848" r:id="rId17790" display="https://statiz.sporki.com/add/?m=draft_school01&amp;ps_school=50109" xr:uid="{BE596589-80E5-4503-974F-F7343B486B02}"/>
    <hyperlink ref="K1849" r:id="rId17791" display="https://statiz.sporki.com/add/?m=draft_school01&amp;ps_school=50701" xr:uid="{F6F29585-316D-489E-831A-F3B562B43EA8}"/>
    <hyperlink ref="K1850" r:id="rId17792" display="https://statiz.sporki.com/add/?m=draft_school01&amp;ps_school=50402" xr:uid="{9E38167A-ACEE-4C5E-9046-F4848D75ECB0}"/>
    <hyperlink ref="K1851" r:id="rId17793" display="https://statiz.sporki.com/add/?m=draft_school01&amp;ps_school=50701" xr:uid="{F4784861-204D-4B94-9E2E-50F4FA87CF30}"/>
    <hyperlink ref="K1852" r:id="rId17794" display="https://statiz.sporki.com/add/?m=draft_school01&amp;ps_school=50701" xr:uid="{51E54DFF-3B1D-48D7-92E9-BC343CCCD356}"/>
    <hyperlink ref="K1853" r:id="rId17795" display="https://statiz.sporki.com/add/?m=draft_school01&amp;ps_school=50110" xr:uid="{614FF463-0709-485D-8164-B3076A52AF23}"/>
    <hyperlink ref="K1854" r:id="rId17796" display="https://statiz.sporki.com/add/?m=draft_school01&amp;ps_school=50114" xr:uid="{9BA53D30-03E9-4778-920E-DA232FA021C4}"/>
    <hyperlink ref="K1855" r:id="rId17797" display="https://statiz.sporki.com/add/?m=draft_school01&amp;ps_school=50802" xr:uid="{57C40907-7243-4F8F-8FA8-339366F27250}"/>
    <hyperlink ref="K1856" r:id="rId17798" display="https://statiz.sporki.com/add/?m=draft_school01&amp;ps_school=50114" xr:uid="{F3C37BC0-338A-4E4E-8483-16BD1B4812DE}"/>
    <hyperlink ref="K1857" r:id="rId17799" display="https://statiz.sporki.com/add/?m=draft_school01&amp;ps_school=50807" xr:uid="{54B581D3-556E-44AC-A9C0-349B202ED609}"/>
    <hyperlink ref="K1858" r:id="rId17800" display="https://statiz.sporki.com/add/?m=draft_school01&amp;ps_school=50110" xr:uid="{74474990-9F8F-42CD-A77A-D3255D592DB4}"/>
    <hyperlink ref="K1859" r:id="rId17801" display="https://statiz.sporki.com/add/?m=draft_school01&amp;ps_school=50606" xr:uid="{37DA3FC6-A6C1-4336-8F32-28B98C393EF9}"/>
    <hyperlink ref="K1860" r:id="rId17802" display="https://statiz.sporki.com/add/?m=draft_school01&amp;ps_school=50109" xr:uid="{D96ABC8C-8545-4C99-9DB5-FE7DCE197F09}"/>
    <hyperlink ref="K1861" r:id="rId17803" display="https://statiz.sporki.com/add/?m=draft_school01&amp;ps_school=50109" xr:uid="{06C12883-7DE3-46D1-8A6C-CB9FF25E864D}"/>
    <hyperlink ref="K1862" r:id="rId17804" display="https://statiz.sporki.com/add/?m=draft_school01&amp;ps_school=50802" xr:uid="{93932954-0609-4B7F-A836-0E8DB12C896A}"/>
    <hyperlink ref="K1863" r:id="rId17805" display="https://statiz.sporki.com/add/?m=draft_school01&amp;ps_school=50108" xr:uid="{E63DCA5E-FF92-4FD7-A5E1-C10518E77289}"/>
    <hyperlink ref="K1864" r:id="rId17806" display="https://statiz.sporki.com/add/?m=draft_school01&amp;ps_school=50803" xr:uid="{414FFB86-0306-405E-A679-AAD734530B68}"/>
    <hyperlink ref="K1865" r:id="rId17807" display="https://statiz.sporki.com/add/?m=draft_school01&amp;ps_school=50108" xr:uid="{A7976DA8-4932-4417-B42C-DBE20E8D64D2}"/>
    <hyperlink ref="K1866" r:id="rId17808" display="https://statiz.sporki.com/add/?m=draft_school01&amp;ps_school=50703" xr:uid="{1C3E59AF-96FD-4BB2-BD2B-10265621C71B}"/>
    <hyperlink ref="K1867" r:id="rId17809" display="https://statiz.sporki.com/add/?m=draft_school01&amp;ps_school=50107" xr:uid="{F2941DF3-D155-4B4F-8654-868CECFA7827}"/>
    <hyperlink ref="K1868" r:id="rId17810" display="https://statiz.sporki.com/add/?m=draft_school01&amp;ps_school=50703" xr:uid="{70ADB737-D942-459B-B035-A47551502E39}"/>
    <hyperlink ref="K1869" r:id="rId17811" display="https://statiz.sporki.com/add/?m=draft_school01&amp;ps_school=50109" xr:uid="{212F4706-D50D-48BD-B2CD-E2ECFBFF3749}"/>
    <hyperlink ref="K1870" r:id="rId17812" display="https://statiz.sporki.com/add/?m=draft_school01&amp;ps_school=50805" xr:uid="{14523A0B-BAAD-4614-9E9E-824FC051BE9D}"/>
    <hyperlink ref="K1871" r:id="rId17813" display="https://statiz.sporki.com/add/?m=draft_school01&amp;ps_school=50703" xr:uid="{7BAB4E45-48C0-48FD-8087-DC41E6467351}"/>
    <hyperlink ref="K1872" r:id="rId17814" display="https://statiz.sporki.com/add/?m=draft_school01&amp;ps_school=50101" xr:uid="{3933471F-FD95-4597-BF0B-C6279F69188A}"/>
    <hyperlink ref="K1873" r:id="rId17815" display="https://statiz.sporki.com/add/?m=draft_school01&amp;ps_school=50805" xr:uid="{B47A1AB4-75B4-432D-8BE0-C2600D11F602}"/>
    <hyperlink ref="K1874" r:id="rId17816" display="https://statiz.sporki.com/add/?m=draft_school01&amp;ps_school=50202" xr:uid="{C1A795FB-9E70-40BF-8360-07E36CD71CE6}"/>
    <hyperlink ref="K1875" r:id="rId17817" display="https://statiz.sporki.com/add/?m=draft_school01&amp;ps_school=50403" xr:uid="{7D73B481-E4DA-4DBE-A274-1D2EF5142A69}"/>
    <hyperlink ref="K1876" r:id="rId17818" display="https://statiz.sporki.com/add/?m=draft_school01&amp;ps_school=50115" xr:uid="{BBF2EAA2-EFE2-4AA1-AADC-45615FF00966}"/>
    <hyperlink ref="K1877" r:id="rId17819" display="https://statiz.sporki.com/add/?m=draft_school01&amp;ps_school=50903" xr:uid="{7AB19F07-F9EE-452B-A434-A2D221C7E6E4}"/>
    <hyperlink ref="K1878" r:id="rId17820" display="https://statiz.sporki.com/add/?m=draft_school01&amp;ps_school=50801" xr:uid="{AE2F0174-EFB4-40A0-8401-88228CCC0C33}"/>
    <hyperlink ref="K1879" r:id="rId17821" display="https://statiz.sporki.com/add/?m=draft_school01&amp;ps_school=50114" xr:uid="{B3D9AEC9-48CF-4BAF-A085-3DE4F32C0CF3}"/>
    <hyperlink ref="K1880" r:id="rId17822" display="https://statiz.sporki.com/add/?m=draft_school01&amp;ps_school=50807" xr:uid="{4818CEDE-DA3D-4DEE-BE6F-A6FA9C495056}"/>
    <hyperlink ref="K1881" r:id="rId17823" display="https://statiz.sporki.com/add/?m=draft_school01&amp;ps_school=50207" xr:uid="{33949EB8-0D91-498E-8D2B-8C9D4405A951}"/>
    <hyperlink ref="K1882" r:id="rId17824" display="https://statiz.sporki.com/add/?m=draft_school01&amp;ps_school=50803" xr:uid="{A9007ACB-FB39-4122-ABDC-B8F5897109FF}"/>
    <hyperlink ref="K1883" r:id="rId17825" display="https://statiz.sporki.com/add/?m=draft_school01&amp;ps_school=50112" xr:uid="{6E34AC49-EB6A-403F-A96A-BA65CC128880}"/>
    <hyperlink ref="K1884" r:id="rId17826" display="https://statiz.sporki.com/add/?m=draft_school01&amp;ps_school=50105" xr:uid="{5016EEA7-B115-4C81-87FC-F435D3D27EDC}"/>
    <hyperlink ref="K1885" r:id="rId17827" display="https://statiz.sporki.com/add/?m=draft_school01&amp;ps_school=50112" xr:uid="{139345FA-A059-42F0-9F80-F2DC6338325E}"/>
    <hyperlink ref="K1899" r:id="rId17828" display="https://statiz.sporki.com/add/?m=draft_school01&amp;ps_school=50103" xr:uid="{7792035A-AC9C-46A4-9719-E40FF18ACAAC}"/>
    <hyperlink ref="K1900" r:id="rId17829" display="https://statiz.sporki.com/add/?m=draft_school01&amp;ps_school=50107" xr:uid="{ACF5E86A-B4BE-4ACF-B7F5-76DF70960EFD}"/>
    <hyperlink ref="K1901" r:id="rId17830" display="https://statiz.sporki.com/add/?m=draft_school01&amp;ps_school=50904" xr:uid="{8F2F8257-8671-4440-ABE1-D7CE2A469A75}"/>
    <hyperlink ref="K1902" r:id="rId17831" display="https://statiz.sporki.com/add/?m=draft_school01&amp;ps_school=50705" xr:uid="{AE19D8DD-6810-48EC-83AC-28C75686267D}"/>
    <hyperlink ref="K1903" r:id="rId17832" display="https://statiz.sporki.com/add/?m=draft_school01&amp;ps_school=50403" xr:uid="{62A26B39-BDE5-4439-8EE6-8C252D7C0580}"/>
    <hyperlink ref="K1904" r:id="rId17833" display="https://statiz.sporki.com/add/?m=draft_school01&amp;ps_school=50501" xr:uid="{8D98616D-A605-45E7-9859-5324EC7BBBC4}"/>
    <hyperlink ref="K1905" r:id="rId17834" display="https://statiz.sporki.com/add/?m=draft_school01&amp;ps_school=50101" xr:uid="{A6CE4CBE-C21B-4FE1-AAB2-6FCE4F826767}"/>
    <hyperlink ref="K1906" r:id="rId17835" display="https://statiz.sporki.com/add/?m=draft_school01&amp;ps_school=50403" xr:uid="{204A0BC4-0CA2-4FF7-B75D-76987C3EAD53}"/>
    <hyperlink ref="K1907" r:id="rId17836" display="https://statiz.sporki.com/add/?m=draft_school01&amp;ps_school=50108" xr:uid="{8CA9DE87-8899-463F-8023-B3D38ED22EC4}"/>
    <hyperlink ref="K1908" r:id="rId17837" display="https://statiz.sporki.com/add/?m=draft_school01&amp;ps_school=50112" xr:uid="{DE2D2B4C-CE40-48B1-B4AF-0EB261539E2A}"/>
    <hyperlink ref="K1909" r:id="rId17838" display="https://statiz.sporki.com/add/?m=draft_school01&amp;ps_school=50705" xr:uid="{5D88BF9F-C264-4800-8B05-FE863A1837C1}"/>
    <hyperlink ref="K1910" r:id="rId17839" display="https://statiz.sporki.com/add/?m=draft_school01&amp;ps_school=50703" xr:uid="{5078E41F-066E-43C5-B940-C082238634D6}"/>
    <hyperlink ref="K1911" r:id="rId17840" display="https://statiz.sporki.com/add/?m=draft_school01&amp;ps_school=50703" xr:uid="{6EB6D107-D96A-4A2D-8A11-75DF67618D96}"/>
    <hyperlink ref="K1912" r:id="rId17841" display="https://statiz.sporki.com/add/?m=draft_school01&amp;ps_school=50708" xr:uid="{0F4FDD41-32F6-4E70-B180-6CE79644CFB8}"/>
    <hyperlink ref="K1913" r:id="rId17842" display="https://statiz.sporki.com/add/?m=draft_school01&amp;ps_school=50602" xr:uid="{E10012DA-8AA7-46EC-8255-C2CED31E534B}"/>
    <hyperlink ref="K1914" r:id="rId17843" display="https://statiz.sporki.com/add/?m=draft_school01&amp;ps_school=50101" xr:uid="{E9AF4F7B-13F2-4200-8DC6-D62290492872}"/>
    <hyperlink ref="K1915" r:id="rId17844" display="https://statiz.sporki.com/add/?m=draft_school01&amp;ps_school=50201" xr:uid="{94CAB9AF-821E-49E8-A302-5849C264A9DE}"/>
    <hyperlink ref="K1916" r:id="rId17845" display="https://statiz.sporki.com/add/?m=draft_school01&amp;ps_school=50103" xr:uid="{9E5F2708-CC00-4AEA-8FFA-05D79F85BA44}"/>
    <hyperlink ref="K1917" r:id="rId17846" display="https://statiz.sporki.com/add/?m=draft_school01&amp;ps_school=50805" xr:uid="{3125B064-92C1-4901-84C5-4EA9DBCD18B2}"/>
    <hyperlink ref="K1918" r:id="rId17847" display="https://statiz.sporki.com/add/?m=draft_school01&amp;ps_school=50701" xr:uid="{1D0245D5-04C8-471D-B1FE-8C387A6FF6D6}"/>
    <hyperlink ref="K1919" r:id="rId17848" display="https://statiz.sporki.com/add/?m=draft_school01&amp;ps_school=50301" xr:uid="{890A8DF2-E160-4099-9CE5-A00FA0C20EBF}"/>
    <hyperlink ref="K1920" r:id="rId17849" display="https://statiz.sporki.com/add/?m=draft_school01&amp;ps_school=50111" xr:uid="{7F9B49C9-A022-463C-996E-16AE657B2113}"/>
    <hyperlink ref="K1921" r:id="rId17850" display="https://statiz.sporki.com/add/?m=draft_school01&amp;ps_school=50107" xr:uid="{832A1AFF-EEFA-4807-B527-2A2F2A6C71B0}"/>
    <hyperlink ref="K1922" r:id="rId17851" display="https://statiz.sporki.com/add/?m=draft_school01&amp;ps_school=50606" xr:uid="{3001C992-BC75-4B29-830E-99321269DA99}"/>
    <hyperlink ref="K1923" r:id="rId17852" display="https://statiz.sporki.com/add/?m=draft_school01&amp;ps_school=50203" xr:uid="{2EF4ED57-6F05-4802-A420-1ABB414D1EC0}"/>
    <hyperlink ref="K1924" r:id="rId17853" display="https://statiz.sporki.com/add/?m=draft_school01&amp;ps_school=50501" xr:uid="{F825A5BC-6E47-45BA-80A0-FBAE662D742E}"/>
    <hyperlink ref="K1925" r:id="rId17854" display="https://statiz.sporki.com/add/?m=draft_school01&amp;ps_school=50802" xr:uid="{FF031848-5C75-4B8D-8899-0C2FD0CB33BA}"/>
    <hyperlink ref="K1926" r:id="rId17855" display="https://statiz.sporki.com/add/?m=draft_school01&amp;ps_school=50108" xr:uid="{553BCA80-8EB3-4520-A2E5-C8BA52EC461B}"/>
    <hyperlink ref="K1927" r:id="rId17856" display="https://statiz.sporki.com/add/?m=draft_school01&amp;ps_school=50602" xr:uid="{3777311D-DAD6-47A5-995D-4ED9BDA40347}"/>
    <hyperlink ref="K1928" r:id="rId17857" display="https://statiz.sporki.com/add/?m=draft_school01&amp;ps_school=50502" xr:uid="{3DB7D220-F0B9-4572-A7D5-BE73541EADF7}"/>
    <hyperlink ref="K1929" r:id="rId17858" display="https://statiz.sporki.com/add/?m=draft_school01&amp;ps_school=50604" xr:uid="{C7EC33EF-9C61-4201-B756-3F3891792F9E}"/>
    <hyperlink ref="K1930" r:id="rId17859" display="https://statiz.sporki.com/add/?m=draft_school01&amp;ps_school=50107" xr:uid="{A35D2E34-510A-4307-8A7D-939EED128878}"/>
    <hyperlink ref="K1931" r:id="rId17860" display="https://statiz.sporki.com/add/?m=draft_school01&amp;ps_school=50101" xr:uid="{0A48BB18-3C62-4132-AAB2-7044637468B8}"/>
    <hyperlink ref="K1932" r:id="rId17861" display="https://statiz.sporki.com/add/?m=draft_school01&amp;ps_school=50403" xr:uid="{6EE11A82-1713-4FEE-B334-7A198CE9FA3D}"/>
    <hyperlink ref="K1933" r:id="rId17862" display="https://statiz.sporki.com/add/?m=draft_school01&amp;ps_school=50604" xr:uid="{82442176-BCAE-4054-884D-BE93F7CA41D6}"/>
    <hyperlink ref="K1934" r:id="rId17863" display="https://statiz.sporki.com/add/?m=draft_school01&amp;ps_school=50102" xr:uid="{B7BE6376-6FEF-4162-A9A0-120C9BA3097E}"/>
    <hyperlink ref="K1935" r:id="rId17864" display="https://statiz.sporki.com/add/?m=draft_school01&amp;ps_school=50103" xr:uid="{0FCAED05-2B77-459A-9E0C-33820775C0AF}"/>
    <hyperlink ref="K1936" r:id="rId17865" display="https://statiz.sporki.com/add/?m=draft_school01&amp;ps_school=50114" xr:uid="{7C0BC4BD-E0E7-4E9B-8413-3B06F1CB0974}"/>
    <hyperlink ref="K1937" r:id="rId17866" display="https://statiz.sporki.com/add/?m=draft_school01&amp;ps_school=50103" xr:uid="{0CFF76E9-741F-497C-85F1-E0902B54E73A}"/>
    <hyperlink ref="K1938" r:id="rId17867" display="https://statiz.sporki.com/add/?m=draft_school01&amp;ps_school=50116" xr:uid="{6EBF0474-EFEA-430D-8229-835B2BCBE347}"/>
    <hyperlink ref="K1939" r:id="rId17868" display="https://statiz.sporki.com/add/?m=draft_school01&amp;ps_school=50801" xr:uid="{E358A66C-1A68-4C04-9B71-CFDEFD40DA57}"/>
    <hyperlink ref="K1940" r:id="rId17869" display="https://statiz.sporki.com/add/?m=draft_school01&amp;ps_school=50209" xr:uid="{4B3C3CAD-1D23-49C5-B5B2-F6796588BBE9}"/>
    <hyperlink ref="K1941" r:id="rId17870" display="https://statiz.sporki.com/add/?m=draft_school01&amp;ps_school=50703" xr:uid="{D7BAC72E-AB92-450D-90D8-05B2D68149C5}"/>
    <hyperlink ref="K1942" r:id="rId17871" display="https://statiz.sporki.com/add/?m=draft_school01&amp;ps_school=50602" xr:uid="{441507DA-06C2-4E1E-B6FC-5E5C1B60D1AA}"/>
    <hyperlink ref="K1943" r:id="rId17872" display="https://statiz.sporki.com/add/?m=draft_school01&amp;ps_school=50116" xr:uid="{FE8DF2B9-8F39-46C0-AA60-AD7921259905}"/>
    <hyperlink ref="K1944" r:id="rId17873" display="https://statiz.sporki.com/add/?m=draft_school01&amp;ps_school=50207" xr:uid="{FDB57C7D-4E70-44A8-8DFC-EA59652D9AF6}"/>
    <hyperlink ref="K1945" r:id="rId17874" display="https://statiz.sporki.com/add/?m=draft_school01&amp;ps_school=50113" xr:uid="{EFC2A28B-00A8-4FA5-AC63-4B81C868ADBB}"/>
    <hyperlink ref="K1946" r:id="rId17875" display="https://statiz.sporki.com/add/?m=draft_school01&amp;ps_school=50805" xr:uid="{9D7EF4EF-E0B3-43B1-A2DC-8C9C0E02B366}"/>
    <hyperlink ref="K1947" r:id="rId17876" display="https://statiz.sporki.com/add/?m=draft_school01&amp;ps_school=50807" xr:uid="{22E14E6A-3199-4C20-B476-734CCD259BC1}"/>
    <hyperlink ref="K1948" r:id="rId17877" display="https://statiz.sporki.com/add/?m=draft_school01&amp;ps_school=50107" xr:uid="{2769AB22-3979-4AED-8301-5319158B54C0}"/>
    <hyperlink ref="K1949" r:id="rId17878" display="https://statiz.sporki.com/add/?m=draft_school01&amp;ps_school=50208" xr:uid="{9CC59466-60E1-47F1-BD7E-A634C69A2108}"/>
    <hyperlink ref="K1950" r:id="rId17879" display="https://statiz.sporki.com/add/?m=draft_school01&amp;ps_school=50402" xr:uid="{8BE7EEDA-40F2-455E-B025-AA775A7F712A}"/>
    <hyperlink ref="K1951" r:id="rId17880" display="https://statiz.sporki.com/add/?m=draft_school01&amp;ps_school=50803" xr:uid="{C6D11E79-5544-4AC8-83A9-5AF71C3D6389}"/>
    <hyperlink ref="K1952" r:id="rId17881" display="https://statiz.sporki.com/add/?m=draft_school01&amp;ps_school=50604" xr:uid="{54EAE200-F4C0-4162-BB99-B0610039A484}"/>
    <hyperlink ref="K1953" r:id="rId17882" display="https://statiz.sporki.com/add/?m=draft_school01&amp;ps_school=50708" xr:uid="{BD7331E2-7184-4816-8CD6-CFCACF371A6E}"/>
    <hyperlink ref="K1954" r:id="rId17883" display="https://statiz.sporki.com/add/?m=draft_school01&amp;ps_school=50112" xr:uid="{C91A1EC0-83B1-40F7-9D02-FBCA04F5E835}"/>
    <hyperlink ref="K1955" r:id="rId17884" display="https://statiz.sporki.com/add/?m=draft_school01&amp;ps_school=50703" xr:uid="{E93941C0-42A8-4ACA-ADA6-E8917A6DD722}"/>
    <hyperlink ref="K1956" r:id="rId17885" display="https://statiz.sporki.com/add/?m=draft_school01&amp;ps_school=50606" xr:uid="{12520F9D-6DEC-4A84-809D-824219FE4712}"/>
    <hyperlink ref="K1957" r:id="rId17886" display="https://statiz.sporki.com/add/?m=draft_school01&amp;ps_school=50113" xr:uid="{40EE987E-9C03-47E8-B836-E9402DC528DB}"/>
    <hyperlink ref="K1958" r:id="rId17887" display="https://statiz.sporki.com/add/?m=draft_school01&amp;ps_school=50208" xr:uid="{8CA3DE10-B36A-4EBF-A69C-AB4D9BDCE939}"/>
    <hyperlink ref="K1959" r:id="rId17888" display="https://statiz.sporki.com/add/?m=draft_school01&amp;ps_school=50602" xr:uid="{557CBA00-FEC8-4C60-A538-04D1DD1A389C}"/>
    <hyperlink ref="K1960" r:id="rId17889" display="https://statiz.sporki.com/add/?m=draft_school01&amp;ps_school=50802" xr:uid="{FED2C02D-7E15-48D7-9967-3A79BEF48B11}"/>
    <hyperlink ref="K1961" r:id="rId17890" display="https://statiz.sporki.com/add/?m=draft_school01&amp;ps_school=50111" xr:uid="{5A10361B-D622-4184-9849-D6C8915CEC92}"/>
    <hyperlink ref="K1962" r:id="rId17891" display="https://statiz.sporki.com/add/?m=draft_school01&amp;ps_school=50210" xr:uid="{BE822B71-564E-45CE-A2DF-48AF3A65BFB1}"/>
    <hyperlink ref="K1963" r:id="rId17892" display="https://statiz.sporki.com/add/?m=draft_school01&amp;ps_school=50107" xr:uid="{40049A2F-10EA-4311-A97E-84C9A100F398}"/>
    <hyperlink ref="K1964" r:id="rId17893" display="https://statiz.sporki.com/add/?m=draft_school01&amp;ps_school=50601" xr:uid="{5F8FEFCA-492C-4B67-81D9-F61F51F902CD}"/>
    <hyperlink ref="K1965" r:id="rId17894" display="https://statiz.sporki.com/add/?m=draft_school01&amp;ps_school=50102" xr:uid="{535F47EC-40F5-4367-8C6A-7BD1486A2DBB}"/>
    <hyperlink ref="K1966" r:id="rId17895" display="https://statiz.sporki.com/add/?m=draft_school01&amp;ps_school=50805" xr:uid="{BABC7953-E41C-4DD6-8AA8-129F233EA043}"/>
    <hyperlink ref="K1967" r:id="rId17896" display="https://statiz.sporki.com/add/?m=draft_school01&amp;ps_school=50601" xr:uid="{F59A2B93-14BB-425D-9726-77048B4668F5}"/>
    <hyperlink ref="K1968" r:id="rId17897" display="https://statiz.sporki.com/add/?m=draft_school01&amp;ps_school=50604" xr:uid="{F0BF77E5-6BEF-41CE-AC91-7E1A2FA35F7C}"/>
    <hyperlink ref="K1969" r:id="rId17898" display="https://statiz.sporki.com/add/?m=draft_school01&amp;ps_school=50101" xr:uid="{2743281A-B20E-4DA7-9ED8-F642000221F5}"/>
    <hyperlink ref="K1970" r:id="rId17899" display="https://statiz.sporki.com/add/?m=draft_school01&amp;ps_school=50601" xr:uid="{0BB86AA2-311A-45B1-93E5-22A0A0095B91}"/>
    <hyperlink ref="K1971" r:id="rId17900" display="https://statiz.sporki.com/add/?m=draft_school01&amp;ps_school=50807" xr:uid="{47B8CD51-C155-466A-914A-AB0783D930B6}"/>
    <hyperlink ref="K1972" r:id="rId17901" display="https://statiz.sporki.com/add/?m=draft_school01&amp;ps_school=50109" xr:uid="{0147264E-4046-44B8-838B-7780BDE9BBFE}"/>
    <hyperlink ref="K1973" r:id="rId17902" display="https://statiz.sporki.com/add/?m=draft_school01&amp;ps_school=50108" xr:uid="{B1327BB0-ED2F-4E12-BAEA-2DE5C6ED4F2C}"/>
    <hyperlink ref="K1974" r:id="rId17903" display="https://statiz.sporki.com/add/?m=draft_school01&amp;ps_school=50605" xr:uid="{C144068E-AF01-4A80-B686-3C622B3A63FD}"/>
    <hyperlink ref="K1975" r:id="rId17904" display="https://statiz.sporki.com/add/?m=draft_school01&amp;ps_school=50303" xr:uid="{4C8A83D7-07F2-4F8B-9529-0C1825118B4E}"/>
    <hyperlink ref="K1976" r:id="rId17905" display="https://statiz.sporki.com/add/?m=draft_school01&amp;ps_school=50705" xr:uid="{8BB8A1EB-8F5A-4865-86EA-1D2D96208DB4}"/>
    <hyperlink ref="K1993" r:id="rId17906" display="https://statiz.sporki.com/add/?m=draft_school01&amp;ps_school=50403" xr:uid="{F868525D-87C7-43AE-AB8D-6CBD74F918DB}"/>
    <hyperlink ref="K1994" r:id="rId17907" display="https://statiz.sporki.com/add/?m=draft_school01&amp;ps_school=50207" xr:uid="{CE59935F-2462-4A9A-A5F9-AA042ED7688E}"/>
    <hyperlink ref="K1995" r:id="rId17908" display="https://statiz.sporki.com/add/?m=draft_school01&amp;ps_school=50602" xr:uid="{C45B4F4A-ACFD-4F26-B2C5-29245D19AB9E}"/>
    <hyperlink ref="K1996" r:id="rId17909" display="https://statiz.sporki.com/add/?m=draft_school01&amp;ps_school=50703" xr:uid="{980FB3A6-2708-4779-B33F-E49ED7CB433F}"/>
    <hyperlink ref="K1997" r:id="rId17910" display="https://statiz.sporki.com/add/?m=draft_school01&amp;ps_school=50606" xr:uid="{33B268B9-FB36-46FA-8DE3-2638E8CD4E08}"/>
    <hyperlink ref="K1998" r:id="rId17911" display="https://statiz.sporki.com/add/?m=draft_school01&amp;ps_school=50101" xr:uid="{D6436253-3178-44F4-9F16-70C21350C8C3}"/>
    <hyperlink ref="K1999" r:id="rId17912" display="https://statiz.sporki.com/add/?m=draft_school01&amp;ps_school=50202" xr:uid="{1EFBFF7C-92CA-46DD-8B86-2DDB9902AF7A}"/>
    <hyperlink ref="K2000" r:id="rId17913" display="https://statiz.sporki.com/add/?m=draft_school01&amp;ps_school=50108" xr:uid="{26EBE514-8D73-4226-B83A-A0DEF3CB92CE}"/>
    <hyperlink ref="K2001" r:id="rId17914" display="https://statiz.sporki.com/add/?m=draft_school01&amp;ps_school=50103" xr:uid="{B0F01863-8D25-41BC-9C4F-9E5240D70B3F}"/>
    <hyperlink ref="K2002" r:id="rId17915" display="https://statiz.sporki.com/add/?m=draft_school01&amp;ps_school=50116" xr:uid="{6788BF13-6FB7-4398-9C9E-CED569BB20D9}"/>
    <hyperlink ref="K2003" r:id="rId17916" display="https://statiz.sporki.com/add/?m=draft_school01&amp;ps_school=50206" xr:uid="{5F258D87-83CB-42CE-BDCF-25CC2C2AFDB7}"/>
    <hyperlink ref="K2004" r:id="rId17917" display="https://statiz.sporki.com/add/?m=draft_school01&amp;ps_school=50401" xr:uid="{F1BBC08F-80DB-4B12-B007-885FACB1B472}"/>
    <hyperlink ref="K2005" r:id="rId17918" display="https://statiz.sporki.com/add/?m=draft_school01&amp;ps_school=50703" xr:uid="{3365844D-E99F-4B1D-84E4-9BC7F87C8DD1}"/>
    <hyperlink ref="K2006" r:id="rId17919" display="https://statiz.sporki.com/add/?m=draft_school01&amp;ps_school=50402" xr:uid="{6023FB9F-9D5F-453C-A1E1-1F0A0575C9B0}"/>
    <hyperlink ref="K2007" r:id="rId17920" display="https://statiz.sporki.com/add/?m=draft_school01&amp;ps_school=50501" xr:uid="{08B3C76E-4EC4-4059-B17A-54A5AF6E20FB}"/>
    <hyperlink ref="K2008" r:id="rId17921" display="https://statiz.sporki.com/add/?m=draft_school01&amp;ps_school=50107" xr:uid="{75D39093-3A37-4522-9595-3B69640853F1}"/>
    <hyperlink ref="K2009" r:id="rId17922" display="https://statiz.sporki.com/add/?m=draft_school01&amp;ps_school=50202" xr:uid="{8199E4CB-3B27-4F2A-989E-23A5195DA3A7}"/>
    <hyperlink ref="K2010" r:id="rId17923" display="https://statiz.sporki.com/add/?m=draft_school01&amp;ps_school=50108" xr:uid="{0B7072B9-1200-4E35-9398-B70A28760165}"/>
    <hyperlink ref="K2011" r:id="rId17924" display="https://statiz.sporki.com/add/?m=draft_school01&amp;ps_school=50802" xr:uid="{103B9ADD-086F-4587-921E-C4F606F38601}"/>
    <hyperlink ref="K2012" r:id="rId17925" display="https://statiz.sporki.com/add/?m=draft_school01&amp;ps_school=50705" xr:uid="{1E8C4DDE-A0AF-4AEC-8EC8-F592F3ACB6CE}"/>
    <hyperlink ref="K2013" r:id="rId17926" display="https://statiz.sporki.com/add/?m=draft_school01&amp;ps_school=50402" xr:uid="{83FEED09-2963-4E72-B0DE-85646B9690FA}"/>
    <hyperlink ref="K2014" r:id="rId17927" display="https://statiz.sporki.com/add/?m=draft_school01&amp;ps_school=50802" xr:uid="{94EF6EB1-BD28-4F81-B98F-E3C2286C5100}"/>
    <hyperlink ref="K2015" r:id="rId17928" display="https://statiz.sporki.com/add/?m=draft_school01&amp;ps_school=50602" xr:uid="{FA4BF699-16D2-4FBD-8C8D-7A6D6402D144}"/>
    <hyperlink ref="K2016" r:id="rId17929" display="https://statiz.sporki.com/add/?m=draft_school01&amp;ps_school=50602" xr:uid="{E21037B1-B33E-4FE7-8104-07DD6ADC6831}"/>
    <hyperlink ref="K2017" r:id="rId17930" display="https://statiz.sporki.com/add/?m=draft_school01&amp;ps_school=50209" xr:uid="{A9D4C768-DCF7-494F-B225-8B8A9150B21C}"/>
    <hyperlink ref="K2018" r:id="rId17931" display="https://statiz.sporki.com/add/?m=draft_school01&amp;ps_school=50110" xr:uid="{46EDFFC9-47EF-4E93-BFBE-2A9893D2D6C3}"/>
    <hyperlink ref="K2019" r:id="rId17932" display="https://statiz.sporki.com/add/?m=draft_school01&amp;ps_school=51001" xr:uid="{40E75AA0-052E-4B84-AB6B-E3B8F4404E75}"/>
    <hyperlink ref="K2020" r:id="rId17933" display="https://statiz.sporki.com/add/?m=draft_school01&amp;ps_school=50403" xr:uid="{36691E0D-567D-49DA-9B31-C2946E511493}"/>
    <hyperlink ref="K2021" r:id="rId17934" display="https://statiz.sporki.com/add/?m=draft_school01&amp;ps_school=50111" xr:uid="{223456AB-46FD-4A54-99FB-DB58F1CD7EE4}"/>
    <hyperlink ref="K2022" r:id="rId17935" display="https://statiz.sporki.com/add/?m=draft_school01&amp;ps_school=50111" xr:uid="{C1AA1ADF-003E-4432-9367-423D29BBE7C8}"/>
    <hyperlink ref="K2023" r:id="rId17936" display="https://statiz.sporki.com/add/?m=draft_school01&amp;ps_school=50112" xr:uid="{07F2182F-B62C-4D1E-B288-E60C12B1AB88}"/>
    <hyperlink ref="K2024" r:id="rId17937" display="https://statiz.sporki.com/add/?m=draft_school01&amp;ps_school=50601" xr:uid="{FCDCF3EE-A23C-4B8E-ACB2-6B0DE65C482C}"/>
    <hyperlink ref="K2025" r:id="rId17938" display="https://statiz.sporki.com/add/?m=draft_school01&amp;ps_school=50401" xr:uid="{B5FBDBA3-9A8B-44F9-9C27-8866043D55F9}"/>
    <hyperlink ref="K2026" r:id="rId17939" display="https://statiz.sporki.com/add/?m=draft_school01&amp;ps_school=50109" xr:uid="{5C4530E4-632F-4E39-B284-29142DE2C42C}"/>
    <hyperlink ref="K2027" r:id="rId17940" display="https://statiz.sporki.com/add/?m=draft_school01&amp;ps_school=50113" xr:uid="{8E5CD139-FF5A-4038-9356-90BA3CC104C1}"/>
    <hyperlink ref="K2028" r:id="rId17941" display="https://statiz.sporki.com/add/?m=draft_school01&amp;ps_school=50702" xr:uid="{78E0A212-8F23-4B07-BB26-585E0F9F7B6B}"/>
    <hyperlink ref="K2029" r:id="rId17942" display="https://statiz.sporki.com/add/?m=draft_school01&amp;ps_school=50204" xr:uid="{7E220963-9076-48F8-AF21-EE4B9D26696B}"/>
    <hyperlink ref="K2030" r:id="rId17943" display="https://statiz.sporki.com/add/?m=draft_school01&amp;ps_school=50805" xr:uid="{9A524B4A-5A4F-4883-933B-B79DA58C3022}"/>
    <hyperlink ref="K2031" r:id="rId17944" display="https://statiz.sporki.com/add/?m=draft_school01&amp;ps_school=50107" xr:uid="{17B3A2B2-5BD9-498C-A619-E0B9FDD07158}"/>
    <hyperlink ref="K2032" r:id="rId17945" display="https://statiz.sporki.com/add/?m=draft_school01&amp;ps_school=50108" xr:uid="{1A0E1781-2690-4CF4-9E04-34416FD6A3B8}"/>
    <hyperlink ref="K2033" r:id="rId17946" display="https://statiz.sporki.com/add/?m=draft_school01&amp;ps_school=50114" xr:uid="{48078EC6-01AD-4FC2-9BDD-9DC21E85FC1B}"/>
    <hyperlink ref="K2034" r:id="rId17947" display="https://statiz.sporki.com/add/?m=draft_school01&amp;ps_school=50703" xr:uid="{57FBB5F9-1C6E-4C92-AC52-675726F7E6AA}"/>
    <hyperlink ref="K2035" r:id="rId17948" display="https://statiz.sporki.com/add/?m=draft_school01&amp;ps_school=50112" xr:uid="{06379C39-08F5-4D77-88EF-68E3E6B54CED}"/>
    <hyperlink ref="K2036" r:id="rId17949" display="https://statiz.sporki.com/add/?m=draft_school01&amp;ps_school=50207" xr:uid="{70F8F09A-38C6-4F99-A0AA-A22B4A28994B}"/>
    <hyperlink ref="K2037" r:id="rId17950" display="https://statiz.sporki.com/add/?m=draft_school01&amp;ps_school=50703" xr:uid="{EA262B34-D371-4990-B1C9-B8F9C578D7FA}"/>
    <hyperlink ref="K2038" r:id="rId17951" display="https://statiz.sporki.com/add/?m=draft_school01&amp;ps_school=50601" xr:uid="{886FFB50-86FB-4E1B-8B80-468B52FB9815}"/>
    <hyperlink ref="K2039" r:id="rId17952" display="https://statiz.sporki.com/add/?m=draft_school01&amp;ps_school=50108" xr:uid="{C002CFFB-3B7C-414A-A85F-9A9A5FC7CD6D}"/>
    <hyperlink ref="K2040" r:id="rId17953" display="https://statiz.sporki.com/add/?m=draft_school01&amp;ps_school=50103" xr:uid="{9A5EA60D-2111-45D5-B16B-7855A3406FB9}"/>
    <hyperlink ref="K2041" r:id="rId17954" display="https://statiz.sporki.com/add/?m=draft_school01&amp;ps_school=50109" xr:uid="{A78A0C4C-9212-4C44-9A04-76C2BD833FBB}"/>
    <hyperlink ref="K2042" r:id="rId17955" display="https://statiz.sporki.com/add/?m=draft_school01&amp;ps_school=50210" xr:uid="{EB0AB28C-971C-4ACD-9024-67356AFEE9B4}"/>
    <hyperlink ref="K2043" r:id="rId17956" display="https://statiz.sporki.com/add/?m=draft_school01&amp;ps_school=50112" xr:uid="{3F7BECE3-386A-423F-92C4-76CE81743321}"/>
    <hyperlink ref="K2044" r:id="rId17957" display="https://statiz.sporki.com/add/?m=draft_school01&amp;ps_school=50101" xr:uid="{9B60CC95-1F15-4DAB-8A60-2AA10E8D6B56}"/>
    <hyperlink ref="K2045" r:id="rId17958" display="https://statiz.sporki.com/add/?m=draft_school01&amp;ps_school=50116" xr:uid="{EFBCE6E6-AAD1-470E-8216-4726B0E4C218}"/>
    <hyperlink ref="K2046" r:id="rId17959" display="https://statiz.sporki.com/add/?m=draft_school01&amp;ps_school=50111" xr:uid="{281AD06D-12C9-41AA-A7BF-8B44D2C9788E}"/>
    <hyperlink ref="K2047" r:id="rId17960" display="https://statiz.sporki.com/add/?m=draft_school01&amp;ps_school=50804" xr:uid="{85D0A9A1-23D1-4524-A331-17A3A06A4F01}"/>
    <hyperlink ref="K2048" r:id="rId17961" display="https://statiz.sporki.com/add/?m=draft_school01&amp;ps_school=50802" xr:uid="{16B53215-6E93-41E4-AF03-A420F844E5EB}"/>
    <hyperlink ref="K2049" r:id="rId17962" display="https://statiz.sporki.com/add/?m=draft_school01&amp;ps_school=50112" xr:uid="{29A7ED91-70D0-4DE6-AFA1-D2E0B7E9B15C}"/>
    <hyperlink ref="K2050" r:id="rId17963" display="https://statiz.sporki.com/add/?m=draft_school01&amp;ps_school=50203" xr:uid="{5C00A11B-A44E-43EE-BEAE-E537E70E12B6}"/>
    <hyperlink ref="K2051" r:id="rId17964" display="https://statiz.sporki.com/add/?m=draft_school01&amp;ps_school=50605" xr:uid="{37A76B24-0361-4A5A-A922-0FC1C10097E2}"/>
    <hyperlink ref="K2052" r:id="rId17965" display="https://statiz.sporki.com/add/?m=draft_school01&amp;ps_school=50601" xr:uid="{FCC44090-FD3B-4D23-8BA7-A7CF8974FA95}"/>
    <hyperlink ref="K2053" r:id="rId17966" display="https://statiz.sporki.com/add/?m=draft_school01&amp;ps_school=50108" xr:uid="{6F063723-8D2B-44D5-A25C-788438F170EB}"/>
    <hyperlink ref="K2054" r:id="rId17967" display="https://statiz.sporki.com/add/?m=draft_school01&amp;ps_school=50210" xr:uid="{3ACA2AC6-E266-42C3-8F51-565DC2EF8548}"/>
    <hyperlink ref="K2055" r:id="rId17968" display="https://statiz.sporki.com/add/?m=draft_school01&amp;ps_school=50111" xr:uid="{8926F56B-9539-4609-8E27-0BEB1D92EAA9}"/>
    <hyperlink ref="K2056" r:id="rId17969" display="https://statiz.sporki.com/add/?m=draft_school01&amp;ps_school=50115" xr:uid="{FC970EDC-4C11-4A89-B82A-6F16C2A418B6}"/>
    <hyperlink ref="K2071" r:id="rId17970" display="https://statiz.sporki.com/add/?m=draft_school01&amp;ps_school=51100" xr:uid="{2A421054-E2A2-4DC1-8BD5-2F891980A4E1}"/>
    <hyperlink ref="K2076" r:id="rId17971" display="https://statiz.sporki.com/add/?m=draft_school01&amp;ps_school=50102" xr:uid="{CC08F762-0446-412F-A789-C99BAEE56611}"/>
    <hyperlink ref="K2077" r:id="rId17972" display="https://statiz.sporki.com/add/?m=draft_school01&amp;ps_school=50602" xr:uid="{2E1586EA-C5B5-4A27-A0C8-886856DA69C1}"/>
    <hyperlink ref="K2078" r:id="rId17973" display="https://statiz.sporki.com/add/?m=draft_school01&amp;ps_school=50703" xr:uid="{7F8795DC-011A-4DEE-BD6B-72F6A60F9C6E}"/>
    <hyperlink ref="K2079" r:id="rId17974" display="https://statiz.sporki.com/add/?m=draft_school01&amp;ps_school=50805" xr:uid="{C0D293DA-3461-4CC2-86AB-51C7DBE3EA75}"/>
    <hyperlink ref="K2080" r:id="rId17975" display="https://statiz.sporki.com/add/?m=draft_school01&amp;ps_school=50112" xr:uid="{CEFEE9E6-F6F8-4254-9708-ABDEFE68697E}"/>
    <hyperlink ref="K2081" r:id="rId17976" display="https://statiz.sporki.com/add/?m=draft_school01&amp;ps_school=50114" xr:uid="{BDDEB054-D18B-4F4A-9FDC-7CCC76BD0353}"/>
    <hyperlink ref="K2082" r:id="rId17977" display="https://statiz.sporki.com/add/?m=draft_school01&amp;ps_school=50104" xr:uid="{DBC4D67F-BC5B-41C7-9146-8EB0D148C901}"/>
    <hyperlink ref="K2083" r:id="rId17978" display="https://statiz.sporki.com/add/?m=draft_school01&amp;ps_school=50109" xr:uid="{FEC76AA4-E112-4C7E-9FC1-D76A9A4C5D74}"/>
    <hyperlink ref="K2084" r:id="rId17979" display="https://statiz.sporki.com/add/?m=draft_school01&amp;ps_school=50703" xr:uid="{D498D9F4-4AF7-462A-B91D-A37010CA8332}"/>
    <hyperlink ref="K2085" r:id="rId17980" display="https://statiz.sporki.com/add/?m=draft_school01&amp;ps_school=50111" xr:uid="{642BA0EB-33F3-41F2-9F20-1705CE2D724F}"/>
    <hyperlink ref="K2086" r:id="rId17981" display="https://statiz.sporki.com/add/?m=draft_school01&amp;ps_school=50209" xr:uid="{9F8D5864-C00A-4468-B5AE-D472F1D105ED}"/>
    <hyperlink ref="K2087" r:id="rId17982" display="https://statiz.sporki.com/add/?m=draft_school01&amp;ps_school=50103" xr:uid="{3B795221-5D78-4A0B-B4FA-1BAD48D2CE2F}"/>
    <hyperlink ref="K2088" r:id="rId17983" display="https://statiz.sporki.com/add/?m=draft_school01&amp;ps_school=51001" xr:uid="{A9969DDA-3044-4AC1-B0FB-21DDDC4CE028}"/>
    <hyperlink ref="K2089" r:id="rId17984" display="https://statiz.sporki.com/add/?m=draft_school01&amp;ps_school=50108" xr:uid="{4ED83268-3F9F-42A3-A6A7-0DBD003A11A5}"/>
    <hyperlink ref="K2090" r:id="rId17985" display="https://statiz.sporki.com/add/?m=draft_school01&amp;ps_school=50210" xr:uid="{6AADB4C7-20A6-420F-B695-2DBEBCB5334A}"/>
    <hyperlink ref="K2091" r:id="rId17986" display="https://statiz.sporki.com/add/?m=draft_school01&amp;ps_school=50601" xr:uid="{FFE969AB-04AD-4E9E-95EA-1127B034D0EE}"/>
    <hyperlink ref="K2092" r:id="rId17987" display="https://statiz.sporki.com/add/?m=draft_school01&amp;ps_school=50102" xr:uid="{1BD33112-2D77-4021-A05B-58D02E1CFF70}"/>
    <hyperlink ref="K2093" r:id="rId17988" display="https://statiz.sporki.com/add/?m=draft_school01&amp;ps_school=50208" xr:uid="{47ED5976-9EFD-4253-8915-388F188DE8C3}"/>
    <hyperlink ref="K2094" r:id="rId17989" display="https://statiz.sporki.com/add/?m=draft_school01&amp;ps_school=50112" xr:uid="{6CB85146-D8A4-4330-8F7B-229DBB396071}"/>
    <hyperlink ref="K2095" r:id="rId17990" display="https://statiz.sporki.com/add/?m=draft_school01&amp;ps_school=50602" xr:uid="{D645AC53-7B9C-44CC-A2B7-C5548964109A}"/>
    <hyperlink ref="K2096" r:id="rId17991" display="https://statiz.sporki.com/add/?m=draft_school01&amp;ps_school=50107" xr:uid="{1A55C650-A070-4A29-94A8-1E7FC7E4CE96}"/>
    <hyperlink ref="K2097" r:id="rId17992" display="https://statiz.sporki.com/add/?m=draft_school01&amp;ps_school=50110" xr:uid="{041DE21E-0F29-48FA-B893-367E73F8E0C4}"/>
    <hyperlink ref="K2098" r:id="rId17993" display="https://statiz.sporki.com/add/?m=draft_school01&amp;ps_school=50206" xr:uid="{E6ADFDD8-4BC0-4B85-B44B-C8FC7D8A8805}"/>
    <hyperlink ref="K2099" r:id="rId17994" display="https://statiz.sporki.com/add/?m=draft_school01&amp;ps_school=50111" xr:uid="{F1C8679E-8C19-4292-ACCE-8EE26279D46E}"/>
    <hyperlink ref="K2100" r:id="rId17995" display="https://statiz.sporki.com/add/?m=draft_school01&amp;ps_school=50703" xr:uid="{4197DF6A-1A0C-46F7-B518-EF08B1B42324}"/>
    <hyperlink ref="K2101" r:id="rId17996" display="https://statiz.sporki.com/add/?m=draft_school01&amp;ps_school=50602" xr:uid="{461B8C35-0DF1-47AD-94D6-625DA115A896}"/>
    <hyperlink ref="K2102" r:id="rId17997" display="https://statiz.sporki.com/add/?m=draft_school01&amp;ps_school=50301" xr:uid="{7E915F5F-96C6-466F-B59C-C6F4DC1F5855}"/>
    <hyperlink ref="K2103" r:id="rId17998" display="https://statiz.sporki.com/add/?m=draft_school01&amp;ps_school=50802" xr:uid="{62495DA7-AC29-4020-A69F-77C5DC55B0CD}"/>
    <hyperlink ref="K2104" r:id="rId17999" display="https://statiz.sporki.com/add/?m=draft_school01&amp;ps_school=50802" xr:uid="{87C7B438-6A27-4251-8CFD-3C948D33BE7B}"/>
    <hyperlink ref="K2105" r:id="rId18000" display="https://statiz.sporki.com/add/?m=draft_school01&amp;ps_school=50401" xr:uid="{B4B6B5E3-3349-423C-BE78-DBA03D39FB4C}"/>
    <hyperlink ref="K2106" r:id="rId18001" display="https://statiz.sporki.com/add/?m=draft_school01&amp;ps_school=50601" xr:uid="{E0F1A94A-EB4E-47E0-B6C4-C99DF3610F16}"/>
    <hyperlink ref="K2107" r:id="rId18002" display="https://statiz.sporki.com/add/?m=draft_school01&amp;ps_school=50403" xr:uid="{355594DF-99F3-43FB-AF61-406F6FC679FF}"/>
    <hyperlink ref="K2108" r:id="rId18003" display="https://statiz.sporki.com/add/?m=draft_school01&amp;ps_school=50902" xr:uid="{D37C10A6-BB32-42F3-AFCF-4271DBFA40F9}"/>
    <hyperlink ref="K2109" r:id="rId18004" display="https://statiz.sporki.com/add/?m=draft_school01&amp;ps_school=50204" xr:uid="{03CAD02A-3E29-4E59-BE23-B9ABA89B6224}"/>
    <hyperlink ref="K2110" r:id="rId18005" display="https://statiz.sporki.com/add/?m=draft_school01&amp;ps_school=50501" xr:uid="{7235B2F8-3C4A-4FAD-9312-624B9B85F768}"/>
    <hyperlink ref="K2111" r:id="rId18006" display="https://statiz.sporki.com/add/?m=draft_school01&amp;ps_school=50112" xr:uid="{29FD50F0-3A55-4DE4-9942-19A7D951D63F}"/>
    <hyperlink ref="K2112" r:id="rId18007" display="https://statiz.sporki.com/add/?m=draft_school01&amp;ps_school=50705" xr:uid="{3CEB16DC-011A-4CF6-A570-42C9736898E1}"/>
    <hyperlink ref="K2113" r:id="rId18008" display="https://statiz.sporki.com/add/?m=draft_school01&amp;ps_school=50708" xr:uid="{F04BB04F-D63C-40C8-8BEE-627F84A1BCBA}"/>
    <hyperlink ref="K2114" r:id="rId18009" display="https://statiz.sporki.com/add/?m=draft_school01&amp;ps_school=50111" xr:uid="{DAC52232-60C1-4045-8EB1-2B72850B913A}"/>
    <hyperlink ref="K2115" r:id="rId18010" display="https://statiz.sporki.com/add/?m=draft_school01&amp;ps_school=50803" xr:uid="{3E142FCF-3D12-4644-AF72-366F961E61D8}"/>
    <hyperlink ref="K2116" r:id="rId18011" display="https://statiz.sporki.com/add/?m=draft_school01&amp;ps_school=50116" xr:uid="{840F3B3D-3C97-4E01-88AB-290C6A07E440}"/>
    <hyperlink ref="K2117" r:id="rId18012" display="https://statiz.sporki.com/add/?m=draft_school01&amp;ps_school=50104" xr:uid="{535F613F-C26E-4B8F-977A-40836F4CDEC4}"/>
    <hyperlink ref="K2118" r:id="rId18013" display="https://statiz.sporki.com/add/?m=draft_school01&amp;ps_school=50502" xr:uid="{6273AA0A-F81D-497F-97C4-B457FDED5D19}"/>
    <hyperlink ref="K2119" r:id="rId18014" display="https://statiz.sporki.com/add/?m=draft_school01&amp;ps_school=50501" xr:uid="{022C6ADE-2A34-45DB-9B39-AF29F7BC3EE1}"/>
    <hyperlink ref="K2120" r:id="rId18015" display="https://statiz.sporki.com/add/?m=draft_school01&amp;ps_school=50116" xr:uid="{2D66A60E-A549-484E-BFED-85F46DF1A881}"/>
    <hyperlink ref="K2121" r:id="rId18016" display="https://statiz.sporki.com/add/?m=draft_school01&amp;ps_school=50209" xr:uid="{AD875EC2-6757-48D6-9786-B660F74AE89E}"/>
    <hyperlink ref="K2122" r:id="rId18017" display="https://statiz.sporki.com/add/?m=draft_school01&amp;ps_school=50111" xr:uid="{04E63291-86FD-4AFD-A1A3-E7E2D937A168}"/>
    <hyperlink ref="K2123" r:id="rId18018" display="https://statiz.sporki.com/add/?m=draft_school01&amp;ps_school=50602" xr:uid="{C4DAB9C2-5C40-43FF-8F3B-24B4D4B3DB8A}"/>
    <hyperlink ref="K2124" r:id="rId18019" display="https://statiz.sporki.com/add/?m=draft_school01&amp;ps_school=50112" xr:uid="{6A82EA05-514D-4062-8CF8-2EBC9644B7F0}"/>
    <hyperlink ref="K2125" r:id="rId18020" display="https://statiz.sporki.com/add/?m=draft_school01&amp;ps_school=50601" xr:uid="{DEFCCFB2-512F-40BF-B4DC-ED9FE895AD8D}"/>
    <hyperlink ref="K2126" r:id="rId18021" display="https://statiz.sporki.com/add/?m=draft_school01&amp;ps_school=50106" xr:uid="{FAB1EA8A-856D-4244-ACDC-FC206F21FE65}"/>
    <hyperlink ref="K2127" r:id="rId18022" display="https://statiz.sporki.com/add/?m=draft_school01&amp;ps_school=50101" xr:uid="{A070C46F-4668-4BEB-BB0B-B277B032786A}"/>
    <hyperlink ref="K2128" r:id="rId18023" display="https://statiz.sporki.com/add/?m=draft_school01&amp;ps_school=50110" xr:uid="{A6163251-C058-4292-9CC4-EF829595F325}"/>
    <hyperlink ref="K2129" r:id="rId18024" display="https://statiz.sporki.com/add/?m=draft_school01&amp;ps_school=50805" xr:uid="{D6F3520E-B082-46C9-99F0-1F6469FC2974}"/>
    <hyperlink ref="K2130" r:id="rId18025" display="https://statiz.sporki.com/add/?m=draft_school01&amp;ps_school=50103" xr:uid="{DF4945D4-55A3-4F14-8193-4409A3F5616B}"/>
    <hyperlink ref="K2131" r:id="rId18026" display="https://statiz.sporki.com/add/?m=draft_school01&amp;ps_school=50202" xr:uid="{7C9E999E-439B-431E-A15B-4EC32CBE8920}"/>
    <hyperlink ref="K2132" r:id="rId18027" display="https://statiz.sporki.com/add/?m=draft_school01&amp;ps_school=50602" xr:uid="{91DE9541-432B-4B18-B363-9152FF896256}"/>
    <hyperlink ref="K2133" r:id="rId18028" display="https://statiz.sporki.com/add/?m=draft_school01&amp;ps_school=50209" xr:uid="{66EEAD70-C433-490E-BC8A-BFCF9048886D}"/>
    <hyperlink ref="K2134" r:id="rId18029" display="https://statiz.sporki.com/add/?m=draft_school01&amp;ps_school=50904" xr:uid="{F4DC0392-5012-4598-BCCC-A98B594DE5D8}"/>
    <hyperlink ref="K2135" r:id="rId18030" display="https://statiz.sporki.com/add/?m=draft_school01&amp;ps_school=50103" xr:uid="{FC2EDDC8-2A1B-4528-873D-B0CC866991F4}"/>
    <hyperlink ref="K2136" r:id="rId18031" display="https://statiz.sporki.com/add/?m=draft_school01&amp;ps_school=50401" xr:uid="{9C860269-BD45-4A80-83B4-4F485A223870}"/>
    <hyperlink ref="K2137" r:id="rId18032" display="https://statiz.sporki.com/add/?m=draft_school01&amp;ps_school=50104" xr:uid="{10AC42A9-392C-4ECC-996C-1560ADF0153D}"/>
    <hyperlink ref="K2138" r:id="rId18033" display="https://statiz.sporki.com/add/?m=draft_school01&amp;ps_school=50604" xr:uid="{7E11401E-3A8B-40BF-9945-0203A38DCA6E}"/>
    <hyperlink ref="K2139" r:id="rId18034" display="https://statiz.sporki.com/add/?m=draft_school01&amp;ps_school=50116" xr:uid="{4512E389-54C8-4EEB-9F2F-AD1F41A76944}"/>
    <hyperlink ref="K2140" r:id="rId18035" display="https://statiz.sporki.com/add/?m=draft_school01&amp;ps_school=50602" xr:uid="{5200C6BC-E425-49C9-871A-21B782BAB94E}"/>
    <hyperlink ref="K2141" r:id="rId18036" display="https://statiz.sporki.com/add/?m=draft_school01&amp;ps_school=50104" xr:uid="{648D71AB-622E-4A6E-BE87-722AC1D59AE8}"/>
    <hyperlink ref="K2142" r:id="rId18037" display="https://statiz.sporki.com/add/?m=draft_school01&amp;ps_school=50805" xr:uid="{52826907-A749-4CE1-9F4C-75777FDAD53F}"/>
    <hyperlink ref="K2143" r:id="rId18038" display="https://statiz.sporki.com/add/?m=draft_school01&amp;ps_school=50806" xr:uid="{F637E1E7-C150-4AA5-8552-2D2FF45FD985}"/>
    <hyperlink ref="K2144" r:id="rId18039" display="https://statiz.sporki.com/add/?m=draft_school01&amp;ps_school=50802" xr:uid="{6C9D0648-0A85-46E0-9FCD-F686AA5F7501}"/>
    <hyperlink ref="K2145" r:id="rId18040" display="https://statiz.sporki.com/add/?m=draft_school01&amp;ps_school=50801" xr:uid="{A2A802BE-5FDB-4683-B04D-83B65A823F0D}"/>
    <hyperlink ref="K2146" r:id="rId18041" display="https://statiz.sporki.com/add/?m=draft_school01&amp;ps_school=50602" xr:uid="{BD06ABD7-93EB-43D4-AB58-2DF330EF066F}"/>
    <hyperlink ref="K2158" r:id="rId18042" display="https://statiz.sporki.com/add/?m=draft_school01&amp;ps_school=50403" xr:uid="{241DCD39-E259-4E41-B801-276086305C48}"/>
    <hyperlink ref="K2159" r:id="rId18043" display="https://statiz.sporki.com/add/?m=draft_school01&amp;ps_school=50701" xr:uid="{73D37EB5-D52E-43CA-B6D7-FD507FBC5AD0}"/>
    <hyperlink ref="K2160" r:id="rId18044" display="https://statiz.sporki.com/add/?m=draft_school01&amp;ps_school=50110" xr:uid="{252C92C8-21A9-40B7-A135-E62FC53E3DCF}"/>
    <hyperlink ref="K2161" r:id="rId18045" display="https://statiz.sporki.com/add/?m=draft_school01&amp;ps_school=50112" xr:uid="{94808028-2448-4FB9-9B97-DC5C3DF96730}"/>
    <hyperlink ref="K2162" r:id="rId18046" display="https://statiz.sporki.com/add/?m=draft_school01&amp;ps_school=50402" xr:uid="{E04271F4-A587-4428-B345-910F905F70A5}"/>
    <hyperlink ref="K2163" r:id="rId18047" display="https://statiz.sporki.com/add/?m=draft_school01&amp;ps_school=50301" xr:uid="{4220D890-CF27-48F6-9856-AD120B4C8161}"/>
    <hyperlink ref="K2164" r:id="rId18048" display="https://statiz.sporki.com/add/?m=draft_school01&amp;ps_school=50207" xr:uid="{D36A8525-AC5C-4493-A128-E2110F630372}"/>
    <hyperlink ref="K2165" r:id="rId18049" display="https://statiz.sporki.com/add/?m=draft_school01&amp;ps_school=50601" xr:uid="{8376191F-E586-4AB0-918E-168D84460C7D}"/>
    <hyperlink ref="K2166" r:id="rId18050" display="https://statiz.sporki.com/add/?m=draft_school01&amp;ps_school=50101" xr:uid="{C0F760B7-5E69-4498-B2E4-E7F1EE7E69CA}"/>
    <hyperlink ref="K2167" r:id="rId18051" display="https://statiz.sporki.com/add/?m=draft_school01&amp;ps_school=50209" xr:uid="{6E9385B9-F064-45FA-A82F-5FE62469263E}"/>
    <hyperlink ref="K2168" r:id="rId18052" display="https://statiz.sporki.com/add/?m=draft_school01&amp;ps_school=50805" xr:uid="{98EEEF63-B7B3-40FA-8940-AC44C91BDE7F}"/>
    <hyperlink ref="K2169" r:id="rId18053" display="https://statiz.sporki.com/add/?m=draft_school01&amp;ps_school=50702" xr:uid="{4BA13439-C86C-46E1-A7F5-93B59DF2B427}"/>
    <hyperlink ref="K2170" r:id="rId18054" display="https://statiz.sporki.com/add/?m=draft_school01&amp;ps_school=50403" xr:uid="{877598E3-B5C4-4B9B-BDF1-3FABDE8C6AAE}"/>
    <hyperlink ref="K2171" r:id="rId18055" display="https://statiz.sporki.com/add/?m=draft_school01&amp;ps_school=50102" xr:uid="{361A9D73-9500-4D79-903F-EA9B11F04A23}"/>
    <hyperlink ref="K2172" r:id="rId18056" display="https://statiz.sporki.com/add/?m=draft_school01&amp;ps_school=50602" xr:uid="{0A322B58-652F-4F47-AA5F-BAF76143CAF2}"/>
    <hyperlink ref="K2173" r:id="rId18057" display="https://statiz.sporki.com/add/?m=draft_school01&amp;ps_school=50202" xr:uid="{DD3D8C15-5C96-4B70-86BD-CDBC662E25E9}"/>
    <hyperlink ref="K2174" r:id="rId18058" display="https://statiz.sporki.com/add/?m=draft_school01&amp;ps_school=50209" xr:uid="{714ADB5E-1233-493C-B563-DC0F8F87A305}"/>
    <hyperlink ref="K2175" r:id="rId18059" display="https://statiz.sporki.com/add/?m=draft_school01&amp;ps_school=50303" xr:uid="{E3343D7E-2B44-4E77-AC9E-6A9D38A6F009}"/>
    <hyperlink ref="K2176" r:id="rId18060" display="https://statiz.sporki.com/add/?m=draft_school01&amp;ps_school=50104" xr:uid="{FEC4837B-232F-4F83-8C13-AAFF7423754B}"/>
    <hyperlink ref="K2177" r:id="rId18061" display="https://statiz.sporki.com/add/?m=draft_school01&amp;ps_school=50501" xr:uid="{D44F7812-DB23-4A9E-BE12-40172280E488}"/>
    <hyperlink ref="K2178" r:id="rId18062" display="https://statiz.sporki.com/add/?m=draft_school01&amp;ps_school=50602" xr:uid="{C4DE85A6-5F1D-428A-983C-44069BC85A44}"/>
    <hyperlink ref="K2179" r:id="rId18063" display="https://statiz.sporki.com/add/?m=draft_school01&amp;ps_school=50202" xr:uid="{F189F722-199B-4723-8634-F7F8E0F53F6B}"/>
    <hyperlink ref="K2180" r:id="rId18064" display="https://statiz.sporki.com/add/?m=draft_school01&amp;ps_school=50904" xr:uid="{BF053B5D-B930-4C69-8423-AA72D28EED4B}"/>
    <hyperlink ref="K2181" r:id="rId18065" display="https://statiz.sporki.com/add/?m=draft_school01&amp;ps_school=50501" xr:uid="{90AE9E81-D1A4-4868-9B16-955FC8856938}"/>
    <hyperlink ref="K2182" r:id="rId18066" display="https://statiz.sporki.com/add/?m=draft_school01&amp;ps_school=50303" xr:uid="{A683BD90-BFDC-4910-9319-B9E039DC43DE}"/>
    <hyperlink ref="K2183" r:id="rId18067" display="https://statiz.sporki.com/add/?m=draft_school01&amp;ps_school=50115" xr:uid="{A33A7A76-2B89-49F9-863A-C3F73AB4F74F}"/>
    <hyperlink ref="K2184" r:id="rId18068" display="https://statiz.sporki.com/add/?m=draft_school01&amp;ps_school=50104" xr:uid="{781EF7B8-5322-4637-8ADD-EC6D672658F5}"/>
    <hyperlink ref="K2185" r:id="rId18069" display="https://statiz.sporki.com/add/?m=draft_school01&amp;ps_school=50110" xr:uid="{51B98581-AA3E-48DB-9D89-A2727A6B0010}"/>
    <hyperlink ref="K2186" r:id="rId18070" display="https://statiz.sporki.com/add/?m=draft_school01&amp;ps_school=50104" xr:uid="{99D294BB-4251-4CB5-A2B6-5EA70DF08D30}"/>
    <hyperlink ref="K2187" r:id="rId18071" display="https://statiz.sporki.com/add/?m=draft_school01&amp;ps_school=50104" xr:uid="{AA4EF8DE-43C0-4A73-8194-E4FA7D6D5D43}"/>
    <hyperlink ref="K2188" r:id="rId18072" display="https://statiz.sporki.com/add/?m=draft_school01&amp;ps_school=50303" xr:uid="{941760D7-D3B5-4206-8B94-40B456C28095}"/>
    <hyperlink ref="K2189" r:id="rId18073" display="https://statiz.sporki.com/add/?m=draft_school01&amp;ps_school=50902" xr:uid="{F6A81699-21AE-45BE-8E74-C4D47E63471F}"/>
    <hyperlink ref="K2190" r:id="rId18074" display="https://statiz.sporki.com/add/?m=draft_school01&amp;ps_school=50602" xr:uid="{CF288571-C29C-4DE6-B00E-DDBDE13051F4}"/>
    <hyperlink ref="K2191" r:id="rId18075" display="https://statiz.sporki.com/add/?m=draft_school01&amp;ps_school=50202" xr:uid="{294754B9-7D2F-4E80-A433-D47C2162181B}"/>
    <hyperlink ref="K2192" r:id="rId18076" display="https://statiz.sporki.com/add/?m=draft_school01&amp;ps_school=50202" xr:uid="{673F4803-0BCD-4A06-BB48-10206CE011A8}"/>
    <hyperlink ref="K2193" r:id="rId18077" display="https://statiz.sporki.com/add/?m=draft_school01&amp;ps_school=50101" xr:uid="{001DC7E8-09C8-41FF-8744-392013E7D577}"/>
    <hyperlink ref="K2194" r:id="rId18078" display="https://statiz.sporki.com/add/?m=draft_school01&amp;ps_school=50208" xr:uid="{97AAA6DF-594B-4D47-82B4-FA3A1BBDB0D9}"/>
    <hyperlink ref="K2195" r:id="rId18079" display="https://statiz.sporki.com/add/?m=draft_school01&amp;ps_school=50605" xr:uid="{F2A0B754-067C-4E46-82BA-84FE2AC6E0D5}"/>
    <hyperlink ref="K2196" r:id="rId18080" display="https://statiz.sporki.com/add/?m=draft_school01&amp;ps_school=50501" xr:uid="{5AF0D643-F8E4-417A-8C5E-E781B7E319CC}"/>
    <hyperlink ref="K2197" r:id="rId18081" display="https://statiz.sporki.com/add/?m=draft_school01&amp;ps_school=50108" xr:uid="{27A1A204-4502-4288-8D26-6A3AC10558A0}"/>
    <hyperlink ref="K2198" r:id="rId18082" display="https://statiz.sporki.com/add/?m=draft_school01&amp;ps_school=50802" xr:uid="{D37E9E52-CFDB-4F39-929A-6CB154543B68}"/>
    <hyperlink ref="K2199" r:id="rId18083" display="https://statiz.sporki.com/add/?m=draft_school01&amp;ps_school=50903" xr:uid="{F2ED2B16-F8B5-4DC2-A92F-32743F6CDF6B}"/>
    <hyperlink ref="K2200" r:id="rId18084" display="https://statiz.sporki.com/add/?m=draft_school01&amp;ps_school=50208" xr:uid="{4990128B-FDA2-4769-B046-E5CCD27B88B3}"/>
    <hyperlink ref="K2201" r:id="rId18085" display="https://statiz.sporki.com/add/?m=draft_school01&amp;ps_school=50805" xr:uid="{17BB6ED3-6422-424B-AFC5-819B54AD13E7}"/>
    <hyperlink ref="K2202" r:id="rId18086" display="https://statiz.sporki.com/add/?m=draft_school01&amp;ps_school=50807" xr:uid="{08A9FA4F-70F6-405C-B19C-2B7345C4670F}"/>
    <hyperlink ref="K2203" r:id="rId18087" display="https://statiz.sporki.com/add/?m=draft_school01&amp;ps_school=50601" xr:uid="{B738D6B4-F174-4C3E-8DE2-7153278DC3DC}"/>
    <hyperlink ref="K2204" r:id="rId18088" display="https://statiz.sporki.com/add/?m=draft_school01&amp;ps_school=50110" xr:uid="{D5CD165A-5AA1-47C5-BBC6-39C099CE7D71}"/>
    <hyperlink ref="K2205" r:id="rId18089" display="https://statiz.sporki.com/add/?m=draft_school01&amp;ps_school=50705" xr:uid="{999E033E-7CDB-4170-BEB1-FAAF61449CB2}"/>
    <hyperlink ref="K2206" r:id="rId18090" display="https://statiz.sporki.com/add/?m=draft_school01&amp;ps_school=50202" xr:uid="{D5F99542-190B-482D-9E20-26717FE3F282}"/>
    <hyperlink ref="K2207" r:id="rId18091" display="https://statiz.sporki.com/add/?m=draft_school01&amp;ps_school=50403" xr:uid="{32BF733F-F262-40EC-951E-790AD02BF9C9}"/>
    <hyperlink ref="K2208" r:id="rId18092" display="https://statiz.sporki.com/add/?m=draft_school01&amp;ps_school=50604" xr:uid="{6D13C63E-59E2-4791-B7DF-7FA96B15AFBD}"/>
    <hyperlink ref="K2209" r:id="rId18093" display="https://statiz.sporki.com/add/?m=draft_school01&amp;ps_school=50209" xr:uid="{BED8F7D3-DFBB-4728-8521-D32F9E77227A}"/>
    <hyperlink ref="K2210" r:id="rId18094" display="https://statiz.sporki.com/add/?m=draft_school01&amp;ps_school=50104" xr:uid="{CCBC2311-51B4-4689-BF83-771AD5E62C84}"/>
    <hyperlink ref="K2211" r:id="rId18095" display="https://statiz.sporki.com/add/?m=draft_school01&amp;ps_school=50110" xr:uid="{0BCF6EA6-525C-4AA6-8958-6FA47D79514A}"/>
    <hyperlink ref="K2223" r:id="rId18096" display="https://statiz.sporki.com/add/?m=draft_school01&amp;ps_school=50108" xr:uid="{16DFF2E8-7D11-40AF-A275-84C55C4BAA53}"/>
    <hyperlink ref="K2224" r:id="rId18097" display="https://statiz.sporki.com/add/?m=draft_school01&amp;ps_school=50101" xr:uid="{18EC6D0F-DBFF-43EA-8D26-100D444D032E}"/>
    <hyperlink ref="K2225" r:id="rId18098" display="https://statiz.sporki.com/add/?m=draft_school01&amp;ps_school=50113" xr:uid="{1ABC10F8-4ACC-48C0-914C-D1DFBF6FB727}"/>
    <hyperlink ref="K2226" r:id="rId18099" display="https://statiz.sporki.com/add/?m=draft_school01&amp;ps_school=50113" xr:uid="{0F6F78C3-55C9-47EE-888C-00EC48C48115}"/>
    <hyperlink ref="K2227" r:id="rId18100" display="https://statiz.sporki.com/add/?m=draft_school01&amp;ps_school=50802" xr:uid="{E18BE9D7-91F8-417F-AD47-C80BD50CA628}"/>
    <hyperlink ref="K2228" r:id="rId18101" display="https://statiz.sporki.com/add/?m=draft_school01&amp;ps_school=50701" xr:uid="{9E5C22AE-9518-4284-99F0-3B22C85A5B22}"/>
    <hyperlink ref="K2229" r:id="rId18102" display="https://statiz.sporki.com/add/?m=draft_school01&amp;ps_school=50110" xr:uid="{7D78D314-9A0A-4FCB-95C8-239E8CE6FEFA}"/>
    <hyperlink ref="K2230" r:id="rId18103" display="https://statiz.sporki.com/add/?m=draft_school01&amp;ps_school=50806" xr:uid="{7016B084-4872-4F39-B8AB-47A25B5B661A}"/>
    <hyperlink ref="K2231" r:id="rId18104" display="https://statiz.sporki.com/add/?m=draft_school01&amp;ps_school=50807" xr:uid="{21ADC37A-C7B9-453D-B76E-C0F23A7AC767}"/>
    <hyperlink ref="K2232" r:id="rId18105" display="https://statiz.sporki.com/add/?m=draft_school01&amp;ps_school=50602" xr:uid="{05D5914F-422C-418E-B269-B2D25E2869B1}"/>
    <hyperlink ref="K2233" r:id="rId18106" display="https://statiz.sporki.com/add/?m=draft_school01&amp;ps_school=50108" xr:uid="{87B30C56-EBC4-4F67-8BA8-C6B03627B564}"/>
    <hyperlink ref="K2234" r:id="rId18107" display="https://statiz.sporki.com/add/?m=draft_school01&amp;ps_school=50208" xr:uid="{AD24EC6C-C0A5-4E89-9622-A9F79E9C3238}"/>
    <hyperlink ref="K2235" r:id="rId18108" display="https://statiz.sporki.com/add/?m=draft_school01&amp;ps_school=50116" xr:uid="{733CA4DC-708D-4CB1-BA52-DFBC66A82EE8}"/>
    <hyperlink ref="K2236" r:id="rId18109" display="https://statiz.sporki.com/add/?m=draft_school01&amp;ps_school=50805" xr:uid="{AC9C2D48-8DFE-406A-AC85-B8C3E956A070}"/>
    <hyperlink ref="K2237" r:id="rId18110" display="https://statiz.sporki.com/add/?m=draft_school01&amp;ps_school=50701" xr:uid="{889B3895-3896-49C1-84DF-26A09859FAA1}"/>
    <hyperlink ref="K2238" r:id="rId18111" display="https://statiz.sporki.com/add/?m=draft_school01&amp;ps_school=50402" xr:uid="{877762F5-27C4-4220-8432-5A5304964556}"/>
    <hyperlink ref="K2239" r:id="rId18112" display="https://statiz.sporki.com/add/?m=draft_school01&amp;ps_school=50807" xr:uid="{408B82E4-E20E-466D-8557-74702B3EE214}"/>
    <hyperlink ref="K2240" r:id="rId18113" display="https://statiz.sporki.com/add/?m=draft_school01&amp;ps_school=50110" xr:uid="{65EEACF8-ED21-4DF5-8687-211C33EF8B9F}"/>
    <hyperlink ref="K2241" r:id="rId18114" display="https://statiz.sporki.com/add/?m=draft_school01&amp;ps_school=50805" xr:uid="{7DEB40CB-8CB4-4A2F-BD35-DF5686208FF5}"/>
    <hyperlink ref="K2242" r:id="rId18115" display="https://statiz.sporki.com/add/?m=draft_school01&amp;ps_school=50902" xr:uid="{28662D6F-108E-4338-B9E2-8D8697467C85}"/>
    <hyperlink ref="K2243" r:id="rId18116" display="https://statiz.sporki.com/add/?m=draft_school01&amp;ps_school=50101" xr:uid="{E4745FD5-E048-4BA5-84E4-091562090AB8}"/>
    <hyperlink ref="K2244" r:id="rId18117" display="https://statiz.sporki.com/add/?m=draft_school01&amp;ps_school=50207" xr:uid="{21876F2E-8E7D-4961-AEEE-40572BA542BA}"/>
    <hyperlink ref="K2245" r:id="rId18118" display="https://statiz.sporki.com/add/?m=draft_school01&amp;ps_school=50805" xr:uid="{37A265A4-DFD4-472B-986F-BAD7384124D5}"/>
    <hyperlink ref="K2246" r:id="rId18119" display="https://statiz.sporki.com/add/?m=draft_school01&amp;ps_school=50702" xr:uid="{F816DF7A-F20A-462C-B18E-08F9D9F1621E}"/>
    <hyperlink ref="K2247" r:id="rId18120" display="https://statiz.sporki.com/add/?m=draft_school01&amp;ps_school=50601" xr:uid="{839A1917-FA7F-449C-9035-EE6366A14A35}"/>
    <hyperlink ref="K2248" r:id="rId18121" display="https://statiz.sporki.com/add/?m=draft_school01&amp;ps_school=50705" xr:uid="{5BAF546D-8B60-452F-BCB4-194530DDAE50}"/>
    <hyperlink ref="K2249" r:id="rId18122" display="https://statiz.sporki.com/add/?m=draft_school01&amp;ps_school=50301" xr:uid="{6F084B71-B78F-4536-A116-093E49411B58}"/>
    <hyperlink ref="K2250" r:id="rId18123" display="https://statiz.sporki.com/add/?m=draft_school01&amp;ps_school=50805" xr:uid="{6FE531EC-6122-4167-ACAA-07CE61B227C1}"/>
    <hyperlink ref="K2251" r:id="rId18124" display="https://statiz.sporki.com/add/?m=draft_school01&amp;ps_school=50303" xr:uid="{B537F6D2-5FCC-4662-AE27-46465831487D}"/>
    <hyperlink ref="K2252" r:id="rId18125" display="https://statiz.sporki.com/add/?m=draft_school01&amp;ps_school=50115" xr:uid="{19874FF8-BD17-4CFA-92EB-903A51C479E4}"/>
    <hyperlink ref="K2253" r:id="rId18126" display="https://statiz.sporki.com/add/?m=draft_school01&amp;ps_school=50102" xr:uid="{332CDC46-8D5B-4B78-BFFD-89827A3B5541}"/>
    <hyperlink ref="K2254" r:id="rId18127" display="https://statiz.sporki.com/add/?m=draft_school01&amp;ps_school=50116" xr:uid="{4FF71939-8E5B-4D9C-B3D2-689D553BEE9B}"/>
    <hyperlink ref="K2255" r:id="rId18128" display="https://statiz.sporki.com/add/?m=draft_school01&amp;ps_school=50803" xr:uid="{F6E3D0FE-B675-4B7F-A7F8-9B91E5FF3A31}"/>
    <hyperlink ref="K2256" r:id="rId18129" display="https://statiz.sporki.com/add/?m=draft_school01&amp;ps_school=50203" xr:uid="{1359D0E0-84BF-449D-AD51-BEEB24EDBB87}"/>
    <hyperlink ref="K2257" r:id="rId18130" display="https://statiz.sporki.com/add/?m=draft_school01&amp;ps_school=50207" xr:uid="{A2EA70CC-371C-4093-9031-74722DFC0EA2}"/>
    <hyperlink ref="K2258" r:id="rId18131" display="https://statiz.sporki.com/add/?m=draft_school01&amp;ps_school=50202" xr:uid="{F14CD746-BCA9-4F3A-A0AE-596A919309AE}"/>
    <hyperlink ref="K2259" r:id="rId18132" display="https://statiz.sporki.com/add/?m=draft_school01&amp;ps_school=50812" xr:uid="{30C09A5D-0572-455B-B2C3-8A4F9C9A8BB5}"/>
    <hyperlink ref="K2260" r:id="rId18133" display="https://statiz.sporki.com/add/?m=draft_school01&amp;ps_school=50901" xr:uid="{74F804E0-1E66-439C-8B2B-66D15A25EFF6}"/>
    <hyperlink ref="K2261" r:id="rId18134" display="https://statiz.sporki.com/add/?m=draft_school01&amp;ps_school=50113" xr:uid="{17BDA921-C548-4781-851D-921CF8927DCF}"/>
    <hyperlink ref="K2262" r:id="rId18135" display="https://statiz.sporki.com/add/?m=draft_school01&amp;ps_school=50606" xr:uid="{CBCBB3EB-141B-4ACB-80FC-DA4E3477C3C5}"/>
    <hyperlink ref="K2263" r:id="rId18136" display="https://statiz.sporki.com/add/?m=draft_school01&amp;ps_school=50809" xr:uid="{74532726-0642-47EF-8AA3-A143F91965DC}"/>
    <hyperlink ref="K2264" r:id="rId18137" display="https://statiz.sporki.com/add/?m=draft_school01&amp;ps_school=50805" xr:uid="{74CF875C-AEFF-4E71-94BA-A95950F9ACAE}"/>
    <hyperlink ref="K2265" r:id="rId18138" display="https://statiz.sporki.com/add/?m=draft_school01&amp;ps_school=50403" xr:uid="{9938BED1-DCAF-4D51-B363-5BE056758A8C}"/>
    <hyperlink ref="K2266" r:id="rId18139" display="https://statiz.sporki.com/add/?m=draft_school01&amp;ps_school=50812" xr:uid="{44D02E83-E73A-4704-83AB-BF2142839309}"/>
    <hyperlink ref="K2267" r:id="rId18140" display="https://statiz.sporki.com/add/?m=draft_school01&amp;ps_school=50107" xr:uid="{FE1D01C4-E7E5-4CBA-B761-CA2EE2A9D21B}"/>
    <hyperlink ref="K2268" r:id="rId18141" display="https://statiz.sporki.com/add/?m=draft_school01&amp;ps_school=50401" xr:uid="{0F95681E-9CA7-42A7-B1B0-F101820E3733}"/>
    <hyperlink ref="K2269" r:id="rId18142" display="https://statiz.sporki.com/add/?m=draft_school01&amp;ps_school=50108" xr:uid="{9D60E84C-6D5A-4B5D-AF46-3D8000036BE0}"/>
    <hyperlink ref="K2270" r:id="rId18143" display="https://statiz.sporki.com/add/?m=draft_school01&amp;ps_school=50601" xr:uid="{CC94096E-F111-456D-91BE-758FF003D823}"/>
    <hyperlink ref="K2271" r:id="rId18144" display="https://statiz.sporki.com/add/?m=draft_school01&amp;ps_school=50301" xr:uid="{53EF07FE-A885-4049-B6C3-391F3DCECF85}"/>
    <hyperlink ref="K2272" r:id="rId18145" display="https://statiz.sporki.com/add/?m=draft_school01&amp;ps_school=50115" xr:uid="{DA1A6026-1F32-44B5-A9A8-926822151BF7}"/>
    <hyperlink ref="K2273" r:id="rId18146" display="https://statiz.sporki.com/add/?m=draft_school01&amp;ps_school=50804" xr:uid="{918AA0EC-4CCA-4215-9CE3-489486E5D26B}"/>
    <hyperlink ref="K2274" r:id="rId18147" display="https://statiz.sporki.com/add/?m=draft_school01&amp;ps_school=50403" xr:uid="{E5F0C4B3-107D-48D7-B014-68A56BE92D40}"/>
    <hyperlink ref="K2275" r:id="rId18148" display="https://statiz.sporki.com/add/?m=draft_school01&amp;ps_school=50804" xr:uid="{FB08F5E7-77D4-4D2E-92FC-9B146DF9E37B}"/>
    <hyperlink ref="K2276" r:id="rId18149" display="https://statiz.sporki.com/add/?m=draft_school01&amp;ps_school=50107" xr:uid="{5CFDCB06-CCD3-47D5-A2C6-7C422370479F}"/>
    <hyperlink ref="K2294" r:id="rId18150" display="https://statiz.sporki.com/add/?m=draft_school01&amp;ps_school=50201" xr:uid="{66428320-AC07-4046-AC38-3B17DC007B04}"/>
    <hyperlink ref="K2295" r:id="rId18151" display="https://statiz.sporki.com/add/?m=draft_school01&amp;ps_school=50110" xr:uid="{DC252FEE-B057-4A0D-8179-461B783C2710}"/>
    <hyperlink ref="K2296" r:id="rId18152" display="https://statiz.sporki.com/add/?m=draft_school01&amp;ps_school=50602" xr:uid="{22D031A0-41C9-4D42-AE6A-CC594D8BCCED}"/>
    <hyperlink ref="K2297" r:id="rId18153" display="https://statiz.sporki.com/add/?m=draft_school01&amp;ps_school=50303" xr:uid="{2034EB3F-2565-4029-8B2E-BEE81FB656AE}"/>
    <hyperlink ref="K2298" r:id="rId18154" display="https://statiz.sporki.com/add/?m=draft_school01&amp;ps_school=50110" xr:uid="{6D204F14-20A7-4C01-A9AB-417EE37B3D84}"/>
    <hyperlink ref="K2299" r:id="rId18155" display="https://statiz.sporki.com/add/?m=draft_school01&amp;ps_school=50201" xr:uid="{9659916D-546D-46AA-92D8-AAFA915FB4D3}"/>
    <hyperlink ref="K2300" r:id="rId18156" display="https://statiz.sporki.com/add/?m=draft_school01&amp;ps_school=50602" xr:uid="{EE697ECE-66FD-4452-A42E-FC07D864BFFA}"/>
    <hyperlink ref="K2301" r:id="rId18157" display="https://statiz.sporki.com/add/?m=draft_school01&amp;ps_school=50204" xr:uid="{ABAD0702-4AFA-4C72-A2D5-C2D898A15769}"/>
    <hyperlink ref="K2302" r:id="rId18158" display="https://statiz.sporki.com/add/?m=draft_school01&amp;ps_school=50113" xr:uid="{B16B0AF9-73FA-409D-B637-C013322B9644}"/>
    <hyperlink ref="K2303" r:id="rId18159" display="https://statiz.sporki.com/add/?m=draft_school01&amp;ps_school=50112" xr:uid="{970DE8F4-B484-4D65-B9A8-61F3F99C46A3}"/>
    <hyperlink ref="K2304" r:id="rId18160" display="https://statiz.sporki.com/add/?m=draft_school01&amp;ps_school=50601" xr:uid="{A42AFB3C-111C-4600-BCF2-DCE21B28BD1A}"/>
    <hyperlink ref="K2305" r:id="rId18161" display="https://statiz.sporki.com/add/?m=draft_school01&amp;ps_school=50105" xr:uid="{6ACBA55F-8269-4ED7-8B60-BA392D4666A8}"/>
    <hyperlink ref="K2306" r:id="rId18162" display="https://statiz.sporki.com/add/?m=draft_school01&amp;ps_school=50206" xr:uid="{F15FEB7E-2188-4A62-BA7C-0F6885AAECD9}"/>
    <hyperlink ref="K2307" r:id="rId18163" display="https://statiz.sporki.com/add/?m=draft_school01&amp;ps_school=50112" xr:uid="{5C41AD03-2091-4AFE-80EC-55D4F39E1999}"/>
    <hyperlink ref="K2308" r:id="rId18164" display="https://statiz.sporki.com/add/?m=draft_school01&amp;ps_school=50805" xr:uid="{7FFFBD43-581C-40AD-9ADD-06AD87636338}"/>
    <hyperlink ref="K2309" r:id="rId18165" display="https://statiz.sporki.com/add/?m=draft_school01&amp;ps_school=50703" xr:uid="{DEBA725F-DF64-4ADC-A67F-7E679C38960B}"/>
    <hyperlink ref="K2310" r:id="rId18166" display="https://statiz.sporki.com/add/?m=draft_school01&amp;ps_school=50403" xr:uid="{ACE1F41D-8CD4-46D7-8969-D3618C1D0675}"/>
    <hyperlink ref="K2311" r:id="rId18167" display="https://statiz.sporki.com/add/?m=draft_school01&amp;ps_school=50801" xr:uid="{2D1C95CB-9AA7-4EC8-9828-E96C32B3AD65}"/>
    <hyperlink ref="K2312" r:id="rId18168" display="https://statiz.sporki.com/add/?m=draft_school01&amp;ps_school=50606" xr:uid="{E64CFD9A-08F9-42AF-9B61-3988B922F39C}"/>
    <hyperlink ref="K2313" r:id="rId18169" display="https://statiz.sporki.com/add/?m=draft_school01&amp;ps_school=50301" xr:uid="{6A8B466C-285A-4541-8AC4-B43E8E1A87FA}"/>
    <hyperlink ref="K2314" r:id="rId18170" display="https://statiz.sporki.com/add/?m=draft_school01&amp;ps_school=50109" xr:uid="{9CBAFEAB-D04A-4A7A-B4E0-5A88148C2B71}"/>
    <hyperlink ref="K2315" r:id="rId18171" display="https://statiz.sporki.com/add/?m=draft_school01&amp;ps_school=50805" xr:uid="{055E014B-F2A0-4EBF-87C8-0BF80D36E1A8}"/>
    <hyperlink ref="K2316" r:id="rId18172" display="https://statiz.sporki.com/add/?m=draft_school01&amp;ps_school=50113" xr:uid="{67A5C1AA-601E-4BDF-A86D-E946B9EDCB94}"/>
    <hyperlink ref="K2317" r:id="rId18173" display="https://statiz.sporki.com/add/?m=draft_school01&amp;ps_school=50303" xr:uid="{6726442B-4F39-4EDC-9B92-10BE4B9048A8}"/>
    <hyperlink ref="K2318" r:id="rId18174" display="https://statiz.sporki.com/add/?m=draft_school01&amp;ps_school=50601" xr:uid="{B2EDD625-C908-4194-A977-65D0D71AA024}"/>
    <hyperlink ref="K2319" r:id="rId18175" display="https://statiz.sporki.com/add/?m=draft_school01&amp;ps_school=50805" xr:uid="{4B438781-54B9-4046-B745-B6C41D5294FF}"/>
    <hyperlink ref="K2320" r:id="rId18176" display="https://statiz.sporki.com/add/?m=draft_school01&amp;ps_school=50104" xr:uid="{87AAC395-AA21-4025-8FC3-13A444910337}"/>
    <hyperlink ref="K2321" r:id="rId18177" display="https://statiz.sporki.com/add/?m=draft_school01&amp;ps_school=50804" xr:uid="{8225B9FF-F97C-4CE0-9483-A82EC9251813}"/>
    <hyperlink ref="K2322" r:id="rId18178" display="https://statiz.sporki.com/add/?m=draft_school01&amp;ps_school=50102" xr:uid="{A918BADD-2897-4C91-872F-16FC9876B80C}"/>
    <hyperlink ref="K2323" r:id="rId18179" display="https://statiz.sporki.com/add/?m=draft_school01&amp;ps_school=50609" xr:uid="{E0CA3BBA-B696-4AEF-AA34-80B34D4C9338}"/>
    <hyperlink ref="K2324" r:id="rId18180" display="https://statiz.sporki.com/add/?m=draft_school01&amp;ps_school=50805" xr:uid="{1CC154F1-D129-4027-970E-AD7B5A44A364}"/>
    <hyperlink ref="K2325" r:id="rId18181" display="https://statiz.sporki.com/add/?m=draft_school01&amp;ps_school=50104" xr:uid="{CC3C54C1-5377-4057-9AEB-170724331898}"/>
    <hyperlink ref="K2326" r:id="rId18182" display="https://statiz.sporki.com/add/?m=draft_school01&amp;ps_school=50111" xr:uid="{EAF12EDE-8561-44DC-9560-B2CA77469CC0}"/>
    <hyperlink ref="K2327" r:id="rId18183" display="https://statiz.sporki.com/add/?m=draft_school01&amp;ps_school=50706" xr:uid="{56BCD0DB-D13F-4B32-996D-FEB301F681DF}"/>
    <hyperlink ref="K2328" r:id="rId18184" display="https://statiz.sporki.com/add/?m=draft_school01&amp;ps_school=50401" xr:uid="{1DA7F1CD-2A74-427D-AFDD-B0B2E75F26EB}"/>
    <hyperlink ref="K2329" r:id="rId18185" display="https://statiz.sporki.com/add/?m=draft_school01&amp;ps_school=50401" xr:uid="{C9EDE2B8-175F-4870-9842-5C7A96B15633}"/>
    <hyperlink ref="K2330" r:id="rId18186" display="https://statiz.sporki.com/add/?m=draft_school01&amp;ps_school=50201" xr:uid="{755EDCAD-47AE-41CA-B402-F524DE4A5352}"/>
    <hyperlink ref="K2331" r:id="rId18187" display="https://statiz.sporki.com/add/?m=draft_school01&amp;ps_school=50605" xr:uid="{85CA1FE4-8F93-46E0-9B6A-09C6E8B0719A}"/>
    <hyperlink ref="K2332" r:id="rId18188" display="https://statiz.sporki.com/add/?m=draft_school01&amp;ps_school=50604" xr:uid="{3A182EEE-A7B0-456B-8C53-0D68AEB39AB4}"/>
    <hyperlink ref="K2333" r:id="rId18189" display="https://statiz.sporki.com/add/?m=draft_school01&amp;ps_school=50303" xr:uid="{AB65DC93-1738-4CA8-9C7C-8368F3087E3B}"/>
    <hyperlink ref="K2334" r:id="rId18190" display="https://statiz.sporki.com/add/?m=draft_school01&amp;ps_school=50206" xr:uid="{6330B88C-5F9F-4EBE-B126-7CBD3A74C9B3}"/>
    <hyperlink ref="K2335" r:id="rId18191" display="https://statiz.sporki.com/add/?m=draft_school01&amp;ps_school=50701" xr:uid="{289AE17D-7715-4AF8-A848-65A0C9A9CFE7}"/>
    <hyperlink ref="K2336" r:id="rId18192" display="https://statiz.sporki.com/add/?m=draft_school01&amp;ps_school=50602" xr:uid="{912C644F-1170-469F-9340-47AA199A4942}"/>
    <hyperlink ref="K2337" r:id="rId18193" display="https://statiz.sporki.com/add/?m=draft_school01&amp;ps_school=50702" xr:uid="{7085CF43-431F-44EC-8CB4-5272A3A1015D}"/>
    <hyperlink ref="K2338" r:id="rId18194" display="https://statiz.sporki.com/add/?m=draft_school01&amp;ps_school=50116" xr:uid="{B56F5D82-BC81-4F1B-B5F2-4C441AB76CDD}"/>
    <hyperlink ref="K2339" r:id="rId18195" display="https://statiz.sporki.com/add/?m=draft_school01&amp;ps_school=50104" xr:uid="{7CD7E935-318C-4E1E-8B19-68A39FB5AD63}"/>
    <hyperlink ref="K2340" r:id="rId18196" display="https://statiz.sporki.com/add/?m=draft_school01&amp;ps_school=50110" xr:uid="{9D5364E7-3A7A-4A00-8B7A-007B1D4917F9}"/>
    <hyperlink ref="K2341" r:id="rId18197" display="https://statiz.sporki.com/add/?m=draft_school01&amp;ps_school=50701" xr:uid="{FFE30046-BDC6-4B00-8267-827B60BED19A}"/>
    <hyperlink ref="K2342" r:id="rId18198" display="https://statiz.sporki.com/add/?m=draft_school01&amp;ps_school=50602" xr:uid="{54747B14-3CFA-43A5-97CC-6324F4A686FA}"/>
    <hyperlink ref="K2343" r:id="rId18199" display="https://statiz.sporki.com/add/?m=draft_school01&amp;ps_school=50501" xr:uid="{E37F3836-AE83-4CF8-913F-001BCB37B333}"/>
    <hyperlink ref="K2344" r:id="rId18200" display="https://statiz.sporki.com/add/?m=draft_school01&amp;ps_school=50807" xr:uid="{4A603A68-DE6E-4B1F-8C21-B08897794566}"/>
    <hyperlink ref="K2345" r:id="rId18201" display="https://statiz.sporki.com/add/?m=draft_school01&amp;ps_school=50204" xr:uid="{0E81B745-E9F1-4BDD-9A4B-A1BDFF451AC9}"/>
    <hyperlink ref="K2346" r:id="rId18202" display="https://statiz.sporki.com/add/?m=draft_school01&amp;ps_school=50105" xr:uid="{B48B974F-D1F5-42F7-9E41-55362275245A}"/>
    <hyperlink ref="K2347" r:id="rId18203" display="https://statiz.sporki.com/add/?m=draft_school01&amp;ps_school=50601" xr:uid="{26EF8F5D-7546-4AB0-8423-F5A7E34C2C67}"/>
    <hyperlink ref="K2348" r:id="rId18204" display="https://statiz.sporki.com/add/?m=draft_school01&amp;ps_school=50203" xr:uid="{66C10CE9-9142-4B67-A356-4685802E457B}"/>
    <hyperlink ref="K2349" r:id="rId18205" display="https://statiz.sporki.com/add/?m=draft_school01&amp;ps_school=50109" xr:uid="{FFA157CE-E60A-4444-A25B-EB8142FB3FE0}"/>
    <hyperlink ref="K2350" r:id="rId18206" display="https://statiz.sporki.com/add/?m=draft_school01&amp;ps_school=50705" xr:uid="{B38A7F0A-7042-43EC-9253-195DBC712EA9}"/>
    <hyperlink ref="K2351" r:id="rId18207" display="https://statiz.sporki.com/add/?m=draft_school01&amp;ps_school=50104" xr:uid="{81BA0686-D722-4C20-9191-AA314AD707A9}"/>
    <hyperlink ref="K2352" r:id="rId18208" display="https://statiz.sporki.com/add/?m=draft_school01&amp;ps_school=50702" xr:uid="{CFC4FB01-2D69-42FE-B417-13CDB94BB700}"/>
    <hyperlink ref="K2364" r:id="rId18209" display="https://statiz.sporki.com/add/?m=draft_school01&amp;ps_school=50901" xr:uid="{7987B2F0-0343-44EE-961E-0A65DD607601}"/>
    <hyperlink ref="K2365" r:id="rId18210" display="https://statiz.sporki.com/add/?m=draft_school01&amp;ps_school=50201" xr:uid="{15ADF254-1ADC-4277-B6F8-A286AAE4E9D8}"/>
    <hyperlink ref="K2366" r:id="rId18211" display="https://statiz.sporki.com/add/?m=draft_school01&amp;ps_school=50805" xr:uid="{AC8F3170-8067-4031-926D-04339F7EEB74}"/>
    <hyperlink ref="K2367" r:id="rId18212" display="https://statiz.sporki.com/add/?m=draft_school01&amp;ps_school=50604" xr:uid="{15B785E5-99E8-47FD-B39C-81A0718B0968}"/>
    <hyperlink ref="K2368" r:id="rId18213" display="https://statiz.sporki.com/add/?m=draft_school01&amp;ps_school=50108" xr:uid="{4FF78518-6A0C-48EA-AE33-E5FD81FB322F}"/>
    <hyperlink ref="K2369" r:id="rId18214" display="https://statiz.sporki.com/add/?m=draft_school01&amp;ps_school=50602" xr:uid="{80D2E92F-668F-45FD-B9EC-50AACF662F42}"/>
    <hyperlink ref="K2370" r:id="rId18215" display="https://statiz.sporki.com/add/?m=draft_school01&amp;ps_school=50108" xr:uid="{467F7CEF-A6DF-491D-9CB9-CC8B12F71EB1}"/>
    <hyperlink ref="K2371" r:id="rId18216" display="https://statiz.sporki.com/add/?m=draft_school01&amp;ps_school=50108" xr:uid="{F8CCDED6-9423-4C34-96A9-A727E5C047CF}"/>
    <hyperlink ref="K2372" r:id="rId18217" display="https://statiz.sporki.com/add/?m=draft_school01&amp;ps_school=50802" xr:uid="{6C7A2184-3E05-4EC6-BC47-EA9BDE5AB8FE}"/>
    <hyperlink ref="K2373" r:id="rId18218" display="https://statiz.sporki.com/add/?m=draft_school01&amp;ps_school=50202" xr:uid="{CBA648FF-0B28-486D-B4A0-DB663FFAA3F2}"/>
    <hyperlink ref="K2374" r:id="rId18219" display="https://statiz.sporki.com/add/?m=draft_school01&amp;ps_school=50403" xr:uid="{F8CF1B32-A8A6-4C7B-8B47-BAC6EE5D5518}"/>
    <hyperlink ref="K2375" r:id="rId18220" display="https://statiz.sporki.com/add/?m=draft_school01&amp;ps_school=50602" xr:uid="{C2A9A10F-EC5E-4268-9A2B-E4F733DD97BE}"/>
    <hyperlink ref="K2376" r:id="rId18221" display="https://statiz.sporki.com/add/?m=draft_school01&amp;ps_school=50606" xr:uid="{3BFDB2EB-BE79-4F9F-8199-BE356C4EC401}"/>
    <hyperlink ref="K2377" r:id="rId18222" display="https://statiz.sporki.com/add/?m=draft_school01&amp;ps_school=50101" xr:uid="{2FC0C6FA-F07C-42E5-B316-A9FF108166AC}"/>
    <hyperlink ref="K2378" r:id="rId18223" display="https://statiz.sporki.com/add/?m=draft_school01&amp;ps_school=50116" xr:uid="{212CB2A5-3147-4969-828D-D95DE15F3CC5}"/>
    <hyperlink ref="K2379" r:id="rId18224" display="https://statiz.sporki.com/add/?m=draft_school01&amp;ps_school=50604" xr:uid="{353AF754-CB7E-4F8C-A5D2-2021D3E76B49}"/>
    <hyperlink ref="K2380" r:id="rId18225" display="https://statiz.sporki.com/add/?m=draft_school01&amp;ps_school=50805" xr:uid="{F0E39585-D7C8-4E5A-B4CA-62C8EFFB0571}"/>
    <hyperlink ref="K2381" r:id="rId18226" display="https://statiz.sporki.com/add/?m=draft_school01&amp;ps_school=50403" xr:uid="{3C27D924-CCEA-4C7E-822D-D35534AB934F}"/>
    <hyperlink ref="K2382" r:id="rId18227" display="https://statiz.sporki.com/add/?m=draft_school01&amp;ps_school=50402" xr:uid="{D70E1847-42EB-40E2-83B5-C48FBB83343C}"/>
    <hyperlink ref="K2383" r:id="rId18228" display="https://statiz.sporki.com/add/?m=draft_school01&amp;ps_school=50107" xr:uid="{2BD7EFCA-FF2A-43CC-947B-8FC594B6C01C}"/>
    <hyperlink ref="K2384" r:id="rId18229" display="https://statiz.sporki.com/add/?m=draft_school01&amp;ps_school=50602" xr:uid="{48AA2E45-0C38-46D6-AA0E-EF1F46645FF1}"/>
    <hyperlink ref="K2385" r:id="rId18230" display="https://statiz.sporki.com/add/?m=draft_school01&amp;ps_school=50202" xr:uid="{3D3D06B3-ADA1-45E5-986B-6EC8647940FB}"/>
    <hyperlink ref="K2386" r:id="rId18231" display="https://statiz.sporki.com/add/?m=draft_school01&amp;ps_school=50113" xr:uid="{BB867382-30B7-4E85-989D-6AFE1E9CE4AA}"/>
    <hyperlink ref="K2387" r:id="rId18232" display="https://statiz.sporki.com/add/?m=draft_school01&amp;ps_school=50403" xr:uid="{EA143C31-6658-4852-9C0B-CA93562A20C1}"/>
    <hyperlink ref="K2388" r:id="rId18233" display="https://statiz.sporki.com/add/?m=draft_school01&amp;ps_school=50609" xr:uid="{D119FA15-E69C-40E9-9B16-BEA825164A05}"/>
    <hyperlink ref="K2389" r:id="rId18234" display="https://statiz.sporki.com/add/?m=draft_school01&amp;ps_school=50805" xr:uid="{C635784C-F238-4AFE-B340-EACDE3740F51}"/>
    <hyperlink ref="K2390" r:id="rId18235" display="https://statiz.sporki.com/add/?m=draft_school01&amp;ps_school=50116" xr:uid="{A1F21222-5AA4-4291-9D71-631A0A74407D}"/>
    <hyperlink ref="K2391" r:id="rId18236" display="https://statiz.sporki.com/add/?m=draft_school01&amp;ps_school=50602" xr:uid="{858F1E76-30A8-46ED-B2F2-55276AE19E0C}"/>
    <hyperlink ref="K2392" r:id="rId18237" display="https://statiz.sporki.com/add/?m=draft_school01&amp;ps_school=50805" xr:uid="{2C98B134-2115-4BC5-B22C-193D19D6CC70}"/>
    <hyperlink ref="K2393" r:id="rId18238" display="https://statiz.sporki.com/add/?m=draft_school01&amp;ps_school=50702" xr:uid="{96EAF740-B370-4938-8674-5A9C0976F3FD}"/>
    <hyperlink ref="K2394" r:id="rId18239" display="https://statiz.sporki.com/add/?m=draft_school01&amp;ps_school=50107" xr:uid="{2B66B017-E5F7-4B7B-8E59-CBB756AF98D2}"/>
    <hyperlink ref="K2395" r:id="rId18240" display="https://statiz.sporki.com/add/?m=draft_school01&amp;ps_school=50702" xr:uid="{273B8E15-4A5F-42ED-8719-0C4AF909340E}"/>
    <hyperlink ref="K2396" r:id="rId18241" display="https://statiz.sporki.com/add/?m=draft_school01&amp;ps_school=50402" xr:uid="{144FF16F-2C20-4726-A1CF-72C85F65A603}"/>
    <hyperlink ref="K2397" r:id="rId18242" display="https://statiz.sporki.com/add/?m=draft_school01&amp;ps_school=50803" xr:uid="{D246FDB2-C7E8-415E-AEED-AAE49CE1C9F7}"/>
    <hyperlink ref="K2398" r:id="rId18243" display="https://statiz.sporki.com/add/?m=draft_school01&amp;ps_school=50107" xr:uid="{159C2AF1-6404-464C-B2A9-2DAB065B8D08}"/>
    <hyperlink ref="K2399" r:id="rId18244" display="https://statiz.sporki.com/add/?m=draft_school01&amp;ps_school=50201" xr:uid="{24CFBE76-7EEC-4BF1-85FE-852549C9856B}"/>
    <hyperlink ref="K2400" r:id="rId18245" display="https://statiz.sporki.com/add/?m=draft_school01&amp;ps_school=50105" xr:uid="{CB95847D-33CC-4D21-A3EF-BE6D6EA41AD8}"/>
    <hyperlink ref="K2401" r:id="rId18246" display="https://statiz.sporki.com/add/?m=draft_school01&amp;ps_school=50106" xr:uid="{76D7F45D-73E2-483A-B570-1B3CB0FD0AFA}"/>
    <hyperlink ref="K2402" r:id="rId18247" display="https://statiz.sporki.com/add/?m=draft_school01&amp;ps_school=50107" xr:uid="{586A6D97-FEFE-4AC4-B69E-E6F391EB5DAB}"/>
    <hyperlink ref="K2403" r:id="rId18248" display="https://statiz.sporki.com/add/?m=draft_school01&amp;ps_school=50606" xr:uid="{060D07EE-C3FA-4B3E-A5D5-A50C0B076419}"/>
    <hyperlink ref="K2404" r:id="rId18249" display="https://statiz.sporki.com/add/?m=draft_school01&amp;ps_school=50606" xr:uid="{A6925795-F5CC-472B-99AF-D8A259B4DCDB}"/>
    <hyperlink ref="K2405" r:id="rId18250" display="https://statiz.sporki.com/add/?m=draft_school01&amp;ps_school=50802" xr:uid="{268FBCAA-EAC2-44FB-8ABD-802DBE252723}"/>
    <hyperlink ref="K2406" r:id="rId18251" display="https://statiz.sporki.com/add/?m=draft_school01&amp;ps_school=50106" xr:uid="{A9C5C796-D21A-4BF7-BD2D-A0D3B46C7736}"/>
    <hyperlink ref="K2407" r:id="rId18252" display="https://statiz.sporki.com/add/?m=draft_school01&amp;ps_school=50207" xr:uid="{2DF3B80C-F211-4505-A9DD-EE596DE35014}"/>
    <hyperlink ref="K2408" r:id="rId18253" display="https://statiz.sporki.com/add/?m=draft_school01&amp;ps_school=50402" xr:uid="{14879571-97BC-48D9-9F33-2F5E149432F5}"/>
    <hyperlink ref="K2409" r:id="rId18254" display="https://statiz.sporki.com/add/?m=draft_school01&amp;ps_school=50602" xr:uid="{9D709227-0010-45C6-B576-D051037C7AB3}"/>
    <hyperlink ref="K2410" r:id="rId18255" display="https://statiz.sporki.com/add/?m=draft_school01&amp;ps_school=50606" xr:uid="{D9BF1E77-EE5A-4612-B353-539B19CC0CC3}"/>
    <hyperlink ref="K2412" r:id="rId18256" display="https://statiz.sporki.com/add/?m=draft_school01&amp;ps_school=51100" xr:uid="{6EE065DC-50B0-484D-A731-84A6BD259C2C}"/>
    <hyperlink ref="K2428" r:id="rId18257" display="https://statiz.sporki.com/add/?m=draft_school01&amp;ps_school=50502" xr:uid="{831A896B-3742-430B-B646-8F886EE37B88}"/>
    <hyperlink ref="K2429" r:id="rId18258" display="https://statiz.sporki.com/add/?m=draft_school01&amp;ps_school=50112" xr:uid="{912AC78C-71AD-4CA0-9F47-E482CA5E6EFF}"/>
    <hyperlink ref="K2430" r:id="rId18259" display="https://statiz.sporki.com/add/?m=draft_school01&amp;ps_school=50606" xr:uid="{487DB026-0D5F-4586-BF18-D3BD12E6ED5D}"/>
    <hyperlink ref="K2431" r:id="rId18260" display="https://statiz.sporki.com/add/?m=draft_school01&amp;ps_school=50606" xr:uid="{78C056C5-143B-4B64-B852-23F26DCC486B}"/>
    <hyperlink ref="K2433" r:id="rId18261" display="https://statiz.sporki.com/add/?m=draft_school01&amp;ps_school=50402" xr:uid="{E055E74B-7EFA-43D5-8A6A-99901A5A7A8E}"/>
    <hyperlink ref="K2434" r:id="rId18262" display="https://statiz.sporki.com/add/?m=draft_school01&amp;ps_school=50109" xr:uid="{20ED9595-4EAE-4D4F-A54E-FB62D9F44A39}"/>
    <hyperlink ref="K2435" r:id="rId18263" display="https://statiz.sporki.com/add/?m=draft_school01&amp;ps_school=50108" xr:uid="{D87A600D-C311-499B-9440-53678CAFCF19}"/>
    <hyperlink ref="K2436" r:id="rId18264" display="https://statiz.sporki.com/add/?m=draft_school01&amp;ps_school=50109" xr:uid="{EEB20BCF-EAB0-49EB-A804-ACCA6D0C7C7C}"/>
    <hyperlink ref="K2437" r:id="rId18265" display="https://statiz.sporki.com/add/?m=draft_school01&amp;ps_school=50802" xr:uid="{E156C352-9B6B-4CD0-ABDF-FF984CC1FED8}"/>
    <hyperlink ref="K2438" r:id="rId18266" display="https://statiz.sporki.com/add/?m=draft_school01&amp;ps_school=50303" xr:uid="{4DC5B027-C9F2-43F1-9995-43F28FEEC894}"/>
    <hyperlink ref="K2439" r:id="rId18267" display="https://statiz.sporki.com/add/?m=draft_school01&amp;ps_school=50208" xr:uid="{88C67B86-2AC6-413B-B6EF-9BEA4778386D}"/>
    <hyperlink ref="K2440" r:id="rId18268" display="https://statiz.sporki.com/add/?m=draft_school01&amp;ps_school=50604" xr:uid="{5107D0ED-4ABF-4FE0-B8D0-0EC91F9DDAE6}"/>
    <hyperlink ref="K2441" r:id="rId18269" display="https://statiz.sporki.com/add/?m=draft_school01&amp;ps_school=50706" xr:uid="{7C6DEAE8-61D4-4574-A803-99D5F90D1F9C}"/>
    <hyperlink ref="K2442" r:id="rId18270" display="https://statiz.sporki.com/add/?m=draft_school01&amp;ps_school=50115" xr:uid="{BB463CBE-4FB9-465C-91DA-D52725B566A0}"/>
    <hyperlink ref="K2443" r:id="rId18271" display="https://statiz.sporki.com/add/?m=draft_school01&amp;ps_school=50601" xr:uid="{F4231722-C518-496E-A04B-092BD7C5CB22}"/>
    <hyperlink ref="K2444" r:id="rId18272" display="https://statiz.sporki.com/add/?m=draft_school01&amp;ps_school=50502" xr:uid="{927147F5-46B0-40F2-9EEE-2DE1D4A29A03}"/>
    <hyperlink ref="K2445" r:id="rId18273" display="https://statiz.sporki.com/add/?m=draft_school01&amp;ps_school=50209" xr:uid="{A9BD874F-FCAB-4125-BC24-95EB8013A8D9}"/>
    <hyperlink ref="K2446" r:id="rId18274" display="https://statiz.sporki.com/add/?m=draft_school01&amp;ps_school=50703" xr:uid="{D02E517E-7442-443B-8923-A70CA42FFA06}"/>
    <hyperlink ref="K2447" r:id="rId18275" display="https://statiz.sporki.com/add/?m=draft_school01&amp;ps_school=50101" xr:uid="{276AFCEA-2C3E-4173-BEC6-B66E508A4B6D}"/>
    <hyperlink ref="K2448" r:id="rId18276" display="https://statiz.sporki.com/add/?m=draft_school01&amp;ps_school=50108" xr:uid="{EE97326C-0FC1-4A10-AAED-AB584E1ECADD}"/>
    <hyperlink ref="K2449" r:id="rId18277" display="https://statiz.sporki.com/add/?m=draft_school01&amp;ps_school=50301" xr:uid="{EE02B512-2734-4E5A-B5C4-26FB6B187F51}"/>
    <hyperlink ref="K2450" r:id="rId18278" display="https://statiz.sporki.com/add/?m=draft_school01&amp;ps_school=50401" xr:uid="{0D6A069A-90B8-437A-AC7E-0319298B8408}"/>
    <hyperlink ref="K2451" r:id="rId18279" display="https://statiz.sporki.com/add/?m=draft_school01&amp;ps_school=50706" xr:uid="{EC5E23B9-1D48-4043-B55B-27271EEAA077}"/>
    <hyperlink ref="K2452" r:id="rId18280" display="https://statiz.sporki.com/add/?m=draft_school01&amp;ps_school=50107" xr:uid="{C2C12EDA-F69D-4B79-8D54-C3741D6FFA26}"/>
    <hyperlink ref="K2453" r:id="rId18281" display="https://statiz.sporki.com/add/?m=draft_school01&amp;ps_school=50109" xr:uid="{712D9EA9-36DF-4EE1-81F8-8AF259D29F73}"/>
    <hyperlink ref="K2454" r:id="rId18282" display="https://statiz.sporki.com/add/?m=draft_school01&amp;ps_school=50701" xr:uid="{ABC02B8A-2D7F-4ABD-81CA-8B12CCD2D4AC}"/>
    <hyperlink ref="K2455" r:id="rId18283" display="https://statiz.sporki.com/add/?m=draft_school01&amp;ps_school=50105" xr:uid="{09432158-D849-4BD6-8B71-8411A7663C5A}"/>
    <hyperlink ref="K2456" r:id="rId18284" display="https://statiz.sporki.com/add/?m=draft_school01&amp;ps_school=50806" xr:uid="{67D942FE-0E4D-4EFE-B5E3-A195FE187D37}"/>
    <hyperlink ref="K2457" r:id="rId18285" display="https://statiz.sporki.com/add/?m=draft_school01&amp;ps_school=50116" xr:uid="{D2BE9434-DD77-4863-B57F-CC853BE3C9EE}"/>
    <hyperlink ref="K2458" r:id="rId18286" display="https://statiz.sporki.com/add/?m=draft_school01&amp;ps_school=50805" xr:uid="{B79E4668-3B2F-4A85-9C01-B9F477D3EA1C}"/>
    <hyperlink ref="K2459" r:id="rId18287" display="https://statiz.sporki.com/add/?m=draft_school01&amp;ps_school=50101" xr:uid="{721F21CE-5B35-4197-9478-15270CFC0B10}"/>
    <hyperlink ref="K2460" r:id="rId18288" display="https://statiz.sporki.com/add/?m=draft_school01&amp;ps_school=50103" xr:uid="{C65E4BAE-6340-49BD-A597-1265EF34E2FA}"/>
    <hyperlink ref="K2461" r:id="rId18289" display="https://statiz.sporki.com/add/?m=draft_school01&amp;ps_school=50604" xr:uid="{C7B26D67-8D38-4603-B3C1-EF6C35A89911}"/>
    <hyperlink ref="K2462" r:id="rId18290" display="https://statiz.sporki.com/add/?m=draft_school01&amp;ps_school=50202" xr:uid="{9FFCBC0B-A4D5-476F-A505-0592A73073F4}"/>
    <hyperlink ref="K2463" r:id="rId18291" display="https://statiz.sporki.com/add/?m=draft_school01&amp;ps_school=50602" xr:uid="{F0D03650-A223-4F13-A7F1-2FC5D990C71E}"/>
    <hyperlink ref="K2464" r:id="rId18292" display="https://statiz.sporki.com/add/?m=draft_school01&amp;ps_school=50109" xr:uid="{51389ADD-57AB-4CF6-9926-B7055DAC58AC}"/>
    <hyperlink ref="K2465" r:id="rId18293" display="https://statiz.sporki.com/add/?m=draft_school01&amp;ps_school=50813" xr:uid="{FC654783-4494-4A5E-A96B-9A606C25FE65}"/>
    <hyperlink ref="K2466" r:id="rId18294" display="https://statiz.sporki.com/add/?m=draft_school01&amp;ps_school=50303" xr:uid="{34AC379D-A6E2-4C73-B1C7-CCD3444BE413}"/>
    <hyperlink ref="K2467" r:id="rId18295" display="https://statiz.sporki.com/add/?m=draft_school01&amp;ps_school=50802" xr:uid="{F8AF58DA-432E-4AF1-A8D3-9C7E186A329D}"/>
    <hyperlink ref="K2468" r:id="rId18296" display="https://statiz.sporki.com/add/?m=draft_school01&amp;ps_school=50301" xr:uid="{1A920C36-27DF-46C6-9BE0-4E0AA5FAAFAA}"/>
    <hyperlink ref="K2470" r:id="rId18297" display="https://statiz.sporki.com/add/?m=draft_school01&amp;ps_school=50105" xr:uid="{C778F8E0-3420-4B2C-85FD-6A867289101D}"/>
    <hyperlink ref="K2471" r:id="rId18298" display="https://statiz.sporki.com/add/?m=draft_school01&amp;ps_school=50803" xr:uid="{C6263A72-0F31-4F2D-B718-5B91ED18964D}"/>
    <hyperlink ref="K2472" r:id="rId18299" display="https://statiz.sporki.com/add/?m=draft_school01&amp;ps_school=50705" xr:uid="{3BADD2D7-F6E4-41A3-99E9-6CB48E2D040E}"/>
    <hyperlink ref="K2473" r:id="rId18300" display="https://statiz.sporki.com/add/?m=draft_school01&amp;ps_school=50109" xr:uid="{8EBC2A40-0B74-41FB-B7F2-C7D814740DEA}"/>
    <hyperlink ref="K2474" r:id="rId18301" display="https://statiz.sporki.com/add/?m=draft_school01&amp;ps_school=50115" xr:uid="{296AF1A4-0260-4E31-B803-2437EF31053D}"/>
    <hyperlink ref="K2475" r:id="rId18302" display="https://statiz.sporki.com/add/?m=draft_school01&amp;ps_school=50402" xr:uid="{3D9D2672-AAC2-454E-A26D-8A7CA9E43FC0}"/>
    <hyperlink ref="K2476" r:id="rId18303" display="https://statiz.sporki.com/add/?m=draft_school01&amp;ps_school=50805" xr:uid="{166DE7B3-2AE5-4259-9F1F-B327D4D20A15}"/>
    <hyperlink ref="K2477" r:id="rId18304" display="https://statiz.sporki.com/add/?m=draft_school01&amp;ps_school=50602" xr:uid="{D638A4AD-0AAA-47F1-9E2B-9A49AC72A072}"/>
    <hyperlink ref="K2478" r:id="rId18305" display="https://statiz.sporki.com/add/?m=draft_school01&amp;ps_school=50502" xr:uid="{49C278CD-28C3-47E5-8376-03696F5B992D}"/>
    <hyperlink ref="K2479" r:id="rId18306" display="https://statiz.sporki.com/add/?m=draft_school01&amp;ps_school=50105" xr:uid="{8C258426-2163-4502-BA9D-8D2107B39E33}"/>
    <hyperlink ref="K2480" r:id="rId18307" display="https://statiz.sporki.com/add/?m=draft_school01&amp;ps_school=50107" xr:uid="{FCA23AD1-01F8-47AE-9C75-F62C900E66ED}"/>
    <hyperlink ref="K2481" r:id="rId18308" display="https://statiz.sporki.com/add/?m=draft_school01&amp;ps_school=50604" xr:uid="{AA5E14B5-5F32-41F8-8D2F-801EF33E2C05}"/>
    <hyperlink ref="K2482" r:id="rId18309" display="https://statiz.sporki.com/add/?m=draft_school01&amp;ps_school=50102" xr:uid="{7B5F20A7-A513-48A7-AB71-680167160ABC}"/>
    <hyperlink ref="K2483" r:id="rId18310" display="https://statiz.sporki.com/add/?m=draft_school01&amp;ps_school=50112" xr:uid="{2B7B2D13-9489-411F-88C0-85794D5A2DE7}"/>
    <hyperlink ref="K2484" r:id="rId18311" display="https://statiz.sporki.com/add/?m=draft_school01&amp;ps_school=50502" xr:uid="{269CA7C8-6B82-4B59-84FD-F61E063A8721}"/>
    <hyperlink ref="K2485" r:id="rId18312" display="https://statiz.sporki.com/add/?m=draft_school01&amp;ps_school=50701" xr:uid="{DEDC60BE-517B-46E3-B183-D455B7A394B4}"/>
    <hyperlink ref="K2486" r:id="rId18313" display="https://statiz.sporki.com/add/?m=draft_school01&amp;ps_school=50608" xr:uid="{A552937F-ADD4-4712-AD91-1BCD870E0E5C}"/>
    <hyperlink ref="K2487" r:id="rId18314" display="https://statiz.sporki.com/add/?m=draft_school01&amp;ps_school=50209" xr:uid="{4F9296F2-F9EA-4AB6-8439-D2C19744738D}"/>
    <hyperlink ref="K2488" r:id="rId18315" display="https://statiz.sporki.com/add/?m=draft_school01&amp;ps_school=50501" xr:uid="{F9193026-27C1-4A66-BBC8-0E035C9B7830}"/>
    <hyperlink ref="K2489" r:id="rId18316" display="https://statiz.sporki.com/add/?m=draft_school01&amp;ps_school=50401" xr:uid="{D13567FC-ACD3-48BB-A298-909E39B454A4}"/>
    <hyperlink ref="K2490" r:id="rId18317" display="https://statiz.sporki.com/add/?m=draft_school01&amp;ps_school=50807" xr:uid="{EA933173-484A-4432-A419-EED05E47E71D}"/>
    <hyperlink ref="K2491" r:id="rId18318" display="https://statiz.sporki.com/add/?m=draft_school01&amp;ps_school=50403" xr:uid="{7AF3FB38-C4A1-435E-885E-9293FAE12551}"/>
    <hyperlink ref="K2492" r:id="rId18319" display="https://statiz.sporki.com/add/?m=draft_school01&amp;ps_school=50805" xr:uid="{75EDDE8F-8C1B-4BEF-B3AE-FC7D81D47D7A}"/>
    <hyperlink ref="K2493" r:id="rId18320" display="https://statiz.sporki.com/add/?m=draft_school01&amp;ps_school=50303" xr:uid="{2AF2F21E-9057-496A-91EB-3416147C78AE}"/>
    <hyperlink ref="K2515" r:id="rId18321" display="https://statiz.sporki.com/add/?m=draft_school01&amp;ps_school=50116" xr:uid="{6C74670B-9804-4F28-8FB4-1326E8F5F9A0}"/>
    <hyperlink ref="K2516" r:id="rId18322" display="https://statiz.sporki.com/add/?m=draft_school01&amp;ps_school=50106" xr:uid="{24CAC30A-D741-414B-A59A-FB7635C7ED4C}"/>
    <hyperlink ref="K2517" r:id="rId18323" display="https://statiz.sporki.com/add/?m=draft_school01&amp;ps_school=50116" xr:uid="{23B39144-32BE-4A30-8958-B85B29FC4C1E}"/>
    <hyperlink ref="K2518" r:id="rId18324" display="https://statiz.sporki.com/add/?m=draft_school01&amp;ps_school=50202" xr:uid="{17C51056-4158-4996-9649-E5112BF5FC4F}"/>
    <hyperlink ref="K2519" r:id="rId18325" display="https://statiz.sporki.com/add/?m=draft_school01&amp;ps_school=50116" xr:uid="{AE1DD54D-0995-4325-A8A5-EC6995004AAC}"/>
    <hyperlink ref="K2520" r:id="rId18326" display="https://statiz.sporki.com/add/?m=draft_school01&amp;ps_school=50602" xr:uid="{2541D92A-B351-4C1C-B7D1-5E110C4F530C}"/>
    <hyperlink ref="K2521" r:id="rId18327" display="https://statiz.sporki.com/add/?m=draft_school01&amp;ps_school=50711" xr:uid="{99AF105D-33AF-4203-A0A8-C4D8F252FE4B}"/>
    <hyperlink ref="K2522" r:id="rId18328" display="https://statiz.sporki.com/add/?m=draft_school01&amp;ps_school=50101" xr:uid="{A4070E85-28D4-4A52-AA92-7A63F025B067}"/>
    <hyperlink ref="K2523" r:id="rId18329" display="https://statiz.sporki.com/add/?m=draft_school01&amp;ps_school=50202" xr:uid="{F19DA469-1037-4AFE-AF4A-CF9733927667}"/>
    <hyperlink ref="K2524" r:id="rId18330" display="https://statiz.sporki.com/add/?m=draft_school01&amp;ps_school=50403" xr:uid="{37DC8431-CDA5-45F4-B0A4-5B6A66F7CD25}"/>
    <hyperlink ref="K2525" r:id="rId18331" display="https://statiz.sporki.com/add/?m=draft_school01&amp;ps_school=50203" xr:uid="{AA2BEFB0-3B38-48B9-A634-176232110C58}"/>
    <hyperlink ref="K2526" r:id="rId18332" display="https://statiz.sporki.com/add/?m=draft_school01&amp;ps_school=50706" xr:uid="{73A9F79A-D054-4F6C-A2D4-533D6D4E04F3}"/>
    <hyperlink ref="K2527" r:id="rId18333" display="https://statiz.sporki.com/add/?m=draft_school01&amp;ps_school=50108" xr:uid="{12B36B57-BE8F-40F4-BA15-F7FDCDB765FD}"/>
    <hyperlink ref="K2528" r:id="rId18334" display="https://statiz.sporki.com/add/?m=draft_school01&amp;ps_school=50110" xr:uid="{5DD4C25F-DF18-4099-94DA-7EC065199DB3}"/>
    <hyperlink ref="K2529" r:id="rId18335" display="https://statiz.sporki.com/add/?m=draft_school01&amp;ps_school=50706" xr:uid="{AF604826-F0E5-4E21-8586-A99B32A8A5BC}"/>
    <hyperlink ref="K2531" r:id="rId18336" display="https://statiz.sporki.com/add/?m=draft_school01&amp;ps_school=50904" xr:uid="{672DB2DE-413D-43C4-8BB7-F4086E563A04}"/>
    <hyperlink ref="K2532" r:id="rId18337" display="https://statiz.sporki.com/add/?m=draft_school01&amp;ps_school=50802" xr:uid="{F5BBDD25-B42B-4B23-9480-BEE53817993F}"/>
    <hyperlink ref="K2533" r:id="rId18338" display="https://statiz.sporki.com/add/?m=draft_school01&amp;ps_school=50804" xr:uid="{9A427DD5-21AD-4560-A235-8B548EC2DE9B}"/>
    <hyperlink ref="K2534" r:id="rId18339" display="https://statiz.sporki.com/add/?m=draft_school01&amp;ps_school=50805" xr:uid="{2982D30B-9282-44F5-BC32-C928045F92CE}"/>
    <hyperlink ref="K2535" r:id="rId18340" display="https://statiz.sporki.com/add/?m=draft_school01&amp;ps_school=50802" xr:uid="{F1D034F2-7CA0-4A18-A846-0C145CE5A559}"/>
    <hyperlink ref="K2536" r:id="rId18341" display="https://statiz.sporki.com/add/?m=draft_school01&amp;ps_school=50115" xr:uid="{44CA97D4-915C-4B60-9EE1-89EAC4F1F6A7}"/>
    <hyperlink ref="K2537" r:id="rId18342" display="https://statiz.sporki.com/add/?m=draft_school01&amp;ps_school=50701" xr:uid="{076439B9-D2F6-49C9-867E-E053DE515DD3}"/>
    <hyperlink ref="K2538" r:id="rId18343" display="https://statiz.sporki.com/add/?m=draft_school01&amp;ps_school=50803" xr:uid="{164BB6B2-5A0B-4082-83D6-1105A416AC16}"/>
    <hyperlink ref="K2539" r:id="rId18344" display="https://statiz.sporki.com/add/?m=draft_school01&amp;ps_school=50801" xr:uid="{C2BC8A52-FCD2-419A-B316-09D7B49A4133}"/>
    <hyperlink ref="K2540" r:id="rId18345" display="https://statiz.sporki.com/add/?m=draft_school01&amp;ps_school=50902" xr:uid="{19E6DCEF-D124-422A-B043-B8EE92D48B39}"/>
    <hyperlink ref="K2541" r:id="rId18346" display="https://statiz.sporki.com/add/?m=draft_school01&amp;ps_school=50804" xr:uid="{5FC88C79-9180-4C9C-A34F-B93D2BDA834A}"/>
    <hyperlink ref="K2542" r:id="rId18347" display="https://statiz.sporki.com/add/?m=draft_school01&amp;ps_school=50602" xr:uid="{AD1F5A30-ECC6-4100-BAB1-DDA945B76EC5}"/>
    <hyperlink ref="K2543" r:id="rId18348" display="https://statiz.sporki.com/add/?m=draft_school01&amp;ps_school=50601" xr:uid="{0F018F0F-82C8-4C78-B79B-23D39FA79BBA}"/>
    <hyperlink ref="K2544" r:id="rId18349" display="https://statiz.sporki.com/add/?m=draft_school01&amp;ps_school=50805" xr:uid="{B3D30D7B-7C7D-446B-82BE-A8FDD3C43F63}"/>
    <hyperlink ref="K2545" r:id="rId18350" display="https://statiz.sporki.com/add/?m=draft_school01&amp;ps_school=50805" xr:uid="{90BC334D-FF9D-4B3E-B52F-F84494D2CD01}"/>
    <hyperlink ref="K2546" r:id="rId18351" display="https://statiz.sporki.com/add/?m=draft_school01&amp;ps_school=50703" xr:uid="{0032E7B3-CDC3-4C2D-AC04-A0B02B9F0AAB}"/>
    <hyperlink ref="K2548" r:id="rId18352" display="https://statiz.sporki.com/add/?m=draft_school01&amp;ps_school=50113" xr:uid="{CF2D0A59-65F2-43F6-AEAC-2EC19EF83F8B}"/>
    <hyperlink ref="K2549" r:id="rId18353" display="https://statiz.sporki.com/add/?m=draft_school01&amp;ps_school=50706" xr:uid="{F452AF07-78D7-4267-A726-E0A99F69E669}"/>
    <hyperlink ref="K2550" r:id="rId18354" display="https://statiz.sporki.com/add/?m=draft_school01&amp;ps_school=50901" xr:uid="{99AC898F-3388-4FDB-9D9B-397EEB37D84B}"/>
    <hyperlink ref="K2551" r:id="rId18355" display="https://statiz.sporki.com/add/?m=draft_school01&amp;ps_school=50701" xr:uid="{452C1EC7-D190-49F3-9675-97750BA5FF5F}"/>
    <hyperlink ref="K2552" r:id="rId18356" display="https://statiz.sporki.com/add/?m=draft_school01&amp;ps_school=50112" xr:uid="{90ECBDAE-D74D-4F35-BFBB-BC8E210EC94E}"/>
    <hyperlink ref="K2553" r:id="rId18357" display="https://statiz.sporki.com/add/?m=draft_school01&amp;ps_school=50804" xr:uid="{AA85FB60-3E06-427C-BE4E-5064F4952001}"/>
    <hyperlink ref="K2554" r:id="rId18358" display="https://statiz.sporki.com/add/?m=draft_school01&amp;ps_school=50804" xr:uid="{D2B22C0A-1A0E-4C75-8B12-2BB717ADA719}"/>
    <hyperlink ref="K2555" r:id="rId18359" display="https://statiz.sporki.com/add/?m=draft_school01&amp;ps_school=50110" xr:uid="{D18C163B-FF8D-478E-9DC7-82224E8C7761}"/>
    <hyperlink ref="K2556" r:id="rId18360" display="https://statiz.sporki.com/add/?m=draft_school01&amp;ps_school=50202" xr:uid="{34F0B388-970F-46E9-BF36-6609ED34C8F5}"/>
    <hyperlink ref="K2557" r:id="rId18361" display="https://statiz.sporki.com/add/?m=draft_school01&amp;ps_school=50902" xr:uid="{8DC84675-E907-474E-A281-654D99890E36}"/>
    <hyperlink ref="K2558" r:id="rId18362" display="https://statiz.sporki.com/add/?m=draft_school01&amp;ps_school=50104" xr:uid="{5406775B-681E-4706-AAA5-F3D13253EFCF}"/>
    <hyperlink ref="K2559" r:id="rId18363" display="https://statiz.sporki.com/add/?m=draft_school01&amp;ps_school=50110" xr:uid="{32E6F17A-594B-47D5-97F3-56626AB9532D}"/>
    <hyperlink ref="K2560" r:id="rId18364" display="https://statiz.sporki.com/add/?m=draft_school01&amp;ps_school=50602" xr:uid="{DE2AE0AB-7D5E-48CE-BB0F-0ABD8A9E3D66}"/>
    <hyperlink ref="K2561" r:id="rId18365" display="https://statiz.sporki.com/add/?m=draft_school01&amp;ps_school=50602" xr:uid="{53EC57CA-95C6-473B-8B46-8EC96C105B2B}"/>
    <hyperlink ref="K2562" r:id="rId18366" display="https://statiz.sporki.com/add/?m=draft_school01&amp;ps_school=50107" xr:uid="{A6D2C10B-3FB2-43E9-83A1-BF740E115666}"/>
    <hyperlink ref="K2563" r:id="rId18367" display="https://statiz.sporki.com/add/?m=draft_school01&amp;ps_school=50807" xr:uid="{A12FFAFF-446E-41A0-B050-7DFD893E2A9C}"/>
    <hyperlink ref="K2564" r:id="rId18368" display="https://statiz.sporki.com/add/?m=draft_school01&amp;ps_school=50107" xr:uid="{EDAF77E9-A9F4-450A-B66C-791095AAC094}"/>
    <hyperlink ref="K2565" r:id="rId18369" display="https://statiz.sporki.com/add/?m=draft_school01&amp;ps_school=50802" xr:uid="{EE61C2C1-45E1-4644-9A74-D10EE5929AFD}"/>
    <hyperlink ref="K2566" r:id="rId18370" display="https://statiz.sporki.com/add/?m=draft_school01&amp;ps_school=50812" xr:uid="{92DE5969-9D0F-4312-AA8B-63B59F43F499}"/>
    <hyperlink ref="K2567" r:id="rId18371" display="https://statiz.sporki.com/add/?m=draft_school01&amp;ps_school=50301" xr:uid="{37AE4283-4E7A-4F9F-A253-C29A8A8DC948}"/>
    <hyperlink ref="K2568" r:id="rId18372" display="https://statiz.sporki.com/add/?m=draft_school01&amp;ps_school=50401" xr:uid="{099DEE7F-65F6-490A-9C90-3C85C0752AB2}"/>
    <hyperlink ref="K2598" r:id="rId18373" display="https://statiz.sporki.com/add/?m=draft_school01&amp;ps_school=50102" xr:uid="{60CB7613-DAB3-4B72-B8CB-DA5BF2C16987}"/>
    <hyperlink ref="K2599" r:id="rId18374" display="https://statiz.sporki.com/add/?m=draft_school01&amp;ps_school=50701" xr:uid="{D5D8E42D-8550-4D17-98A7-BB0E04F33302}"/>
    <hyperlink ref="K2600" r:id="rId18375" display="https://statiz.sporki.com/add/?m=draft_school01&amp;ps_school=50501" xr:uid="{26BB7EBE-1A8A-489E-A8C2-F23F6F2B294D}"/>
    <hyperlink ref="K2601" r:id="rId18376" display="https://statiz.sporki.com/add/?m=draft_school01&amp;ps_school=50108" xr:uid="{3128CE4A-01EE-4146-8656-8764C0FACE67}"/>
    <hyperlink ref="K2602" r:id="rId18377" display="https://statiz.sporki.com/add/?m=draft_school01&amp;ps_school=50802" xr:uid="{A2A801E5-BF5F-49B8-8623-E0C762913038}"/>
    <hyperlink ref="K2603" r:id="rId18378" display="https://statiz.sporki.com/add/?m=draft_school01&amp;ps_school=50501" xr:uid="{50AEC8D0-6951-48FE-8CD7-AEE11222DBB5}"/>
    <hyperlink ref="K2604" r:id="rId18379" display="https://statiz.sporki.com/add/?m=draft_school01&amp;ps_school=50403" xr:uid="{694B14B1-0C1D-4F04-89E3-01DCC68BBFE2}"/>
    <hyperlink ref="K2605" r:id="rId18380" display="https://statiz.sporki.com/add/?m=draft_school01&amp;ps_school=50608" xr:uid="{C63382DF-FFAC-4DA1-B656-CE2E2805BA9C}"/>
    <hyperlink ref="K2606" r:id="rId18381" display="https://statiz.sporki.com/add/?m=draft_school01&amp;ps_school=50904" xr:uid="{FD6539DA-4DDF-4F9B-8A61-81C65CA83054}"/>
    <hyperlink ref="K2607" r:id="rId18382" display="https://statiz.sporki.com/add/?m=draft_school01&amp;ps_school=50701" xr:uid="{D9B1FD9D-4B95-491C-A20B-8E578E1941D9}"/>
    <hyperlink ref="K2608" r:id="rId18383" display="https://statiz.sporki.com/add/?m=draft_school01&amp;ps_school=50711" xr:uid="{0D50A706-8D9F-4488-886A-6A95DF17FF2A}"/>
    <hyperlink ref="K2609" r:id="rId18384" display="https://statiz.sporki.com/add/?m=draft_school01&amp;ps_school=50114" xr:uid="{B9D3287B-AF39-485D-A22D-BE81380BFF86}"/>
    <hyperlink ref="K2610" r:id="rId18385" display="https://statiz.sporki.com/add/?m=draft_school01&amp;ps_school=50402" xr:uid="{FD4224C4-4A95-4218-B065-F7E39F11EAA4}"/>
    <hyperlink ref="K2611" r:id="rId18386" display="https://statiz.sporki.com/add/?m=draft_school01&amp;ps_school=50703" xr:uid="{03C5AC46-ECA4-433B-B3DD-96630D5F2C73}"/>
    <hyperlink ref="K2612" r:id="rId18387" display="https://statiz.sporki.com/add/?m=draft_school01&amp;ps_school=50803" xr:uid="{8AC1F601-6116-4F9F-B68F-7947A8C844F6}"/>
    <hyperlink ref="K2613" r:id="rId18388" display="https://statiz.sporki.com/add/?m=draft_school01&amp;ps_school=50209" xr:uid="{0AB3EB1B-DBA8-4CC5-A50A-8C1DA69527F4}"/>
    <hyperlink ref="K2614" r:id="rId18389" display="https://statiz.sporki.com/add/?m=draft_school01&amp;ps_school=50114" xr:uid="{4CDB693B-D7BE-4957-94BE-28A7EBE98A30}"/>
    <hyperlink ref="K2615" r:id="rId18390" display="https://statiz.sporki.com/add/?m=draft_school01&amp;ps_school=50705" xr:uid="{C561386E-6A4A-4268-820C-BD2DF5A5EB6C}"/>
    <hyperlink ref="K2616" r:id="rId18391" display="https://statiz.sporki.com/add/?m=draft_school01&amp;ps_school=50105" xr:uid="{AB4CAAB7-C200-41C4-B443-E562F4636EAC}"/>
    <hyperlink ref="K2617" r:id="rId18392" display="https://statiz.sporki.com/add/?m=draft_school01&amp;ps_school=50112" xr:uid="{B6688C2D-2AED-4DF7-8037-15A46CCAB36E}"/>
    <hyperlink ref="K2618" r:id="rId18393" display="https://statiz.sporki.com/add/?m=draft_school01&amp;ps_school=50705" xr:uid="{582230E4-0B16-4DDF-A623-80E581395594}"/>
    <hyperlink ref="K2619" r:id="rId18394" display="https://statiz.sporki.com/add/?m=draft_school01&amp;ps_school=50403" xr:uid="{83E7D033-8BE5-4B72-A138-89B3870CC7F3}"/>
    <hyperlink ref="K2620" r:id="rId18395" display="https://statiz.sporki.com/add/?m=draft_school01&amp;ps_school=50802" xr:uid="{C9B9B51A-1505-4463-ABC2-A6AA3B0B7180}"/>
    <hyperlink ref="K2621" r:id="rId18396" display="https://statiz.sporki.com/add/?m=draft_school01&amp;ps_school=50802" xr:uid="{76E89121-3F76-4945-95E1-104EC1B1D8F4}"/>
    <hyperlink ref="K2622" r:id="rId18397" display="https://statiz.sporki.com/add/?m=draft_school01&amp;ps_school=50804" xr:uid="{20C83079-4D73-4ECC-80CD-8C52A8582703}"/>
    <hyperlink ref="K2623" r:id="rId18398" display="https://statiz.sporki.com/add/?m=draft_school01&amp;ps_school=50103" xr:uid="{14CA2506-8189-438B-BE61-5DFF2DC1C895}"/>
    <hyperlink ref="K2624" r:id="rId18399" display="https://statiz.sporki.com/add/?m=draft_school01&amp;ps_school=50208" xr:uid="{5F7BC638-BC9E-4F07-81DF-7DD9DB05394A}"/>
    <hyperlink ref="K2625" r:id="rId18400" display="https://statiz.sporki.com/add/?m=draft_school01&amp;ps_school=50904" xr:uid="{F2F5F33D-83BA-402D-8477-4F32CAAD272A}"/>
    <hyperlink ref="K2626" r:id="rId18401" display="https://statiz.sporki.com/add/?m=draft_school01&amp;ps_school=50402" xr:uid="{274906FC-D94E-4BB5-B208-2D2C0BAC62F3}"/>
    <hyperlink ref="K2627" r:id="rId18402" display="https://statiz.sporki.com/add/?m=draft_school01&amp;ps_school=50711" xr:uid="{0A55D0FA-CF41-4D94-9470-ECDEDD9039A0}"/>
    <hyperlink ref="K2628" r:id="rId18403" display="https://statiz.sporki.com/add/?m=draft_school01&amp;ps_school=50209" xr:uid="{DD00B550-6D6C-4854-A813-AB719410530B}"/>
    <hyperlink ref="K2629" r:id="rId18404" display="https://statiz.sporki.com/add/?m=draft_school01&amp;ps_school=50105" xr:uid="{A749CE29-4D95-417F-80EE-E5F8FDC39237}"/>
    <hyperlink ref="K2630" r:id="rId18405" display="https://statiz.sporki.com/add/?m=draft_school01&amp;ps_school=50802" xr:uid="{AC9445E2-6CB4-4FA4-97B6-5511881F6568}"/>
    <hyperlink ref="K2631" r:id="rId18406" display="https://statiz.sporki.com/add/?m=draft_school01&amp;ps_school=50112" xr:uid="{ACE40B52-DC3D-4D75-9B76-1895638B4E9C}"/>
    <hyperlink ref="K2632" r:id="rId18407" display="https://statiz.sporki.com/add/?m=draft_school01&amp;ps_school=50106" xr:uid="{8CCC0E3D-F241-4D95-9FD4-76F29D5EAD2A}"/>
    <hyperlink ref="K2633" r:id="rId18408" display="https://statiz.sporki.com/add/?m=draft_school01&amp;ps_school=50112" xr:uid="{80D4AACB-74FC-4570-8A80-1A943A3B0D3F}"/>
    <hyperlink ref="K2634" r:id="rId18409" display="https://statiz.sporki.com/add/?m=draft_school01&amp;ps_school=50602" xr:uid="{B6A7A3D6-290C-4A49-A45D-7F87E9A4B8F3}"/>
    <hyperlink ref="K2635" r:id="rId18410" display="https://statiz.sporki.com/add/?m=draft_school01&amp;ps_school=50501" xr:uid="{25721906-1F96-46D2-8316-38CB7C4E6861}"/>
    <hyperlink ref="K2636" r:id="rId18411" display="https://statiz.sporki.com/add/?m=draft_school01&amp;ps_school=50111" xr:uid="{B08A5EE4-3BE5-490D-B361-CEF5286DBB22}"/>
    <hyperlink ref="K2637" r:id="rId18412" display="https://statiz.sporki.com/add/?m=draft_school01&amp;ps_school=50805" xr:uid="{8B19B38B-7E3A-4080-A5D1-697FD0356C09}"/>
    <hyperlink ref="K2638" r:id="rId18413" display="https://statiz.sporki.com/add/?m=draft_school01&amp;ps_school=50114" xr:uid="{4C2FF804-014A-48AF-B30C-3B8CC7DCE5C0}"/>
    <hyperlink ref="K2639" r:id="rId18414" display="https://statiz.sporki.com/add/?m=draft_school01&amp;ps_school=50115" xr:uid="{13B2303B-C00F-40AC-B2F6-356BEC483BD5}"/>
    <hyperlink ref="K2640" r:id="rId18415" display="https://statiz.sporki.com/add/?m=draft_school01&amp;ps_school=50401" xr:uid="{56A0345A-88AD-444D-BCDB-D6D25865A334}"/>
    <hyperlink ref="K2641" r:id="rId18416" display="https://statiz.sporki.com/add/?m=draft_school01&amp;ps_school=50104" xr:uid="{AB5A845C-F2A7-4187-94C2-754C16732909}"/>
    <hyperlink ref="K2642" r:id="rId18417" display="https://statiz.sporki.com/add/?m=draft_school01&amp;ps_school=50104" xr:uid="{61D98F0B-4DD1-4F8E-AB1E-111FDA83D533}"/>
    <hyperlink ref="K2643" r:id="rId18418" display="https://statiz.sporki.com/add/?m=draft_school01&amp;ps_school=50502" xr:uid="{967EFB86-3869-4AE7-AD1C-EA992E7BF2DF}"/>
    <hyperlink ref="K2644" r:id="rId18419" display="https://statiz.sporki.com/add/?m=draft_school01&amp;ps_school=50403" xr:uid="{A872F8F1-8E37-42B8-AD62-25798444F093}"/>
    <hyperlink ref="K2645" r:id="rId18420" display="https://statiz.sporki.com/add/?m=draft_school01&amp;ps_school=50702" xr:uid="{B1511DED-B7A3-4190-8BD7-45A69D69F071}"/>
    <hyperlink ref="K2646" r:id="rId18421" display="https://statiz.sporki.com/add/?m=draft_school01&amp;ps_school=50807" xr:uid="{ABDE6F5A-E9F8-44B2-8380-338D37EBE3BA}"/>
    <hyperlink ref="K2647" r:id="rId18422" display="https://statiz.sporki.com/add/?m=draft_school01&amp;ps_school=50202" xr:uid="{DCC02B4B-A5BD-42CC-B7A7-E1A2512ACFE2}"/>
    <hyperlink ref="K2648" r:id="rId18423" display="https://statiz.sporki.com/add/?m=draft_school01&amp;ps_school=50601" xr:uid="{D6F96BED-843C-4D4A-A03F-840C33B3B0F4}"/>
    <hyperlink ref="K2649" r:id="rId18424" display="https://statiz.sporki.com/add/?m=draft_school01&amp;ps_school=50102" xr:uid="{9874033B-5531-44D1-AE7A-5DAFBA992D04}"/>
    <hyperlink ref="K2650" r:id="rId18425" display="https://statiz.sporki.com/add/?m=draft_school01&amp;ps_school=50105" xr:uid="{DBA97CFF-9292-4A23-835A-30E62D20E254}"/>
    <hyperlink ref="K2651" r:id="rId18426" display="https://statiz.sporki.com/add/?m=draft_school01&amp;ps_school=50502" xr:uid="{1F14B77C-2376-4B17-9A5B-7CCE6572FF57}"/>
    <hyperlink ref="K2652" r:id="rId18427" display="https://statiz.sporki.com/add/?m=draft_school01&amp;ps_school=50602" xr:uid="{4B9C0BF8-3A5E-4765-9982-278985610C39}"/>
    <hyperlink ref="K2653" r:id="rId18428" display="https://statiz.sporki.com/add/?m=draft_school01&amp;ps_school=50116" xr:uid="{937866A0-6AA7-42A5-9003-7EF22FB2C323}"/>
    <hyperlink ref="K2675" r:id="rId18429" display="https://statiz.sporki.com/add/?m=draft_school01&amp;ps_school=50602" xr:uid="{2AA8A1DC-042A-48F9-81B2-D13B893C9783}"/>
    <hyperlink ref="K2676" r:id="rId18430" display="https://statiz.sporki.com/add/?m=draft_school01&amp;ps_school=50102" xr:uid="{DAA9CDAC-93C3-435E-99B7-69F4F6C1E033}"/>
    <hyperlink ref="K2677" r:id="rId18431" display="https://statiz.sporki.com/add/?m=draft_school01&amp;ps_school=50401" xr:uid="{0C09B520-D257-4AF8-A68B-FBB4DAF84AA9}"/>
    <hyperlink ref="K2678" r:id="rId18432" display="https://statiz.sporki.com/add/?m=draft_school01&amp;ps_school=50103" xr:uid="{22F42EEA-344E-406E-A9C5-90DFB00DB47B}"/>
    <hyperlink ref="K2679" r:id="rId18433" display="https://statiz.sporki.com/add/?m=draft_school01&amp;ps_school=50812" xr:uid="{9C3A07C0-C283-4BC9-AE23-63A93D79E15F}"/>
    <hyperlink ref="K2680" r:id="rId18434" display="https://statiz.sporki.com/add/?m=draft_school01&amp;ps_school=50701" xr:uid="{2A358004-5770-407A-A15F-09AFF7EA8005}"/>
    <hyperlink ref="K2681" r:id="rId18435" display="https://statiz.sporki.com/add/?m=draft_school01&amp;ps_school=50203" xr:uid="{689C84F9-43EB-47F2-AD74-B82EC42DCFD8}"/>
    <hyperlink ref="K2682" r:id="rId18436" display="https://statiz.sporki.com/add/?m=draft_school01&amp;ps_school=50112" xr:uid="{5C7F7FD3-1A36-4648-B8E7-FA8EBD12A05E}"/>
    <hyperlink ref="K2683" r:id="rId18437" display="https://statiz.sporki.com/add/?m=draft_school01&amp;ps_school=50501" xr:uid="{420B2036-830E-4F61-B123-EF2A8228CEF8}"/>
    <hyperlink ref="K2684" r:id="rId18438" display="https://statiz.sporki.com/add/?m=draft_school01&amp;ps_school=50301" xr:uid="{0086226F-E99D-45EF-B345-F8A5A398150C}"/>
    <hyperlink ref="K2685" r:id="rId18439" display="https://statiz.sporki.com/add/?m=draft_school01&amp;ps_school=50602" xr:uid="{2AAA1236-3363-4F71-8B3D-22C3BD04A99F}"/>
    <hyperlink ref="K2686" r:id="rId18440" display="https://statiz.sporki.com/add/?m=draft_school01&amp;ps_school=50103" xr:uid="{59612044-715F-4247-AFF2-7B919A1ED3BB}"/>
    <hyperlink ref="K2687" r:id="rId18441" display="https://statiz.sporki.com/add/?m=draft_school01&amp;ps_school=50109" xr:uid="{56AF1D71-A8E0-4BE9-840B-02326DA64BB5}"/>
    <hyperlink ref="K2688" r:id="rId18442" display="https://statiz.sporki.com/add/?m=draft_school01&amp;ps_school=50109" xr:uid="{1ECD34D5-B716-4320-BF19-5B6F2B6778AB}"/>
    <hyperlink ref="K2689" r:id="rId18443" display="https://statiz.sporki.com/add/?m=draft_school01&amp;ps_school=50501" xr:uid="{1C7A5AA4-D342-44C0-992E-6374F153DA53}"/>
    <hyperlink ref="K2690" r:id="rId18444" display="https://statiz.sporki.com/add/?m=draft_school01&amp;ps_school=50804" xr:uid="{3ACF97A5-8619-4685-B052-566883DE0BE8}"/>
    <hyperlink ref="K2691" r:id="rId18445" display="https://statiz.sporki.com/add/?m=draft_school01&amp;ps_school=50109" xr:uid="{B930AE1A-70D9-46F9-9BEC-6EFFCCB7523F}"/>
    <hyperlink ref="K2692" r:id="rId18446" display="https://statiz.sporki.com/add/?m=draft_school01&amp;ps_school=50102" xr:uid="{0202E707-0CB3-4E4A-84E4-F6C7C4D2354C}"/>
    <hyperlink ref="K2693" r:id="rId18447" display="https://statiz.sporki.com/add/?m=draft_school01&amp;ps_school=50202" xr:uid="{8E05E654-74D6-456E-A3A0-3B6E9964A7F6}"/>
    <hyperlink ref="K2694" r:id="rId18448" display="https://statiz.sporki.com/add/?m=draft_school01&amp;ps_school=50111" xr:uid="{2C639A2C-7E1D-4C79-8BB1-2D0EC5E99113}"/>
    <hyperlink ref="K2695" r:id="rId18449" display="https://statiz.sporki.com/add/?m=draft_school01&amp;ps_school=50110" xr:uid="{5E4C6D81-284D-461D-A90F-8DFE6547CF06}"/>
    <hyperlink ref="K2697" r:id="rId18450" display="https://statiz.sporki.com/add/?m=draft_school01&amp;ps_school=50105" xr:uid="{546D966E-B29C-43B7-A714-00DAE8BF3038}"/>
    <hyperlink ref="K2698" r:id="rId18451" display="https://statiz.sporki.com/add/?m=draft_school01&amp;ps_school=50113" xr:uid="{08ED6124-0236-4258-B425-1C0439EF1BA0}"/>
    <hyperlink ref="K2699" r:id="rId18452" display="https://statiz.sporki.com/add/?m=draft_school01&amp;ps_school=50109" xr:uid="{F554C2FE-460D-4E19-AAC4-D8DD532204B7}"/>
    <hyperlink ref="K2700" r:id="rId18453" display="https://statiz.sporki.com/add/?m=draft_school01&amp;ps_school=50113" xr:uid="{5232CD31-7079-49BB-AEAF-C1BC49C8A062}"/>
    <hyperlink ref="K2701" r:id="rId18454" display="https://statiz.sporki.com/add/?m=draft_school01&amp;ps_school=50403" xr:uid="{68A146F6-C912-40B1-B98E-FE0A322AFF2E}"/>
    <hyperlink ref="K2702" r:id="rId18455" display="https://statiz.sporki.com/add/?m=draft_school01&amp;ps_school=50121" xr:uid="{683F6DF0-3684-439B-9402-2AC765E24E82}"/>
    <hyperlink ref="K2703" r:id="rId18456" display="https://statiz.sporki.com/add/?m=draft_school01&amp;ps_school=50101" xr:uid="{208D6B44-36EA-4508-B46A-B552F431A89D}"/>
    <hyperlink ref="K2704" r:id="rId18457" display="https://statiz.sporki.com/add/?m=draft_school01&amp;ps_school=50802" xr:uid="{AE6F6CCD-ED60-40B6-97D5-6B2FB95DE9B4}"/>
    <hyperlink ref="K2705" r:id="rId18458" display="https://statiz.sporki.com/add/?m=draft_school01&amp;ps_school=50208" xr:uid="{658B306E-A376-4804-9D8C-298DDF2D843F}"/>
    <hyperlink ref="K2706" r:id="rId18459" display="https://statiz.sporki.com/add/?m=draft_school01&amp;ps_school=50804" xr:uid="{66A17017-857D-4EE6-8EF4-6E8154E82F82}"/>
    <hyperlink ref="K2707" r:id="rId18460" display="https://statiz.sporki.com/add/?m=draft_school01&amp;ps_school=50805" xr:uid="{D0F49B66-0A39-4CDE-A146-50331114EB4A}"/>
    <hyperlink ref="K2708" r:id="rId18461" display="https://statiz.sporki.com/add/?m=draft_school01&amp;ps_school=50104" xr:uid="{245DF202-8881-4005-A558-C93A84452CCC}"/>
    <hyperlink ref="K2709" r:id="rId18462" display="https://statiz.sporki.com/add/?m=draft_school01&amp;ps_school=50812" xr:uid="{C05D5CB3-A6E8-4356-957B-0CCC8066AEB6}"/>
    <hyperlink ref="K2710" r:id="rId18463" display="https://statiz.sporki.com/add/?m=draft_school01&amp;ps_school=50116" xr:uid="{BB98A5B6-DECE-40EB-8E0B-C2A1C2E09D49}"/>
    <hyperlink ref="K2711" r:id="rId18464" display="https://statiz.sporki.com/add/?m=draft_school01&amp;ps_school=50608" xr:uid="{D65294B7-AC26-4168-AA93-1D2B4997C943}"/>
    <hyperlink ref="K2712" r:id="rId18465" display="https://statiz.sporki.com/add/?m=draft_school01&amp;ps_school=50705" xr:uid="{F04AE718-C654-4DBA-AD73-149FFA7C9D2F}"/>
    <hyperlink ref="K2713" r:id="rId18466" display="https://statiz.sporki.com/add/?m=draft_school01&amp;ps_school=50108" xr:uid="{1A229E6B-FE45-407F-AABD-5625727CF2F9}"/>
    <hyperlink ref="K2714" r:id="rId18467" display="https://statiz.sporki.com/add/?m=draft_school01&amp;ps_school=50209" xr:uid="{AB8C659A-00BB-4A88-A523-0F055F48BC9B}"/>
    <hyperlink ref="K2715" r:id="rId18468" display="https://statiz.sporki.com/add/?m=draft_school01&amp;ps_school=50108" xr:uid="{F2035B4D-9E75-4A72-85C5-8DCA34C85BB8}"/>
    <hyperlink ref="K2716" r:id="rId18469" display="https://statiz.sporki.com/add/?m=draft_school01&amp;ps_school=50110" xr:uid="{FFA5CCF9-FFFF-4CD2-B93D-F8DFF4E19A6B}"/>
    <hyperlink ref="K2717" r:id="rId18470" display="https://statiz.sporki.com/add/?m=draft_school01&amp;ps_school=50402" xr:uid="{12749E1A-F2F4-45D5-B404-93EBFC701C78}"/>
    <hyperlink ref="K2718" r:id="rId18471" display="https://statiz.sporki.com/add/?m=draft_school01&amp;ps_school=50112" xr:uid="{ACF9D5F9-03BB-4553-9859-2C67CD4FBFEF}"/>
    <hyperlink ref="K2719" r:id="rId18472" display="https://statiz.sporki.com/add/?m=draft_school01&amp;ps_school=50803" xr:uid="{6D62C7B8-3284-435F-9F0F-C9407D48B3A5}"/>
    <hyperlink ref="K2720" r:id="rId18473" display="https://statiz.sporki.com/add/?m=draft_school01&amp;ps_school=50602" xr:uid="{13B7DF1E-B80E-4B7B-B802-4E11497B45CC}"/>
    <hyperlink ref="K2721" r:id="rId18474" display="https://statiz.sporki.com/add/?m=draft_school01&amp;ps_school=50502" xr:uid="{91450647-4093-4165-B7FA-EB8866DBEABC}"/>
    <hyperlink ref="K2722" r:id="rId18475" display="https://statiz.sporki.com/add/?m=draft_school01&amp;ps_school=50105" xr:uid="{909034E5-A1DD-434F-9B7B-B13CCB971B25}"/>
    <hyperlink ref="K2723" r:id="rId18476" display="https://statiz.sporki.com/add/?m=draft_school01&amp;ps_school=50114" xr:uid="{3EC0F013-D2C5-42F2-AC7E-7EB96F169156}"/>
    <hyperlink ref="K2724" r:id="rId18477" display="https://statiz.sporki.com/add/?m=draft_school01&amp;ps_school=50705" xr:uid="{9708F81C-4E50-440C-A68E-9EB7B2CD7209}"/>
    <hyperlink ref="K2725" r:id="rId18478" display="https://statiz.sporki.com/add/?m=draft_school01&amp;ps_school=50202" xr:uid="{8E0D598E-14EE-4DD5-ADFE-B6BF8764458E}"/>
    <hyperlink ref="K2726" r:id="rId18479" display="https://statiz.sporki.com/add/?m=draft_school01&amp;ps_school=50110" xr:uid="{B2AFCE97-78AD-488D-B078-4537A3488E6D}"/>
    <hyperlink ref="K2727" r:id="rId18480" display="https://statiz.sporki.com/add/?m=draft_school01&amp;ps_school=50711" xr:uid="{413CE4B2-7981-45F5-8B87-9F8BE7B8A01C}"/>
    <hyperlink ref="K2728" r:id="rId18481" display="https://statiz.sporki.com/add/?m=draft_school01&amp;ps_school=50402" xr:uid="{0EEFD841-6FB7-473C-B6AC-7057E473C464}"/>
    <hyperlink ref="K2729" r:id="rId18482" display="https://statiz.sporki.com/add/?m=draft_school01&amp;ps_school=50303" xr:uid="{F1CF8FD0-9C1F-4955-89AC-EA2B61ECB62C}"/>
    <hyperlink ref="K2730" r:id="rId18483" display="https://statiz.sporki.com/add/?m=draft_school01&amp;ps_school=50602" xr:uid="{4656B2FB-59A0-49CC-9CDA-82021D2FBF60}"/>
    <hyperlink ref="K2731" r:id="rId18484" display="https://statiz.sporki.com/add/?m=draft_school01&amp;ps_school=50107" xr:uid="{071B6AD9-D1BB-4B10-853B-B03F43B323DF}"/>
    <hyperlink ref="K2732" r:id="rId18485" display="https://statiz.sporki.com/add/?m=draft_school01&amp;ps_school=50112" xr:uid="{F483561B-31E8-44B7-A48C-1B2B4190B53C}"/>
    <hyperlink ref="K2733" r:id="rId18486" display="https://statiz.sporki.com/add/?m=draft_school01&amp;ps_school=50701" xr:uid="{D61797D8-E48D-4284-9853-C1628C54ABF3}"/>
    <hyperlink ref="K2734" r:id="rId18487" display="https://statiz.sporki.com/add/?m=draft_school01&amp;ps_school=50202" xr:uid="{365F3EE0-6DFD-44F3-B79D-C72B90123F85}"/>
    <hyperlink ref="K2735" r:id="rId18488" display="https://statiz.sporki.com/add/?m=draft_school01&amp;ps_school=50803" xr:uid="{A5196DAA-D710-4A5C-A1D9-BAF197501D45}"/>
    <hyperlink ref="K2736" r:id="rId18489" display="https://statiz.sporki.com/add/?m=draft_school01&amp;ps_school=50602" xr:uid="{BEC32C57-5268-4F8E-A7CF-4B2C145917BF}"/>
    <hyperlink ref="K2739" r:id="rId18490" display="https://statiz.sporki.com/add/?m=draft_school01&amp;ps_school=50209" xr:uid="{96C28451-9FA8-43FB-915E-D242E36C80B3}"/>
    <hyperlink ref="K2740" r:id="rId18491" display="https://statiz.sporki.com/add/?m=draft_school01&amp;ps_school=50501" xr:uid="{19BECD55-B1CE-4DDB-8353-B55867D172A1}"/>
    <hyperlink ref="K2742" r:id="rId18492" display="https://statiz.sporki.com/add/?m=draft_school01&amp;ps_school=50209" xr:uid="{00805B6E-965B-431E-B031-B76B1FD63EBA}"/>
    <hyperlink ref="K2743" r:id="rId18493" display="https://statiz.sporki.com/add/?m=draft_school01&amp;ps_school=50402" xr:uid="{8D45982B-1D4D-4A28-840A-1086C8C451F7}"/>
    <hyperlink ref="K2744" r:id="rId18494" display="https://statiz.sporki.com/add/?m=draft_school01&amp;ps_school=50402" xr:uid="{EEE8AB7E-C717-4174-A82D-99A1951C22FD}"/>
    <hyperlink ref="K2745" r:id="rId18495" display="https://statiz.sporki.com/add/?m=draft_school01&amp;ps_school=50502" xr:uid="{6341AB21-3E21-473F-9E7A-142868C2C008}"/>
    <hyperlink ref="K2746" r:id="rId18496" display="https://statiz.sporki.com/add/?m=draft_school01&amp;ps_school=50301" xr:uid="{6A5B2301-9F44-45A4-940E-BABCD96271FE}"/>
    <hyperlink ref="K2747" r:id="rId18497" display="https://statiz.sporki.com/add/?m=draft_school01&amp;ps_school=50107" xr:uid="{E5E8641D-1168-42CF-9527-0471D7723964}"/>
    <hyperlink ref="K2748" r:id="rId18498" display="https://statiz.sporki.com/add/?m=draft_school01&amp;ps_school=50403" xr:uid="{D2F453CD-FC58-4423-A94A-9EBDD85C5899}"/>
    <hyperlink ref="K2749" r:id="rId18499" display="https://statiz.sporki.com/add/?m=draft_school01&amp;ps_school=50110" xr:uid="{6F0EDC6B-7BE2-4115-A20B-F6558F5E448D}"/>
    <hyperlink ref="K2750" r:id="rId18500" display="https://statiz.sporki.com/add/?m=draft_school01&amp;ps_school=50502" xr:uid="{543B2E12-0169-421C-BA52-74FF9BDB79D5}"/>
    <hyperlink ref="K2753" r:id="rId18501" display="https://statiz.sporki.com/add/?m=draft_school01&amp;ps_school=51100" xr:uid="{8DD3A9D6-2FA9-4098-A107-85A3276A38A8}"/>
    <hyperlink ref="K2762" r:id="rId18502" display="https://statiz.sporki.com/add/?m=draft_school01&amp;ps_school=51100" xr:uid="{71223C1A-6804-4212-B96B-C04FF55F3422}"/>
    <hyperlink ref="K2763" r:id="rId18503" display="https://statiz.sporki.com/add/?m=draft_school01&amp;ps_school=50105" xr:uid="{EFC14C7E-4D04-4186-8197-69D9A7EB77AE}"/>
    <hyperlink ref="K2764" r:id="rId18504" display="https://statiz.sporki.com/add/?m=draft_school01&amp;ps_school=50701" xr:uid="{2766FF09-F418-4158-9F08-88A9B03CE99C}"/>
    <hyperlink ref="K2765" r:id="rId18505" display="https://statiz.sporki.com/add/?m=draft_school01&amp;ps_school=50502" xr:uid="{914F4F9F-695B-4122-8B0E-C0EC9D9D7D0C}"/>
    <hyperlink ref="K2766" r:id="rId18506" display="https://statiz.sporki.com/add/?m=draft_school01&amp;ps_school=50203" xr:uid="{32D2A06B-41FB-4E41-8319-9C895841565E}"/>
    <hyperlink ref="K2767" r:id="rId18507" display="https://statiz.sporki.com/add/?m=draft_school01&amp;ps_school=50110" xr:uid="{E5F20EC1-7CA2-4641-9972-0EC81012702A}"/>
    <hyperlink ref="K2768" r:id="rId18508" display="https://statiz.sporki.com/add/?m=draft_school01&amp;ps_school=50802" xr:uid="{C8AE7569-7A2C-4A5C-8752-4F292D91369E}"/>
    <hyperlink ref="K2769" r:id="rId18509" display="https://statiz.sporki.com/add/?m=draft_school01&amp;ps_school=50110" xr:uid="{9BB99759-11BB-4B53-9CE8-49BB5681146B}"/>
    <hyperlink ref="K2770" r:id="rId18510" display="https://statiz.sporki.com/add/?m=draft_school01&amp;ps_school=50209" xr:uid="{2CA88972-BE9D-4BE5-9E87-F29C7B14DCB9}"/>
    <hyperlink ref="K2771" r:id="rId18511" display="https://statiz.sporki.com/add/?m=draft_school01&amp;ps_school=50108" xr:uid="{63C18C08-990C-427F-880B-C45D1201E9AD}"/>
    <hyperlink ref="K2772" r:id="rId18512" display="https://statiz.sporki.com/add/?m=draft_school01&amp;ps_school=50602" xr:uid="{67B4B1F5-1A49-4F55-AE88-0964F6CFED98}"/>
    <hyperlink ref="K2773" r:id="rId18513" display="https://statiz.sporki.com/add/?m=draft_school01&amp;ps_school=50802" xr:uid="{F93F74F7-D215-405B-94F9-816C5727D2C1}"/>
    <hyperlink ref="K2774" r:id="rId18514" display="https://statiz.sporki.com/add/?m=draft_school01&amp;ps_school=50701" xr:uid="{C784EAF4-5209-4E7D-98C8-C1F68C18642F}"/>
    <hyperlink ref="K2775" r:id="rId18515" display="https://statiz.sporki.com/add/?m=draft_school01&amp;ps_school=50209" xr:uid="{32682F77-F6A4-48A1-810B-41CE7C767A8C}"/>
    <hyperlink ref="K2776" r:id="rId18516" display="https://statiz.sporki.com/add/?m=draft_school01&amp;ps_school=50501" xr:uid="{D001F9CC-909E-4841-A519-EBEA077CF3F1}"/>
    <hyperlink ref="K2777" r:id="rId18517" display="https://statiz.sporki.com/add/?m=draft_school01&amp;ps_school=50703" xr:uid="{A00A4A21-E54C-49C4-B84D-1E219532F523}"/>
    <hyperlink ref="K2778" r:id="rId18518" display="https://statiz.sporki.com/add/?m=draft_school01&amp;ps_school=50812" xr:uid="{13315FA1-02A4-4645-92E9-B0D35E31B6B0}"/>
    <hyperlink ref="K2779" r:id="rId18519" display="https://statiz.sporki.com/add/?m=draft_school01&amp;ps_school=50801" xr:uid="{82E0B573-B1C0-4810-801E-90C242CFC056}"/>
    <hyperlink ref="K2780" r:id="rId18520" display="https://statiz.sporki.com/add/?m=draft_school01&amp;ps_school=50802" xr:uid="{26D31709-5C71-45A3-86FB-B1D3FB6B1328}"/>
    <hyperlink ref="K2781" r:id="rId18521" display="https://statiz.sporki.com/add/?m=draft_school01&amp;ps_school=50109" xr:uid="{D2AC7CF1-22A9-4CB4-8869-F9E338136B79}"/>
    <hyperlink ref="K2782" r:id="rId18522" display="https://statiz.sporki.com/add/?m=draft_school01&amp;ps_school=50107" xr:uid="{5826271B-69DE-4356-AB14-1F918F1C1EA7}"/>
    <hyperlink ref="K2783" r:id="rId18523" display="https://statiz.sporki.com/add/?m=draft_school01&amp;ps_school=50501" xr:uid="{FE67A536-4862-4B9C-BC45-A12A3C622796}"/>
    <hyperlink ref="K2784" r:id="rId18524" display="https://statiz.sporki.com/add/?m=draft_school01&amp;ps_school=50402" xr:uid="{E45C1B3A-77DD-4BE1-B4F9-FD7A8B611EC7}"/>
    <hyperlink ref="K2785" r:id="rId18525" display="https://statiz.sporki.com/add/?m=draft_school01&amp;ps_school=50110" xr:uid="{BA5D25F3-B6EE-4A26-B186-698FA57E5C01}"/>
    <hyperlink ref="K2786" r:id="rId18526" display="https://statiz.sporki.com/add/?m=draft_school01&amp;ps_school=50802" xr:uid="{11E6C6CB-D722-496F-A765-4FE0AD7A8B6E}"/>
    <hyperlink ref="K2787" r:id="rId18527" display="https://statiz.sporki.com/add/?m=draft_school01&amp;ps_school=50401" xr:uid="{AAD3F389-7534-44AF-8AE8-F44BED5497FD}"/>
    <hyperlink ref="K2788" r:id="rId18528" display="https://statiz.sporki.com/add/?m=draft_school01&amp;ps_school=50110" xr:uid="{C3964276-FF68-47AF-926F-529C51F084CA}"/>
    <hyperlink ref="K2789" r:id="rId18529" display="https://statiz.sporki.com/add/?m=draft_school01&amp;ps_school=50802" xr:uid="{D04ED0B6-1BAC-4061-B557-5F777333FF0F}"/>
    <hyperlink ref="K2790" r:id="rId18530" display="https://statiz.sporki.com/add/?m=draft_school01&amp;ps_school=50209" xr:uid="{B11976BD-13F2-4B07-8106-352B55ED3F7B}"/>
    <hyperlink ref="K2791" r:id="rId18531" display="https://statiz.sporki.com/add/?m=draft_school01&amp;ps_school=50116" xr:uid="{8425DAEE-46DF-4663-A5C1-0E1C60D7352A}"/>
    <hyperlink ref="K2792" r:id="rId18532" display="https://statiz.sporki.com/add/?m=draft_school01&amp;ps_school=50110" xr:uid="{BBBFE9C3-0DE6-4906-82DE-2D389B8A72F2}"/>
    <hyperlink ref="K2793" r:id="rId18533" display="https://statiz.sporki.com/add/?m=draft_school01&amp;ps_school=50203" xr:uid="{ABEFEC7E-368D-4344-8694-54F4401E0B14}"/>
    <hyperlink ref="K2794" r:id="rId18534" display="https://statiz.sporki.com/add/?m=draft_school01&amp;ps_school=50103" xr:uid="{994C66FA-AB81-40A2-9DC9-E21955CB38EC}"/>
    <hyperlink ref="K2795" r:id="rId18535" display="https://statiz.sporki.com/add/?m=draft_school01&amp;ps_school=50203" xr:uid="{070D802E-2F4F-40C5-87AF-B439479A6119}"/>
    <hyperlink ref="K2796" r:id="rId18536" display="https://statiz.sporki.com/add/?m=draft_school01&amp;ps_school=50108" xr:uid="{99118782-3020-4AD2-8EE9-DA1496E7669A}"/>
    <hyperlink ref="K2797" r:id="rId18537" display="https://statiz.sporki.com/add/?m=draft_school01&amp;ps_school=50802" xr:uid="{AB9F3263-37C1-4362-B251-793F6E20261A}"/>
    <hyperlink ref="K2798" r:id="rId18538" display="https://statiz.sporki.com/add/?m=draft_school01&amp;ps_school=50804" xr:uid="{6D0564AE-B831-4BFA-A7A7-D3A1D1272677}"/>
    <hyperlink ref="K2799" r:id="rId18539" display="https://statiz.sporki.com/add/?m=draft_school01&amp;ps_school=50116" xr:uid="{E3FBF0FD-348D-4890-AF81-AAD6864CC1FF}"/>
    <hyperlink ref="K2800" r:id="rId18540" display="https://statiz.sporki.com/add/?m=draft_school01&amp;ps_school=50606" xr:uid="{93980CE4-21C5-4856-B2EF-95A07BCF8E4C}"/>
    <hyperlink ref="K2801" r:id="rId18541" display="https://statiz.sporki.com/add/?m=draft_school01&amp;ps_school=50102" xr:uid="{EF88A715-017B-4B4B-9A80-4AC695026E74}"/>
    <hyperlink ref="K2802" r:id="rId18542" display="https://statiz.sporki.com/add/?m=draft_school01&amp;ps_school=50105" xr:uid="{89CD692C-D497-4DEE-B61D-249E9C2C08A9}"/>
    <hyperlink ref="K2803" r:id="rId18543" display="https://statiz.sporki.com/add/?m=draft_school01&amp;ps_school=50202" xr:uid="{067925C6-611C-47BC-A7DC-08EE0EF84054}"/>
    <hyperlink ref="K2804" r:id="rId18544" display="https://statiz.sporki.com/add/?m=draft_school01&amp;ps_school=50812" xr:uid="{EC1BE925-BFCD-4C3F-8F00-4B8B54C6C2D1}"/>
    <hyperlink ref="K2805" r:id="rId18545" display="https://statiz.sporki.com/add/?m=draft_school01&amp;ps_school=50107" xr:uid="{94E8024B-4A61-4F00-9890-FDFFFE265B67}"/>
    <hyperlink ref="K2806" r:id="rId18546" display="https://statiz.sporki.com/add/?m=draft_school01&amp;ps_school=50114" xr:uid="{18B8FF44-DC39-4B77-8BE4-4B792C2C6514}"/>
    <hyperlink ref="K2807" r:id="rId18547" display="https://statiz.sporki.com/add/?m=draft_school01&amp;ps_school=50203" xr:uid="{0F93F2B9-E7F8-4605-ABBB-2B6E06AE41E2}"/>
    <hyperlink ref="K2808" r:id="rId18548" display="https://statiz.sporki.com/add/?m=draft_school01&amp;ps_school=50110" xr:uid="{379E5F2B-00BE-48B1-BC36-B7CE353455D8}"/>
    <hyperlink ref="K2809" r:id="rId18549" display="https://statiz.sporki.com/add/?m=draft_school01&amp;ps_school=50602" xr:uid="{4B79249C-BD1A-48C3-B204-4B32FF48812A}"/>
    <hyperlink ref="K2810" r:id="rId18550" display="https://statiz.sporki.com/add/?m=draft_school01&amp;ps_school=50807" xr:uid="{DFE0742C-0DF6-46FD-A393-3BFBE36740BA}"/>
    <hyperlink ref="K2811" r:id="rId18551" display="https://statiz.sporki.com/add/?m=draft_school01&amp;ps_school=50401" xr:uid="{ED070BE3-B8CF-4685-B267-080C99B6C950}"/>
    <hyperlink ref="K2812" r:id="rId18552" display="https://statiz.sporki.com/add/?m=draft_school01&amp;ps_school=50110" xr:uid="{467D5335-4330-40E3-BB05-41AA12E75967}"/>
    <hyperlink ref="K2813" r:id="rId18553" display="https://statiz.sporki.com/add/?m=draft_school01&amp;ps_school=50303" xr:uid="{FFA89C55-A76E-4BE7-848F-75E7FB1B4638}"/>
    <hyperlink ref="K2814" r:id="rId18554" display="https://statiz.sporki.com/add/?m=draft_school01&amp;ps_school=50109" xr:uid="{C72B06CA-7ED1-4291-820A-F646ADDBDDA7}"/>
    <hyperlink ref="K2815" r:id="rId18555" display="https://statiz.sporki.com/add/?m=draft_school01&amp;ps_school=50116" xr:uid="{2244D03B-54BE-42B4-A92C-CE5E82CAF59D}"/>
    <hyperlink ref="K2816" r:id="rId18556" display="https://statiz.sporki.com/add/?m=draft_school01&amp;ps_school=50805" xr:uid="{84C7CCB6-84B1-4FF1-B10B-D0EA5338B40E}"/>
    <hyperlink ref="K2817" r:id="rId18557" display="https://statiz.sporki.com/add/?m=draft_school01&amp;ps_school=50303" xr:uid="{3CFD16CB-6A24-46CB-90B5-FF3498B15484}"/>
    <hyperlink ref="K2818" r:id="rId18558" display="https://statiz.sporki.com/add/?m=draft_school01&amp;ps_school=50402" xr:uid="{7E3B2D69-BF93-414E-974A-F8CA0C37CE35}"/>
    <hyperlink ref="K2819" r:id="rId18559" display="https://statiz.sporki.com/add/?m=draft_school01&amp;ps_school=50111" xr:uid="{CEB2727E-5C56-41F9-81EE-9C26DB505DC9}"/>
    <hyperlink ref="K2820" r:id="rId18560" display="https://statiz.sporki.com/add/?m=draft_school01&amp;ps_school=50105" xr:uid="{B490C2DD-CF4C-4143-800C-1B8FC6688F4E}"/>
    <hyperlink ref="K2821" r:id="rId18561" display="https://statiz.sporki.com/add/?m=draft_school01&amp;ps_school=50110" xr:uid="{BF495579-E5E9-4E24-93B1-92CEBE784AE7}"/>
    <hyperlink ref="K2822" r:id="rId18562" display="https://statiz.sporki.com/add/?m=draft_school01&amp;ps_school=50602" xr:uid="{00113254-05C9-474F-BACF-9F7B36DC0DA9}"/>
    <hyperlink ref="K2823" r:id="rId18563" display="https://statiz.sporki.com/add/?m=draft_school01&amp;ps_school=50110" xr:uid="{DCC231C2-0177-42AE-AABE-E41931D142A7}"/>
    <hyperlink ref="K2824" r:id="rId18564" display="https://statiz.sporki.com/add/?m=draft_school01&amp;ps_school=50105" xr:uid="{DA1D030A-E3C7-4810-8315-522613DFB05A}"/>
    <hyperlink ref="K2825" r:id="rId18565" display="https://statiz.sporki.com/add/?m=draft_school01&amp;ps_school=50106" xr:uid="{3E1558D5-A31C-42DC-8D32-B6A043EB7216}"/>
    <hyperlink ref="K2826" r:id="rId18566" display="https://statiz.sporki.com/add/?m=draft_school01&amp;ps_school=50105" xr:uid="{0AEA63C9-1BCE-4299-8FBB-8DBBBED154C2}"/>
    <hyperlink ref="K2827" r:id="rId18567" display="https://statiz.sporki.com/add/?m=draft_school01&amp;ps_school=50803" xr:uid="{DE7A15F3-6A5A-4E64-9CF5-9135AE3A2824}"/>
    <hyperlink ref="K2828" r:id="rId18568" display="https://statiz.sporki.com/add/?m=draft_school01&amp;ps_school=50802" xr:uid="{D7AFAA41-F270-4167-9355-56B315BD2270}"/>
    <hyperlink ref="K2829" r:id="rId18569" display="https://statiz.sporki.com/add/?m=draft_school01&amp;ps_school=50703" xr:uid="{D09DA957-1281-43BF-8F78-EF8A2086BC52}"/>
    <hyperlink ref="K2830" r:id="rId18570" display="https://statiz.sporki.com/add/?m=draft_school01&amp;ps_school=50711" xr:uid="{860BB91C-3559-4398-A66C-3618836B9DBF}"/>
    <hyperlink ref="K2831" r:id="rId18571" display="https://statiz.sporki.com/add/?m=draft_school01&amp;ps_school=50502" xr:uid="{4CA4A57E-1F89-47B2-8A31-AEF3C0F6C630}"/>
    <hyperlink ref="K2832" r:id="rId18572" display="https://statiz.sporki.com/add/?m=draft_school01&amp;ps_school=50403" xr:uid="{9DC87C75-01E5-49F6-970D-00EF00A65EA2}"/>
    <hyperlink ref="K2833" r:id="rId18573" display="https://statiz.sporki.com/add/?m=draft_school01&amp;ps_school=50606" xr:uid="{A302EBFF-81D1-4244-AB23-7E751902312B}"/>
    <hyperlink ref="K2834" r:id="rId18574" display="https://statiz.sporki.com/add/?m=draft_school01&amp;ps_school=50202" xr:uid="{D9A42647-4F35-4495-BED9-DB68B7A100DD}"/>
    <hyperlink ref="K2835" r:id="rId18575" display="https://statiz.sporki.com/add/?m=draft_school01&amp;ps_school=50209" xr:uid="{34330D6B-2FCB-487D-96D8-9B8C6B4D60A2}"/>
    <hyperlink ref="K2836" r:id="rId18576" display="https://statiz.sporki.com/add/?m=draft_school01&amp;ps_school=50904" xr:uid="{ED6F03CB-83E3-4F49-954F-2C51BB6239AB}"/>
    <hyperlink ref="K2837" r:id="rId18577" display="https://statiz.sporki.com/add/?m=draft_school01&amp;ps_school=50602" xr:uid="{2DBE070B-B9ED-474C-B183-AE7E3671574D}"/>
    <hyperlink ref="K2838" r:id="rId18578" display="https://statiz.sporki.com/add/?m=draft_school01&amp;ps_school=50116" xr:uid="{3AD6EEC7-545C-4277-9AFB-0E0D1A44DDFE}"/>
    <hyperlink ref="K2839" r:id="rId18579" display="https://statiz.sporki.com/add/?m=draft_school01&amp;ps_school=50402" xr:uid="{39C6A721-6AB9-4C5A-B0E1-9CC1C12DB4A9}"/>
    <hyperlink ref="K2840" r:id="rId18580" display="https://statiz.sporki.com/add/?m=draft_school01&amp;ps_school=50116" xr:uid="{45E89AB8-4D00-46A8-8EEA-D8447978AF4C}"/>
    <hyperlink ref="K2853" r:id="rId18581" display="https://statiz.sporki.com/add/?m=draft_school01&amp;ps_school=50105" xr:uid="{DC923E32-FFD5-4E4B-BC97-83E24CEFD365}"/>
    <hyperlink ref="K2854" r:id="rId18582" display="https://statiz.sporki.com/add/?m=draft_school01&amp;ps_school=50703" xr:uid="{47B4E506-ABE4-4A8B-A4D5-D9BC02A671C8}"/>
    <hyperlink ref="K2855" r:id="rId18583" display="https://statiz.sporki.com/add/?m=draft_school01&amp;ps_school=50501" xr:uid="{71963A5C-18DF-4C39-8D46-AEE5B998364C}"/>
    <hyperlink ref="K2856" r:id="rId18584" display="https://statiz.sporki.com/add/?m=draft_school01&amp;ps_school=50609" xr:uid="{34027746-AC11-48D7-91FB-84C7E49FE8B1}"/>
    <hyperlink ref="K2857" r:id="rId18585" display="https://statiz.sporki.com/add/?m=draft_school01&amp;ps_school=50111" xr:uid="{C880EDB9-B662-4945-B937-55D827BB6EE0}"/>
    <hyperlink ref="K2858" r:id="rId18586" display="https://statiz.sporki.com/add/?m=draft_school01&amp;ps_school=50805" xr:uid="{CEF3147C-EF91-4A09-81F4-F73FD45A05DC}"/>
    <hyperlink ref="K2859" r:id="rId18587" display="https://statiz.sporki.com/add/?m=draft_school01&amp;ps_school=50208" xr:uid="{AB75B0DC-EE79-478E-B73A-E493DAEFD4FF}"/>
    <hyperlink ref="K2860" r:id="rId18588" display="https://statiz.sporki.com/add/?m=draft_school01&amp;ps_school=50106" xr:uid="{7C87BD2D-0054-4A7B-9012-34E6CF3B71D8}"/>
    <hyperlink ref="K2861" r:id="rId18589" display="https://statiz.sporki.com/add/?m=draft_school01&amp;ps_school=50804" xr:uid="{7715B0A8-9AFF-4FE0-BE37-C381CEAE1379}"/>
    <hyperlink ref="K2862" r:id="rId18590" display="https://statiz.sporki.com/add/?m=draft_school01&amp;ps_school=50101" xr:uid="{B70E6A2E-0EA1-4732-95E7-F7EDE5D38DC4}"/>
    <hyperlink ref="K2863" r:id="rId18591" display="https://statiz.sporki.com/add/?m=draft_school01&amp;ps_school=50805" xr:uid="{E16B2BEF-0925-4923-88F9-5A0997E64E98}"/>
    <hyperlink ref="K2864" r:id="rId18592" display="https://statiz.sporki.com/add/?m=draft_school01&amp;ps_school=50109" xr:uid="{14D98B0C-970D-4286-A688-2FC8E436C075}"/>
    <hyperlink ref="K2865" r:id="rId18593" display="https://statiz.sporki.com/add/?m=draft_school01&amp;ps_school=50103" xr:uid="{F5D9FB19-B946-4436-AA8A-53CA5E3F7D92}"/>
    <hyperlink ref="K2866" r:id="rId18594" display="https://statiz.sporki.com/add/?m=draft_school01&amp;ps_school=50110" xr:uid="{E26A251B-8481-4A8C-94E3-733E1034C458}"/>
    <hyperlink ref="K2867" r:id="rId18595" display="https://statiz.sporki.com/add/?m=draft_school01&amp;ps_school=50803" xr:uid="{3CC056BC-FC18-42BE-A791-536CB23A60B1}"/>
    <hyperlink ref="K2868" r:id="rId18596" display="https://statiz.sporki.com/add/?m=draft_school01&amp;ps_school=50402" xr:uid="{765853E0-3B00-452E-8FC0-A799773A49F8}"/>
    <hyperlink ref="K2869" r:id="rId18597" display="https://statiz.sporki.com/add/?m=draft_school01&amp;ps_school=50103" xr:uid="{23F90ACA-AA6C-44A2-943B-DD2FC4F0142E}"/>
    <hyperlink ref="K2870" r:id="rId18598" display="https://statiz.sporki.com/add/?m=draft_school01&amp;ps_school=50403" xr:uid="{D1CCDE02-B284-4582-BBA0-051E0D9C900F}"/>
    <hyperlink ref="K2871" r:id="rId18599" display="https://statiz.sporki.com/add/?m=draft_school01&amp;ps_school=50813" xr:uid="{F23ED014-7684-4B1C-9B92-231AD62433C1}"/>
    <hyperlink ref="K2872" r:id="rId18600" display="https://statiz.sporki.com/add/?m=draft_school01&amp;ps_school=50105" xr:uid="{3FB7FF1C-2AA6-43E8-AD88-35E9F0A63E15}"/>
    <hyperlink ref="K2873" r:id="rId18601" display="https://statiz.sporki.com/add/?m=draft_school01&amp;ps_school=50501" xr:uid="{B9B18513-757F-4334-9AD1-B46DB729E060}"/>
    <hyperlink ref="K2874" r:id="rId18602" display="https://statiz.sporki.com/add/?m=draft_school01&amp;ps_school=50701" xr:uid="{09AA84C2-52BB-42A2-8596-CE704EF402AD}"/>
    <hyperlink ref="K2875" r:id="rId18603" display="https://statiz.sporki.com/add/?m=draft_school01&amp;ps_school=50102" xr:uid="{B24107BC-A433-40FC-8F1F-070A8DF86E12}"/>
    <hyperlink ref="K2877" r:id="rId18604" display="https://statiz.sporki.com/add/?m=draft_school01&amp;ps_school=50701" xr:uid="{EF85A8C4-FC29-4881-A67C-393A39CF454B}"/>
    <hyperlink ref="K2878" r:id="rId18605" display="https://statiz.sporki.com/add/?m=draft_school01&amp;ps_school=50105" xr:uid="{DE9089F6-866B-478B-8171-3204E06BAFD1}"/>
    <hyperlink ref="K2879" r:id="rId18606" display="https://statiz.sporki.com/add/?m=draft_school01&amp;ps_school=50103" xr:uid="{49D39394-C00E-483B-A6BF-8484236C5B8B}"/>
    <hyperlink ref="K2880" r:id="rId18607" display="https://statiz.sporki.com/add/?m=draft_school01&amp;ps_school=50116" xr:uid="{59201903-06E1-4E67-99EE-9D9767736049}"/>
    <hyperlink ref="K2881" r:id="rId18608" display="https://statiz.sporki.com/add/?m=draft_school01&amp;ps_school=50111" xr:uid="{65EFD75D-1A92-4519-AD75-855BD93FD222}"/>
    <hyperlink ref="K2882" r:id="rId18609" display="https://statiz.sporki.com/add/?m=draft_school01&amp;ps_school=50108" xr:uid="{658E0719-7C6C-4618-819D-85E435E4609F}"/>
    <hyperlink ref="K2883" r:id="rId18610" display="https://statiz.sporki.com/add/?m=draft_school01&amp;ps_school=50701" xr:uid="{DB8755B1-5464-45AB-810A-0F103CA5B4CC}"/>
    <hyperlink ref="K2884" r:id="rId18611" display="https://statiz.sporki.com/add/?m=draft_school01&amp;ps_school=50401" xr:uid="{C2125A83-1E1E-4A55-AE8D-690EBAF8D84E}"/>
    <hyperlink ref="K2885" r:id="rId18612" display="https://statiz.sporki.com/add/?m=draft_school01&amp;ps_school=50105" xr:uid="{88BF688B-CB6F-4D1E-9713-231C98F3DBF7}"/>
    <hyperlink ref="K2886" r:id="rId18613" display="https://statiz.sporki.com/add/?m=draft_school01&amp;ps_school=50114" xr:uid="{661139A0-E5B4-4FDB-9538-CCBA7915B5A9}"/>
    <hyperlink ref="K2887" r:id="rId18614" display="https://statiz.sporki.com/add/?m=draft_school01&amp;ps_school=50109" xr:uid="{F01615EF-E8C3-43D1-90EB-8766A8A52D70}"/>
    <hyperlink ref="K2888" r:id="rId18615" display="https://statiz.sporki.com/add/?m=draft_school01&amp;ps_school=50702" xr:uid="{C7D5F510-5893-4246-BA4E-A0882E5CE5C5}"/>
    <hyperlink ref="K2889" r:id="rId18616" display="https://statiz.sporki.com/add/?m=draft_school01&amp;ps_school=50107" xr:uid="{6E767150-B4C7-472C-8ADA-4CBAD09F7B6D}"/>
    <hyperlink ref="K2890" r:id="rId18617" display="https://statiz.sporki.com/add/?m=draft_school01&amp;ps_school=50805" xr:uid="{C7A20D6D-17DB-4B6C-BB84-A614B69C1FC0}"/>
    <hyperlink ref="K2891" r:id="rId18618" display="https://statiz.sporki.com/add/?m=draft_school01&amp;ps_school=50401" xr:uid="{71DB3137-1C11-45E4-A944-E88137E9A474}"/>
    <hyperlink ref="K2892" r:id="rId18619" display="https://statiz.sporki.com/add/?m=draft_school01&amp;ps_school=50112" xr:uid="{541CF942-C30A-49BA-A79D-FA4D8155C1E8}"/>
    <hyperlink ref="K2893" r:id="rId18620" display="https://statiz.sporki.com/add/?m=draft_school01&amp;ps_school=50805" xr:uid="{964373CF-5914-43FE-923A-64F31DF3BBC1}"/>
    <hyperlink ref="K2894" r:id="rId18621" display="https://statiz.sporki.com/add/?m=draft_school01&amp;ps_school=50303" xr:uid="{62B40606-FC9B-49E7-B9B4-093BAA793048}"/>
    <hyperlink ref="K2895" r:id="rId18622" display="https://statiz.sporki.com/add/?m=draft_school01&amp;ps_school=50105" xr:uid="{8FB07213-8E48-484C-AD2D-321F36E568D4}"/>
    <hyperlink ref="K2896" r:id="rId18623" display="https://statiz.sporki.com/add/?m=draft_school01&amp;ps_school=50706" xr:uid="{46BC4C84-5BF1-4461-B803-77CD3B7A95A5}"/>
    <hyperlink ref="K2897" r:id="rId18624" display="https://statiz.sporki.com/add/?m=draft_school01&amp;ps_school=50105" xr:uid="{22C234C6-17C3-485B-9D4C-1126DC2AA08D}"/>
    <hyperlink ref="K2898" r:id="rId18625" display="https://statiz.sporki.com/add/?m=draft_school01&amp;ps_school=50604" xr:uid="{9894DFD3-5FC8-4C59-AEA8-40B4B7039B14}"/>
    <hyperlink ref="K2899" r:id="rId18626" display="https://statiz.sporki.com/add/?m=draft_school01&amp;ps_school=50103" xr:uid="{C39B492A-8D4A-468D-AF48-919D89381A59}"/>
    <hyperlink ref="K2900" r:id="rId18627" display="https://statiz.sporki.com/add/?m=draft_school01&amp;ps_school=50110" xr:uid="{3B2394EA-CC86-445C-B0EA-8CE3CF74AA53}"/>
    <hyperlink ref="K2901" r:id="rId18628" display="https://statiz.sporki.com/add/?m=draft_school01&amp;ps_school=50116" xr:uid="{56EFB2F1-6027-4BA2-B5CD-5740BF15BBCD}"/>
    <hyperlink ref="K2902" r:id="rId18629" display="https://statiz.sporki.com/add/?m=draft_school01&amp;ps_school=50110" xr:uid="{F28EE0B6-EB90-45C0-BA43-7ED74309E945}"/>
    <hyperlink ref="K2903" r:id="rId18630" display="https://statiz.sporki.com/add/?m=draft_school01&amp;ps_school=50502" xr:uid="{BE3CD407-6127-4338-B5FC-7078EF5B54CE}"/>
    <hyperlink ref="K2904" r:id="rId18631" display="https://statiz.sporki.com/add/?m=draft_school01&amp;ps_school=50115" xr:uid="{2A966874-C226-4F46-B4A3-CC36900AEF8F}"/>
    <hyperlink ref="K2905" r:id="rId18632" display="https://statiz.sporki.com/add/?m=draft_school01&amp;ps_school=50112" xr:uid="{7899AA86-BD6A-4710-96A4-4753B97D9CBD}"/>
    <hyperlink ref="K2906" r:id="rId18633" display="https://statiz.sporki.com/add/?m=draft_school01&amp;ps_school=50502" xr:uid="{462B81C6-D629-490C-AE59-8333565FC523}"/>
    <hyperlink ref="K2907" r:id="rId18634" display="https://statiz.sporki.com/add/?m=draft_school01&amp;ps_school=50802" xr:uid="{872F52C5-58F1-4114-9172-C44DF3DA21E3}"/>
    <hyperlink ref="K2908" r:id="rId18635" display="https://statiz.sporki.com/add/?m=draft_school01&amp;ps_school=50106" xr:uid="{5000AB91-2B18-4C61-BC0D-3A749E93B07B}"/>
    <hyperlink ref="K2909" r:id="rId18636" display="https://statiz.sporki.com/add/?m=draft_school01&amp;ps_school=50209" xr:uid="{59CF9D1A-2DD1-4285-B50D-452A30A89A22}"/>
    <hyperlink ref="K2910" r:id="rId18637" display="https://statiz.sporki.com/add/?m=draft_school01&amp;ps_school=50104" xr:uid="{66B50084-4819-45A5-ACC2-E857462C3DFD}"/>
    <hyperlink ref="K2911" r:id="rId18638" display="https://statiz.sporki.com/add/?m=draft_school01&amp;ps_school=50706" xr:uid="{0EC3D593-33C2-410B-8755-E067F720FCD4}"/>
    <hyperlink ref="K2912" r:id="rId18639" display="https://statiz.sporki.com/add/?m=draft_school01&amp;ps_school=50805" xr:uid="{FD2C1E47-0E8D-4323-97A6-4CCD18276D7B}"/>
    <hyperlink ref="K2913" r:id="rId18640" display="https://statiz.sporki.com/add/?m=draft_school01&amp;ps_school=50103" xr:uid="{17D72706-A1EF-4BCB-93A3-39B0DAF8B4AD}"/>
    <hyperlink ref="K2914" r:id="rId18641" display="https://statiz.sporki.com/add/?m=draft_school01&amp;ps_school=50116" xr:uid="{9DB89416-DA49-4D4F-A5BD-A4125B99216C}"/>
    <hyperlink ref="K2915" r:id="rId18642" display="https://statiz.sporki.com/add/?m=draft_school01&amp;ps_school=50116" xr:uid="{1E2D3287-511F-466A-808F-B2B39098AD75}"/>
    <hyperlink ref="K2916" r:id="rId18643" display="https://statiz.sporki.com/add/?m=draft_school01&amp;ps_school=50116" xr:uid="{464A556D-F8C6-429C-A0D5-A756BA979985}"/>
    <hyperlink ref="K2917" r:id="rId18644" display="https://statiz.sporki.com/add/?m=draft_school01&amp;ps_school=50109" xr:uid="{116A4E0E-996D-43B8-BBD4-4FF57E6BA5E9}"/>
    <hyperlink ref="K2918" r:id="rId18645" display="https://statiz.sporki.com/add/?m=draft_school01&amp;ps_school=50802" xr:uid="{141C9E40-02DE-4D7B-B112-F1A74EAFD84B}"/>
    <hyperlink ref="K2919" r:id="rId18646" display="https://statiz.sporki.com/add/?m=draft_school01&amp;ps_school=50402" xr:uid="{3F54704D-2E70-48B5-B2D5-A55F7731F94D}"/>
    <hyperlink ref="K2920" r:id="rId18647" display="https://statiz.sporki.com/add/?m=draft_school01&amp;ps_school=50401" xr:uid="{2B18DB1B-D11F-44A1-988E-F49C83AFD8BD}"/>
    <hyperlink ref="K2921" r:id="rId18648" display="https://statiz.sporki.com/add/?m=draft_school01&amp;ps_school=50403" xr:uid="{8F6FDF5F-0511-4039-8C6E-483B292823B4}"/>
    <hyperlink ref="K2922" r:id="rId18649" display="https://statiz.sporki.com/add/?m=draft_school01&amp;ps_school=50209" xr:uid="{3FEAEE3D-034C-40A2-AE37-08F001516466}"/>
    <hyperlink ref="K2923" r:id="rId18650" display="https://statiz.sporki.com/add/?m=draft_school01&amp;ps_school=50202" xr:uid="{DCA76A5A-CAF8-4EE0-9673-6F4C41D463FB}"/>
    <hyperlink ref="K2924" r:id="rId18651" display="https://statiz.sporki.com/add/?m=draft_school01&amp;ps_school=50803" xr:uid="{E64F0314-F33F-45DC-86FC-6EAE1B96E7B6}"/>
    <hyperlink ref="K2925" r:id="rId18652" display="https://statiz.sporki.com/add/?m=draft_school01&amp;ps_school=50501" xr:uid="{082A71CF-9C61-41D7-8792-550D32A4E53E}"/>
    <hyperlink ref="K2926" r:id="rId18653" display="https://statiz.sporki.com/add/?m=draft_school01&amp;ps_school=50602" xr:uid="{0CD86026-6318-4CB6-BEE0-A32648AC99F1}"/>
    <hyperlink ref="K2927" r:id="rId18654" display="https://statiz.sporki.com/add/?m=draft_school01&amp;ps_school=50106" xr:uid="{96784875-0A96-4F78-A86E-070B7AA3C128}"/>
    <hyperlink ref="K2928" r:id="rId18655" display="https://statiz.sporki.com/add/?m=draft_school01&amp;ps_school=50114" xr:uid="{3D4719FF-60D9-499E-ABAA-46ACB5287080}"/>
    <hyperlink ref="K2929" r:id="rId18656" display="https://statiz.sporki.com/add/?m=draft_school01&amp;ps_school=50804" xr:uid="{FFC6C941-A2C4-4891-9637-000D91ED2540}"/>
    <hyperlink ref="K2930" r:id="rId18657" display="https://statiz.sporki.com/add/?m=draft_school01&amp;ps_school=50711" xr:uid="{30C7EEFB-A7AA-440C-9705-D82E9D9074E6}"/>
    <hyperlink ref="K2931" r:id="rId18658" display="https://statiz.sporki.com/add/?m=draft_school01&amp;ps_school=50401" xr:uid="{16842EC0-6F01-450A-AB60-6D3BB6177F91}"/>
    <hyperlink ref="K2932" r:id="rId18659" display="https://statiz.sporki.com/add/?m=draft_school01&amp;ps_school=50209" xr:uid="{93334C11-07E7-404F-8E4A-1F3C27C60A33}"/>
    <hyperlink ref="K2933" r:id="rId18660" display="https://statiz.sporki.com/add/?m=draft_school01&amp;ps_school=50501" xr:uid="{D301D335-6E92-44EE-934F-5D7BC2AB06D5}"/>
    <hyperlink ref="K2934" r:id="rId18661" display="https://statiz.sporki.com/add/?m=draft_school01&amp;ps_school=50116" xr:uid="{924F532D-A070-4B5C-B995-622AEE34C4FB}"/>
    <hyperlink ref="K2935" r:id="rId18662" display="https://statiz.sporki.com/add/?m=draft_school01&amp;ps_school=50114" xr:uid="{62CD71A7-64B9-406C-B766-757614924297}"/>
    <hyperlink ref="K2936" r:id="rId18663" display="https://statiz.sporki.com/add/?m=draft_school01&amp;ps_school=50608" xr:uid="{BF45EDD7-310C-43F6-BE7F-A0684389E7C8}"/>
    <hyperlink ref="K2937" r:id="rId18664" display="https://statiz.sporki.com/add/?m=draft_school01&amp;ps_school=50704" xr:uid="{23EF9020-4339-492C-83CF-0FA4C8FF1422}"/>
    <hyperlink ref="K2938" r:id="rId18665" display="https://statiz.sporki.com/add/?m=draft_school01&amp;ps_school=50703" xr:uid="{71F7E037-F529-408C-9D68-1B5D82D79DFF}"/>
    <hyperlink ref="K2940" r:id="rId18666" display="https://statiz.sporki.com/add/?m=draft_school01&amp;ps_school=50604" xr:uid="{AD41F698-BE38-4253-83A1-CD0E9CC2B80C}"/>
    <hyperlink ref="K2941" r:id="rId18667" display="https://statiz.sporki.com/add/?m=draft_school01&amp;ps_school=50706" xr:uid="{9F4F64E2-537B-4E8A-8253-076B0F2864A4}"/>
    <hyperlink ref="K2942" r:id="rId18668" display="https://statiz.sporki.com/add/?m=draft_school01&amp;ps_school=50402" xr:uid="{5A4D868F-0B40-44A0-BC85-A7419D391558}"/>
    <hyperlink ref="K2943" r:id="rId18669" display="https://statiz.sporki.com/add/?m=draft_school01&amp;ps_school=50110" xr:uid="{B9DAE8DC-CF1E-4839-8B5C-9EAE892C4A89}"/>
    <hyperlink ref="K2944" r:id="rId18670" display="https://statiz.sporki.com/add/?m=draft_school01&amp;ps_school=50401" xr:uid="{33D07482-052E-4BC6-81FE-488DE845A035}"/>
    <hyperlink ref="K2945" r:id="rId18671" display="https://statiz.sporki.com/add/?m=draft_school01&amp;ps_school=50803" xr:uid="{FA924919-3693-45C4-B85A-DD41FE41223F}"/>
    <hyperlink ref="K2946" r:id="rId18672" display="https://statiz.sporki.com/add/?m=draft_school01&amp;ps_school=50115" xr:uid="{A7471C76-57BB-453B-BD55-BD48C4C81C8D}"/>
    <hyperlink ref="K2947" r:id="rId18673" display="https://statiz.sporki.com/add/?m=draft_school01&amp;ps_school=50904" xr:uid="{446F46A5-9A9E-40CB-A731-84A191A39083}"/>
    <hyperlink ref="K2948" r:id="rId18674" display="https://statiz.sporki.com/add/?m=draft_school01&amp;ps_school=50602" xr:uid="{4DC05EE5-5B76-4620-8DAF-8D57092008A7}"/>
    <hyperlink ref="K2949" r:id="rId18675" display="https://statiz.sporki.com/add/?m=draft_school01&amp;ps_school=50704" xr:uid="{1545F2F1-91B7-4BE1-9496-F8259F2173CC}"/>
    <hyperlink ref="K2950" r:id="rId18676" display="https://statiz.sporki.com/add/?m=draft_school01&amp;ps_school=50401" xr:uid="{18766763-F20C-4E4D-8D72-34B0849B93F9}"/>
    <hyperlink ref="K2951" r:id="rId18677" display="https://statiz.sporki.com/add/?m=draft_school01&amp;ps_school=50111" xr:uid="{AB7237CB-16F7-4666-9960-1CE5FEE7B5CB}"/>
    <hyperlink ref="K2952" r:id="rId18678" display="https://statiz.sporki.com/add/?m=draft_school01&amp;ps_school=50114" xr:uid="{60014B1E-66AA-4FCB-A162-E0B1859FF306}"/>
    <hyperlink ref="K2953" r:id="rId18679" display="https://statiz.sporki.com/add/?m=draft_school01&amp;ps_school=50116" xr:uid="{D26B6D55-5C2C-43EB-8EE7-EADDFD548BA2}"/>
    <hyperlink ref="K2954" r:id="rId18680" display="https://statiz.sporki.com/add/?m=draft_school01&amp;ps_school=50403" xr:uid="{9BAB61E2-5AD0-4957-8BC0-39170CC14F6D}"/>
    <hyperlink ref="K2955" r:id="rId18681" display="https://statiz.sporki.com/add/?m=draft_school01&amp;ps_school=50701" xr:uid="{DCB7D876-387A-4542-93AB-93B8EB6E1869}"/>
    <hyperlink ref="K2956" r:id="rId18682" display="https://statiz.sporki.com/add/?m=draft_school01&amp;ps_school=50701" xr:uid="{65213677-F03F-4709-A674-2A13B40A3542}"/>
    <hyperlink ref="K2957" r:id="rId18683" display="https://statiz.sporki.com/add/?m=draft_school01&amp;ps_school=50109" xr:uid="{704C1CC1-EE02-4254-929D-E74225F60FD5}"/>
    <hyperlink ref="K2958" r:id="rId18684" display="https://statiz.sporki.com/add/?m=draft_school01&amp;ps_school=50116" xr:uid="{AE8FFE80-3500-4C5E-9FC9-9CFC06E8F907}"/>
    <hyperlink ref="K2959" r:id="rId18685" display="https://statiz.sporki.com/add/?m=draft_school01&amp;ps_school=50110" xr:uid="{A3D37771-C181-48FC-8F61-31358D5252CC}"/>
    <hyperlink ref="K2960" r:id="rId18686" display="https://statiz.sporki.com/add/?m=draft_school01&amp;ps_school=50110" xr:uid="{9C32F36C-4423-49BB-A45C-7B59376982FA}"/>
    <hyperlink ref="K2961" r:id="rId18687" display="https://statiz.sporki.com/add/?m=draft_school01&amp;ps_school=50112" xr:uid="{6AD45053-DF1B-48F6-AF36-EB0FD5A6C98F}"/>
    <hyperlink ref="K2962" r:id="rId18688" display="https://statiz.sporki.com/add/?m=draft_school01&amp;ps_school=50805" xr:uid="{79B92700-B018-489C-80E0-EBDB6A5060F4}"/>
    <hyperlink ref="K2963" r:id="rId18689" display="https://statiz.sporki.com/add/?m=draft_school01&amp;ps_school=50113" xr:uid="{4A015454-A4D9-4AEA-9F9C-CE41E6831DC8}"/>
    <hyperlink ref="K2964" r:id="rId18690" display="https://statiz.sporki.com/add/?m=draft_school01&amp;ps_school=50209" xr:uid="{5028CBBE-6276-4279-8C55-24A9002C24A8}"/>
    <hyperlink ref="K2965" r:id="rId18691" display="https://statiz.sporki.com/add/?m=draft_school01&amp;ps_school=50202" xr:uid="{E52FB0CD-DBD7-41FE-B546-3A0666D07E86}"/>
    <hyperlink ref="K2966" r:id="rId18692" display="https://statiz.sporki.com/add/?m=draft_school01&amp;ps_school=50608" xr:uid="{952B01DD-D8EB-466B-91C6-9200B6F04BF6}"/>
    <hyperlink ref="K2967" r:id="rId18693" display="https://statiz.sporki.com/add/?m=draft_school01&amp;ps_school=50103" xr:uid="{B3358DFF-8AA8-417B-960A-3269E46A0B4B}"/>
    <hyperlink ref="K2968" r:id="rId18694" display="https://statiz.sporki.com/add/?m=draft_school01&amp;ps_school=50805" xr:uid="{A95A6315-D672-4EF3-81AD-7539242CF826}"/>
    <hyperlink ref="K2969" r:id="rId18695" display="https://statiz.sporki.com/add/?m=draft_school01&amp;ps_school=50106" xr:uid="{532E679B-8A74-4246-9273-949BE0167DE4}"/>
    <hyperlink ref="K2970" r:id="rId18696" display="https://statiz.sporki.com/add/?m=draft_school01&amp;ps_school=50804" xr:uid="{953D7DC0-47EA-4076-9FC3-481192650DDD}"/>
    <hyperlink ref="K2971" r:id="rId18697" display="https://statiz.sporki.com/add/?m=draft_school01&amp;ps_school=50106" xr:uid="{2C86BA1E-35E7-4B74-A846-5300783DE1BE}"/>
    <hyperlink ref="K2972" r:id="rId18698" display="https://statiz.sporki.com/add/?m=draft_school01&amp;ps_school=50203" xr:uid="{C0C0C589-E32E-471D-A80A-F1AC4A18CBF8}"/>
    <hyperlink ref="K2973" r:id="rId18699" display="https://statiz.sporki.com/add/?m=draft_school01&amp;ps_school=50806" xr:uid="{CB051794-A611-41B0-A26F-C3BF4E26E4C1}"/>
    <hyperlink ref="K2974" r:id="rId18700" display="https://statiz.sporki.com/add/?m=draft_school01&amp;ps_school=50602" xr:uid="{FE14B085-8CEF-4957-8FB3-A5080A0F4962}"/>
    <hyperlink ref="K2975" r:id="rId18701" display="https://statiz.sporki.com/add/?m=draft_school01&amp;ps_school=50403" xr:uid="{655A444F-03E0-4B00-A661-B8E1FF30EC8F}"/>
    <hyperlink ref="K2976" r:id="rId18702" display="https://statiz.sporki.com/add/?m=draft_school01&amp;ps_school=50110" xr:uid="{694A50CC-000D-421B-9C29-75E5BAB692A6}"/>
    <hyperlink ref="K2977" r:id="rId18703" display="https://statiz.sporki.com/add/?m=draft_school01&amp;ps_school=50209" xr:uid="{26ED618C-8378-4C6A-A39C-1E10087A1CDB}"/>
    <hyperlink ref="K2978" r:id="rId18704" display="https://statiz.sporki.com/add/?m=draft_school01&amp;ps_school=50121" xr:uid="{4AE88763-C6E3-4D3C-81DC-C6139B2AC1EB}"/>
    <hyperlink ref="K2979" r:id="rId18705" display="https://statiz.sporki.com/add/?m=draft_school01&amp;ps_school=50604" xr:uid="{EC40AD4A-E038-439B-91BA-773693CFCD4D}"/>
    <hyperlink ref="K2980" r:id="rId18706" display="https://statiz.sporki.com/add/?m=draft_school01&amp;ps_school=50804" xr:uid="{159BA937-3EBD-4108-A40C-BF75AE87329B}"/>
    <hyperlink ref="K2981" r:id="rId18707" display="https://statiz.sporki.com/add/?m=draft_school01&amp;ps_school=50703" xr:uid="{BEDA63E8-5948-448F-9E5E-D8EB025ACDF2}"/>
    <hyperlink ref="K2982" r:id="rId18708" display="https://statiz.sporki.com/add/?m=draft_school01&amp;ps_school=50802" xr:uid="{D50CB33E-4A7C-41B7-9EE3-BAF5038E65BD}"/>
    <hyperlink ref="K2983" r:id="rId18709" display="https://statiz.sporki.com/add/?m=draft_school01&amp;ps_school=50701" xr:uid="{872FD83E-D065-4696-8EF0-557B346F7908}"/>
    <hyperlink ref="K2984" r:id="rId18710" display="https://statiz.sporki.com/add/?m=draft_school01&amp;ps_school=50804" xr:uid="{8811E365-38ED-4CE2-9F3C-C62B145F27A7}"/>
    <hyperlink ref="K2986" r:id="rId18711" display="https://statiz.sporki.com/add/?m=draft_school01&amp;ps_school=50803" xr:uid="{198D3482-F8DA-4ACF-85C9-223BA7367654}"/>
    <hyperlink ref="K2987" r:id="rId18712" display="https://statiz.sporki.com/add/?m=draft_school01&amp;ps_school=50106" xr:uid="{26CF49F3-30A3-4696-A4CE-BED42EF5D55E}"/>
    <hyperlink ref="K2988" r:id="rId18713" display="https://statiz.sporki.com/add/?m=draft_school01&amp;ps_school=50110" xr:uid="{9CC9702F-2127-4F1C-A80B-AAFD28296BAC}"/>
    <hyperlink ref="K2989" r:id="rId18714" display="https://statiz.sporki.com/add/?m=draft_school01&amp;ps_school=50401" xr:uid="{0910EA16-71AB-4FB3-92DD-484E7AB570EE}"/>
    <hyperlink ref="K2990" r:id="rId18715" display="https://statiz.sporki.com/add/?m=draft_school01&amp;ps_school=50402" xr:uid="{C8410DA1-B0D3-433E-913F-39F171CAA226}"/>
    <hyperlink ref="K2991" r:id="rId18716" display="https://statiz.sporki.com/add/?m=draft_school01&amp;ps_school=50209" xr:uid="{434F3560-4FCC-48A8-B327-0BBD3D142153}"/>
    <hyperlink ref="K2992" r:id="rId18717" display="https://statiz.sporki.com/add/?m=draft_school01&amp;ps_school=50110" xr:uid="{1C235740-5509-4C47-A526-99743AF08C7E}"/>
    <hyperlink ref="K2993" r:id="rId18718" display="https://statiz.sporki.com/add/?m=draft_school01&amp;ps_school=50105" xr:uid="{6CD13CB1-5E8C-4B12-9C03-1FEFD3A3FB10}"/>
    <hyperlink ref="K2994" r:id="rId18719" display="https://statiz.sporki.com/add/?m=draft_school01&amp;ps_school=50110" xr:uid="{A9907E60-29C8-4886-9873-C66D363510AF}"/>
    <hyperlink ref="K2995" r:id="rId18720" display="https://statiz.sporki.com/add/?m=draft_school01&amp;ps_school=50802" xr:uid="{71F252B9-0D95-4D89-A1FE-7BB0F55A7FF0}"/>
    <hyperlink ref="K2996" r:id="rId18721" display="https://statiz.sporki.com/add/?m=draft_school01&amp;ps_school=50121" xr:uid="{8A62F670-F847-412A-B1A8-0EE185978299}"/>
    <hyperlink ref="K2997" r:id="rId18722" display="https://statiz.sporki.com/add/?m=draft_school01&amp;ps_school=50107" xr:uid="{2C0FC1CB-D920-424A-9568-BD311D5FEE8C}"/>
    <hyperlink ref="K2998" r:id="rId18723" display="https://statiz.sporki.com/add/?m=draft_school01&amp;ps_school=50103" xr:uid="{F5D81111-D697-43E1-BEB3-EB2F81167051}"/>
    <hyperlink ref="K2999" r:id="rId18724" display="https://statiz.sporki.com/add/?m=draft_school01&amp;ps_school=50116" xr:uid="{E3F273FE-D054-4427-8202-A5BC65A9F027}"/>
    <hyperlink ref="K3000" r:id="rId18725" display="https://statiz.sporki.com/add/?m=draft_school01&amp;ps_school=50403" xr:uid="{F374C56D-B35F-4486-95B4-0C92297BF9B2}"/>
    <hyperlink ref="K3001" r:id="rId18726" display="https://statiz.sporki.com/add/?m=draft_school01&amp;ps_school=50105" xr:uid="{A9D17B21-5256-4D8C-B70C-C87A4F64B2E8}"/>
    <hyperlink ref="K3003" r:id="rId18727" display="https://statiz.sporki.com/add/?m=draft_school01&amp;ps_school=50703" xr:uid="{B6EF1556-BF00-40C7-AE93-7EB4A52A9019}"/>
    <hyperlink ref="K3004" r:id="rId18728" display="https://statiz.sporki.com/add/?m=draft_school01&amp;ps_school=50121" xr:uid="{A7E38A29-5E16-4DF0-920F-ED86599519BC}"/>
    <hyperlink ref="K3005" r:id="rId18729" display="https://statiz.sporki.com/add/?m=draft_school01&amp;ps_school=50111" xr:uid="{D4693848-ACC0-4C74-BAFE-3A53A8AC00B1}"/>
    <hyperlink ref="K3006" r:id="rId18730" display="https://statiz.sporki.com/add/?m=draft_school01&amp;ps_school=50803" xr:uid="{3E4A2016-C7F0-4A12-BBBE-761CE48B9783}"/>
    <hyperlink ref="K3007" r:id="rId18731" display="https://statiz.sporki.com/add/?m=draft_school01&amp;ps_school=50203" xr:uid="{DEF0D617-0738-489B-B16F-FB4D5846C83C}"/>
    <hyperlink ref="K3008" r:id="rId18732" display="https://statiz.sporki.com/add/?m=draft_school01&amp;ps_school=50110" xr:uid="{70065B7D-F18F-4649-8964-1088787C6CEB}"/>
    <hyperlink ref="K3009" r:id="rId18733" display="https://statiz.sporki.com/add/?m=draft_school01&amp;ps_school=50108" xr:uid="{062567BB-3751-48D0-8F78-8FA8597DE1E5}"/>
    <hyperlink ref="K3010" r:id="rId18734" display="https://statiz.sporki.com/add/?m=draft_school01&amp;ps_school=50604" xr:uid="{11D0CD88-CE1F-40CE-87FF-48E69639DEFD}"/>
    <hyperlink ref="K3011" r:id="rId18735" display="https://statiz.sporki.com/add/?m=draft_school01&amp;ps_school=50209" xr:uid="{A380F773-F808-4F76-9670-AF8095804203}"/>
    <hyperlink ref="K3012" r:id="rId18736" display="https://statiz.sporki.com/add/?m=draft_school01&amp;ps_school=50803" xr:uid="{A3FF8704-9C37-4F74-A833-D1AA464B3A92}"/>
    <hyperlink ref="K3014" r:id="rId18737" display="https://statiz.sporki.com/add/?m=draft_school01&amp;ps_school=50502" xr:uid="{CBCB8EAA-DAD1-477E-90DD-B9A621AB49F1}"/>
    <hyperlink ref="K3015" r:id="rId18738" display="https://statiz.sporki.com/add/?m=draft_school01&amp;ps_school=50804" xr:uid="{E70C3A7E-CFC9-4261-B951-31F6E08EC441}"/>
    <hyperlink ref="K3016" r:id="rId18739" display="https://statiz.sporki.com/add/?m=draft_school01&amp;ps_school=50109" xr:uid="{11F2EFD1-F0B7-44D0-B6B4-5FDB8249E6B2}"/>
    <hyperlink ref="K3017" r:id="rId18740" display="https://statiz.sporki.com/add/?m=draft_school01&amp;ps_school=50114" xr:uid="{006865FA-19C4-403B-8FA5-2A0FF5FEA54D}"/>
    <hyperlink ref="K3018" r:id="rId18741" display="https://statiz.sporki.com/add/?m=draft_school01&amp;ps_school=50106" xr:uid="{DF361046-F2BB-4187-A00F-F6108F3872A7}"/>
    <hyperlink ref="K3019" r:id="rId18742" display="https://statiz.sporki.com/add/?m=draft_school01&amp;ps_school=50108" xr:uid="{1B112B82-6C2B-4BCC-894A-0F0058993E86}"/>
    <hyperlink ref="K3020" r:id="rId18743" display="https://statiz.sporki.com/add/?m=draft_school01&amp;ps_school=50803" xr:uid="{2D906CCC-4833-437A-9585-AB451C304290}"/>
    <hyperlink ref="K3021" r:id="rId18744" display="https://statiz.sporki.com/add/?m=draft_school01&amp;ps_school=50711" xr:uid="{ED64E799-C023-4973-9099-612606344074}"/>
    <hyperlink ref="K3022" r:id="rId18745" display="https://statiz.sporki.com/add/?m=draft_school01&amp;ps_school=50702" xr:uid="{65682A91-7536-445C-9785-4C846958ED36}"/>
    <hyperlink ref="K3023" r:id="rId18746" display="https://statiz.sporki.com/add/?m=draft_school01&amp;ps_school=50502" xr:uid="{8306F8D9-C840-40B6-94D3-5F53BC91BBE0}"/>
    <hyperlink ref="K3024" r:id="rId18747" display="https://statiz.sporki.com/add/?m=draft_school01&amp;ps_school=50403" xr:uid="{93B1D9DA-8501-4D26-AEE3-1D36DF8BD73A}"/>
    <hyperlink ref="K3025" r:id="rId18748" display="https://statiz.sporki.com/add/?m=draft_school01&amp;ps_school=50403" xr:uid="{A87F3C6C-A393-4F0A-BAA3-6F8547716872}"/>
    <hyperlink ref="K3026" r:id="rId18749" display="https://statiz.sporki.com/add/?m=draft_school01&amp;ps_school=50604" xr:uid="{BF5B481A-3A5E-4F88-8908-C60E81B3CDA2}"/>
    <hyperlink ref="K3027" r:id="rId18750" display="https://statiz.sporki.com/add/?m=draft_school01&amp;ps_school=50114" xr:uid="{B919A02C-080F-4B03-98A0-FCFC6098DCCF}"/>
    <hyperlink ref="K3028" r:id="rId18751" display="https://statiz.sporki.com/add/?m=draft_school01&amp;ps_school=50602" xr:uid="{6F539361-7648-4E66-BB23-C19F62A82CBD}"/>
    <hyperlink ref="K3029" r:id="rId18752" display="https://statiz.sporki.com/add/?m=draft_school01&amp;ps_school=50602" xr:uid="{68FE4C63-223C-411D-AF4A-27FA6496C203}"/>
    <hyperlink ref="K3030" r:id="rId18753" display="https://statiz.sporki.com/add/?m=draft_school01&amp;ps_school=50501" xr:uid="{70EC127A-4046-4469-8BF0-24F311547903}"/>
    <hyperlink ref="K3031" r:id="rId18754" display="https://statiz.sporki.com/add/?m=draft_school01&amp;ps_school=50209" xr:uid="{B5F6821A-FBD6-4051-A4D1-2431F8D35FE7}"/>
    <hyperlink ref="K3032" r:id="rId18755" display="https://statiz.sporki.com/add/?m=draft_school01&amp;ps_school=50114" xr:uid="{3ED9A1C8-3377-443F-A5EA-35580702526A}"/>
    <hyperlink ref="K3033" r:id="rId18756" display="https://statiz.sporki.com/add/?m=draft_school01&amp;ps_school=50114" xr:uid="{B098FDD4-621B-4A9A-ACDF-0DAD801D9206}"/>
    <hyperlink ref="K3034" r:id="rId18757" display="https://statiz.sporki.com/add/?m=draft_school01&amp;ps_school=50813" xr:uid="{2CB7517C-270D-482D-A9CB-50781B0488EA}"/>
    <hyperlink ref="K3036" r:id="rId18758" display="https://statiz.sporki.com/add/?m=draft_school01&amp;ps_school=50202" xr:uid="{F2D8B2B3-7536-4151-B971-6B6EE6A1DE0B}"/>
    <hyperlink ref="K3037" r:id="rId18759" display="https://statiz.sporki.com/add/?m=draft_school01&amp;ps_school=50401" xr:uid="{23875E0B-4221-4FFA-A2DD-DE148F7A76A2}"/>
    <hyperlink ref="K3038" r:id="rId18760" display="https://statiz.sporki.com/add/?m=draft_school01&amp;ps_school=50609" xr:uid="{44898480-9A49-406D-A687-81DF91CE67FC}"/>
    <hyperlink ref="K3039" r:id="rId18761" display="https://statiz.sporki.com/add/?m=draft_school01&amp;ps_school=50501" xr:uid="{8E2E0D7A-143B-46AD-9213-D4545D25E3F8}"/>
    <hyperlink ref="K3040" r:id="rId18762" display="https://statiz.sporki.com/add/?m=draft_school01&amp;ps_school=50114" xr:uid="{3BBE4DA6-FBD3-4B7A-A04B-AD67D8BD855D}"/>
    <hyperlink ref="K3041" r:id="rId18763" display="https://statiz.sporki.com/add/?m=draft_school01&amp;ps_school=50208" xr:uid="{EDD8FCC2-0F0B-4E2C-B090-909926B50F31}"/>
    <hyperlink ref="K3042" r:id="rId18764" display="https://statiz.sporki.com/add/?m=draft_school01&amp;ps_school=50802" xr:uid="{BF75D0A5-5860-4E08-A2BD-6697422D41C3}"/>
    <hyperlink ref="K3043" r:id="rId18765" display="https://statiz.sporki.com/add/?m=draft_school01&amp;ps_school=50113" xr:uid="{32DBDE64-F6EE-4734-8E96-34D69C146AC6}"/>
    <hyperlink ref="K3044" r:id="rId18766" display="https://statiz.sporki.com/add/?m=draft_school01&amp;ps_school=50114" xr:uid="{8D8D2A69-5344-46C5-B033-1E466A03E4B0}"/>
    <hyperlink ref="K3045" r:id="rId18767" display="https://statiz.sporki.com/add/?m=draft_school01&amp;ps_school=50403" xr:uid="{3B0F6563-8E09-4772-8AC2-AC6FD9CC723E}"/>
    <hyperlink ref="K3046" r:id="rId18768" display="https://statiz.sporki.com/add/?m=draft_school01&amp;ps_school=50803" xr:uid="{77955280-924D-4C61-AAC1-CBDFAA4561E2}"/>
    <hyperlink ref="K3047" r:id="rId18769" display="https://statiz.sporki.com/add/?m=draft_school01&amp;ps_school=50802" xr:uid="{DF9AB6CD-4422-41DC-B5E2-C3A83A4173AC}"/>
    <hyperlink ref="K3048" r:id="rId18770" display="https://statiz.sporki.com/add/?m=draft_school01&amp;ps_school=50116" xr:uid="{22A78403-E53B-4CAC-9DDD-CC6C7BF30BFD}"/>
    <hyperlink ref="K3049" r:id="rId18771" display="https://statiz.sporki.com/add/?m=draft_school01&amp;ps_school=50107" xr:uid="{E1769A69-653C-4EF6-B35A-6C301F28353D}"/>
    <hyperlink ref="K3050" r:id="rId18772" display="https://statiz.sporki.com/add/?m=draft_school01&amp;ps_school=50103" xr:uid="{7811EE4B-1289-4A5A-AFA3-24598A518219}"/>
    <hyperlink ref="K3051" r:id="rId18773" display="https://statiz.sporki.com/add/?m=draft_school01&amp;ps_school=50105" xr:uid="{1964FAB0-AD9C-42C9-B8D2-0E012C343177}"/>
    <hyperlink ref="K3052" r:id="rId18774" display="https://statiz.sporki.com/add/?m=draft_school01&amp;ps_school=50402" xr:uid="{4AAD6654-A9B3-4452-97CB-67AECC9AC060}"/>
    <hyperlink ref="K3053" r:id="rId18775" display="https://statiz.sporki.com/add/?m=draft_school01&amp;ps_school=50901" xr:uid="{A7057008-FCE4-475A-B618-8ED636353163}"/>
    <hyperlink ref="K3054" r:id="rId18776" display="https://statiz.sporki.com/add/?m=draft_school01&amp;ps_school=50802" xr:uid="{9B6D4C37-91B6-44C7-BFB6-FF56093FEFC5}"/>
    <hyperlink ref="K3055" r:id="rId18777" display="https://statiz.sporki.com/add/?m=draft_school01&amp;ps_school=50802" xr:uid="{6E882C74-D235-4479-9790-639601BCF027}"/>
    <hyperlink ref="K3057" r:id="rId18778" display="https://statiz.sporki.com/add/?m=draft_school01&amp;ps_school=50805" xr:uid="{83DFB2B9-1CE9-454F-A12F-9973A84215E0}"/>
    <hyperlink ref="K3058" r:id="rId18779" display="https://statiz.sporki.com/add/?m=draft_school01&amp;ps_school=50202" xr:uid="{FEA2B20F-6E33-44A0-9A3E-F363B4B6F96E}"/>
    <hyperlink ref="K3059" r:id="rId18780" display="https://statiz.sporki.com/add/?m=draft_school01&amp;ps_school=50401" xr:uid="{9147CA9A-D220-4815-9BAB-121B2966FF99}"/>
    <hyperlink ref="K3061" r:id="rId18781" display="https://statiz.sporki.com/add/?m=draft_school01&amp;ps_school=50209" xr:uid="{BE93A064-2BAE-4A21-99BC-A381A109F050}"/>
    <hyperlink ref="K3063" r:id="rId18782" display="https://statiz.sporki.com/add/?m=draft_school01&amp;ps_school=50108" xr:uid="{03A67A8F-9C6F-443D-9131-6592A0BDE6D0}"/>
    <hyperlink ref="K3064" r:id="rId18783" display="https://statiz.sporki.com/add/?m=draft_school01&amp;ps_school=50802" xr:uid="{5C4587C1-A61F-4659-BD9C-1878394C127F}"/>
    <hyperlink ref="K3066" r:id="rId18784" display="https://statiz.sporki.com/add/?m=draft_school01&amp;ps_school=50501" xr:uid="{FCB531F7-A875-4532-A4EF-B95EB2C1B122}"/>
    <hyperlink ref="K3067" r:id="rId18785" display="https://statiz.sporki.com/add/?m=draft_school01&amp;ps_school=50803" xr:uid="{3F706805-9573-4304-89E5-8E87BA1388A3}"/>
    <hyperlink ref="K3068" r:id="rId18786" display="https://statiz.sporki.com/add/?m=draft_school01&amp;ps_school=50402" xr:uid="{25B335AB-70E0-4625-953F-9360C670B18C}"/>
    <hyperlink ref="K3069" r:id="rId18787" display="https://statiz.sporki.com/add/?m=draft_school01&amp;ps_school=50609" xr:uid="{F40438E4-9A49-4AE9-844A-B45D01BCE3DC}"/>
    <hyperlink ref="K3070" r:id="rId18788" display="https://statiz.sporki.com/add/?m=draft_school01&amp;ps_school=50114" xr:uid="{FD4D79C0-8AFF-4059-A1B1-A3577E3C526F}"/>
    <hyperlink ref="K3072" r:id="rId18789" display="https://statiz.sporki.com/add/?m=draft_school01&amp;ps_school=50804" xr:uid="{DDD00912-9D7B-4212-B98F-3261C290D21F}"/>
    <hyperlink ref="K3073" r:id="rId18790" display="https://statiz.sporki.com/add/?m=draft_school01&amp;ps_school=50802" xr:uid="{063E2D0E-C76F-49C6-A959-99152F1640FA}"/>
    <hyperlink ref="K3074" r:id="rId18791" display="https://statiz.sporki.com/add/?m=draft_school01&amp;ps_school=50109" xr:uid="{24200C12-BAFD-4F49-B181-F03B7333AD8A}"/>
    <hyperlink ref="K3075" r:id="rId18792" display="https://statiz.sporki.com/add/?m=draft_school01&amp;ps_school=50604" xr:uid="{D4C874C5-C42C-4719-B8B7-2A77C23E5D42}"/>
    <hyperlink ref="K3076" r:id="rId18793" display="https://statiz.sporki.com/add/?m=draft_school01&amp;ps_school=50501" xr:uid="{70A6FE88-F478-40B5-8E2D-BA4E927FFBA7}"/>
    <hyperlink ref="K3077" r:id="rId18794" display="https://statiz.sporki.com/add/?m=draft_school01&amp;ps_school=50110" xr:uid="{E1B6A451-140D-4CD8-BE71-2C0BFF40CAE5}"/>
    <hyperlink ref="K3078" r:id="rId18795" display="https://statiz.sporki.com/add/?m=draft_school01&amp;ps_school=50114" xr:uid="{60A4AAE6-CDEE-43D6-97CB-6B0B3B67E639}"/>
    <hyperlink ref="K3079" r:id="rId18796" display="https://statiz.sporki.com/add/?m=draft_school01&amp;ps_school=50108" xr:uid="{F47A5744-1E84-45B6-A23A-734C4DDED7A7}"/>
    <hyperlink ref="K3080" r:id="rId18797" display="https://statiz.sporki.com/add/?m=draft_school01&amp;ps_school=50110" xr:uid="{03876027-422A-449B-B4B2-00C2422FB43B}"/>
    <hyperlink ref="K3081" r:id="rId18798" display="https://statiz.sporki.com/add/?m=draft_school01&amp;ps_school=50105" xr:uid="{F9488647-CC0E-4FDE-BB23-9B1454293602}"/>
    <hyperlink ref="K3082" r:id="rId18799" display="https://statiz.sporki.com/add/?m=draft_school01&amp;ps_school=50121" xr:uid="{23FB5EA1-1943-42E4-9AE3-C7208F7125E2}"/>
    <hyperlink ref="K3083" r:id="rId18800" display="https://statiz.sporki.com/add/?m=draft_school01&amp;ps_school=50103" xr:uid="{0F3541FC-357A-4CBD-A5A0-B26BDE02960E}"/>
    <hyperlink ref="K3084" r:id="rId18801" display="https://statiz.sporki.com/add/?m=draft_school01&amp;ps_school=50105" xr:uid="{15F283F4-1540-4402-94AE-58E5C895A1E1}"/>
    <hyperlink ref="K3085" r:id="rId18802" display="https://statiz.sporki.com/add/?m=draft_school01&amp;ps_school=50813" xr:uid="{DD65CB89-1B8B-485A-AEA1-CDC0FBC5F332}"/>
    <hyperlink ref="K3086" r:id="rId18803" display="https://statiz.sporki.com/add/?m=draft_school01&amp;ps_school=50803" xr:uid="{1CE9D800-E110-4E49-8441-6515D6100E6F}"/>
    <hyperlink ref="K3087" r:id="rId18804" display="https://statiz.sporki.com/add/?m=draft_school01&amp;ps_school=50805" xr:uid="{AE5280B9-9BA5-4D32-919D-B4B1198A8888}"/>
    <hyperlink ref="K3088" r:id="rId18805" display="https://statiz.sporki.com/add/?m=draft_school01&amp;ps_school=50701" xr:uid="{B677C4D2-9FDE-4C96-844C-321DFAC13E23}"/>
    <hyperlink ref="K3089" r:id="rId18806" display="https://statiz.sporki.com/add/?m=draft_school01&amp;ps_school=50711" xr:uid="{C0C6BFB9-942A-4CAB-A771-7268127203B2}"/>
    <hyperlink ref="K3090" r:id="rId18807" display="https://statiz.sporki.com/add/?m=draft_school01&amp;ps_school=50701" xr:uid="{5D0A4B60-0D9F-48E5-A86F-0210F7AB2350}"/>
    <hyperlink ref="K3091" r:id="rId18808" display="https://statiz.sporki.com/add/?m=draft_school01&amp;ps_school=50701" xr:uid="{E03678EC-ABF1-4093-BDD3-21A5DB844F84}"/>
    <hyperlink ref="K3092" r:id="rId18809" display="https://statiz.sporki.com/add/?m=draft_school01&amp;ps_school=50706" xr:uid="{88B423C0-3432-4BD9-A512-2A54F9905FB9}"/>
    <hyperlink ref="K3093" r:id="rId18810" display="https://statiz.sporki.com/add/?m=draft_school01&amp;ps_school=50208" xr:uid="{C0290C74-9300-4F4C-AE8C-9E447380A853}"/>
    <hyperlink ref="K3094" r:id="rId18811" display="https://statiz.sporki.com/add/?m=draft_school01&amp;ps_school=50202" xr:uid="{4C6B7579-BA79-4D6D-BF44-EAACD81419B4}"/>
    <hyperlink ref="K3095" r:id="rId18812" display="https://statiz.sporki.com/add/?m=draft_school01&amp;ps_school=50203" xr:uid="{4C7D5D20-14E8-48AB-81E9-F51CE7820D18}"/>
    <hyperlink ref="K3096" r:id="rId18813" display="https://statiz.sporki.com/add/?m=draft_school01&amp;ps_school=50402" xr:uid="{456A802A-47AF-4E6B-B0D7-2B4AF180D55B}"/>
    <hyperlink ref="K3097" r:id="rId18814" display="https://statiz.sporki.com/add/?m=draft_school01&amp;ps_school=50401" xr:uid="{849C84A4-2BFA-44BB-BB20-7A3135C9EC27}"/>
    <hyperlink ref="K3098" r:id="rId18815" display="https://statiz.sporki.com/add/?m=draft_school01&amp;ps_school=50609" xr:uid="{DC1E9AC8-3908-4843-97B4-A4C3AF0AD0CE}"/>
    <hyperlink ref="K3099" r:id="rId18816" display="https://statiz.sporki.com/add/?m=draft_school01&amp;ps_school=50108" xr:uid="{6D4756C5-719C-4BBA-A2A3-1E2F12637D4F}"/>
    <hyperlink ref="K3100" r:id="rId18817" display="https://statiz.sporki.com/add/?m=draft_school01&amp;ps_school=50604" xr:uid="{A10D1F17-E035-4A44-A3EF-1CCB6F9347C4}"/>
    <hyperlink ref="K3101" r:id="rId18818" display="https://statiz.sporki.com/add/?m=draft_school01&amp;ps_school=50502" xr:uid="{EDEC5F47-D714-4C81-BC32-5A2A8C91AA00}"/>
    <hyperlink ref="K3102" r:id="rId18819" display="https://statiz.sporki.com/add/?m=draft_school01&amp;ps_school=50114" xr:uid="{EA433085-FC37-442E-BDA9-2787248AB3D5}"/>
    <hyperlink ref="K3103" r:id="rId18820" display="https://statiz.sporki.com/add/?m=draft_school01&amp;ps_school=50116" xr:uid="{1A5CB55C-1594-413E-AF2F-9F21703DEF16}"/>
    <hyperlink ref="K3104" r:id="rId18821" display="https://statiz.sporki.com/add/?m=draft_school01&amp;ps_school=50805" xr:uid="{F1905383-AD97-4C20-BE21-E9DA98ADDFD8}"/>
    <hyperlink ref="K3105" r:id="rId18822" display="https://statiz.sporki.com/add/?m=draft_school01&amp;ps_school=50701" xr:uid="{EBDF1B7A-9CF5-4335-95BB-E4B42B5CA03F}"/>
    <hyperlink ref="K3106" r:id="rId18823" display="https://statiz.sporki.com/add/?m=draft_school01&amp;ps_school=50501" xr:uid="{D03E9E7D-F22E-4BBA-91C9-13710050D453}"/>
    <hyperlink ref="K3107" r:id="rId18824" display="https://statiz.sporki.com/add/?m=draft_school01&amp;ps_school=50209" xr:uid="{57BCE24F-B28E-479E-8473-4ACAF713A9A7}"/>
    <hyperlink ref="K3108" r:id="rId18825" display="https://statiz.sporki.com/add/?m=draft_school01&amp;ps_school=50402" xr:uid="{854244C8-9518-45B1-A5A4-9DEC6D29D37B}"/>
    <hyperlink ref="K3109" r:id="rId18826" display="https://statiz.sporki.com/add/?m=draft_school01&amp;ps_school=50604" xr:uid="{EC6B5E42-512F-4A0E-BCE2-D9B688FCB7AE}"/>
    <hyperlink ref="K3110" r:id="rId18827" display="https://statiz.sporki.com/add/?m=draft_school01&amp;ps_school=50803" xr:uid="{E6D3FF4C-0B7D-4E00-A87C-302A8854B65B}"/>
    <hyperlink ref="K3111" r:id="rId18828" display="https://statiz.sporki.com/add/?m=draft_school01&amp;ps_school=50111" xr:uid="{4BE2A756-A8F7-4133-B951-5890E67E5DC8}"/>
    <hyperlink ref="K3112" r:id="rId18829" display="https://statiz.sporki.com/add/?m=draft_school01&amp;ps_school=50116" xr:uid="{15230F81-6E43-41C3-AC93-A1B5E161EFDE}"/>
    <hyperlink ref="K3113" r:id="rId18830" display="https://statiz.sporki.com/add/?m=draft_school01&amp;ps_school=50109" xr:uid="{3B071079-5904-481E-B961-5918851405C7}"/>
    <hyperlink ref="K3114" r:id="rId18831" display="https://statiz.sporki.com/add/?m=draft_school01&amp;ps_school=50108" xr:uid="{FF424B04-033D-43D9-990B-09EEE67C9301}"/>
    <hyperlink ref="K3115" r:id="rId18832" display="https://statiz.sporki.com/add/?m=draft_school01&amp;ps_school=50107" xr:uid="{2FDBCE2E-8CA1-47AD-A076-C090AB2B043E}"/>
    <hyperlink ref="K3116" r:id="rId18833" display="https://statiz.sporki.com/add/?m=draft_school01&amp;ps_school=50126" xr:uid="{FF8B332C-08CC-4FBC-8F4C-962574564AFC}"/>
    <hyperlink ref="K3117" r:id="rId18834" display="https://statiz.sporki.com/add/?m=draft_school01&amp;ps_school=50115" xr:uid="{E57DA2F1-806C-434A-917A-FDB4C68801A7}"/>
    <hyperlink ref="K3118" r:id="rId18835" display="https://statiz.sporki.com/add/?m=draft_school01&amp;ps_school=50112" xr:uid="{BB036DED-5699-4909-9F8F-29FA283CB6C4}"/>
    <hyperlink ref="K3119" r:id="rId18836" display="https://statiz.sporki.com/add/?m=draft_school01&amp;ps_school=50814" xr:uid="{B82F1A64-F2D3-48B5-B21A-4424948DEF19}"/>
    <hyperlink ref="K3120" r:id="rId18837" display="https://statiz.sporki.com/add/?m=draft_school01&amp;ps_school=50802" xr:uid="{603ED53C-A654-42A1-A523-5C665803DE4A}"/>
    <hyperlink ref="K3121" r:id="rId18838" display="https://statiz.sporki.com/add/?m=draft_school01&amp;ps_school=50806" xr:uid="{4881E2E5-9A82-4968-87CA-05E4EE72AE25}"/>
    <hyperlink ref="K3122" r:id="rId18839" display="https://statiz.sporki.com/add/?m=draft_school01&amp;ps_school=50608" xr:uid="{44070450-F51D-4E67-BB0B-AA5ACE2C4B79}"/>
    <hyperlink ref="K3123" r:id="rId18840" display="https://statiz.sporki.com/add/?m=draft_school01&amp;ps_school=50110" xr:uid="{9B1B1B48-D5F1-412F-9ED2-E5768C1EDC3F}"/>
    <hyperlink ref="K3124" r:id="rId18841" display="https://statiz.sporki.com/add/?m=draft_school01&amp;ps_school=50403" xr:uid="{E1E74C7E-49D4-4C29-BD2A-B6CC3D848C3D}"/>
    <hyperlink ref="K3126" r:id="rId18842" display="https://statiz.sporki.com/add/?m=draft_school01&amp;ps_school=50802" xr:uid="{72F9D7B7-5BBC-40A7-BDC3-6F14DCD5F076}"/>
    <hyperlink ref="K3127" r:id="rId18843" display="https://statiz.sporki.com/add/?m=draft_school01&amp;ps_school=50803" xr:uid="{7E9439F1-AE24-465B-9AF4-AD856C04EF7B}"/>
    <hyperlink ref="K3128" r:id="rId18844" display="https://statiz.sporki.com/add/?m=draft_school01&amp;ps_school=50803" xr:uid="{74D0FECA-28BE-4891-9F2B-B0F875B899C6}"/>
    <hyperlink ref="K3129" r:id="rId18845" display="https://statiz.sporki.com/add/?m=draft_school01&amp;ps_school=50802" xr:uid="{29FECF6D-A5F2-43F6-B07B-EA2E790C4271}"/>
    <hyperlink ref="K3130" r:id="rId18846" display="https://statiz.sporki.com/add/?m=draft_school01&amp;ps_school=50701" xr:uid="{545E0ECA-EE5B-47C7-A9B3-7158DFD9718B}"/>
    <hyperlink ref="K3131" r:id="rId18847" display="https://statiz.sporki.com/add/?m=draft_school01&amp;ps_school=50110" xr:uid="{49584FE4-5720-4155-884A-C10A0FA17C10}"/>
    <hyperlink ref="K3132" r:id="rId18848" display="https://statiz.sporki.com/add/?m=draft_school01&amp;ps_school=50126" xr:uid="{0A42561E-6BF5-41B4-AE44-FD8C81B4B375}"/>
    <hyperlink ref="K3133" r:id="rId18849" display="https://statiz.sporki.com/add/?m=draft_school01&amp;ps_school=50301" xr:uid="{F4ADA18E-65E3-4DA6-B0B2-D8AAEFE1D957}"/>
    <hyperlink ref="K3134" r:id="rId18850" display="https://statiz.sporki.com/add/?m=draft_school01&amp;ps_school=50805" xr:uid="{788A4B55-2DBB-4674-B8BB-2A565E5F0B00}"/>
    <hyperlink ref="K3135" r:id="rId18851" display="https://statiz.sporki.com/add/?m=draft_school01&amp;ps_school=50114" xr:uid="{0C7D67DE-5BC3-4E79-A8A4-BE8CF67ACC02}"/>
    <hyperlink ref="K3136" r:id="rId18852" display="https://statiz.sporki.com/add/?m=draft_school01&amp;ps_school=50110" xr:uid="{BDD254AF-A1BE-4AB4-A1CF-24D687D9CCFA}"/>
    <hyperlink ref="K3137" r:id="rId18853" display="https://statiz.sporki.com/add/?m=draft_school01&amp;ps_school=50126" xr:uid="{E430FB42-C8FE-46C2-ACC6-94FAAADEECAA}"/>
    <hyperlink ref="K3138" r:id="rId18854" display="https://statiz.sporki.com/add/?m=draft_school01&amp;ps_school=50802" xr:uid="{1A4430F9-F698-4D31-B2B5-813288F22A8F}"/>
    <hyperlink ref="K3139" r:id="rId18855" display="https://statiz.sporki.com/add/?m=draft_school01&amp;ps_school=50805" xr:uid="{936B7672-DDB2-4D88-A8BE-2C37A32FEA22}"/>
    <hyperlink ref="K3140" r:id="rId18856" display="https://statiz.sporki.com/add/?m=draft_school01&amp;ps_school=50804" xr:uid="{654546BB-AE76-410C-9F9C-40415C3E28B1}"/>
    <hyperlink ref="K3141" r:id="rId18857" display="https://statiz.sporki.com/add/?m=draft_school01&amp;ps_school=50110" xr:uid="{7B5454DB-34FD-4AA2-8FEF-E1F997CB5C71}"/>
    <hyperlink ref="K3142" r:id="rId18858" display="https://statiz.sporki.com/add/?m=draft_school01&amp;ps_school=50114" xr:uid="{AB0A70FE-46CA-4393-81F4-D44E97F6BA02}"/>
    <hyperlink ref="K3143" r:id="rId18859" display="https://statiz.sporki.com/add/?m=draft_school01&amp;ps_school=50604" xr:uid="{AB11A9D5-5FD3-4816-8B38-8F3762FD38B0}"/>
    <hyperlink ref="K3144" r:id="rId18860" display="https://statiz.sporki.com/add/?m=draft_school01&amp;ps_school=50202" xr:uid="{D9DA3984-1BE9-4366-B506-DD67740DA87D}"/>
    <hyperlink ref="K3145" r:id="rId18861" display="https://statiz.sporki.com/add/?m=draft_school01&amp;ps_school=50805" xr:uid="{7731B272-3B79-4951-B44A-0D4E0357BBE0}"/>
    <hyperlink ref="K3146" r:id="rId18862" display="https://statiz.sporki.com/add/?m=draft_school01&amp;ps_school=50109" xr:uid="{D531D93D-4F0E-4DBA-9786-E53D1BA2F1A3}"/>
    <hyperlink ref="K3147" r:id="rId18863" display="https://statiz.sporki.com/add/?m=draft_school01&amp;ps_school=50813" xr:uid="{92EDA51A-8AA4-44DA-A731-55BD62F6AD9D}"/>
    <hyperlink ref="K3148" r:id="rId18864" display="https://statiz.sporki.com/add/?m=draft_school01&amp;ps_school=51100" xr:uid="{8493ACA4-0D43-431C-90B1-A8E577180A1F}"/>
    <hyperlink ref="K3151" r:id="rId18865" display="https://statiz.sporki.com/add/?m=draft_school01&amp;ps_school=50108" xr:uid="{87FFD77F-CF3B-4F85-96EA-05BADDC0C405}"/>
    <hyperlink ref="K3152" r:id="rId18866" display="https://statiz.sporki.com/add/?m=draft_school01&amp;ps_school=50804" xr:uid="{35D89FDB-6520-403A-BE11-70BD4E65D4E0}"/>
    <hyperlink ref="K3153" r:id="rId18867" display="https://statiz.sporki.com/add/?m=draft_school01&amp;ps_school=50805" xr:uid="{9268521B-AAE7-438D-B75B-E2299710941C}"/>
    <hyperlink ref="K3155" r:id="rId18868" display="https://statiz.sporki.com/add/?m=draft_school01&amp;ps_school=50702" xr:uid="{8BABF6CD-43F7-4276-A61D-260E9A762CDE}"/>
    <hyperlink ref="K3156" r:id="rId18869" display="https://statiz.sporki.com/add/?m=draft_school01&amp;ps_school=50604" xr:uid="{C2DA5718-47DE-4A08-A68C-BEFD8934B502}"/>
    <hyperlink ref="K3157" r:id="rId18870" display="https://statiz.sporki.com/add/?m=draft_school01&amp;ps_school=50109" xr:uid="{69BE669E-87BB-44E3-9B2D-1F6A383FA86A}"/>
    <hyperlink ref="K3158" r:id="rId18871" display="https://statiz.sporki.com/add/?m=draft_school01&amp;ps_school=50604" xr:uid="{C2B84C06-88F1-415B-866E-2A5E07EC468A}"/>
    <hyperlink ref="K3159" r:id="rId18872" display="https://statiz.sporki.com/add/?m=draft_school01&amp;ps_school=50110" xr:uid="{3DAD8C61-9D21-4399-8E94-CF082DA142C1}"/>
    <hyperlink ref="K3160" r:id="rId18873" display="https://statiz.sporki.com/add/?m=draft_school01&amp;ps_school=50116" xr:uid="{ADF62F7D-6439-4738-A739-BAE30F8A460A}"/>
    <hyperlink ref="K3161" r:id="rId18874" display="https://statiz.sporki.com/add/?m=draft_school01&amp;ps_school=50114" xr:uid="{B6D9259E-3F43-4BA2-BE98-7F984A4506DB}"/>
    <hyperlink ref="K3162" r:id="rId18875" display="https://statiz.sporki.com/add/?m=draft_school01&amp;ps_school=50116" xr:uid="{3DB3EFFE-6E3C-45E1-B4B9-19BD91E5B0B0}"/>
    <hyperlink ref="K3163" r:id="rId18876" display="https://statiz.sporki.com/add/?m=draft_school01&amp;ps_school=50121" xr:uid="{9FCED288-FA25-4A85-B2E8-E62FA203E205}"/>
    <hyperlink ref="K3164" r:id="rId18877" display="https://statiz.sporki.com/add/?m=draft_school01&amp;ps_school=50101" xr:uid="{387950E1-1307-4359-ADA7-77BE30228E0F}"/>
    <hyperlink ref="K3165" r:id="rId18878" display="https://statiz.sporki.com/add/?m=draft_school01&amp;ps_school=50101" xr:uid="{6D6706BD-F6DF-4945-954C-1057E6CCF34F}"/>
    <hyperlink ref="K3166" r:id="rId18879" display="https://statiz.sporki.com/add/?m=draft_school01&amp;ps_school=50107" xr:uid="{E2868D65-CB56-4C92-BE30-B84FB6CA9E00}"/>
    <hyperlink ref="K3167" r:id="rId18880" display="https://statiz.sporki.com/add/?m=draft_school01&amp;ps_school=50103" xr:uid="{ADC63693-6C86-4224-80C3-7CD5BCB18FFB}"/>
    <hyperlink ref="K3168" r:id="rId18881" display="https://statiz.sporki.com/add/?m=draft_school01&amp;ps_school=50112" xr:uid="{909E4608-BDE0-443D-AC1D-B9CEDD1F61FB}"/>
    <hyperlink ref="K3169" r:id="rId18882" display="https://statiz.sporki.com/add/?m=draft_school01&amp;ps_school=50805" xr:uid="{A5F9AED1-B68E-4BB9-A0C2-64968B3F12EF}"/>
    <hyperlink ref="K3170" r:id="rId18883" display="https://statiz.sporki.com/add/?m=draft_school01&amp;ps_school=50806" xr:uid="{AA8AB7A6-91E7-4881-9E70-C3FCA2EBFF8A}"/>
    <hyperlink ref="K3171" r:id="rId18884" display="https://statiz.sporki.com/add/?m=draft_school01&amp;ps_school=50802" xr:uid="{E1A3648F-779E-46DF-B4AE-9BE0364870CF}"/>
    <hyperlink ref="K3172" r:id="rId18885" display="https://statiz.sporki.com/add/?m=draft_school01&amp;ps_school=50701" xr:uid="{C7153228-7C68-4D06-A6E9-E1C1196B717C}"/>
    <hyperlink ref="K3173" r:id="rId18886" display="https://statiz.sporki.com/add/?m=draft_school01&amp;ps_school=50209" xr:uid="{D70F5446-2147-4028-B64B-E0E177543611}"/>
    <hyperlink ref="K3174" r:id="rId18887" display="https://statiz.sporki.com/add/?m=draft_school01&amp;ps_school=50202" xr:uid="{1085281F-E825-463D-BFE1-EB36BB6A0B67}"/>
    <hyperlink ref="K3175" r:id="rId18888" display="https://statiz.sporki.com/add/?m=draft_school01&amp;ps_school=50403" xr:uid="{7C0AF693-BCA5-4B6F-9BB2-5909781B1537}"/>
    <hyperlink ref="K3176" r:id="rId18889" display="https://statiz.sporki.com/add/?m=draft_school01&amp;ps_school=50301" xr:uid="{9DB99A74-5277-442C-B170-A81990CC8BC3}"/>
    <hyperlink ref="K3177" r:id="rId18890" display="https://statiz.sporki.com/add/?m=draft_school01&amp;ps_school=50609" xr:uid="{9985A0E5-A548-4D07-BC1F-2F799DA806F0}"/>
    <hyperlink ref="K3178" r:id="rId18891" display="https://statiz.sporki.com/add/?m=draft_school01&amp;ps_school=50114" xr:uid="{471AFC54-E2B8-472F-8297-72DDA8663AB9}"/>
    <hyperlink ref="K3179" r:id="rId18892" display="https://statiz.sporki.com/add/?m=draft_school01&amp;ps_school=50602" xr:uid="{A8EAD599-0FB6-49D9-9B2D-CF3A48BA63DB}"/>
    <hyperlink ref="K3180" r:id="rId18893" display="https://statiz.sporki.com/add/?m=draft_school01&amp;ps_school=50701" xr:uid="{83F1D400-0201-48AE-910A-F93B3DC28217}"/>
    <hyperlink ref="K3181" r:id="rId18894" display="https://statiz.sporki.com/add/?m=draft_school01&amp;ps_school=50502" xr:uid="{410722EF-E0F8-4A19-A262-C1C5AE8413CE}"/>
    <hyperlink ref="K3182" r:id="rId18895" display="https://statiz.sporki.com/add/?m=draft_school01&amp;ps_school=50107" xr:uid="{B8D8CB7C-6B4E-4219-A7B9-8866546090B0}"/>
    <hyperlink ref="K3183" r:id="rId18896" display="https://statiz.sporki.com/add/?m=draft_school01&amp;ps_school=50107" xr:uid="{18FE9CCD-2E65-4B43-BC3C-446696288B65}"/>
    <hyperlink ref="K3184" r:id="rId18897" display="https://statiz.sporki.com/add/?m=draft_school01&amp;ps_school=50803" xr:uid="{7E1EE081-9DDD-436A-9B40-E2F33A607231}"/>
    <hyperlink ref="K3185" r:id="rId18898" display="https://statiz.sporki.com/add/?m=draft_school01&amp;ps_school=50711" xr:uid="{EB5F4885-36BB-420A-A37F-12862AAF9AD0}"/>
    <hyperlink ref="K3186" r:id="rId18899" display="https://statiz.sporki.com/add/?m=draft_school01&amp;ps_school=50501" xr:uid="{8747B758-30A9-4DAB-A171-48A0961FB0AB}"/>
    <hyperlink ref="K3187" r:id="rId18900" display="https://statiz.sporki.com/add/?m=draft_school01&amp;ps_school=50209" xr:uid="{C8FDF875-7FA6-4FFA-9ECF-01D81FFF140A}"/>
    <hyperlink ref="K3188" r:id="rId18901" display="https://statiz.sporki.com/add/?m=draft_school01&amp;ps_school=50402" xr:uid="{0A210D3C-2E80-4E4E-A1A3-5398FBFB8810}"/>
    <hyperlink ref="K3189" r:id="rId18902" display="https://statiz.sporki.com/add/?m=draft_school01&amp;ps_school=50602" xr:uid="{CC14FC95-7AEB-4ADA-A8AC-ABC8F1FC0148}"/>
    <hyperlink ref="K3190" r:id="rId18903" display="https://statiz.sporki.com/add/?m=draft_school01&amp;ps_school=50702" xr:uid="{D52ACB6D-14D6-41CD-A3FA-E9CE29AF5FA5}"/>
    <hyperlink ref="K3191" r:id="rId18904" display="https://statiz.sporki.com/add/?m=draft_school01&amp;ps_school=50805" xr:uid="{0363D014-FFDE-4C23-9B0C-DB59D1383DD0}"/>
    <hyperlink ref="K3192" r:id="rId18905" display="https://statiz.sporki.com/add/?m=draft_school01&amp;ps_school=50403" xr:uid="{D47A7B51-7408-4B01-985F-E7FFE9DEBE1C}"/>
    <hyperlink ref="K3193" r:id="rId18906" display="https://statiz.sporki.com/add/?m=draft_school01&amp;ps_school=50901" xr:uid="{49E4109D-F1EB-4048-BE1A-DAC81ABE6AEB}"/>
    <hyperlink ref="K3194" r:id="rId18907" display="https://statiz.sporki.com/add/?m=draft_school01&amp;ps_school=50805" xr:uid="{0800B81C-5E6F-47B1-BBD8-4F2545574A83}"/>
    <hyperlink ref="K3195" r:id="rId18908" display="https://statiz.sporki.com/add/?m=draft_school01&amp;ps_school=50401" xr:uid="{A161561E-CF1B-4FD7-B6DA-467B3FE98FBC}"/>
    <hyperlink ref="K3196" r:id="rId18909" display="https://statiz.sporki.com/add/?m=draft_school01&amp;ps_school=50608" xr:uid="{7F03939A-2CC3-416D-878C-548E9A73201C}"/>
    <hyperlink ref="K3197" r:id="rId18910" display="https://statiz.sporki.com/add/?m=draft_school01&amp;ps_school=50602" xr:uid="{EFBC4FAE-FE45-49A1-B475-1D1860C9DC8B}"/>
    <hyperlink ref="K3198" r:id="rId18911" display="https://statiz.sporki.com/add/?m=draft_school01&amp;ps_school=50108" xr:uid="{385E3FBB-D374-4D1B-A4AC-11D199C31765}"/>
    <hyperlink ref="K3199" r:id="rId18912" display="https://statiz.sporki.com/add/?m=draft_school01&amp;ps_school=50202" xr:uid="{0696EFA9-AE69-4ACA-A5DE-FC82D604EBD6}"/>
    <hyperlink ref="K3200" r:id="rId18913" display="https://statiz.sporki.com/add/?m=draft_school01&amp;ps_school=50401" xr:uid="{761043B1-710E-41E1-81D0-1D19AD6B9A29}"/>
    <hyperlink ref="K3203" r:id="rId18914" display="https://statiz.sporki.com/add/?m=draft_school01&amp;ps_school=50110" xr:uid="{842C20CE-CEDC-485C-ABCB-720886B3B635}"/>
    <hyperlink ref="K3204" r:id="rId18915" display="https://statiz.sporki.com/add/?m=draft_school01&amp;ps_school=50403" xr:uid="{FF97A682-6354-4184-BA06-8DE50A9A464F}"/>
    <hyperlink ref="K3206" r:id="rId18916" display="https://statiz.sporki.com/add/?m=draft_school01&amp;ps_school=50602" xr:uid="{5E395FF3-239F-4E2B-8EA8-0BF2AF23AE00}"/>
    <hyperlink ref="K3207" r:id="rId18917" display="https://statiz.sporki.com/add/?m=draft_school01&amp;ps_school=50114" xr:uid="{74D59387-C1B6-4DD4-AF63-5AFE50BE4AC5}"/>
    <hyperlink ref="K3208" r:id="rId18918" display="https://statiz.sporki.com/add/?m=draft_school01&amp;ps_school=50110" xr:uid="{09032A02-2875-4CAC-85AA-E506035B1E95}"/>
    <hyperlink ref="K3209" r:id="rId18919" display="https://statiz.sporki.com/add/?m=draft_school01&amp;ps_school=50126" xr:uid="{30C874B4-F680-43C9-91BF-496D7E82F6D9}"/>
    <hyperlink ref="K3210" r:id="rId18920" display="https://statiz.sporki.com/add/?m=draft_school01&amp;ps_school=50802" xr:uid="{19F651FB-8F16-430C-968F-EB0CC9346609}"/>
    <hyperlink ref="K3211" r:id="rId18921" display="https://statiz.sporki.com/add/?m=draft_school01&amp;ps_school=50706" xr:uid="{DA2964EC-318C-4D2F-9C81-445B672AC428}"/>
    <hyperlink ref="K3212" r:id="rId18922" display="https://statiz.sporki.com/add/?m=draft_school01&amp;ps_school=50701" xr:uid="{72806AAE-5006-418A-AA36-9C98DB0794AD}"/>
    <hyperlink ref="K3213" r:id="rId18923" display="https://statiz.sporki.com/add/?m=draft_school01&amp;ps_school=50604" xr:uid="{A2A51198-416C-4139-AD75-5A6E1294127D}"/>
    <hyperlink ref="K3214" r:id="rId18924" display="https://statiz.sporki.com/add/?m=draft_school01&amp;ps_school=50602" xr:uid="{708495A2-58B9-421A-9652-AF8B52ED07B1}"/>
    <hyperlink ref="K3215" r:id="rId18925" display="https://statiz.sporki.com/add/?m=draft_school01&amp;ps_school=50805" xr:uid="{4C8AE10F-F4A1-4AB4-A155-78EF591E5320}"/>
    <hyperlink ref="K3216" r:id="rId18926" display="https://statiz.sporki.com/add/?m=draft_school01&amp;ps_school=50102" xr:uid="{5083B8B7-02F5-4FFA-8526-649212C462AE}"/>
    <hyperlink ref="K3217" r:id="rId18927" display="https://statiz.sporki.com/add/?m=draft_school01&amp;ps_school=50701" xr:uid="{47C5AC8D-8CE3-4D27-954D-8C9A31C820ED}"/>
    <hyperlink ref="K3218" r:id="rId18928" display="https://statiz.sporki.com/add/?m=draft_school01&amp;ps_school=50114" xr:uid="{90331BD5-7673-4A1D-A0EC-4A7F11D40BE5}"/>
    <hyperlink ref="K3219" r:id="rId18929" display="https://statiz.sporki.com/add/?m=draft_school01&amp;ps_school=50711" xr:uid="{4EC362B1-60E4-42DE-825C-159B120968DB}"/>
    <hyperlink ref="K3220" r:id="rId18930" display="https://statiz.sporki.com/add/?m=draft_school01&amp;ps_school=50114" xr:uid="{9C7E8A3D-DE65-44A4-8CC6-D24C71289217}"/>
    <hyperlink ref="K3221" r:id="rId18931" display="https://statiz.sporki.com/add/?m=draft_school01&amp;ps_school=50202" xr:uid="{6A614A0B-1C68-486D-A586-068D38B13D6E}"/>
    <hyperlink ref="K3222" r:id="rId18932" display="https://statiz.sporki.com/add/?m=draft_school01&amp;ps_school=50401" xr:uid="{DCD6C9EE-C018-47BE-9CDB-D9241BF68F88}"/>
    <hyperlink ref="K3223" r:id="rId18933" display="https://statiz.sporki.com/add/?m=draft_school01&amp;ps_school=50701" xr:uid="{0666398D-474B-4CE6-9940-81A4899E9FD5}"/>
    <hyperlink ref="K3224" r:id="rId18934" display="https://statiz.sporki.com/add/?m=draft_school01&amp;ps_school=50126" xr:uid="{970893BF-6D78-4A3D-B521-177DEA3E42A9}"/>
    <hyperlink ref="K3225" r:id="rId18935" display="https://statiz.sporki.com/add/?m=draft_school01&amp;ps_school=50110" xr:uid="{AA378E51-EEB9-4DFD-A3C1-7D2901E95464}"/>
    <hyperlink ref="K3226" r:id="rId18936" display="https://statiz.sporki.com/add/?m=draft_school01&amp;ps_school=50116" xr:uid="{11A0043E-838F-4E3D-97CC-100D586E6D5C}"/>
    <hyperlink ref="K3227" r:id="rId18937" display="https://statiz.sporki.com/add/?m=draft_school01&amp;ps_school=50209" xr:uid="{17D7DE75-356D-4ED6-AC02-7446A500CB42}"/>
    <hyperlink ref="K3228" r:id="rId18938" display="https://statiz.sporki.com/add/?m=draft_school01&amp;ps_school=50202" xr:uid="{C91D0130-F093-4248-B528-0B222D1FB5DF}"/>
    <hyperlink ref="K3229" r:id="rId18939" display="https://statiz.sporki.com/add/?m=draft_school01&amp;ps_school=50208" xr:uid="{A266BEA5-49B5-4E7F-93FB-6B1CB08D050A}"/>
    <hyperlink ref="K3230" r:id="rId18940" display="https://statiz.sporki.com/add/?m=draft_school01&amp;ps_school=50209" xr:uid="{0F57821D-34F8-41B5-9FA5-188D9122D2D9}"/>
    <hyperlink ref="K3232" r:id="rId18941" display="https://statiz.sporki.com/add/?m=draft_school01&amp;ps_school=50107" xr:uid="{33A8934B-29BB-4BD8-BA06-2DF11DFEA479}"/>
    <hyperlink ref="K3233" r:id="rId18942" display="https://statiz.sporki.com/add/?m=draft_school01&amp;ps_school=50402" xr:uid="{08565EAE-6DEE-418F-84DA-890DE28BE7D1}"/>
    <hyperlink ref="K3234" r:id="rId18943" display="https://statiz.sporki.com/add/?m=draft_school01&amp;ps_school=50115" xr:uid="{7B782AD3-AC31-40DF-BAC8-2DC58210C6DC}"/>
    <hyperlink ref="K3235" r:id="rId18944" display="https://statiz.sporki.com/add/?m=draft_school01&amp;ps_school=50107" xr:uid="{954E05FD-1DBD-4D09-9862-B233E1D115B9}"/>
    <hyperlink ref="K3236" r:id="rId18945" display="https://statiz.sporki.com/add/?m=draft_school01&amp;ps_school=50209" xr:uid="{B93BBEE7-75C5-48E8-81C1-F5D418BB0002}"/>
    <hyperlink ref="K3237" r:id="rId18946" display="https://statiz.sporki.com/add/?m=draft_school01&amp;ps_school=50609" xr:uid="{8A8C8D70-7C56-46A3-BE2E-356D7133C751}"/>
    <hyperlink ref="K3238" r:id="rId18947" display="https://statiz.sporki.com/add/?m=draft_school01&amp;ps_school=50604" xr:uid="{F8B2C1AD-62B9-4D60-A71D-17B348A9668C}"/>
    <hyperlink ref="K3239" r:id="rId18948" display="https://statiz.sporki.com/add/?m=draft_school01&amp;ps_school=50806" xr:uid="{8F17AEC5-F315-45CD-81A9-FA969C1F36F3}"/>
    <hyperlink ref="K3240" r:id="rId18949" display="https://statiz.sporki.com/add/?m=draft_school01&amp;ps_school=50401" xr:uid="{E8984A4D-8ACE-450E-9C85-7E63A64A2120}"/>
    <hyperlink ref="K3241" r:id="rId18950" display="https://statiz.sporki.com/add/?m=draft_school01&amp;ps_school=50121" xr:uid="{830C420F-61FD-414A-9F5C-C8AD77DB57B3}"/>
    <hyperlink ref="K3242" r:id="rId18951" display="https://statiz.sporki.com/add/?m=draft_school01&amp;ps_school=50106" xr:uid="{680DDD3F-C80C-4DC3-BF1C-A63149A3DD50}"/>
    <hyperlink ref="K3243" r:id="rId18952" display="https://statiz.sporki.com/add/?m=draft_school01&amp;ps_school=50110" xr:uid="{25B058F4-1379-41D4-ABC2-DA6787E6246B}"/>
    <hyperlink ref="K3244" r:id="rId18953" display="https://statiz.sporki.com/add/?m=draft_school01&amp;ps_school=50116" xr:uid="{3E0C4442-E030-49C2-863A-CBA210AB46E4}"/>
    <hyperlink ref="K3245" r:id="rId18954" display="https://statiz.sporki.com/add/?m=draft_school01&amp;ps_school=50813" xr:uid="{29265B38-91CD-4009-9049-5F153CD417AF}"/>
    <hyperlink ref="K3246" r:id="rId18955" display="https://statiz.sporki.com/add/?m=draft_school01&amp;ps_school=50802" xr:uid="{F73F66C1-C40D-4F33-9D62-1ABE236F7A74}"/>
    <hyperlink ref="K3247" r:id="rId18956" display="https://statiz.sporki.com/add/?m=draft_school01&amp;ps_school=50401" xr:uid="{960486F8-E048-48A3-A110-B9140136BC6C}"/>
    <hyperlink ref="K3248" r:id="rId18957" display="https://statiz.sporki.com/add/?m=draft_school01&amp;ps_school=50706" xr:uid="{A5B2586F-BEBD-45C7-8072-39B5073DF728}"/>
    <hyperlink ref="K3249" r:id="rId18958" display="https://statiz.sporki.com/add/?m=draft_school01&amp;ps_school=50208" xr:uid="{0A7D2B5B-EE81-4393-9B13-8C02515F55A3}"/>
    <hyperlink ref="K3250" r:id="rId18959" display="https://statiz.sporki.com/add/?m=draft_school01&amp;ps_school=50203" xr:uid="{D03E6C59-C25D-4984-B815-F02DA41332C9}"/>
    <hyperlink ref="K3251" r:id="rId18960" display="https://statiz.sporki.com/add/?m=draft_school01&amp;ps_school=50604" xr:uid="{BCFD0F99-6945-40FE-A531-58245931C83F}"/>
    <hyperlink ref="K3252" r:id="rId18961" display="https://statiz.sporki.com/add/?m=draft_school01&amp;ps_school=50604" xr:uid="{9D9D2F8C-1BAB-427C-BD29-43261CDA1631}"/>
    <hyperlink ref="K3253" r:id="rId18962" display="https://statiz.sporki.com/add/?m=draft_school01&amp;ps_school=50608" xr:uid="{04C0785F-558D-4490-B575-38D309F59E7A}"/>
    <hyperlink ref="K3254" r:id="rId18963" display="https://statiz.sporki.com/add/?m=draft_school01&amp;ps_school=50608" xr:uid="{A17FF579-C565-4DE2-A602-435A2743CA97}"/>
    <hyperlink ref="K3255" r:id="rId18964" display="https://statiz.sporki.com/add/?m=draft_school01&amp;ps_school=50604" xr:uid="{DA2378FA-7E76-4ED2-9FAB-A35AEAA5BBC8}"/>
    <hyperlink ref="K3256" r:id="rId18965" display="https://statiz.sporki.com/add/?m=draft_school01&amp;ps_school=50602" xr:uid="{89635CE5-B71A-4826-A221-4FF67EB48093}"/>
    <hyperlink ref="K3257" r:id="rId18966" display="https://statiz.sporki.com/add/?m=draft_school01&amp;ps_school=50116" xr:uid="{892846B4-8F3E-4CCB-BAE9-90E6CAA49E45}"/>
    <hyperlink ref="K3259" r:id="rId18967" display="https://statiz.sporki.com/add/?m=draft_school01&amp;ps_school=50403" xr:uid="{B5CE7A4D-9C74-41F9-A1D8-A2E3908A43F7}"/>
    <hyperlink ref="K3260" r:id="rId18968" display="https://statiz.sporki.com/add/?m=draft_school01&amp;ps_school=50711" xr:uid="{BA875844-5A93-4D6A-901A-AAEB3840E057}"/>
    <hyperlink ref="K3261" r:id="rId18969" display="https://statiz.sporki.com/add/?m=draft_school01&amp;ps_school=50502" xr:uid="{F1F1EF82-1F9A-4E0F-89CE-335648F00FA2}"/>
    <hyperlink ref="K3262" r:id="rId18970" display="https://statiz.sporki.com/add/?m=draft_school01&amp;ps_school=50202" xr:uid="{32AAC880-13B4-46A7-8552-7C6C570816C5}"/>
    <hyperlink ref="K3264" r:id="rId18971" display="https://statiz.sporki.com/add/?m=draft_school01&amp;ps_school=50108" xr:uid="{5805B000-ABF6-4AAD-AA28-1B343C8C366F}"/>
    <hyperlink ref="K3265" r:id="rId18972" display="https://statiz.sporki.com/add/?m=draft_school01&amp;ps_school=50209" xr:uid="{155AF35A-6507-4E8C-8DED-852164839F3B}"/>
    <hyperlink ref="K3266" r:id="rId18973" display="https://statiz.sporki.com/add/?m=draft_school01&amp;ps_school=50402" xr:uid="{DD7BF772-54FA-4583-8105-DAF2331CDA42}"/>
    <hyperlink ref="K3267" r:id="rId18974" display="https://statiz.sporki.com/add/?m=draft_school01&amp;ps_school=50802" xr:uid="{DE6D68B7-F7F4-4C0C-8B09-20146C65F8EE}"/>
    <hyperlink ref="K3268" r:id="rId18975" display="https://statiz.sporki.com/add/?m=draft_school01&amp;ps_school=50110" xr:uid="{02E2186D-4E33-49DB-9B74-450D9597A9E2}"/>
    <hyperlink ref="K3269" r:id="rId18976" display="https://statiz.sporki.com/add/?m=draft_school01&amp;ps_school=50202" xr:uid="{A9B349E6-4CA9-4BF2-A0B2-D392E890C5D9}"/>
    <hyperlink ref="K3270" r:id="rId18977" display="https://statiz.sporki.com/add/?m=draft_school01&amp;ps_school=50202" xr:uid="{5B7A1EFC-C7DF-483A-ACE0-3A1BBC0D877D}"/>
    <hyperlink ref="K3271" r:id="rId18978" display="https://statiz.sporki.com/add/?m=draft_school01&amp;ps_school=50208" xr:uid="{3BCDB5CD-A3DB-46D8-A986-5BA54F466C18}"/>
    <hyperlink ref="K3272" r:id="rId18979" display="https://statiz.sporki.com/add/?m=draft_school01&amp;ps_school=50901" xr:uid="{AE9D330B-63EB-4DA8-8955-3879BB0B5FFE}"/>
    <hyperlink ref="K3273" r:id="rId18980" display="https://statiz.sporki.com/add/?m=draft_school01&amp;ps_school=50903" xr:uid="{4C6B7CC8-7F06-4FD6-AEF3-F26BDB47D6B6}"/>
    <hyperlink ref="K3274" r:id="rId18981" display="https://statiz.sporki.com/add/?m=draft_school01&amp;ps_school=50805" xr:uid="{A6975F0E-C79A-4A6F-9243-7A95751EEE3C}"/>
    <hyperlink ref="K3277" r:id="rId18982" display="https://statiz.sporki.com/add/?m=draft_school01&amp;ps_school=50711" xr:uid="{22FE3FD8-7456-45EF-BA69-0CCD9E3B4564}"/>
    <hyperlink ref="K3278" r:id="rId18983" display="https://statiz.sporki.com/add/?m=draft_school01&amp;ps_school=50208" xr:uid="{6E10473D-87E8-4F17-8156-576A68445813}"/>
    <hyperlink ref="K3279" r:id="rId18984" display="https://statiz.sporki.com/add/?m=draft_school01&amp;ps_school=50110" xr:uid="{AEA2F22B-778F-465A-95C9-DD1E25B7EB74}"/>
    <hyperlink ref="K3280" r:id="rId18985" display="https://statiz.sporki.com/add/?m=draft_school01&amp;ps_school=50802" xr:uid="{905F17D3-5BCB-4631-8120-06260FFAE15F}"/>
    <hyperlink ref="K3281" r:id="rId18986" display="https://statiz.sporki.com/add/?m=draft_school01&amp;ps_school=50209" xr:uid="{B59A2138-57ED-4AC3-8694-A140601EBFE4}"/>
    <hyperlink ref="K3283" r:id="rId18987" display="https://statiz.sporki.com/add/?m=draft_school01&amp;ps_school=50403" xr:uid="{18C590C9-230C-4BC9-8E9C-E42AB8785DCF}"/>
    <hyperlink ref="K3284" r:id="rId18988" display="https://statiz.sporki.com/add/?m=draft_school01&amp;ps_school=50608" xr:uid="{51B1980E-6097-4BB6-AC56-5A966E844C06}"/>
    <hyperlink ref="K3285" r:id="rId18989" display="https://statiz.sporki.com/add/?m=draft_school01&amp;ps_school=50114" xr:uid="{0E7C7C52-8318-4BF1-B498-91FB03D7F6B4}"/>
    <hyperlink ref="K3286" r:id="rId18990" display="https://statiz.sporki.com/add/?m=draft_school01&amp;ps_school=50209" xr:uid="{4B3D8336-DEA8-4DDE-A265-6E9B97388AB9}"/>
    <hyperlink ref="K3287" r:id="rId18991" display="https://statiz.sporki.com/add/?m=draft_school01&amp;ps_school=50209" xr:uid="{20F9A5B0-C458-4BA2-BE00-B8F9E887064F}"/>
    <hyperlink ref="K3288" r:id="rId18992" display="https://statiz.sporki.com/add/?m=draft_school01&amp;ps_school=50802" xr:uid="{15ABD73D-3F5B-42CE-A063-A3787A752C92}"/>
    <hyperlink ref="K3289" r:id="rId18993" display="https://statiz.sporki.com/add/?m=draft_school01&amp;ps_school=50403" xr:uid="{2759C4CD-7D20-4E92-81D6-D239D0AE046E}"/>
    <hyperlink ref="K3290" r:id="rId18994" display="https://statiz.sporki.com/add/?m=draft_school01&amp;ps_school=50802" xr:uid="{3DF2323C-A525-47F5-81E1-0CC0754589AF}"/>
    <hyperlink ref="K3291" r:id="rId18995" display="https://statiz.sporki.com/add/?m=draft_school01&amp;ps_school=50701" xr:uid="{8700C50D-7822-424A-BCA1-A90BFEA27B5E}"/>
    <hyperlink ref="K3292" r:id="rId18996" display="https://statiz.sporki.com/add/?m=draft_school01&amp;ps_school=50711" xr:uid="{531E823D-1F8A-4850-A631-DBDE07C1FE25}"/>
    <hyperlink ref="K3294" r:id="rId18997" display="https://statiz.sporki.com/add/?m=draft_school01&amp;ps_school=50109" xr:uid="{72F4C269-325F-4E47-AD8C-6EF31BB9FAA8}"/>
    <hyperlink ref="K3296" r:id="rId18998" display="https://statiz.sporki.com/add/?m=draft_school01&amp;ps_school=50706" xr:uid="{5D9B8489-8660-4FD8-BFD5-F33248A129E6}"/>
    <hyperlink ref="K3297" r:id="rId18999" display="https://statiz.sporki.com/add/?m=draft_school01&amp;ps_school=50403" xr:uid="{57B9D830-1869-4226-88E8-C53361450021}"/>
    <hyperlink ref="K3298" r:id="rId19000" display="https://statiz.sporki.com/add/?m=draft_school01&amp;ps_school=50302" xr:uid="{96E71290-67C0-40A6-BCD7-EE145E23D2DF}"/>
    <hyperlink ref="K3299" r:id="rId19001" display="https://statiz.sporki.com/add/?m=draft_school01&amp;ps_school=50113" xr:uid="{E19DC582-1D10-47AE-92B7-7FABC783DD81}"/>
    <hyperlink ref="K3300" r:id="rId19002" display="https://statiz.sporki.com/add/?m=draft_school01&amp;ps_school=50105" xr:uid="{022B74A3-BD50-4CA1-B9EF-CB0054CB9B98}"/>
    <hyperlink ref="K3301" r:id="rId19003" display="https://statiz.sporki.com/add/?m=draft_school01&amp;ps_school=50114" xr:uid="{54F7BDDA-10FA-477C-94AF-DC43FFB845E5}"/>
    <hyperlink ref="K3302" r:id="rId19004" display="https://statiz.sporki.com/add/?m=draft_school01&amp;ps_school=50105" xr:uid="{09E2268D-C6F5-4A23-A993-0541B55628AE}"/>
    <hyperlink ref="K3305" r:id="rId19005" display="https://statiz.sporki.com/add/?m=draft_school01&amp;ps_school=50115" xr:uid="{FA99F943-C967-4A46-A72A-D1D0F87A2C7D}"/>
    <hyperlink ref="K3306" r:id="rId19006" display="https://statiz.sporki.com/add/?m=draft_school01&amp;ps_school=50802" xr:uid="{591852E4-8B4E-4C44-82C3-96FEDF4BD5DC}"/>
    <hyperlink ref="K3308" r:id="rId19007" display="https://statiz.sporki.com/add/?m=draft_school01&amp;ps_school=50121" xr:uid="{35BD5405-0D65-448D-95FD-5DE505DB5F9A}"/>
    <hyperlink ref="K3310" r:id="rId19008" display="https://statiz.sporki.com/add/?m=draft_school01&amp;ps_school=50602" xr:uid="{0B0C8F69-26ED-419C-944B-58D4EBA9F640}"/>
    <hyperlink ref="K3311" r:id="rId19009" display="https://statiz.sporki.com/add/?m=draft_school01&amp;ps_school=50604" xr:uid="{56C4029D-22A6-4256-AD56-FB85C753CA85}"/>
    <hyperlink ref="K3312" r:id="rId19010" display="https://statiz.sporki.com/add/?m=draft_school01&amp;ps_school=50108" xr:uid="{B373E5DC-3E01-453D-8E49-4FC5311ECA3F}"/>
    <hyperlink ref="K3313" r:id="rId19011" display="https://statiz.sporki.com/add/?m=draft_school01&amp;ps_school=50104" xr:uid="{615FCC48-9BFF-44B4-B317-59E776E7F294}"/>
    <hyperlink ref="K3314" r:id="rId19012" display="https://statiz.sporki.com/add/?m=draft_school01&amp;ps_school=50805" xr:uid="{7C6590C6-1DE3-4883-96BE-E0A4EFEECEF9}"/>
    <hyperlink ref="K3315" r:id="rId19013" display="https://statiz.sporki.com/add/?m=draft_school01&amp;ps_school=50802" xr:uid="{3CE2F99C-3226-4F2C-9B69-579033240041}"/>
    <hyperlink ref="K3316" r:id="rId19014" display="https://statiz.sporki.com/add/?m=draft_school01&amp;ps_school=50402" xr:uid="{36054AF2-985C-48C6-8749-B373C8D55835}"/>
    <hyperlink ref="K3317" r:id="rId19015" display="https://statiz.sporki.com/add/?m=draft_school01&amp;ps_school=50703" xr:uid="{F217D300-B13F-4F25-8F0C-B6E307F2FB79}"/>
    <hyperlink ref="K3318" r:id="rId19016" display="https://statiz.sporki.com/add/?m=draft_school01&amp;ps_school=50701" xr:uid="{9438098C-ECC1-4631-A4AD-DD80901DD5DC}"/>
    <hyperlink ref="K3319" r:id="rId19017" display="https://statiz.sporki.com/add/?m=draft_school01&amp;ps_school=50702" xr:uid="{C631FFD0-E8C4-478C-80FD-A865F1E6A657}"/>
    <hyperlink ref="K3320" r:id="rId19018" display="https://statiz.sporki.com/add/?m=draft_school01&amp;ps_school=50901" xr:uid="{A247B8A4-8E08-4323-B86F-233706130DE3}"/>
    <hyperlink ref="K3321" r:id="rId19019" display="https://statiz.sporki.com/add/?m=draft_school01&amp;ps_school=50901" xr:uid="{3F24377E-6767-4FCD-BD67-89C3D69EF7A2}"/>
    <hyperlink ref="K3322" r:id="rId19020" display="https://statiz.sporki.com/add/?m=draft_school01&amp;ps_school=50210" xr:uid="{CF1878E6-FC9C-436E-AD85-AEB23EE7980C}"/>
    <hyperlink ref="K3323" r:id="rId19021" display="https://statiz.sporki.com/add/?m=draft_school01&amp;ps_school=50903" xr:uid="{89CBED9C-D2C5-479C-AADE-5082B350E5B1}"/>
    <hyperlink ref="K3324" r:id="rId19022" display="https://statiz.sporki.com/add/?m=draft_school01&amp;ps_school=50901" xr:uid="{005415B8-0E71-4DCB-9640-AEF8E9F5B0BE}"/>
    <hyperlink ref="K3325" r:id="rId19023" display="https://statiz.sporki.com/add/?m=draft_school01&amp;ps_school=50210" xr:uid="{8F09787F-24D9-48B7-B363-F41440B75EA6}"/>
    <hyperlink ref="K3326" r:id="rId19024" display="https://statiz.sporki.com/add/?m=draft_school01&amp;ps_school=50602" xr:uid="{CEF537CE-3106-461F-94B1-14CB59CAA1AD}"/>
    <hyperlink ref="K3327" r:id="rId19025" display="https://statiz.sporki.com/add/?m=draft_school01&amp;ps_school=50604" xr:uid="{2215DCE0-A6AC-41A0-9FD4-BFC957C9E324}"/>
    <hyperlink ref="K3328" r:id="rId19026" display="https://statiz.sporki.com/add/?m=draft_school01&amp;ps_school=50608" xr:uid="{3CCC8882-1F20-4BF1-8B98-E8BCBDEF02CC}"/>
    <hyperlink ref="K3329" r:id="rId19027" display="https://statiz.sporki.com/add/?m=draft_school01&amp;ps_school=50807" xr:uid="{3A33DC79-CF36-4072-948C-0F4EE4AE33BD}"/>
    <hyperlink ref="K3330" r:id="rId19028" display="https://statiz.sporki.com/add/?m=draft_school01&amp;ps_school=50804" xr:uid="{93546341-6ECF-447F-817D-66695FA8460D}"/>
    <hyperlink ref="K3331" r:id="rId19029" display="https://statiz.sporki.com/add/?m=draft_school01&amp;ps_school=50501" xr:uid="{57666681-CE2E-49AE-BE44-7E2172E4C71B}"/>
    <hyperlink ref="K3332" r:id="rId19030" display="https://statiz.sporki.com/add/?m=draft_school01&amp;ps_school=50501" xr:uid="{76AEB06E-BED8-472C-9AE6-4D07D7FF1D52}"/>
    <hyperlink ref="K3333" r:id="rId19031" display="https://statiz.sporki.com/add/?m=draft_school01&amp;ps_school=50109" xr:uid="{CDEDDCA1-C456-4755-8759-6DBDE8D671E1}"/>
    <hyperlink ref="K3334" r:id="rId19032" display="https://statiz.sporki.com/add/?m=draft_school01&amp;ps_school=50103" xr:uid="{CCA9349E-3EA3-425E-AA95-27315E230BD5}"/>
    <hyperlink ref="K3335" r:id="rId19033" display="https://statiz.sporki.com/add/?m=draft_school01&amp;ps_school=50813" xr:uid="{61F3991A-469F-4B0F-86F0-507945B7AE24}"/>
    <hyperlink ref="K3336" r:id="rId19034" display="https://statiz.sporki.com/add/?m=draft_school01&amp;ps_school=50403" xr:uid="{FAF2F985-D0DD-4A4B-A380-3241FADAC549}"/>
    <hyperlink ref="K3337" r:id="rId19035" display="https://statiz.sporki.com/add/?m=draft_school01&amp;ps_school=50501" xr:uid="{9ADB1D6D-18B6-4F41-8033-A893BD358C2E}"/>
    <hyperlink ref="K3338" r:id="rId19036" display="https://statiz.sporki.com/add/?m=draft_school01&amp;ps_school=50208" xr:uid="{090C717D-9ADA-4277-8E2E-9E6D10717399}"/>
    <hyperlink ref="K3339" r:id="rId19037" display="https://statiz.sporki.com/add/?m=draft_school01&amp;ps_school=50604" xr:uid="{D1D50964-C473-495F-946B-46175D84E49F}"/>
    <hyperlink ref="K3340" r:id="rId19038" display="https://statiz.sporki.com/add/?m=draft_school01&amp;ps_school=50701" xr:uid="{518EFC6A-1B43-48AD-AAF4-7A7F2B702056}"/>
    <hyperlink ref="K3341" r:id="rId19039" display="https://statiz.sporki.com/add/?m=draft_school01&amp;ps_school=50107" xr:uid="{6CFAC295-5168-4AEF-B632-897114BD37D5}"/>
    <hyperlink ref="K3342" r:id="rId19040" display="https://statiz.sporki.com/add/?m=draft_school01&amp;ps_school=50401" xr:uid="{288D18ED-C599-456C-8232-E9BDE39F5114}"/>
    <hyperlink ref="K3343" r:id="rId19041" display="https://statiz.sporki.com/add/?m=draft_school01&amp;ps_school=50302" xr:uid="{AE8F3688-DB1A-4F27-9DF9-65EF2297AB6C}"/>
    <hyperlink ref="K3344" r:id="rId19042" display="https://statiz.sporki.com/add/?m=draft_school01&amp;ps_school=50604" xr:uid="{5A659B39-25AD-492E-8FCE-97B95F32F67A}"/>
    <hyperlink ref="K3345" r:id="rId19043" display="https://statiz.sporki.com/add/?m=draft_school01&amp;ps_school=50209" xr:uid="{C292F16C-B35A-4CF3-9E0B-95AF97A144C7}"/>
    <hyperlink ref="K3347" r:id="rId19044" display="https://statiz.sporki.com/add/?m=draft_school01&amp;ps_school=50602" xr:uid="{A8B61A89-917E-449F-BBF1-1D933115B8F4}"/>
    <hyperlink ref="K3348" r:id="rId19045" display="https://statiz.sporki.com/add/?m=draft_school01&amp;ps_school=50805" xr:uid="{24FD2665-579B-44C9-8D81-587D2F44FDAC}"/>
    <hyperlink ref="K3349" r:id="rId19046" display="https://statiz.sporki.com/add/?m=draft_school01&amp;ps_school=50803" xr:uid="{6190DC65-343F-4D0D-96E4-AA7B5E3A775E}"/>
    <hyperlink ref="K3350" r:id="rId19047" display="https://statiz.sporki.com/add/?m=draft_school01&amp;ps_school=50609" xr:uid="{4DE02643-832A-42E0-BE39-8EB7C7C78E85}"/>
    <hyperlink ref="K3351" r:id="rId19048" display="https://statiz.sporki.com/add/?m=draft_school01&amp;ps_school=50803" xr:uid="{B38C9CA8-53D7-4D60-8A42-4E3AFB6FA1A5}"/>
    <hyperlink ref="K3352" r:id="rId19049" display="https://statiz.sporki.com/add/?m=draft_school01&amp;ps_school=50813" xr:uid="{C0773313-5252-4F99-A408-2C5F40441294}"/>
    <hyperlink ref="K3353" r:id="rId19050" display="https://statiz.sporki.com/add/?m=draft_school01&amp;ps_school=50202" xr:uid="{DBF63F4A-0B1D-4D1B-92AA-E99445CA5E41}"/>
    <hyperlink ref="K3354" r:id="rId19051" display="https://statiz.sporki.com/add/?m=draft_school01&amp;ps_school=50209" xr:uid="{8476D572-AC5E-47EA-A81C-09CEDF2F7DB2}"/>
    <hyperlink ref="K3355" r:id="rId19052" display="https://statiz.sporki.com/add/?m=draft_school01&amp;ps_school=50114" xr:uid="{8F3F6B8C-C1A9-4918-8FF3-9DE3A4838A19}"/>
    <hyperlink ref="K3356" r:id="rId19053" display="https://statiz.sporki.com/add/?m=draft_school01&amp;ps_school=50805" xr:uid="{7113132B-C37D-4368-807B-E0389CD811CA}"/>
    <hyperlink ref="K3358" r:id="rId19054" display="https://statiz.sporki.com/add/?m=draft_school01&amp;ps_school=50121" xr:uid="{BBE339F2-00CE-4082-A93D-98CDA98DA36E}"/>
    <hyperlink ref="K3359" r:id="rId19055" display="https://statiz.sporki.com/add/?m=draft_school01&amp;ps_school=50114" xr:uid="{03AB1822-4EC8-4E9E-A7F8-8ADA17E1FE43}"/>
    <hyperlink ref="K3360" r:id="rId19056" display="https://statiz.sporki.com/add/?m=draft_school01&amp;ps_school=50703" xr:uid="{1EF4BF1D-2A6A-4EB2-8F2E-167198E5AEFB}"/>
    <hyperlink ref="K3361" r:id="rId19057" display="https://statiz.sporki.com/add/?m=draft_school01&amp;ps_school=50402" xr:uid="{0692F14F-7142-47FF-B0D5-6693D88DC7CE}"/>
    <hyperlink ref="K3362" r:id="rId19058" display="https://statiz.sporki.com/add/?m=draft_school01&amp;ps_school=50110" xr:uid="{BBD466D6-A422-447E-AFC0-2ED37A2DC3F6}"/>
    <hyperlink ref="K3363" r:id="rId19059" display="https://statiz.sporki.com/add/?m=draft_school01&amp;ps_school=50803" xr:uid="{A787F43C-9E13-4C5B-B7BF-F74E3A8D7944}"/>
    <hyperlink ref="K3364" r:id="rId19060" display="https://statiz.sporki.com/add/?m=draft_school01&amp;ps_school=50701" xr:uid="{65DE92C5-91CC-463E-8177-98156571562A}"/>
    <hyperlink ref="K3365" r:id="rId19061" display="https://statiz.sporki.com/add/?m=draft_school01&amp;ps_school=50111" xr:uid="{EEF948D6-6D75-4500-9056-CC0FD21222CB}"/>
    <hyperlink ref="K3366" r:id="rId19062" display="https://statiz.sporki.com/add/?m=draft_school01&amp;ps_school=50703" xr:uid="{D45A341A-4200-4489-8AF7-C914F9D043D9}"/>
    <hyperlink ref="K3367" r:id="rId19063" display="https://statiz.sporki.com/add/?m=draft_school01&amp;ps_school=50222" xr:uid="{8DD8C113-7D44-42D1-82C7-7EE0E6F122C4}"/>
    <hyperlink ref="K3368" r:id="rId19064" display="https://statiz.sporki.com/add/?m=draft_school01&amp;ps_school=50127" xr:uid="{395A449C-8279-459A-8D10-F591BA80E832}"/>
    <hyperlink ref="K3369" r:id="rId19065" display="https://statiz.sporki.com/add/?m=draft_school01&amp;ps_school=50110" xr:uid="{6B9447DF-C86A-403E-8ECA-9A70984E26ED}"/>
    <hyperlink ref="K3370" r:id="rId19066" display="https://statiz.sporki.com/add/?m=draft_school01&amp;ps_school=50601" xr:uid="{58CAC030-DACA-4FA4-BF1D-8D108F3E8FBB}"/>
    <hyperlink ref="K3372" r:id="rId19067" display="https://statiz.sporki.com/add/?m=draft_school01&amp;ps_school=50609" xr:uid="{3C6FE922-6000-4D97-A2E6-4EBB19E2C49A}"/>
    <hyperlink ref="K3373" r:id="rId19068" display="https://statiz.sporki.com/add/?m=draft_school01&amp;ps_school=50110" xr:uid="{582FF439-3E3D-45B2-8F67-DC7A4DB0B59C}"/>
    <hyperlink ref="K3374" r:id="rId19069" display="https://statiz.sporki.com/add/?m=draft_school01&amp;ps_school=50812" xr:uid="{662C78CB-E211-4E99-B4D7-B2925ECAFC9F}"/>
    <hyperlink ref="K3375" r:id="rId19070" display="https://statiz.sporki.com/add/?m=draft_school01&amp;ps_school=50127" xr:uid="{43EF0C6F-CC40-48EB-8568-E874CDC952A5}"/>
    <hyperlink ref="K3376" r:id="rId19071" display="https://statiz.sporki.com/add/?m=draft_school01&amp;ps_school=50501" xr:uid="{03C610DB-FBE7-49C2-9C65-AD68E06155E7}"/>
    <hyperlink ref="K3377" r:id="rId19072" display="https://statiz.sporki.com/add/?m=draft_school01&amp;ps_school=50807" xr:uid="{4AC88A38-46E1-42A3-914B-659006C806F3}"/>
    <hyperlink ref="K3378" r:id="rId19073" display="https://statiz.sporki.com/add/?m=draft_school01&amp;ps_school=50502" xr:uid="{1EB657C9-C80C-4AD1-AB80-E9D4CA2F443B}"/>
    <hyperlink ref="K3379" r:id="rId19074" display="https://statiz.sporki.com/add/?m=draft_school01&amp;ps_school=50501" xr:uid="{2754CC5D-1C2C-4054-9A3D-106FC2BD3365}"/>
    <hyperlink ref="K3380" r:id="rId19075" display="https://statiz.sporki.com/add/?m=draft_school01&amp;ps_school=50602" xr:uid="{123835CC-1D8E-4B45-80D1-F425CE70BD4A}"/>
    <hyperlink ref="K3382" r:id="rId19076" display="https://statiz.sporki.com/add/?m=draft_school01&amp;ps_school=51100" xr:uid="{6F4B4366-6761-40C7-84CA-22CCACC50C79}"/>
    <hyperlink ref="K3384" r:id="rId19077" display="https://statiz.sporki.com/add/?m=draft_school01&amp;ps_school=50107" xr:uid="{EA173FAF-8BFD-429B-BB7F-796CF89B44AE}"/>
    <hyperlink ref="K3386" r:id="rId19078" display="https://statiz.sporki.com/add/?m=draft_school01&amp;ps_school=50807" xr:uid="{29B50C6A-2335-4B9B-A664-BD3A3E05F21F}"/>
    <hyperlink ref="K3387" r:id="rId19079" display="https://statiz.sporki.com/add/?m=draft_school01&amp;ps_school=50703" xr:uid="{E0773CE6-50ED-4DCA-8F91-171D49E76D22}"/>
    <hyperlink ref="K3388" r:id="rId19080" display="https://statiz.sporki.com/add/?m=draft_school01&amp;ps_school=50805" xr:uid="{6200CC90-FB3E-4FCB-B98E-0D2422A5343F}"/>
    <hyperlink ref="K3389" r:id="rId19081" display="https://statiz.sporki.com/add/?m=draft_school01&amp;ps_school=50806" xr:uid="{59BD4204-582F-4808-A877-4305986590C2}"/>
    <hyperlink ref="K3390" r:id="rId19082" display="https://statiz.sporki.com/add/?m=draft_school01&amp;ps_school=50802" xr:uid="{18709114-5B7F-4621-B3CF-F444302BFA22}"/>
    <hyperlink ref="K3391" r:id="rId19083" display="https://statiz.sporki.com/add/?m=draft_school01&amp;ps_school=50901" xr:uid="{7B6B9B5A-E6DB-41BD-828B-297BA27AABB8}"/>
    <hyperlink ref="K3392" r:id="rId19084" display="https://statiz.sporki.com/add/?m=draft_school01&amp;ps_school=50901" xr:uid="{0B3F0DE6-5395-46C9-9C01-9B3D6308AEC5}"/>
    <hyperlink ref="K3393" r:id="rId19085" display="https://statiz.sporki.com/add/?m=draft_school01&amp;ps_school=50301" xr:uid="{FF09199D-CA4A-415D-9D0A-7E9EE9A314DB}"/>
    <hyperlink ref="K3394" r:id="rId19086" display="https://statiz.sporki.com/add/?m=draft_school01&amp;ps_school=50502" xr:uid="{827BDE3B-32A5-4917-A058-46A795CFB7D5}"/>
    <hyperlink ref="K3395" r:id="rId19087" display="https://statiz.sporki.com/add/?m=draft_school01&amp;ps_school=50806" xr:uid="{28E73FD8-973E-4223-B357-DE9C1647DC3A}"/>
    <hyperlink ref="K3396" r:id="rId19088" display="https://statiz.sporki.com/add/?m=draft_school01&amp;ps_school=50112" xr:uid="{C0E26752-3D6C-4C03-AE85-BA8623B448B4}"/>
    <hyperlink ref="K3397" r:id="rId19089" display="https://statiz.sporki.com/add/?m=draft_school01&amp;ps_school=50107" xr:uid="{C2A44FC0-236A-431C-8DBB-03779737F0F4}"/>
    <hyperlink ref="K3398" r:id="rId19090" display="https://statiz.sporki.com/add/?m=draft_school01&amp;ps_school=50113" xr:uid="{0DC0AF46-5582-4B66-B9EA-C3F1BAB11639}"/>
    <hyperlink ref="K3399" r:id="rId19091" display="https://statiz.sporki.com/add/?m=draft_school01&amp;ps_school=50101" xr:uid="{7642E405-8F86-4C65-8C77-E52DC5FFE11E}"/>
    <hyperlink ref="K3400" r:id="rId19092" display="https://statiz.sporki.com/add/?m=draft_school01&amp;ps_school=50111" xr:uid="{A79136ED-39EF-46BF-B6DB-B5346ED4A18E}"/>
    <hyperlink ref="K3401" r:id="rId19093" display="https://statiz.sporki.com/add/?m=draft_school01&amp;ps_school=50111" xr:uid="{B6DC63FA-313D-4FE9-8239-93AFB6AF6CD2}"/>
    <hyperlink ref="K3402" r:id="rId19094" display="https://statiz.sporki.com/add/?m=draft_school01&amp;ps_school=50108" xr:uid="{2940D90A-64D4-453D-BE78-6122AC71CCB0}"/>
    <hyperlink ref="K3403" r:id="rId19095" display="https://statiz.sporki.com/add/?m=draft_school01&amp;ps_school=50126" xr:uid="{2FE193E6-A3E3-4F55-94CD-3BA535D6CBE9}"/>
    <hyperlink ref="K3404" r:id="rId19096" display="https://statiz.sporki.com/add/?m=draft_school01&amp;ps_school=50108" xr:uid="{943B88AC-42D4-4106-AE20-F3B44C2B52B9}"/>
    <hyperlink ref="K3405" r:id="rId19097" display="https://statiz.sporki.com/add/?m=draft_school01&amp;ps_school=50115" xr:uid="{D8541EE7-51E7-40BA-9B41-801FF3116030}"/>
    <hyperlink ref="K3406" r:id="rId19098" display="https://statiz.sporki.com/add/?m=draft_school01&amp;ps_school=50115" xr:uid="{64CEFA90-2434-463C-9493-A4B8ED73FC26}"/>
    <hyperlink ref="K3407" r:id="rId19099" display="https://statiz.sporki.com/add/?m=draft_school01&amp;ps_school=50126" xr:uid="{4831FD7B-69CF-4F10-9DE1-6EE815155255}"/>
    <hyperlink ref="K3408" r:id="rId19100" display="https://statiz.sporki.com/add/?m=draft_school01&amp;ps_school=50805" xr:uid="{B5055BD3-B983-4A31-81FE-1CAA460F9F85}"/>
    <hyperlink ref="K3409" r:id="rId19101" display="https://statiz.sporki.com/add/?m=draft_school01&amp;ps_school=50402" xr:uid="{F73CABAE-2F9D-41DE-B7BB-49CF18E2EB59}"/>
    <hyperlink ref="K3410" r:id="rId19102" display="https://statiz.sporki.com/add/?m=draft_school01&amp;ps_school=50706" xr:uid="{79D8C193-3176-4A25-B805-F2AA80D5581A}"/>
    <hyperlink ref="K3411" r:id="rId19103" display="https://statiz.sporki.com/add/?m=draft_school01&amp;ps_school=50702" xr:uid="{0230650C-8C2D-4965-B5C8-B2D42BF0305C}"/>
    <hyperlink ref="K3412" r:id="rId19104" display="https://statiz.sporki.com/add/?m=draft_school01&amp;ps_school=50711" xr:uid="{C575C6F8-A889-4A64-B421-3A6FE44872B7}"/>
    <hyperlink ref="K3413" r:id="rId19105" display="https://statiz.sporki.com/add/?m=draft_school01&amp;ps_school=50706" xr:uid="{BE137A4A-9072-4B24-92C8-6F05F35A489A}"/>
    <hyperlink ref="K3414" r:id="rId19106" display="https://statiz.sporki.com/add/?m=draft_school01&amp;ps_school=50502" xr:uid="{A49887EC-BBB5-446D-B000-D9BB4B3F2A48}"/>
    <hyperlink ref="K3415" r:id="rId19107" display="https://statiz.sporki.com/add/?m=draft_school01&amp;ps_school=50502" xr:uid="{67311957-681C-4A77-9145-C8DD1E65AE1F}"/>
    <hyperlink ref="K3416" r:id="rId19108" display="https://statiz.sporki.com/add/?m=draft_school01&amp;ps_school=50209" xr:uid="{7EC5C05F-87AD-44D9-BE9E-F6F0CC02730F}"/>
    <hyperlink ref="K3417" r:id="rId19109" display="https://statiz.sporki.com/add/?m=draft_school01&amp;ps_school=50203" xr:uid="{B6A9D2C8-2F4F-4086-8A71-941389740318}"/>
    <hyperlink ref="K3418" r:id="rId19110" display="https://statiz.sporki.com/add/?m=draft_school01&amp;ps_school=50203" xr:uid="{F9D5AEB4-725F-4EEA-9D1E-2B7322F6F7B4}"/>
    <hyperlink ref="K3419" r:id="rId19111" display="https://statiz.sporki.com/add/?m=draft_school01&amp;ps_school=50203" xr:uid="{11861B97-D8EB-4ED2-A218-20AE1EE3F84C}"/>
    <hyperlink ref="K3420" r:id="rId19112" display="https://statiz.sporki.com/add/?m=draft_school01&amp;ps_school=50609" xr:uid="{D0E7E066-9C36-418D-8703-181C7DE96795}"/>
    <hyperlink ref="K3421" r:id="rId19113" display="https://statiz.sporki.com/add/?m=draft_school01&amp;ps_school=50604" xr:uid="{748D78B1-A6F2-4CAF-8436-D002CB23DC80}"/>
    <hyperlink ref="K3422" r:id="rId19114" display="https://statiz.sporki.com/add/?m=draft_school01&amp;ps_school=50608" xr:uid="{1BDE3909-CAFF-4249-8DB0-2263E22DFC04}"/>
    <hyperlink ref="K3424" r:id="rId19115" display="https://statiz.sporki.com/add/?m=draft_school01&amp;ps_school=50711" xr:uid="{4D5C5A4C-0073-49E2-9561-69E35467268C}"/>
    <hyperlink ref="K3425" r:id="rId19116" display="https://statiz.sporki.com/add/?m=draft_school01&amp;ps_school=50502" xr:uid="{DC1077BE-23AD-41F8-8827-B1836D5213CF}"/>
    <hyperlink ref="K3427" r:id="rId19117" display="https://statiz.sporki.com/add/?m=draft_school01&amp;ps_school=50107" xr:uid="{253574DC-36BD-4D32-B340-AD333765B9A2}"/>
    <hyperlink ref="K3428" r:id="rId19118" display="https://statiz.sporki.com/add/?m=draft_school01&amp;ps_school=50107" xr:uid="{92EB29E1-D313-48F0-9B26-BF440C5C05F6}"/>
    <hyperlink ref="K3429" r:id="rId19119" display="https://statiz.sporki.com/add/?m=draft_school01&amp;ps_school=50121" xr:uid="{0A2A0850-A937-4A8B-A287-BB1010E94738}"/>
    <hyperlink ref="K3430" r:id="rId19120" display="https://statiz.sporki.com/add/?m=draft_school01&amp;ps_school=50807" xr:uid="{08F41753-929D-4193-9F6B-69EDDE6273D9}"/>
    <hyperlink ref="K3431" r:id="rId19121" display="https://statiz.sporki.com/add/?m=draft_school01&amp;ps_school=50807" xr:uid="{0CF8A9D9-4605-4E3B-B76E-379C3322DA78}"/>
    <hyperlink ref="K3432" r:id="rId19122" display="https://statiz.sporki.com/add/?m=draft_school01&amp;ps_school=50403" xr:uid="{61055E35-8003-4F91-B1CA-7D7F038F8BB8}"/>
    <hyperlink ref="K3435" r:id="rId19123" display="https://statiz.sporki.com/add/?m=draft_school01&amp;ps_school=50501" xr:uid="{F88F2478-1697-43AB-AA3D-90CB84FE8988}"/>
    <hyperlink ref="K3436" r:id="rId19124" display="https://statiz.sporki.com/add/?m=draft_school01&amp;ps_school=50209" xr:uid="{C96A3B29-2F2A-422D-902D-2CA13DCA46C7}"/>
    <hyperlink ref="K3437" r:id="rId19125" display="https://statiz.sporki.com/add/?m=draft_school01&amp;ps_school=50209" xr:uid="{2B0E039E-12BA-4FF0-B646-C625E4B44A88}"/>
    <hyperlink ref="K3438" r:id="rId19126" display="https://statiz.sporki.com/add/?m=draft_school01&amp;ps_school=50602" xr:uid="{CC80E633-EDAB-4F16-846D-52A8E825A159}"/>
    <hyperlink ref="K3439" r:id="rId19127" display="https://statiz.sporki.com/add/?m=draft_school01&amp;ps_school=50602" xr:uid="{C3E64EDD-975C-40FA-B3CA-9901825AC03D}"/>
    <hyperlink ref="K3440" r:id="rId19128" display="https://statiz.sporki.com/add/?m=draft_school01&amp;ps_school=50403" xr:uid="{C920D7DC-FDFE-46A4-9176-D9F4512C0837}"/>
    <hyperlink ref="K3441" r:id="rId19129" display="https://statiz.sporki.com/add/?m=draft_school01&amp;ps_school=50110" xr:uid="{BDA5122F-02C8-4EDF-88C7-F27EB8F8A73D}"/>
    <hyperlink ref="K3442" r:id="rId19130" display="https://statiz.sporki.com/add/?m=draft_school01&amp;ps_school=50601" xr:uid="{7C7F7BC0-6460-481A-84AA-C7568072735F}"/>
    <hyperlink ref="K3443" r:id="rId19131" display="https://statiz.sporki.com/add/?m=draft_school01&amp;ps_school=50706" xr:uid="{8D721D7A-2FF9-4149-946D-35F6040D21FB}"/>
    <hyperlink ref="K3444" r:id="rId19132" display="https://statiz.sporki.com/add/?m=draft_school01&amp;ps_school=50604" xr:uid="{82192102-F07E-4DCC-9D81-59368266B0EA}"/>
    <hyperlink ref="K3445" r:id="rId19133" display="https://statiz.sporki.com/add/?m=draft_school01&amp;ps_school=50803" xr:uid="{B42B1518-B4F5-427D-908C-71F4CCCB7406}"/>
    <hyperlink ref="K3446" r:id="rId19134" display="https://statiz.sporki.com/add/?m=draft_school01&amp;ps_school=50608" xr:uid="{E24566EC-1431-4680-A9EF-B4F217D2DDCB}"/>
    <hyperlink ref="K3448" r:id="rId19135" display="https://statiz.sporki.com/add/?m=draft_school01&amp;ps_school=50114" xr:uid="{6B8E5F18-CF9C-49F8-8EB9-FAE414C0E862}"/>
    <hyperlink ref="K3449" r:id="rId19136" display="https://statiz.sporki.com/add/?m=draft_school01&amp;ps_school=50602" xr:uid="{2060D7C8-946A-410F-92CE-1690FB515A57}"/>
    <hyperlink ref="K3450" r:id="rId19137" display="https://statiz.sporki.com/add/?m=draft_school01&amp;ps_school=50702" xr:uid="{F0D117D2-1203-4094-9DFE-63833D01FEA3}"/>
    <hyperlink ref="K3451" r:id="rId19138" display="https://statiz.sporki.com/add/?m=draft_school01&amp;ps_school=50210" xr:uid="{AE24B7D5-0221-4E5F-AAC8-2E6960DD267E}"/>
    <hyperlink ref="K3452" r:id="rId19139" display="https://statiz.sporki.com/add/?m=draft_school01&amp;ps_school=50602" xr:uid="{35CD0545-1A3D-492E-8E36-259B56D0E7A3}"/>
    <hyperlink ref="K3453" r:id="rId19140" display="https://statiz.sporki.com/add/?m=draft_school01&amp;ps_school=50815" xr:uid="{483CEBA8-9423-47DD-B4B7-A5EEA84C517A}"/>
    <hyperlink ref="K3454" r:id="rId19141" display="https://statiz.sporki.com/add/?m=draft_school01&amp;ps_school=50807" xr:uid="{537F64F9-2BAF-4BAF-A57D-6FF7A7DA525A}"/>
    <hyperlink ref="K3455" r:id="rId19142" display="https://statiz.sporki.com/add/?m=draft_school01&amp;ps_school=50209" xr:uid="{EBE45BA6-9B42-48D9-9311-FB5597EAD8C4}"/>
    <hyperlink ref="K3456" r:id="rId19143" display="https://statiz.sporki.com/add/?m=draft_school01&amp;ps_school=50711" xr:uid="{4E1D5CA7-D264-4F7C-BC42-8D03A3340CC6}"/>
    <hyperlink ref="K3458" r:id="rId19144" display="https://statiz.sporki.com/add/?m=draft_school01&amp;ps_school=50807" xr:uid="{458CD273-87AD-49DE-B719-39F889DD889D}"/>
    <hyperlink ref="K3460" r:id="rId19145" display="https://statiz.sporki.com/add/?m=draft_school01&amp;ps_school=50804" xr:uid="{99701C76-EB82-4EFB-BCD8-F7EEB77C7AFB}"/>
    <hyperlink ref="K3461" r:id="rId19146" display="https://statiz.sporki.com/add/?m=draft_school01&amp;ps_school=50607" xr:uid="{980F8D28-2E6B-43A9-ADB2-65385BB83DA7}"/>
    <hyperlink ref="K3462" r:id="rId19147" display="https://statiz.sporki.com/add/?m=draft_school01&amp;ps_school=50116" xr:uid="{06E82AEA-B120-46CE-837A-844C5D1EEBB0}"/>
    <hyperlink ref="K3463" r:id="rId19148" display="https://statiz.sporki.com/add/?m=draft_school01&amp;ps_school=50209" xr:uid="{7085DA98-2174-47D9-8348-F87ED5327B28}"/>
    <hyperlink ref="K3464" r:id="rId19149" display="https://statiz.sporki.com/add/?m=draft_school01&amp;ps_school=50501" xr:uid="{EEA6CE25-794F-4010-B234-035E521CDF61}"/>
    <hyperlink ref="K3465" r:id="rId19150" display="https://statiz.sporki.com/add/?m=draft_school01&amp;ps_school=50107" xr:uid="{A64890D2-446A-47C4-B241-CD1496879960}"/>
    <hyperlink ref="K3466" r:id="rId19151" display="https://statiz.sporki.com/add/?m=draft_school01&amp;ps_school=50106" xr:uid="{84485B6A-61CB-4B75-B374-CD9D997241A2}"/>
    <hyperlink ref="K3467" r:id="rId19152" display="https://statiz.sporki.com/add/?m=draft_school01&amp;ps_school=50803" xr:uid="{AAA4C7AA-0633-463F-A173-AAD3E16AAEE5}"/>
    <hyperlink ref="K3468" r:id="rId19153" display="https://statiz.sporki.com/add/?m=draft_school01&amp;ps_school=50113" xr:uid="{24A340C2-232D-45AF-B013-D4234BE0A358}"/>
    <hyperlink ref="K3469" r:id="rId19154" display="https://statiz.sporki.com/add/?m=draft_school01&amp;ps_school=50602" xr:uid="{84003F70-8089-41AE-9ABB-DB2E45B651AF}"/>
    <hyperlink ref="K3470" r:id="rId19155" display="https://statiz.sporki.com/add/?m=draft_school01&amp;ps_school=50402" xr:uid="{135EC955-E857-40BF-A54E-718200ED8833}"/>
    <hyperlink ref="K3472" r:id="rId19156" display="https://statiz.sporki.com/add/?m=draft_school01&amp;ps_school=51100" xr:uid="{5E5999D6-B917-4730-853C-7AB3E0ADFDDD}"/>
    <hyperlink ref="K3473" r:id="rId19157" display="https://statiz.sporki.com/add/?m=draft_school01&amp;ps_school=50904" xr:uid="{2AFAE398-5477-4E88-8A24-7716781690B9}"/>
    <hyperlink ref="K3474" r:id="rId19158" display="https://statiz.sporki.com/add/?m=draft_school01&amp;ps_school=50802" xr:uid="{BAE43CAA-951C-4522-B605-96302A65E68C}"/>
    <hyperlink ref="K3475" r:id="rId19159" display="https://statiz.sporki.com/add/?m=draft_school01&amp;ps_school=50814" xr:uid="{94256584-98B4-499F-AD17-B1AB2C6D6E7E}"/>
    <hyperlink ref="K3476" r:id="rId19160" display="https://statiz.sporki.com/add/?m=draft_school01&amp;ps_school=50814" xr:uid="{1B6EB6B2-6DE7-40F7-8D22-100D9949D5B1}"/>
    <hyperlink ref="K3477" r:id="rId19161" display="https://statiz.sporki.com/add/?m=draft_school01&amp;ps_school=50806" xr:uid="{CF220C91-EA1D-46D1-A063-0625AA07E636}"/>
    <hyperlink ref="K3478" r:id="rId19162" display="https://statiz.sporki.com/add/?m=draft_school01&amp;ps_school=50403" xr:uid="{073536D0-9972-4518-84A0-B649ED06E228}"/>
    <hyperlink ref="K3479" r:id="rId19163" display="https://statiz.sporki.com/add/?m=draft_school01&amp;ps_school=50209" xr:uid="{6BB6C721-A20D-4DCE-AF45-08E1F255D5A9}"/>
    <hyperlink ref="K3480" r:id="rId19164" display="https://statiz.sporki.com/add/?m=draft_school01&amp;ps_school=50115" xr:uid="{78778002-0543-477D-B3B5-4F5A764373A6}"/>
    <hyperlink ref="K3481" r:id="rId19165" display="https://statiz.sporki.com/add/?m=draft_school01&amp;ps_school=50126" xr:uid="{391E5A18-F5FB-48E0-BAD4-2FC72426D381}"/>
    <hyperlink ref="K3482" r:id="rId19166" display="https://statiz.sporki.com/add/?m=draft_school01&amp;ps_school=50115" xr:uid="{1B60AB3B-0FDF-41C1-A61F-9014DDA8F6FA}"/>
    <hyperlink ref="K3483" r:id="rId19167" display="https://statiz.sporki.com/add/?m=draft_school01&amp;ps_school=50102" xr:uid="{7849ECA6-8A5E-4418-A427-FD5A033402AE}"/>
    <hyperlink ref="K3484" r:id="rId19168" display="https://statiz.sporki.com/add/?m=draft_school01&amp;ps_school=50105" xr:uid="{7518532F-DB50-46AF-A88C-188000407371}"/>
    <hyperlink ref="K3485" r:id="rId19169" display="https://statiz.sporki.com/add/?m=draft_school01&amp;ps_school=50121" xr:uid="{269CDEFC-E9AD-4B39-8B63-F03BA5587A57}"/>
    <hyperlink ref="K3486" r:id="rId19170" display="https://statiz.sporki.com/add/?m=draft_school01&amp;ps_school=50121" xr:uid="{8FC1E881-A268-4900-9830-700A30A34148}"/>
    <hyperlink ref="K3487" r:id="rId19171" display="https://statiz.sporki.com/add/?m=draft_school01&amp;ps_school=50119" xr:uid="{16966A84-834F-403A-9ACD-2F504DF24DA9}"/>
    <hyperlink ref="K3488" r:id="rId19172" display="https://statiz.sporki.com/add/?m=draft_school01&amp;ps_school=50119" xr:uid="{0B6804E8-94A8-45FD-9268-CD92F4399F6D}"/>
    <hyperlink ref="K3489" r:id="rId19173" display="https://statiz.sporki.com/add/?m=draft_school01&amp;ps_school=50805" xr:uid="{259ACD6E-504C-43A4-ABE0-B9E4A09E75AB}"/>
    <hyperlink ref="K3490" r:id="rId19174" display="https://statiz.sporki.com/add/?m=draft_school01&amp;ps_school=50804" xr:uid="{795EBB2D-671A-451E-95EF-65CF64E9E3F5}"/>
    <hyperlink ref="K3491" r:id="rId19175" display="https://statiz.sporki.com/add/?m=draft_school01&amp;ps_school=50702" xr:uid="{AF93C37E-AA9D-41CE-86BF-23575C2F863B}"/>
    <hyperlink ref="K3492" r:id="rId19176" display="https://statiz.sporki.com/add/?m=draft_school01&amp;ps_school=50800" xr:uid="{24D61ABC-A84C-405F-BCE1-41B5FDE87938}"/>
    <hyperlink ref="K3493" r:id="rId19177" display="https://statiz.sporki.com/add/?m=draft_school01&amp;ps_school=50703" xr:uid="{C66E9E66-7F57-437E-BD85-B4CC002193FC}"/>
    <hyperlink ref="K3494" r:id="rId19178" display="https://statiz.sporki.com/add/?m=draft_school01&amp;ps_school=50701" xr:uid="{271C7EC9-566E-4425-82A2-BF7C9299A4E0}"/>
    <hyperlink ref="K3495" r:id="rId19179" display="https://statiz.sporki.com/add/?m=draft_school01&amp;ps_school=50702" xr:uid="{87B0FF48-E586-45DB-B616-2FDEE71D90C9}"/>
    <hyperlink ref="K3497" r:id="rId19180" display="https://statiz.sporki.com/add/?m=draft_school01&amp;ps_school=50706" xr:uid="{E0CE7BE3-9876-4803-ACBE-4AC4FCB175F6}"/>
    <hyperlink ref="K3498" r:id="rId19181" display="https://statiz.sporki.com/add/?m=draft_school01&amp;ps_school=50501" xr:uid="{5A13156C-898E-4F15-B3B4-C4EDF30FB5B6}"/>
    <hyperlink ref="K3499" r:id="rId19182" display="https://statiz.sporki.com/add/?m=draft_school01&amp;ps_school=50208" xr:uid="{03D7F9BC-23A2-445B-9BB9-9907B0C28E95}"/>
    <hyperlink ref="K3500" r:id="rId19183" display="https://statiz.sporki.com/add/?m=draft_school01&amp;ps_school=50209" xr:uid="{9A30031B-7C01-447A-B67A-4ECA574AEEA6}"/>
    <hyperlink ref="K3501" r:id="rId19184" display="https://statiz.sporki.com/add/?m=draft_school01&amp;ps_school=50210" xr:uid="{3B8C7521-1C7E-415A-8CFD-73BB22D86FAD}"/>
    <hyperlink ref="K3502" r:id="rId19185" display="https://statiz.sporki.com/add/?m=draft_school01&amp;ps_school=50608" xr:uid="{E2E48D25-32A4-46A5-A9BD-00F66F34B7BF}"/>
    <hyperlink ref="K3503" r:id="rId19186" display="https://statiz.sporki.com/add/?m=draft_school01&amp;ps_school=50609" xr:uid="{42476005-6BC0-4C8E-A877-0C6C7A9CFBA0}"/>
    <hyperlink ref="K3504" r:id="rId19187" display="https://statiz.sporki.com/add/?m=draft_school01&amp;ps_school=50602" xr:uid="{12F3B1E0-2F49-4123-A05E-16C39E534BA5}"/>
    <hyperlink ref="K3505" r:id="rId19188" display="https://statiz.sporki.com/add/?m=draft_school01&amp;ps_school=50602" xr:uid="{FC73B440-938E-4C6B-B51C-D40034ECF62F}"/>
    <hyperlink ref="K3506" r:id="rId19189" display="https://statiz.sporki.com/add/?m=draft_school01&amp;ps_school=50604" xr:uid="{F2415737-BBFA-4504-8F56-5DF17E163E32}"/>
    <hyperlink ref="K3507" r:id="rId19190" display="https://statiz.sporki.com/add/?m=draft_school01&amp;ps_school=50604" xr:uid="{10A3CABB-09FB-4EC6-9F28-F9CFE702DAEC}"/>
    <hyperlink ref="K3508" r:id="rId19191" display="https://statiz.sporki.com/add/?m=draft_school01&amp;ps_school=50609" xr:uid="{8E86856F-1413-4801-8FE8-75197A6E9027}"/>
    <hyperlink ref="K3509" r:id="rId19192" display="https://statiz.sporki.com/add/?m=draft_school01&amp;ps_school=50602" xr:uid="{48292333-4B79-4C84-AE52-BD7EA5D2271F}"/>
    <hyperlink ref="K3510" r:id="rId19193" display="https://statiz.sporki.com/add/?m=draft_school01&amp;ps_school=50608" xr:uid="{618F3230-4C83-4318-A5BE-B80B3116DD63}"/>
    <hyperlink ref="K3511" r:id="rId19194" display="https://statiz.sporki.com/add/?m=draft_school01&amp;ps_school=50608" xr:uid="{FDF287D3-84C8-49A3-AB40-D3D74686A5E1}"/>
    <hyperlink ref="K3512" r:id="rId19195" display="https://statiz.sporki.com/add/?m=draft_school01&amp;ps_school=50107" xr:uid="{E6985C35-E308-4880-8D35-AB54B05E4467}"/>
    <hyperlink ref="K3513" r:id="rId19196" display="https://statiz.sporki.com/add/?m=draft_school01&amp;ps_school=50502" xr:uid="{0D5D2045-2BE8-47E8-BB4D-5E1A8995BB01}"/>
    <hyperlink ref="K3514" r:id="rId19197" display="https://statiz.sporki.com/add/?m=draft_school01&amp;ps_school=50114" xr:uid="{F8E6AA52-4163-4A16-BEA3-FCAE1688350B}"/>
    <hyperlink ref="K3515" r:id="rId19198" display="https://statiz.sporki.com/add/?m=draft_school01&amp;ps_school=50112" xr:uid="{96033C69-239C-441D-ABBB-3B012A040970}"/>
    <hyperlink ref="K3516" r:id="rId19199" display="https://statiz.sporki.com/add/?m=draft_school01&amp;ps_school=50109" xr:uid="{F5EAC464-2C74-49B0-AAF3-1A482665890C}"/>
    <hyperlink ref="K3517" r:id="rId19200" display="https://statiz.sporki.com/add/?m=draft_school01&amp;ps_school=50105" xr:uid="{3E47D8D1-1C49-4A61-BDA0-9F3E6C634C40}"/>
    <hyperlink ref="K3518" r:id="rId19201" display="https://statiz.sporki.com/add/?m=draft_school01&amp;ps_school=50105" xr:uid="{240A0E42-C7FD-480C-9A05-637EA8F2BACC}"/>
    <hyperlink ref="K3519" r:id="rId19202" display="https://statiz.sporki.com/add/?m=draft_school01&amp;ps_school=50114" xr:uid="{18194139-DDB7-4D8E-AB8F-6453C8C15BB1}"/>
    <hyperlink ref="K3520" r:id="rId19203" display="https://statiz.sporki.com/add/?m=draft_school01&amp;ps_school=50402" xr:uid="{9BA74DFD-7F87-4438-80A7-68F8316DB025}"/>
    <hyperlink ref="K3521" r:id="rId19204" display="https://statiz.sporki.com/add/?m=draft_school01&amp;ps_school=50403" xr:uid="{003B7189-8FE0-47DC-9C64-CDAE65C99BFA}"/>
    <hyperlink ref="K3522" r:id="rId19205" display="https://statiz.sporki.com/add/?m=draft_school01&amp;ps_school=50402" xr:uid="{B363D799-F2A8-4C2C-872E-1BA986AB4ABB}"/>
    <hyperlink ref="K3523" r:id="rId19206" display="https://statiz.sporki.com/add/?m=draft_school01&amp;ps_school=50701" xr:uid="{9A17EA48-F8D4-434F-A2DB-70F2D856CCFF}"/>
    <hyperlink ref="K3524" r:id="rId19207" display="https://statiz.sporki.com/add/?m=draft_school01&amp;ps_school=50711" xr:uid="{D3E27386-CA36-4E8C-87D8-F002F77F62D8}"/>
    <hyperlink ref="K3525" r:id="rId19208" display="https://statiz.sporki.com/add/?m=draft_school01&amp;ps_school=50706" xr:uid="{F96625FE-6459-44A9-BDE1-136CBD9D8686}"/>
    <hyperlink ref="K3526" r:id="rId19209" display="https://statiz.sporki.com/add/?m=draft_school01&amp;ps_school=50210" xr:uid="{BCA1D997-D9A0-44A3-BC2D-4BCBCBD7FE8C}"/>
    <hyperlink ref="K3527" r:id="rId19210" display="https://statiz.sporki.com/add/?m=draft_school01&amp;ps_school=50501" xr:uid="{5E7E14B8-EB02-4218-8360-93AA95825F7A}"/>
    <hyperlink ref="K3528" r:id="rId19211" display="https://statiz.sporki.com/add/?m=draft_school01&amp;ps_school=50501" xr:uid="{4891F277-3351-40E5-A644-AD678728BB49}"/>
    <hyperlink ref="K3529" r:id="rId19212" display="https://statiz.sporki.com/add/?m=draft_school01&amp;ps_school=50602" xr:uid="{BAE3C966-3C9E-4ACA-B981-26EBC2E7302B}"/>
    <hyperlink ref="K3530" r:id="rId19213" display="https://statiz.sporki.com/add/?m=draft_school01&amp;ps_school=50807" xr:uid="{E68934C8-6787-47F4-99CB-6E9DC2FDCC84}"/>
    <hyperlink ref="K3531" r:id="rId19214" display="https://statiz.sporki.com/add/?m=draft_school01&amp;ps_school=50813" xr:uid="{E9AB1D25-5ABC-4585-975F-2BE814D44531}"/>
    <hyperlink ref="K3532" r:id="rId19215" display="https://statiz.sporki.com/add/?m=draft_school01&amp;ps_school=50802" xr:uid="{37035500-897C-49F9-B250-9FF536F84496}"/>
    <hyperlink ref="K3534" r:id="rId19216" display="https://statiz.sporki.com/add/?m=draft_school01&amp;ps_school=50701" xr:uid="{E0451FF2-6C12-4B08-9E87-252BB1D9DB8C}"/>
    <hyperlink ref="K3535" r:id="rId19217" display="https://statiz.sporki.com/add/?m=draft_school01&amp;ps_school=50127" xr:uid="{33276F9D-F775-46F1-ADE6-A388818D8992}"/>
    <hyperlink ref="K3536" r:id="rId19218" display="https://statiz.sporki.com/add/?m=draft_school01&amp;ps_school=50403" xr:uid="{1E07199B-B582-4B88-B49F-D72F280A7258}"/>
    <hyperlink ref="K3537" r:id="rId19219" display="https://statiz.sporki.com/add/?m=draft_school01&amp;ps_school=50604" xr:uid="{764DE4D3-8BF3-4F69-BB50-B0C7C8662D9B}"/>
    <hyperlink ref="K3538" r:id="rId19220" display="https://statiz.sporki.com/add/?m=draft_school01&amp;ps_school=50813" xr:uid="{A2D4D3D3-B6A7-4F79-AF97-BC5615773E84}"/>
    <hyperlink ref="K3539" r:id="rId19221" display="https://statiz.sporki.com/add/?m=draft_school01&amp;ps_school=50602" xr:uid="{87EACA9E-3AC2-465E-9F00-3B59982E8207}"/>
    <hyperlink ref="K3540" r:id="rId19222" display="https://statiz.sporki.com/add/?m=draft_school01&amp;ps_school=50602" xr:uid="{E4589775-CB13-423E-9B3B-6C13CB7213C8}"/>
    <hyperlink ref="K3541" r:id="rId19223" display="https://statiz.sporki.com/add/?m=draft_school01&amp;ps_school=50807" xr:uid="{8EF13C33-D655-481A-A8F4-69A4A2CE8AE3}"/>
    <hyperlink ref="K3542" r:id="rId19224" display="https://statiz.sporki.com/add/?m=draft_school01&amp;ps_school=50121" xr:uid="{1D0ACE51-7D3D-4E20-AF73-A97F6E49177C}"/>
    <hyperlink ref="K3543" r:id="rId19225" display="https://statiz.sporki.com/add/?m=draft_school01&amp;ps_school=50805" xr:uid="{BA0FE89D-FE4F-45BA-905A-3C30C9978BD4}"/>
    <hyperlink ref="K3544" r:id="rId19226" display="https://statiz.sporki.com/add/?m=draft_school01&amp;ps_school=50116" xr:uid="{8F61C62E-7D90-4830-A71A-1864CA31C36A}"/>
    <hyperlink ref="K3545" r:id="rId19227" display="https://statiz.sporki.com/add/?m=draft_school01&amp;ps_school=50802" xr:uid="{1BACFC1E-D06B-4F37-8DF1-09439B8DFAAE}"/>
    <hyperlink ref="K3546" r:id="rId19228" display="https://statiz.sporki.com/add/?m=draft_school01&amp;ps_school=50403" xr:uid="{DBF4C905-39D9-460E-AF66-EA5287A6B74A}"/>
    <hyperlink ref="K3547" r:id="rId19229" display="https://statiz.sporki.com/add/?m=draft_school01&amp;ps_school=50702" xr:uid="{065254FB-080C-4A9F-9D0D-DA4B22AE0C70}"/>
    <hyperlink ref="K3548" r:id="rId19230" display="https://statiz.sporki.com/add/?m=draft_school01&amp;ps_school=50501" xr:uid="{40B05D5C-09A9-4181-9FF5-31C637BAF309}"/>
    <hyperlink ref="K3549" r:id="rId19231" display="https://statiz.sporki.com/add/?m=draft_school01&amp;ps_school=50403" xr:uid="{1FC2C19A-7A6B-47F5-A295-D21961EC1E37}"/>
    <hyperlink ref="K3550" r:id="rId19232" display="https://statiz.sporki.com/add/?m=draft_school01&amp;ps_school=50121" xr:uid="{77FB872D-611E-4AAF-B316-437F1340EE16}"/>
    <hyperlink ref="K3551" r:id="rId19233" display="https://statiz.sporki.com/add/?m=draft_school01&amp;ps_school=50802" xr:uid="{7D53212F-1C01-417E-ABF1-F7A21C4C2E5D}"/>
    <hyperlink ref="K3552" r:id="rId19234" display="https://statiz.sporki.com/add/?m=draft_school01&amp;ps_school=50706" xr:uid="{54FF6389-F08D-4F71-B026-0EE3001EC627}"/>
    <hyperlink ref="K3553" r:id="rId19235" display="https://statiz.sporki.com/add/?m=draft_school01&amp;ps_school=50609" xr:uid="{55A96124-F223-4576-90FC-753A3143ED28}"/>
    <hyperlink ref="K3554" r:id="rId19236" display="https://statiz.sporki.com/add/?m=draft_school01&amp;ps_school=50222" xr:uid="{B0EC6BD3-8209-48B1-9F74-B52DF3431A1E}"/>
    <hyperlink ref="K3555" r:id="rId19237" display="https://statiz.sporki.com/add/?m=draft_school01&amp;ps_school=50813" xr:uid="{6B6C27DE-5E35-4215-A457-4D00000FEAB4}"/>
    <hyperlink ref="K3556" r:id="rId19238" display="https://statiz.sporki.com/add/?m=draft_school01&amp;ps_school=50602" xr:uid="{6590A7C1-5546-488F-999F-3704B8C96BDF}"/>
    <hyperlink ref="K3557" r:id="rId19239" display="https://statiz.sporki.com/add/?m=draft_school01&amp;ps_school=50604" xr:uid="{125B5B5B-766B-4F13-A624-03B1A3715571}"/>
    <hyperlink ref="K3558" r:id="rId19240" display="https://statiz.sporki.com/add/?m=draft_school01&amp;ps_school=50703" xr:uid="{93C84BB3-C55F-4CA5-940F-C2A169DB49BE}"/>
    <hyperlink ref="K3561" r:id="rId19241" display="https://statiz.sporki.com/add/?m=draft_school01&amp;ps_school=50103" xr:uid="{7D271431-BA16-4AD7-BA1E-D745BD71B53D}"/>
    <hyperlink ref="K3562" r:id="rId19242" display="https://statiz.sporki.com/add/?m=draft_school01&amp;ps_school=50805" xr:uid="{292959CF-1E7A-400B-9FEF-4C6CA8D0A1C7}"/>
    <hyperlink ref="K3563" r:id="rId19243" display="https://statiz.sporki.com/add/?m=draft_school01&amp;ps_school=50804" xr:uid="{ABBB93CF-0010-4984-A6C5-5E5122D761DB}"/>
    <hyperlink ref="K3564" r:id="rId19244" display="https://statiz.sporki.com/add/?m=draft_school01&amp;ps_school=50105" xr:uid="{493712DF-DF2A-490E-B01A-01F791CE978C}"/>
    <hyperlink ref="K3565" r:id="rId19245" display="https://statiz.sporki.com/add/?m=draft_school01&amp;ps_school=50301" xr:uid="{B470F532-BAED-46F0-BC22-FF5871A182C2}"/>
    <hyperlink ref="K3566" r:id="rId19246" display="https://statiz.sporki.com/add/?m=draft_school01&amp;ps_school=50101" xr:uid="{7788FA21-C338-4552-8AF2-AAFAE598F4F1}"/>
    <hyperlink ref="K3569" r:id="rId19247" display="https://statiz.sporki.com/add/?m=draft_school01&amp;ps_school=50109" xr:uid="{7C8E1D46-C29B-4FB1-90CC-4A64A18358E2}"/>
    <hyperlink ref="K3570" r:id="rId19248" display="https://statiz.sporki.com/add/?m=draft_school01&amp;ps_school=50805" xr:uid="{7B6F5C2D-6E02-4A8D-8A65-C81F990E14E4}"/>
    <hyperlink ref="K3571" r:id="rId19249" display="https://statiz.sporki.com/add/?m=draft_school01&amp;ps_school=50711" xr:uid="{EED19C9B-6882-4C6A-A3DD-132C54F6FDD7}"/>
    <hyperlink ref="K3572" r:id="rId19250" display="https://statiz.sporki.com/add/?m=draft_school01&amp;ps_school=50903" xr:uid="{3C27E461-815E-418D-B290-A4282B2F4352}"/>
    <hyperlink ref="K3573" r:id="rId19251" display="https://statiz.sporki.com/add/?m=draft_school01&amp;ps_school=50107" xr:uid="{120E4323-D4D5-453A-A055-1F700803649B}"/>
    <hyperlink ref="K3574" r:id="rId19252" display="https://statiz.sporki.com/add/?m=draft_school01&amp;ps_school=50607" xr:uid="{9E20AB79-891D-42CB-BCAD-F3757E681A15}"/>
    <hyperlink ref="K3575" r:id="rId19253" display="https://statiz.sporki.com/add/?m=draft_school01&amp;ps_school=50105" xr:uid="{37AC6E8D-CEEE-4327-8A30-60754A17AEF2}"/>
    <hyperlink ref="K3576" r:id="rId19254" display="https://statiz.sporki.com/add/?m=draft_school01&amp;ps_school=50127" xr:uid="{5DE05C4A-9E7E-4B2A-957A-63A6A4105F9C}"/>
    <hyperlink ref="K3577" r:id="rId19255" display="https://statiz.sporki.com/add/?m=draft_school01&amp;ps_school=50127" xr:uid="{D7562161-BDE6-4A56-B462-F3C9487EEFF9}"/>
    <hyperlink ref="K3578" r:id="rId19256" display="https://statiz.sporki.com/add/?m=draft_school01&amp;ps_school=50127" xr:uid="{B72ADFB4-34E8-4AD0-9FCD-FA948540CB0C}"/>
    <hyperlink ref="K3579" r:id="rId19257" display="https://statiz.sporki.com/add/?m=draft_school01&amp;ps_school=50103" xr:uid="{685949AB-2365-445C-87AC-494CD8EA197C}"/>
    <hyperlink ref="K3580" r:id="rId19258" display="https://statiz.sporki.com/add/?m=draft_school01&amp;ps_school=50814" xr:uid="{C3C60948-D349-448D-9E39-C03BF48B5B0C}"/>
    <hyperlink ref="K3581" r:id="rId19259" display="https://statiz.sporki.com/add/?m=draft_school01&amp;ps_school=50813" xr:uid="{9BD62A00-ED45-4B31-B0A9-986EC4588CA5}"/>
    <hyperlink ref="K3582" r:id="rId19260" display="https://statiz.sporki.com/add/?m=draft_school01&amp;ps_school=50302" xr:uid="{3895D651-942C-47A9-ACD4-1C4514EA9BF4}"/>
    <hyperlink ref="K3583" r:id="rId19261" display="https://statiz.sporki.com/add/?m=draft_school01&amp;ps_school=50401" xr:uid="{1CA9CF3D-9157-4877-8AE3-CC1472DDBD1D}"/>
    <hyperlink ref="K3584" r:id="rId19262" display="https://statiz.sporki.com/add/?m=draft_school01&amp;ps_school=50301" xr:uid="{6AF36275-4EAE-407F-B04D-341FAEAE8569}"/>
    <hyperlink ref="K3585" r:id="rId19263" display="https://statiz.sporki.com/add/?m=draft_school01&amp;ps_school=50703" xr:uid="{5959B990-96ED-4338-8CDE-9CB0720F11A6}"/>
    <hyperlink ref="K3587" r:id="rId19264" display="https://statiz.sporki.com/add/?m=draft_school01&amp;ps_school=50901" xr:uid="{133637AD-7AA8-437C-84E5-368246B70248}"/>
    <hyperlink ref="K3588" r:id="rId19265" display="https://statiz.sporki.com/add/?m=draft_school01&amp;ps_school=50607" xr:uid="{16167C19-A95B-4E7F-A075-A4E449736496}"/>
    <hyperlink ref="K3589" r:id="rId19266" display="https://statiz.sporki.com/add/?m=draft_school01&amp;ps_school=50604" xr:uid="{45495967-3615-42AA-9ACB-582C20700A08}"/>
    <hyperlink ref="K3590" r:id="rId19267" display="https://statiz.sporki.com/add/?m=draft_school01&amp;ps_school=50607" xr:uid="{02CC1389-8FF5-4717-9371-06BF9E8D4A25}"/>
    <hyperlink ref="K3591" r:id="rId19268" display="https://statiz.sporki.com/add/?m=draft_school01&amp;ps_school=50604" xr:uid="{79024919-7217-49F5-B2BF-8AAFDCF52F54}"/>
    <hyperlink ref="K3592" r:id="rId19269" display="https://statiz.sporki.com/add/?m=draft_school01&amp;ps_school=50609" xr:uid="{E330FF17-AB72-4AC5-9103-01E8ACA14312}"/>
    <hyperlink ref="K3593" r:id="rId19270" display="https://statiz.sporki.com/add/?m=draft_school01&amp;ps_school=50108" xr:uid="{19B954E5-B5FC-4A61-997A-1F6A2ADF8A0A}"/>
    <hyperlink ref="K3594" r:id="rId19271" display="https://statiz.sporki.com/add/?m=draft_school01&amp;ps_school=50119" xr:uid="{E24C689B-3462-4355-AADF-08B8A8B582F3}"/>
    <hyperlink ref="K3595" r:id="rId19272" display="https://statiz.sporki.com/add/?m=draft_school01&amp;ps_school=50109" xr:uid="{50617193-AB36-4D0E-B15B-CAF4A5BDB33E}"/>
    <hyperlink ref="K3596" r:id="rId19273" display="https://statiz.sporki.com/add/?m=draft_school01&amp;ps_school=50114" xr:uid="{DC2C72F5-0979-40CC-A829-4DBE6CE478B7}"/>
    <hyperlink ref="K3597" r:id="rId19274" display="https://statiz.sporki.com/add/?m=draft_school01&amp;ps_school=50103" xr:uid="{54D81DCC-B3EC-431F-BEC5-FFB895C1C946}"/>
    <hyperlink ref="K3598" r:id="rId19275" display="https://statiz.sporki.com/add/?m=draft_school01&amp;ps_school=50804" xr:uid="{FF70DB1E-D4EE-4BC1-A744-487AB9139CE5}"/>
    <hyperlink ref="K3599" r:id="rId19276" display="https://statiz.sporki.com/add/?m=draft_school01&amp;ps_school=50302" xr:uid="{C73CEE8C-A8E9-471B-82C3-53C5BD097F32}"/>
    <hyperlink ref="K3600" r:id="rId19277" display="https://statiz.sporki.com/add/?m=draft_school01&amp;ps_school=50703" xr:uid="{C6B5D770-EFBA-4510-8BED-6A2D3B00024C}"/>
    <hyperlink ref="K3601" r:id="rId19278" display="https://statiz.sporki.com/add/?m=draft_school01&amp;ps_school=50706" xr:uid="{F31C1A12-E638-43CE-A487-13366AB69B17}"/>
    <hyperlink ref="K3602" r:id="rId19279" display="https://statiz.sporki.com/add/?m=draft_school01&amp;ps_school=50706" xr:uid="{A2AD42A4-4631-487D-B310-D8FADE7EF58D}"/>
    <hyperlink ref="K3603" r:id="rId19280" display="https://statiz.sporki.com/add/?m=draft_school01&amp;ps_school=50202" xr:uid="{D46CA2A5-A18C-44D3-A281-060567B82C1A}"/>
    <hyperlink ref="K3604" r:id="rId19281" display="https://statiz.sporki.com/add/?m=draft_school01&amp;ps_school=50202" xr:uid="{D2FF0449-AC5A-476D-8311-F993E73D383A}"/>
    <hyperlink ref="K3605" r:id="rId19282" display="https://statiz.sporki.com/add/?m=draft_school01&amp;ps_school=50209" xr:uid="{658BCB34-2F3E-4BBB-95A5-1E18174FD282}"/>
    <hyperlink ref="K3606" r:id="rId19283" display="https://statiz.sporki.com/add/?m=draft_school01&amp;ps_school=50501" xr:uid="{D98B2503-0BC2-448F-8F6F-BFCA16810AE3}"/>
    <hyperlink ref="K3607" r:id="rId19284" display="https://statiz.sporki.com/add/?m=draft_school01&amp;ps_school=50403" xr:uid="{6C796209-382A-4043-9E02-4EA36E1B8D4D}"/>
    <hyperlink ref="K3608" r:id="rId19285" display="https://statiz.sporki.com/add/?m=draft_school01&amp;ps_school=50301" xr:uid="{0D2C7178-3533-4086-9336-FEB08D76BC0E}"/>
    <hyperlink ref="K3609" r:id="rId19286" display="https://statiz.sporki.com/add/?m=draft_school01&amp;ps_school=50802" xr:uid="{89B52D5D-BC42-4D01-8773-8A01AEB0DC52}"/>
    <hyperlink ref="K3610" r:id="rId19287" display="https://statiz.sporki.com/add/?m=draft_school01&amp;ps_school=50701" xr:uid="{1DBABC80-E024-4CEC-A825-40DDF5D55A65}"/>
    <hyperlink ref="K3611" r:id="rId19288" display="https://statiz.sporki.com/add/?m=draft_school01&amp;ps_school=50107" xr:uid="{EEB74152-4BBC-4BEE-AB20-69181E808469}"/>
    <hyperlink ref="K3612" r:id="rId19289" display="https://statiz.sporki.com/add/?m=draft_school01&amp;ps_school=50802" xr:uid="{D99FF82F-6B32-42D2-8700-C8DDC7FF82A1}"/>
    <hyperlink ref="K3613" r:id="rId19290" display="https://statiz.sporki.com/add/?m=draft_school01&amp;ps_school=50302" xr:uid="{B2D71FAD-EBE5-4230-9C4B-473649E1FFEC}"/>
    <hyperlink ref="K3614" r:id="rId19291" display="https://statiz.sporki.com/add/?m=draft_school01&amp;ps_school=50502" xr:uid="{3AAABC22-F3CC-4A86-8433-6E0AD4DD8E7C}"/>
    <hyperlink ref="K3615" r:id="rId19292" display="https://statiz.sporki.com/add/?m=draft_school01&amp;ps_school=50608" xr:uid="{6D26AFC0-86C4-42F4-B2C3-8A44010249B2}"/>
    <hyperlink ref="K3616" r:id="rId19293" display="https://statiz.sporki.com/add/?m=draft_school01&amp;ps_school=50403" xr:uid="{6964FF7B-4EFB-4995-BB31-8DF29564D906}"/>
    <hyperlink ref="K3617" r:id="rId19294" display="https://statiz.sporki.com/add/?m=draft_school01&amp;ps_school=50602" xr:uid="{2C34F0EB-C44C-470F-AB6F-26E7D52D65F6}"/>
    <hyperlink ref="K3618" r:id="rId19295" display="https://statiz.sporki.com/add/?m=draft_school01&amp;ps_school=50701" xr:uid="{DFA13340-306C-4482-8F78-B7E9F719C7C8}"/>
    <hyperlink ref="K3619" r:id="rId19296" display="https://statiz.sporki.com/add/?m=draft_school01&amp;ps_school=50701" xr:uid="{43641B8C-F92E-40F6-AC8E-FA0B798D7622}"/>
    <hyperlink ref="K3620" r:id="rId19297" display="https://statiz.sporki.com/add/?m=draft_school01&amp;ps_school=50121" xr:uid="{F6DADBAA-C2CE-4A35-B708-48AEDAAA783A}"/>
    <hyperlink ref="K3621" r:id="rId19298" display="https://statiz.sporki.com/add/?m=draft_school01&amp;ps_school=50403" xr:uid="{0986BD11-141F-42FC-8463-EC0C938A40A4}"/>
    <hyperlink ref="K3622" r:id="rId19299" display="https://statiz.sporki.com/add/?m=draft_school01&amp;ps_school=50114" xr:uid="{7DB3E898-2776-494C-A46F-C1AEA9F9D67B}"/>
    <hyperlink ref="K3623" r:id="rId19300" display="https://statiz.sporki.com/add/?m=draft_school01&amp;ps_school=50602" xr:uid="{9541A9E8-AED3-4C7B-A61C-D315F7F502CA}"/>
    <hyperlink ref="K3624" r:id="rId19301" display="https://statiz.sporki.com/add/?m=draft_school01&amp;ps_school=50601" xr:uid="{3C942586-E678-49F7-95E6-FAA50E42DDBE}"/>
    <hyperlink ref="K3625" r:id="rId19302" display="https://statiz.sporki.com/add/?m=draft_school01&amp;ps_school=50110" xr:uid="{62875FBE-9C36-47F9-81AF-29A0FFA7A073}"/>
    <hyperlink ref="K3626" r:id="rId19303" display="https://statiz.sporki.com/add/?m=draft_school01&amp;ps_school=50701" xr:uid="{F412C98D-AADF-4497-8FCF-FCF4C95EA4D8}"/>
    <hyperlink ref="K3627" r:id="rId19304" display="https://statiz.sporki.com/add/?m=draft_school01&amp;ps_school=50403" xr:uid="{EB609A83-865E-4ECB-A47D-12AC030F09EC}"/>
    <hyperlink ref="K3628" r:id="rId19305" display="https://statiz.sporki.com/add/?m=draft_school01&amp;ps_school=50805" xr:uid="{60F35D27-4A57-4071-BB2E-54E03533EB2F}"/>
    <hyperlink ref="K3629" r:id="rId19306" display="https://statiz.sporki.com/add/?m=draft_school01&amp;ps_school=50301" xr:uid="{AFAE9964-7A5D-4BAF-A2F3-3BB510D59792}"/>
    <hyperlink ref="K3631" r:id="rId19307" display="https://statiz.sporki.com/add/?m=draft_school01&amp;ps_school=50110" xr:uid="{7ED7B666-52BF-4D18-B3EC-4F0603782425}"/>
    <hyperlink ref="K3632" r:id="rId19308" display="https://statiz.sporki.com/add/?m=draft_school01&amp;ps_school=50608" xr:uid="{09A3D977-F7AD-493D-9FD8-50536159BCAF}"/>
    <hyperlink ref="K3633" r:id="rId19309" display="https://statiz.sporki.com/add/?m=draft_school01&amp;ps_school=50602" xr:uid="{275B3871-ED89-40F8-B0F6-E5A44F7F5F42}"/>
    <hyperlink ref="K3634" r:id="rId19310" display="https://statiz.sporki.com/add/?m=draft_school01&amp;ps_school=50502" xr:uid="{FBC57AE2-221F-4CCA-8440-FBDBA36B1045}"/>
    <hyperlink ref="K3638" r:id="rId19311" display="https://statiz.sporki.com/add/?m=draft_school01&amp;ps_school=51100" xr:uid="{D1359772-BC31-4DEF-9716-F4C279B0965D}"/>
    <hyperlink ref="K3640" r:id="rId19312" display="https://statiz.sporki.com/add/?m=draft_school01&amp;ps_school=50108" xr:uid="{B7BA7CF7-CB77-4E47-BBD4-8690D0F9322B}"/>
    <hyperlink ref="K3641" r:id="rId19313" display="https://statiz.sporki.com/add/?m=draft_school01&amp;ps_school=50815" xr:uid="{798CF200-F638-4180-B717-6A8403D25C81}"/>
    <hyperlink ref="K3642" r:id="rId19314" display="https://statiz.sporki.com/add/?m=draft_school01&amp;ps_school=50604" xr:uid="{A6E1AEA9-4857-4D80-9B32-A50A976F6AB7}"/>
    <hyperlink ref="K3643" r:id="rId19315" display="https://statiz.sporki.com/add/?m=draft_school01&amp;ps_school=50904" xr:uid="{20BB70FB-0046-4E24-A165-5E380D53A21B}"/>
    <hyperlink ref="K3644" r:id="rId19316" display="https://statiz.sporki.com/add/?m=draft_school01&amp;ps_school=50103" xr:uid="{9211DDE3-BF50-45C2-B700-CC2583A4B504}"/>
    <hyperlink ref="K3645" r:id="rId19317" display="https://statiz.sporki.com/add/?m=draft_school01&amp;ps_school=50114" xr:uid="{7672C808-952F-46DF-B2D5-BD08C8393651}"/>
    <hyperlink ref="K3646" r:id="rId19318" display="https://statiz.sporki.com/add/?m=draft_school01&amp;ps_school=50116" xr:uid="{FC6D98B6-95C6-47A1-A4CD-C4F1387F45E3}"/>
    <hyperlink ref="K3647" r:id="rId19319" display="https://statiz.sporki.com/add/?m=draft_school01&amp;ps_school=50103" xr:uid="{AFF8504B-F116-4074-9457-DA322DFA2A24}"/>
    <hyperlink ref="K3648" r:id="rId19320" display="https://statiz.sporki.com/add/?m=draft_school01&amp;ps_school=50110" xr:uid="{97D62E38-15B1-435E-9A8B-1F4EF4C82CEB}"/>
    <hyperlink ref="K3649" r:id="rId19321" display="https://statiz.sporki.com/add/?m=draft_school01&amp;ps_school=50114" xr:uid="{D6D8C402-0ABE-454C-B370-5D944E51C1D1}"/>
    <hyperlink ref="K3650" r:id="rId19322" display="https://statiz.sporki.com/add/?m=draft_school01&amp;ps_school=50121" xr:uid="{487957A2-0932-49AA-8424-D122806CFADB}"/>
    <hyperlink ref="K3652" r:id="rId19323" display="https://statiz.sporki.com/add/?m=draft_school01&amp;ps_school=50701" xr:uid="{38CB7141-AC81-4657-ABFE-931FD79F4E0F}"/>
    <hyperlink ref="K3653" r:id="rId19324" display="https://statiz.sporki.com/add/?m=draft_school01&amp;ps_school=50208" xr:uid="{239EBFE3-F975-4C3A-B3FA-B046047E1C2A}"/>
    <hyperlink ref="K3654" r:id="rId19325" display="https://statiz.sporki.com/add/?m=draft_school01&amp;ps_school=50805" xr:uid="{52620812-8ED2-4F02-884D-A104D5C41E38}"/>
    <hyperlink ref="K3655" r:id="rId19326" display="https://statiz.sporki.com/add/?m=draft_school01&amp;ps_school=50122" xr:uid="{FCDF8659-F20D-45D1-AE82-2F7ADE00AB9C}"/>
    <hyperlink ref="K3656" r:id="rId19327" display="https://statiz.sporki.com/add/?m=draft_school01&amp;ps_school=50106" xr:uid="{29D59BC3-8910-4540-BBB6-E7D93A376892}"/>
    <hyperlink ref="K3657" r:id="rId19328" display="https://statiz.sporki.com/add/?m=draft_school01&amp;ps_school=50116" xr:uid="{620DACBC-26E8-4CDC-BEA0-E96E84849830}"/>
    <hyperlink ref="K3659" r:id="rId19329" display="https://statiz.sporki.com/add/?m=draft_school01&amp;ps_school=50112" xr:uid="{5060B1C0-DA82-4FC4-B6D3-775813E7426C}"/>
    <hyperlink ref="K3660" r:id="rId19330" display="https://statiz.sporki.com/add/?m=draft_school01&amp;ps_school=50803" xr:uid="{CEAD8C66-23F0-4810-9640-3E8A8A3CA683}"/>
    <hyperlink ref="K3661" r:id="rId19331" display="https://statiz.sporki.com/add/?m=draft_school01&amp;ps_school=50403" xr:uid="{FFC6F584-65F2-4B8C-9558-D0D67295EF89}"/>
    <hyperlink ref="K3662" r:id="rId19332" display="https://statiz.sporki.com/add/?m=draft_school01&amp;ps_school=50403" xr:uid="{2151C251-96EF-4533-AA8A-7710D7294B54}"/>
    <hyperlink ref="K3663" r:id="rId19333" display="https://statiz.sporki.com/add/?m=draft_school01&amp;ps_school=50302" xr:uid="{44AFC07E-C4B5-4B9B-A4A4-BEAD567370FE}"/>
    <hyperlink ref="K3664" r:id="rId19334" display="https://statiz.sporki.com/add/?m=draft_school01&amp;ps_school=50403" xr:uid="{FC7683BE-F26F-415D-9EBE-A0A713DB0D01}"/>
    <hyperlink ref="K3665" r:id="rId19335" display="https://statiz.sporki.com/add/?m=draft_school01&amp;ps_school=50701" xr:uid="{B91F03D7-52A2-406A-AEEB-6831759F6110}"/>
    <hyperlink ref="K3666" r:id="rId19336" display="https://statiz.sporki.com/add/?m=draft_school01&amp;ps_school=50703" xr:uid="{C1DBBDC6-7687-4A7A-B78A-8267EB493278}"/>
    <hyperlink ref="K3667" r:id="rId19337" display="https://statiz.sporki.com/add/?m=draft_school01&amp;ps_school=50703" xr:uid="{0DEE5FF0-C3AD-437C-B7AE-8F7495363698}"/>
    <hyperlink ref="K3668" r:id="rId19338" display="https://statiz.sporki.com/add/?m=draft_school01&amp;ps_school=50209" xr:uid="{D3EB5A43-AE46-41F3-A489-7D9A9C20179C}"/>
    <hyperlink ref="K3669" r:id="rId19339" display="https://statiz.sporki.com/add/?m=draft_school01&amp;ps_school=50501" xr:uid="{C475A53A-1D32-41C0-B4CC-9C0785393C94}"/>
    <hyperlink ref="K3670" r:id="rId19340" display="https://statiz.sporki.com/add/?m=draft_school01&amp;ps_school=50502" xr:uid="{2E31354E-9221-427A-8AC2-82A917935181}"/>
    <hyperlink ref="K3671" r:id="rId19341" display="https://statiz.sporki.com/add/?m=draft_school01&amp;ps_school=50602" xr:uid="{2A29B03E-72E3-4CA5-9A24-A6BB3DFBDA87}"/>
    <hyperlink ref="K3672" r:id="rId19342" display="https://statiz.sporki.com/add/?m=draft_school01&amp;ps_school=50805" xr:uid="{7ED690AC-1C84-41D4-8EAE-00E19DFB6A38}"/>
    <hyperlink ref="K3673" r:id="rId19343" display="https://statiz.sporki.com/add/?m=draft_school01&amp;ps_school=50703" xr:uid="{60549D27-C3D7-4FB4-A141-F4C7C1382BF7}"/>
    <hyperlink ref="K3674" r:id="rId19344" display="https://statiz.sporki.com/add/?m=draft_school01&amp;ps_school=50501" xr:uid="{A8A3F621-EA88-473D-BB0D-FF06A05304A1}"/>
    <hyperlink ref="K3675" r:id="rId19345" display="https://statiz.sporki.com/add/?m=draft_school01&amp;ps_school=50705" xr:uid="{D819ECD5-8A7F-4D2E-953E-3DDB7D8AC4C1}"/>
    <hyperlink ref="K3676" r:id="rId19346" display="https://statiz.sporki.com/add/?m=draft_school01&amp;ps_school=50812" xr:uid="{7F816B1E-3586-419D-9BC1-BE7E4518FA08}"/>
    <hyperlink ref="K3677" r:id="rId19347" display="https://statiz.sporki.com/add/?m=draft_school01&amp;ps_school=50701" xr:uid="{3D069921-810A-4E5F-B356-D3F6791DA80F}"/>
    <hyperlink ref="K3678" r:id="rId19348" display="https://statiz.sporki.com/add/?m=draft_school01&amp;ps_school=50711" xr:uid="{26729E0D-957F-4C72-85E8-0706A97D73F7}"/>
    <hyperlink ref="K3679" r:id="rId19349" display="https://statiz.sporki.com/add/?m=draft_school01&amp;ps_school=50803" xr:uid="{3D16ADA3-B631-4983-87DB-B0FCB052632B}"/>
    <hyperlink ref="K3680" r:id="rId19350" display="https://statiz.sporki.com/add/?m=draft_school01&amp;ps_school=50703" xr:uid="{74F78542-58CD-436F-99AD-9A718B4B5353}"/>
    <hyperlink ref="K3681" r:id="rId19351" display="https://statiz.sporki.com/add/?m=draft_school01&amp;ps_school=50804" xr:uid="{6B87A752-C21E-4785-BCA3-8B6FECD83683}"/>
    <hyperlink ref="K3682" r:id="rId19352" display="https://statiz.sporki.com/add/?m=draft_school01&amp;ps_school=50601" xr:uid="{2E521F0E-B6C2-4074-A6C8-2A5A9C0C36BE}"/>
    <hyperlink ref="K3684" r:id="rId19353" display="https://statiz.sporki.com/add/?m=draft_school01&amp;ps_school=50701" xr:uid="{AAC9FD40-9A98-42AD-A900-1BCE9E2C591B}"/>
    <hyperlink ref="K3685" r:id="rId19354" display="https://statiz.sporki.com/add/?m=draft_school01&amp;ps_school=50711" xr:uid="{3B7F6DC5-3473-401C-B249-67A7E561C124}"/>
    <hyperlink ref="K3686" r:id="rId19355" display="https://statiz.sporki.com/add/?m=draft_school01&amp;ps_school=51100" xr:uid="{EDD2BECC-58FA-44BB-9A4D-62A92E2E1B38}"/>
    <hyperlink ref="K3687" r:id="rId19356" display="https://statiz.sporki.com/add/?m=draft_school01&amp;ps_school=50904" xr:uid="{4999144D-7C92-40BC-AD5D-CA5129E7985B}"/>
    <hyperlink ref="K3688" r:id="rId19357" display="https://statiz.sporki.com/add/?m=draft_school01&amp;ps_school=50701" xr:uid="{DBD54B55-DC7B-4F4A-96D9-B6B2D7ED15D6}"/>
    <hyperlink ref="K3689" r:id="rId19358" display="https://statiz.sporki.com/add/?m=draft_school01&amp;ps_school=50403" xr:uid="{A6FF0979-BD30-49D1-BC93-E6B8E38246F4}"/>
    <hyperlink ref="K3690" r:id="rId19359" display="https://statiz.sporki.com/add/?m=draft_school01&amp;ps_school=50116" xr:uid="{C83CB571-1E66-49B0-9BFF-562DC36D4567}"/>
    <hyperlink ref="K3691" r:id="rId19360" display="https://statiz.sporki.com/add/?m=draft_school01&amp;ps_school=50805" xr:uid="{8899584F-E697-4C49-B6D8-00360C040D2A}"/>
    <hyperlink ref="K3692" r:id="rId19361" display="https://statiz.sporki.com/add/?m=draft_school01&amp;ps_school=50110" xr:uid="{4C06C912-44D5-453D-9582-6988CC792936}"/>
    <hyperlink ref="K3693" r:id="rId19362" display="https://statiz.sporki.com/add/?m=draft_school01&amp;ps_school=50109" xr:uid="{D3A4FCEE-0185-4D5F-B4F1-D62DADA6803F}"/>
    <hyperlink ref="K3694" r:id="rId19363" display="https://statiz.sporki.com/add/?m=draft_school01&amp;ps_school=50106" xr:uid="{08376A3C-99AF-4B18-9578-E792AF12BAE8}"/>
    <hyperlink ref="K3695" r:id="rId19364" display="https://statiz.sporki.com/add/?m=draft_school01&amp;ps_school=50110" xr:uid="{21323E61-940A-4E1A-BB4C-360E438A8D4B}"/>
    <hyperlink ref="K3696" r:id="rId19365" display="https://statiz.sporki.com/add/?m=draft_school01&amp;ps_school=50110" xr:uid="{337DC01B-D22F-45AD-8A66-F02ABAC23D45}"/>
    <hyperlink ref="K3697" r:id="rId19366" display="https://statiz.sporki.com/add/?m=draft_school01&amp;ps_school=50114" xr:uid="{42A4FFE2-73E7-4762-A9D7-A96F2A78F9B4}"/>
    <hyperlink ref="K3698" r:id="rId19367" display="https://statiz.sporki.com/add/?m=draft_school01&amp;ps_school=50109" xr:uid="{B8E958DD-1BFC-48EA-B23E-FF50B65C7FD0}"/>
    <hyperlink ref="K3699" r:id="rId19368" display="https://statiz.sporki.com/add/?m=draft_school01&amp;ps_school=50107" xr:uid="{4B550689-7EA9-44C8-8DAF-B8E1088B935D}"/>
    <hyperlink ref="K3700" r:id="rId19369" display="https://statiz.sporki.com/add/?m=draft_school01&amp;ps_school=50116" xr:uid="{195BF9B0-0B29-4723-8A4B-767FF118C1F7}"/>
    <hyperlink ref="K3702" r:id="rId19370" display="https://statiz.sporki.com/add/?m=draft_school01&amp;ps_school=50803" xr:uid="{920793F5-C7ED-4A9D-867E-7CB244A5B429}"/>
    <hyperlink ref="K3703" r:id="rId19371" display="https://statiz.sporki.com/add/?m=draft_school01&amp;ps_school=50805" xr:uid="{0630C2FE-EE73-4B3A-A09B-979E53704472}"/>
    <hyperlink ref="K3704" r:id="rId19372" display="https://statiz.sporki.com/add/?m=draft_school01&amp;ps_school=50812" xr:uid="{5DE8DE06-A183-44CF-8DD1-0642CB48B411}"/>
    <hyperlink ref="K3705" r:id="rId19373" display="https://statiz.sporki.com/add/?m=draft_school01&amp;ps_school=50402" xr:uid="{7BC37662-4115-4CAD-A868-7089B1761F59}"/>
    <hyperlink ref="K3706" r:id="rId19374" display="https://statiz.sporki.com/add/?m=draft_school01&amp;ps_school=50402" xr:uid="{B9CBAA6E-AA1A-431C-A843-A5668CE5B8B2}"/>
    <hyperlink ref="K3707" r:id="rId19375" display="https://statiz.sporki.com/add/?m=draft_school01&amp;ps_school=50402" xr:uid="{F93DAFB8-CBF7-4DB1-A5A3-7D66D54FB790}"/>
    <hyperlink ref="K3708" r:id="rId19376" display="https://statiz.sporki.com/add/?m=draft_school01&amp;ps_school=50403" xr:uid="{C4F0B7E8-DFF3-4F56-88B3-811A85189108}"/>
    <hyperlink ref="K3709" r:id="rId19377" display="https://statiz.sporki.com/add/?m=draft_school01&amp;ps_school=50403" xr:uid="{CE0F62BD-C96F-4588-8781-1FE21D76FA42}"/>
    <hyperlink ref="K3710" r:id="rId19378" display="https://statiz.sporki.com/add/?m=draft_school01&amp;ps_school=50301" xr:uid="{3503BC84-5C83-4D4B-9F2A-9824178E6125}"/>
    <hyperlink ref="K3711" r:id="rId19379" display="https://statiz.sporki.com/add/?m=draft_school01&amp;ps_school=50403" xr:uid="{D31167FF-E4B9-409B-A161-311A73E2D041}"/>
    <hyperlink ref="K3712" r:id="rId19380" display="https://statiz.sporki.com/add/?m=draft_school01&amp;ps_school=50711" xr:uid="{EDED8176-79B1-4076-BD6E-23D2A88922F6}"/>
    <hyperlink ref="K3714" r:id="rId19381" display="https://statiz.sporki.com/add/?m=draft_school01&amp;ps_school=50703" xr:uid="{0F727135-FC6D-40EC-A562-FE71F996E9DD}"/>
    <hyperlink ref="K3715" r:id="rId19382" display="https://statiz.sporki.com/add/?m=draft_school01&amp;ps_school=50703" xr:uid="{9B27C28A-C361-4EA4-8409-CEF50131462B}"/>
    <hyperlink ref="K3716" r:id="rId19383" display="https://statiz.sporki.com/add/?m=draft_school01&amp;ps_school=50701" xr:uid="{0D84E843-109A-4D50-8B56-2AF583DD5140}"/>
    <hyperlink ref="K3717" r:id="rId19384" display="https://statiz.sporki.com/add/?m=draft_school01&amp;ps_school=50209" xr:uid="{CB240BD1-240F-4A4C-BD6D-084E533F430A}"/>
    <hyperlink ref="K3718" r:id="rId19385" display="https://statiz.sporki.com/add/?m=draft_school01&amp;ps_school=50202" xr:uid="{4E39C8E4-C41F-4726-BB71-08141C17B058}"/>
    <hyperlink ref="K3719" r:id="rId19386" display="https://statiz.sporki.com/add/?m=draft_school01&amp;ps_school=50209" xr:uid="{FC2C6584-72AA-492A-A8A5-18B3528B70F3}"/>
    <hyperlink ref="K3720" r:id="rId19387" display="https://statiz.sporki.com/add/?m=draft_school01&amp;ps_school=50602" xr:uid="{53BE9783-0E83-4F62-8A70-054DB14B7EF9}"/>
    <hyperlink ref="K3721" r:id="rId19388" display="https://statiz.sporki.com/add/?m=draft_school01&amp;ps_school=50502" xr:uid="{34422BB3-053F-4090-B0BA-540947E16FD0}"/>
    <hyperlink ref="K3722" r:id="rId19389" display="https://statiz.sporki.com/add/?m=draft_school01&amp;ps_school=50608" xr:uid="{B0D48E48-0C73-49D3-8FA1-8C7E6020B1F6}"/>
    <hyperlink ref="K3723" r:id="rId19390" display="https://statiz.sporki.com/add/?m=draft_school01&amp;ps_school=50502" xr:uid="{9F7F7D65-A72A-45F5-A1D5-98C82B94117A}"/>
    <hyperlink ref="K3724" r:id="rId19391" display="https://statiz.sporki.com/add/?m=draft_school01&amp;ps_school=50501" xr:uid="{B72B4D39-0C62-40E7-9879-76069DC1E7FF}"/>
    <hyperlink ref="K3725" r:id="rId19392" display="https://statiz.sporki.com/add/?m=draft_school01&amp;ps_school=50501" xr:uid="{6F19DCDE-1EE9-4F29-B57E-A9E4BDAFD41B}"/>
    <hyperlink ref="K3726" r:id="rId19393" display="https://statiz.sporki.com/add/?m=draft_school01&amp;ps_school=50608" xr:uid="{F0855F2F-7C69-4722-9FB3-7A98110FB32C}"/>
    <hyperlink ref="K3727" r:id="rId19394" display="https://statiz.sporki.com/add/?m=draft_school01&amp;ps_school=50604" xr:uid="{C27B9F89-8F63-441C-949C-A171C2EE0FA4}"/>
    <hyperlink ref="K3729" r:id="rId19395" display="https://statiz.sporki.com/add/?m=draft_school01&amp;ps_school=50804" xr:uid="{59022BF5-EBEF-4017-A6ED-E0BF12BED039}"/>
    <hyperlink ref="K3730" r:id="rId19396" display="https://statiz.sporki.com/add/?m=draft_school01&amp;ps_school=50805" xr:uid="{973EA9AE-6AFB-4ED1-937A-B7A80B1FCDB4}"/>
    <hyperlink ref="K3731" r:id="rId19397" display="https://statiz.sporki.com/add/?m=draft_school01&amp;ps_school=50701" xr:uid="{713421E1-31C1-4AAD-9D67-1E3D73C98291}"/>
    <hyperlink ref="K3732" r:id="rId19398" display="https://statiz.sporki.com/add/?m=draft_school01&amp;ps_school=50711" xr:uid="{0DA09C91-10CD-40DE-809A-6C48A6660B26}"/>
    <hyperlink ref="K3733" r:id="rId19399" display="https://statiz.sporki.com/add/?m=draft_school01&amp;ps_school=50112" xr:uid="{C64DAAAA-5ACA-4981-B385-3F7245DA9298}"/>
    <hyperlink ref="K3736" r:id="rId19400" display="https://statiz.sporki.com/add/?m=draft_school01&amp;ps_school=50703" xr:uid="{9EB117B6-CC63-4013-A4B6-1BDBB52BC2B1}"/>
    <hyperlink ref="K3737" r:id="rId19401" display="https://statiz.sporki.com/add/?m=draft_school01&amp;ps_school=50608" xr:uid="{BC6127C4-96C8-4014-AA9D-6FDE2530B662}"/>
    <hyperlink ref="K3739" r:id="rId19402" display="https://statiz.sporki.com/add/?m=draft_school01&amp;ps_school=50602" xr:uid="{538C06CD-2C96-44B0-BCE0-30C57384DADB}"/>
    <hyperlink ref="K3740" r:id="rId19403" display="https://statiz.sporki.com/add/?m=draft_school01&amp;ps_school=50301" xr:uid="{E142EE34-673A-4872-8C12-F2EBD74F1C06}"/>
    <hyperlink ref="K3741" r:id="rId19404" display="https://statiz.sporki.com/add/?m=draft_school01&amp;ps_school=50802" xr:uid="{83DFB7A4-5670-4096-8133-897A8F9A8588}"/>
    <hyperlink ref="K3743" r:id="rId19405" display="https://statiz.sporki.com/add/?m=draft_school01&amp;ps_school=50114" xr:uid="{558D5357-EB6E-4AAD-AAD1-6FC024CAD4B7}"/>
    <hyperlink ref="K3744" r:id="rId19406" display="https://statiz.sporki.com/add/?m=draft_school01&amp;ps_school=50125" xr:uid="{BB5E0AD5-8159-42FA-8775-C922E076DAAE}"/>
    <hyperlink ref="K3745" r:id="rId19407" display="https://statiz.sporki.com/add/?m=draft_school01&amp;ps_school=50701" xr:uid="{4326FFC0-E578-4840-BEFB-18EE9BAEE332}"/>
    <hyperlink ref="K3751" r:id="rId19408" display="https://statiz.sporki.com/add/?m=draft_school01&amp;ps_school=50608" xr:uid="{F02FBA8D-18F6-4453-B011-BEE0EC31B97C}"/>
    <hyperlink ref="K3752" r:id="rId19409" display="https://statiz.sporki.com/add/?m=draft_school01&amp;ps_school=50301" xr:uid="{3D355E07-F343-42E0-B49C-0FF7C2C79C39}"/>
    <hyperlink ref="K3753" r:id="rId19410" display="https://statiz.sporki.com/add/?m=draft_school01&amp;ps_school=50202" xr:uid="{DC9877CC-1F75-4BD9-842A-90DAC22EAE39}"/>
    <hyperlink ref="K3754" r:id="rId19411" display="https://statiz.sporki.com/add/?m=draft_school01&amp;ps_school=50609" xr:uid="{84828EA8-9283-4E3A-97B6-1C902F21C4C1}"/>
    <hyperlink ref="K3755" r:id="rId19412" display="https://statiz.sporki.com/add/?m=draft_school01&amp;ps_school=50107" xr:uid="{197F7AE7-0FB9-4ABC-9A64-1FA05F945296}"/>
    <hyperlink ref="K3756" r:id="rId19413" display="https://statiz.sporki.com/add/?m=draft_school01&amp;ps_school=50711" xr:uid="{A16FCCCA-0967-46F8-9732-5EE2FF1E3028}"/>
    <hyperlink ref="K3757" r:id="rId19414" display="https://statiz.sporki.com/add/?m=draft_school01&amp;ps_school=50121" xr:uid="{3205A59F-FEB1-4AAA-ABAB-B122EB110407}"/>
    <hyperlink ref="K3758" r:id="rId19415" display="https://statiz.sporki.com/add/?m=draft_school01&amp;ps_school=50121" xr:uid="{25B9EC7A-2CB7-46B6-B48B-39DFAE89BCE8}"/>
    <hyperlink ref="K3759" r:id="rId19416" display="https://statiz.sporki.com/add/?m=draft_school01&amp;ps_school=50125" xr:uid="{91A0C6C7-6803-45A0-9C5D-BEF0F6DCAC5E}"/>
    <hyperlink ref="K3760" r:id="rId19417" display="https://statiz.sporki.com/add/?m=draft_school01&amp;ps_school=50122" xr:uid="{83629A7E-14EF-455B-91E4-1184AB9FBD3F}"/>
    <hyperlink ref="K3761" r:id="rId19418" display="https://statiz.sporki.com/add/?m=draft_school01&amp;ps_school=50109" xr:uid="{9D8CB913-77FC-46E8-922D-41D485C320A0}"/>
    <hyperlink ref="K3762" r:id="rId19419" display="https://statiz.sporki.com/add/?m=draft_school01&amp;ps_school=50110" xr:uid="{EDA6B641-FC66-42A7-8A10-9967E818E293}"/>
    <hyperlink ref="K3764" r:id="rId19420" display="https://statiz.sporki.com/add/?m=draft_school01&amp;ps_school=50703" xr:uid="{A07BBB55-3CB5-4F9D-A1E7-B174B2105212}"/>
    <hyperlink ref="K3765" r:id="rId19421" display="https://statiz.sporki.com/add/?m=draft_school01&amp;ps_school=50802" xr:uid="{0EB8E446-F146-469E-B2F2-C97F53DCC330}"/>
    <hyperlink ref="K3766" r:id="rId19422" display="https://statiz.sporki.com/add/?m=draft_school01&amp;ps_school=50812" xr:uid="{0FA31EA7-5BA9-427D-8997-F10FE59C1F11}"/>
    <hyperlink ref="K3767" r:id="rId19423" display="https://statiz.sporki.com/add/?m=draft_school01&amp;ps_school=50805" xr:uid="{287799B5-5638-4C99-8317-3D527EFAA2A9}"/>
    <hyperlink ref="K3768" r:id="rId19424" display="https://statiz.sporki.com/add/?m=draft_school01&amp;ps_school=50807" xr:uid="{BFB3412D-C89A-4701-BED3-EF0F3891A4C2}"/>
    <hyperlink ref="K3769" r:id="rId19425" display="https://statiz.sporki.com/add/?m=draft_school01&amp;ps_school=50807" xr:uid="{1128FD25-80D0-41AA-B2FA-9056FAB265D9}"/>
    <hyperlink ref="K3770" r:id="rId19426" display="https://statiz.sporki.com/add/?m=draft_school01&amp;ps_school=50805" xr:uid="{903BFD71-CD4A-4BA9-8B0B-078095CBD6E2}"/>
    <hyperlink ref="K3771" r:id="rId19427" display="https://statiz.sporki.com/add/?m=draft_school01&amp;ps_school=50403" xr:uid="{2C898556-0595-475A-A4DA-47D323125183}"/>
    <hyperlink ref="K3772" r:id="rId19428" display="https://statiz.sporki.com/add/?m=draft_school01&amp;ps_school=50403" xr:uid="{DE616C98-766B-4388-9A6A-B570045F0CD9}"/>
    <hyperlink ref="K3773" r:id="rId19429" display="https://statiz.sporki.com/add/?m=draft_school01&amp;ps_school=50209" xr:uid="{0A755BAD-5447-4402-8907-60282344CF50}"/>
    <hyperlink ref="K3774" r:id="rId19430" display="https://statiz.sporki.com/add/?m=draft_school01&amp;ps_school=50121" xr:uid="{B6638F28-37C4-47D5-9743-EBDB5A0E52D6}"/>
    <hyperlink ref="K3775" r:id="rId19431" display="https://statiz.sporki.com/add/?m=draft_school01&amp;ps_school=50121" xr:uid="{AF828CE9-4F11-4393-919B-4E0702FA9294}"/>
    <hyperlink ref="K3776" r:id="rId19432" display="https://statiz.sporki.com/add/?m=draft_school01&amp;ps_school=50209" xr:uid="{0008772F-7E43-4290-B784-42783F6B1C2D}"/>
    <hyperlink ref="K3777" r:id="rId19433" display="https://statiz.sporki.com/add/?m=draft_school01&amp;ps_school=50209" xr:uid="{5B8C9886-24DB-4CB8-8A04-553E897A88CF}"/>
    <hyperlink ref="K3778" r:id="rId19434" display="https://statiz.sporki.com/add/?m=draft_school01&amp;ps_school=50209" xr:uid="{E93D4C7D-B0E4-4D20-8DC9-01CB7BE687A0}"/>
    <hyperlink ref="K3779" r:id="rId19435" display="https://statiz.sporki.com/add/?m=draft_school01&amp;ps_school=50711" xr:uid="{5ED3A1CF-15DB-4DF6-9D3A-3D25E9CDA8C4}"/>
    <hyperlink ref="K3780" r:id="rId19436" display="https://statiz.sporki.com/add/?m=draft_school01&amp;ps_school=50701" xr:uid="{33B75DA0-277A-4A15-8327-B5514BFA3641}"/>
    <hyperlink ref="K3782" r:id="rId19437" display="https://statiz.sporki.com/add/?m=draft_school01&amp;ps_school=50711" xr:uid="{ACE40175-D4B7-4085-8F78-9D0451BDCDA1}"/>
    <hyperlink ref="K3783" r:id="rId19438" display="https://statiz.sporki.com/add/?m=draft_school01&amp;ps_school=50701" xr:uid="{1E0F3AFB-C8E5-46BD-804D-83C96EAA46DC}"/>
    <hyperlink ref="K3784" r:id="rId19439" display="https://statiz.sporki.com/add/?m=draft_school01&amp;ps_school=50608" xr:uid="{E0990D35-1863-475D-B900-1183878592EA}"/>
    <hyperlink ref="K3785" r:id="rId19440" display="https://statiz.sporki.com/add/?m=draft_school01&amp;ps_school=50608" xr:uid="{94C0FD56-B961-4D6C-B92C-75883436C010}"/>
    <hyperlink ref="K3786" r:id="rId19441" display="https://statiz.sporki.com/add/?m=draft_school01&amp;ps_school=50602" xr:uid="{A11E88D5-293B-4B3F-9AC6-70B35B81EFE8}"/>
    <hyperlink ref="K3787" r:id="rId19442" display="https://statiz.sporki.com/add/?m=draft_school01&amp;ps_school=50608" xr:uid="{0CEDD91E-E322-4C35-9697-1B8C4213BA40}"/>
    <hyperlink ref="K3788" r:id="rId19443" display="https://statiz.sporki.com/add/?m=draft_school01&amp;ps_school=50608" xr:uid="{5999CFD8-D55A-4D0F-838F-9A4607DEC535}"/>
    <hyperlink ref="K3789" r:id="rId19444" display="https://statiz.sporki.com/add/?m=draft_school01&amp;ps_school=50602" xr:uid="{4D6ADADE-B11A-49CA-9D22-C37E8B8DC91D}"/>
    <hyperlink ref="K3790" r:id="rId19445" display="https://statiz.sporki.com/add/?m=draft_school01&amp;ps_school=50110" xr:uid="{87FBCF64-70A7-4B8B-BCAA-B46B47F4077A}"/>
    <hyperlink ref="K3791" r:id="rId19446" display="https://statiz.sporki.com/add/?m=draft_school01&amp;ps_school=50112" xr:uid="{52669F78-CFC3-402D-A2AE-B0CAF3D5FFEC}"/>
    <hyperlink ref="K3792" r:id="rId19447" display="https://statiz.sporki.com/add/?m=draft_school01&amp;ps_school=50805" xr:uid="{3CD74223-47D3-4972-B02C-22753F77D5D4}"/>
    <hyperlink ref="K3793" r:id="rId19448" display="https://statiz.sporki.com/add/?m=draft_school01&amp;ps_school=50301" xr:uid="{EACC9827-5CFD-43A1-BED2-4F815AE879AA}"/>
    <hyperlink ref="K3794" r:id="rId19449" display="https://statiz.sporki.com/add/?m=draft_school01&amp;ps_school=50501" xr:uid="{6D093F00-344B-46EC-8E4C-06E647D7D32D}"/>
    <hyperlink ref="K3795" r:id="rId19450" display="https://statiz.sporki.com/add/?m=draft_school01&amp;ps_school=50114" xr:uid="{C059E519-6DD2-4399-9757-487B01901AF7}"/>
    <hyperlink ref="K3798" r:id="rId19451" display="https://statiz.sporki.com/add/?m=draft_school01&amp;ps_school=50123" xr:uid="{7AEE5153-B5A9-4102-BA85-9B5C8A90A4F0}"/>
    <hyperlink ref="K3799" r:id="rId19452" display="https://statiz.sporki.com/add/?m=draft_school01&amp;ps_school=50602" xr:uid="{9D8DDD3D-4DD0-4B19-9F73-D59D4D11A3A8}"/>
    <hyperlink ref="K3800" r:id="rId19453" display="https://statiz.sporki.com/add/?m=draft_school01&amp;ps_school=50604" xr:uid="{30153129-C59A-4753-B492-10CE75B048C5}"/>
    <hyperlink ref="K3801" r:id="rId19454" display="https://statiz.sporki.com/add/?m=draft_school01&amp;ps_school=50805" xr:uid="{E138C551-7F26-474B-AB84-A7F3AB7174BA}"/>
    <hyperlink ref="K3802" r:id="rId19455" display="https://statiz.sporki.com/add/?m=draft_school01&amp;ps_school=50107" xr:uid="{98846D7D-6390-48E2-AEB7-A9F3C3CBC34F}"/>
    <hyperlink ref="K3804" r:id="rId19456" display="https://statiz.sporki.com/add/?m=draft_school01&amp;ps_school=50121" xr:uid="{5B2E337A-AC98-4A7B-B831-428E329ACCCB}"/>
    <hyperlink ref="K3805" r:id="rId19457" display="https://statiz.sporki.com/add/?m=draft_school01&amp;ps_school=50110" xr:uid="{A40A7AE4-9310-4B0A-B1F4-E91DE6689A7F}"/>
    <hyperlink ref="K3806" r:id="rId19458" display="https://statiz.sporki.com/add/?m=draft_school01&amp;ps_school=50116" xr:uid="{5F98C238-B323-442A-8D99-552372529D5B}"/>
    <hyperlink ref="K3807" r:id="rId19459" display="https://statiz.sporki.com/add/?m=draft_school01&amp;ps_school=50401" xr:uid="{D58613DD-8A15-4DBA-BD46-ECEFCED5D916}"/>
    <hyperlink ref="K3808" r:id="rId19460" display="https://statiz.sporki.com/add/?m=draft_school01&amp;ps_school=50401" xr:uid="{263ED898-C068-43D3-865E-CC4ACC1771C2}"/>
    <hyperlink ref="K3809" r:id="rId19461" display="https://statiz.sporki.com/add/?m=draft_school01&amp;ps_school=50403" xr:uid="{9F6C5413-3206-4AB7-8FCF-7D48D98ED3E0}"/>
    <hyperlink ref="K3810" r:id="rId19462" display="https://statiz.sporki.com/add/?m=draft_school01&amp;ps_school=50121" xr:uid="{BE889D6F-781F-40B9-B806-38FA93DB1223}"/>
    <hyperlink ref="K3811" r:id="rId19463" display="https://statiz.sporki.com/add/?m=draft_school01&amp;ps_school=50301" xr:uid="{9B8AEF69-7449-413F-A05C-01D94238D95E}"/>
    <hyperlink ref="K3814" r:id="rId19464" display="https://statiz.sporki.com/add/?m=draft_school01&amp;ps_school=50401" xr:uid="{F26267A5-5C86-4B94-A28A-70B6BD7A82A6}"/>
    <hyperlink ref="K3815" r:id="rId19465" display="https://statiz.sporki.com/add/?m=draft_school01&amp;ps_school=50109" xr:uid="{CB109101-1169-4E72-A378-875A230AEFBC}"/>
    <hyperlink ref="K3816" r:id="rId19466" display="https://statiz.sporki.com/add/?m=draft_school01&amp;ps_school=50114" xr:uid="{38B80B51-98A9-4981-AE56-3C659A6C1F8D}"/>
    <hyperlink ref="K3817" r:id="rId19467" display="https://statiz.sporki.com/add/?m=draft_school01&amp;ps_school=50112" xr:uid="{1B9207D7-5CD2-4D39-92A4-CE52E1B94433}"/>
    <hyperlink ref="K3818" r:id="rId19468" display="https://statiz.sporki.com/add/?m=draft_school01&amp;ps_school=50301" xr:uid="{5F8BBFD2-2B84-4EB8-A12A-303AE6B23FF2}"/>
    <hyperlink ref="K3820" r:id="rId19469" display="https://statiz.sporki.com/add/?m=draft_school01&amp;ps_school=50805" xr:uid="{F66531B4-D80F-4D68-92D3-BB812CF2D620}"/>
    <hyperlink ref="K3821" r:id="rId19470" display="https://statiz.sporki.com/add/?m=draft_school01&amp;ps_school=50802" xr:uid="{6A32DB92-09C7-4B99-A2D5-3F9409AE8794}"/>
    <hyperlink ref="K3822" r:id="rId19471" display="https://statiz.sporki.com/add/?m=draft_school01&amp;ps_school=50805" xr:uid="{6BF5622D-4138-48A2-B953-CD523A8D9885}"/>
    <hyperlink ref="K3823" r:id="rId19472" display="https://statiz.sporki.com/add/?m=draft_school01&amp;ps_school=50805" xr:uid="{C885A302-F7E9-4CDB-A0D5-AA08D9087826}"/>
    <hyperlink ref="K3824" r:id="rId19473" display="https://statiz.sporki.com/add/?m=draft_school01&amp;ps_school=50805" xr:uid="{186C8017-0FF2-4E2B-B294-FD38D1D073C3}"/>
    <hyperlink ref="K3825" r:id="rId19474" display="https://statiz.sporki.com/add/?m=draft_school01&amp;ps_school=50802" xr:uid="{AB8EB873-8601-42C8-948F-A4207150B043}"/>
    <hyperlink ref="K3826" r:id="rId19475" display="https://statiz.sporki.com/add/?m=draft_school01&amp;ps_school=50209" xr:uid="{DC1F8A53-67A6-4343-ADB7-030BF5A735D5}"/>
    <hyperlink ref="K3827" r:id="rId19476" display="https://statiz.sporki.com/add/?m=draft_school01&amp;ps_school=50711" xr:uid="{BF8F4741-7105-4356-8190-5C2261E584A6}"/>
    <hyperlink ref="K3828" r:id="rId19477" display="https://statiz.sporki.com/add/?m=draft_school01&amp;ps_school=50701" xr:uid="{930EA99A-8A5C-4ECE-AF3D-781F3D179DF2}"/>
    <hyperlink ref="K3829" r:id="rId19478" display="https://statiz.sporki.com/add/?m=draft_school01&amp;ps_school=50701" xr:uid="{CF05B662-7F66-4099-B659-46E8F146ECB7}"/>
    <hyperlink ref="K3830" r:id="rId19479" display="https://statiz.sporki.com/add/?m=draft_school01&amp;ps_school=50703" xr:uid="{9885861C-51A1-462F-8A6A-97D98DB73041}"/>
    <hyperlink ref="K3831" r:id="rId19480" display="https://statiz.sporki.com/add/?m=draft_school01&amp;ps_school=50706" xr:uid="{5C00F2B0-B303-44D2-B517-0E1136AC5334}"/>
    <hyperlink ref="K3832" r:id="rId19481" display="https://statiz.sporki.com/add/?m=draft_school01&amp;ps_school=50711" xr:uid="{D7693908-B541-4299-9C17-750934ED7798}"/>
    <hyperlink ref="K3833" r:id="rId19482" display="https://statiz.sporki.com/add/?m=draft_school01&amp;ps_school=50602" xr:uid="{4DE455FB-86F4-4514-A646-E28F8999FE25}"/>
    <hyperlink ref="K3834" r:id="rId19483" display="https://statiz.sporki.com/add/?m=draft_school01&amp;ps_school=50601" xr:uid="{D4170CFC-13B5-4DA3-A7E8-D6641239EDC6}"/>
    <hyperlink ref="K3835" r:id="rId19484" display="https://statiz.sporki.com/add/?m=draft_school01&amp;ps_school=50501" xr:uid="{0679BF4F-8E36-4273-A2D5-BA1626395C10}"/>
    <hyperlink ref="K3836" r:id="rId19485" display="https://statiz.sporki.com/add/?m=draft_school01&amp;ps_school=50602" xr:uid="{4E383E0E-F6C4-444D-9594-B518E46AF991}"/>
    <hyperlink ref="K3837" r:id="rId19486" display="https://statiz.sporki.com/add/?m=draft_school01&amp;ps_school=50804" xr:uid="{77825F6B-C2AC-4991-9787-AECF01C1AD92}"/>
    <hyperlink ref="K3838" r:id="rId19487" display="https://statiz.sporki.com/add/?m=draft_school01&amp;ps_school=50121" xr:uid="{666F2715-F5CF-4378-9926-E1167C7DCAF6}"/>
    <hyperlink ref="K3839" r:id="rId19488" display="https://statiz.sporki.com/add/?m=draft_school01&amp;ps_school=50807" xr:uid="{43C58873-CCFA-4BCF-B3DC-CAA3934AF891}"/>
    <hyperlink ref="K3840" r:id="rId19489" display="https://statiz.sporki.com/add/?m=draft_school01&amp;ps_school=50812" xr:uid="{8B2EEE63-3BDA-4891-839E-7DEF5CFE74EE}"/>
    <hyperlink ref="K3842" r:id="rId19490" display="https://statiz.sporki.com/add/?m=draft_school01&amp;ps_school=51100" xr:uid="{22D930BD-F9C4-4C4A-A36E-37F165E400C3}"/>
    <hyperlink ref="K3844" r:id="rId19491" display="https://statiz.sporki.com/add/?m=draft_school01&amp;ps_school=50711" xr:uid="{FB9B1490-8AA1-4D02-B3EF-88A551F7E858}"/>
    <hyperlink ref="K3849" r:id="rId19492" display="https://statiz.sporki.com/add/?m=draft_school01&amp;ps_school=50101" xr:uid="{77B92648-3DC7-41C1-BB56-0BA12EB91BC3}"/>
    <hyperlink ref="K3850" r:id="rId19493" display="https://statiz.sporki.com/add/?m=draft_school01&amp;ps_school=50105" xr:uid="{5F38C272-30D1-4718-B216-3E38207902F6}"/>
    <hyperlink ref="K3851" r:id="rId19494" display="https://statiz.sporki.com/add/?m=draft_school01&amp;ps_school=50110" xr:uid="{34E68DC1-1E4E-4C91-8F59-F08E9C681057}"/>
    <hyperlink ref="K3852" r:id="rId19495" display="https://statiz.sporki.com/add/?m=draft_school01&amp;ps_school=50114" xr:uid="{B22B0515-92E2-4C7A-9ED2-5B8B90365D5D}"/>
    <hyperlink ref="K3853" r:id="rId19496" display="https://statiz.sporki.com/add/?m=draft_school01&amp;ps_school=50105" xr:uid="{EAB7575D-2B2F-4FC9-A5A7-B15FECA9A9AB}"/>
    <hyperlink ref="K3854" r:id="rId19497" display="https://statiz.sporki.com/add/?m=draft_school01&amp;ps_school=50109" xr:uid="{C2874578-056E-4C18-8C8F-D0F8F1EB6E12}"/>
    <hyperlink ref="K3855" r:id="rId19498" display="https://statiz.sporki.com/add/?m=draft_school01&amp;ps_school=50101" xr:uid="{775037C1-CD1D-4807-9551-135A679DE10B}"/>
    <hyperlink ref="K3856" r:id="rId19499" display="https://statiz.sporki.com/add/?m=draft_school01&amp;ps_school=50110" xr:uid="{39B6F83F-89A9-4665-9557-ECAF14D61250}"/>
    <hyperlink ref="K3857" r:id="rId19500" display="https://statiz.sporki.com/add/?m=draft_school01&amp;ps_school=50114" xr:uid="{9183C728-F9E5-4C57-ABF9-D11E84495005}"/>
    <hyperlink ref="K3858" r:id="rId19501" display="https://statiz.sporki.com/add/?m=draft_school01&amp;ps_school=50110" xr:uid="{8B842A29-A0A2-4C64-AF5F-1A9DEF48A6B6}"/>
    <hyperlink ref="K3859" r:id="rId19502" display="https://statiz.sporki.com/add/?m=draft_school01&amp;ps_school=50402" xr:uid="{861B4DF2-E066-4EF2-B037-7C2C89CFBDAB}"/>
    <hyperlink ref="K3860" r:id="rId19503" display="https://statiz.sporki.com/add/?m=draft_school01&amp;ps_school=50111" xr:uid="{29B7549F-8073-44A5-BCC8-CC0C0A63964E}"/>
    <hyperlink ref="K3861" r:id="rId19504" display="https://statiz.sporki.com/add/?m=draft_school01&amp;ps_school=50302" xr:uid="{D8F7AB2D-1914-4B11-8331-B3A3B631CD8C}"/>
    <hyperlink ref="K3862" r:id="rId19505" display="https://statiz.sporki.com/add/?m=draft_school01&amp;ps_school=50109" xr:uid="{1F4C6E96-D2BD-4F36-A100-27A0B24CED5C}"/>
    <hyperlink ref="K3863" r:id="rId19506" display="https://statiz.sporki.com/add/?m=draft_school01&amp;ps_school=50402" xr:uid="{48962902-5FC9-4E58-A157-EE8663AF8889}"/>
    <hyperlink ref="K3864" r:id="rId19507" display="https://statiz.sporki.com/add/?m=draft_school01&amp;ps_school=50802" xr:uid="{27B2ED59-88B1-4503-9E97-9045F8ACC44C}"/>
    <hyperlink ref="K3865" r:id="rId19508" display="https://statiz.sporki.com/add/?m=draft_school01&amp;ps_school=50802" xr:uid="{AFCE1A60-12D2-4A24-A232-CAC39C136620}"/>
    <hyperlink ref="K3866" r:id="rId19509" display="https://statiz.sporki.com/add/?m=draft_school01&amp;ps_school=50802" xr:uid="{EF66B5E0-186B-42B6-9847-DF2ABB9D6CB2}"/>
    <hyperlink ref="K3867" r:id="rId19510" display="https://statiz.sporki.com/add/?m=draft_school01&amp;ps_school=50802" xr:uid="{9ACCF145-EA42-4862-A40A-25F953473FCE}"/>
    <hyperlink ref="K3868" r:id="rId19511" display="https://statiz.sporki.com/add/?m=draft_school01&amp;ps_school=50807" xr:uid="{8D1A978A-CADD-46F5-88D6-B86339597428}"/>
    <hyperlink ref="K3869" r:id="rId19512" display="https://statiz.sporki.com/add/?m=draft_school01&amp;ps_school=50805" xr:uid="{9D0AB284-F197-4A9E-A6E2-AD06EE6D26C4}"/>
    <hyperlink ref="K3870" r:id="rId19513" display="https://statiz.sporki.com/add/?m=draft_school01&amp;ps_school=50807" xr:uid="{B7084188-1150-4904-A4F2-A9157630AD5D}"/>
    <hyperlink ref="K3871" r:id="rId19514" display="https://statiz.sporki.com/add/?m=draft_school01&amp;ps_school=50802" xr:uid="{3987F35F-5870-46C2-894C-9A5C83E353DA}"/>
    <hyperlink ref="K3872" r:id="rId19515" display="https://statiz.sporki.com/add/?m=draft_school01&amp;ps_school=50805" xr:uid="{3AA2A433-2EB4-4327-B5C4-4591C9875063}"/>
    <hyperlink ref="K3873" r:id="rId19516" display="https://statiz.sporki.com/add/?m=draft_school01&amp;ps_school=50807" xr:uid="{B5F89CE1-5204-4EFC-8D95-F0C8386BBF42}"/>
    <hyperlink ref="K3874" r:id="rId19517" display="https://statiz.sporki.com/add/?m=draft_school01&amp;ps_school=50802" xr:uid="{0DCF988C-4799-436E-B402-82806AD5674F}"/>
    <hyperlink ref="K3875" r:id="rId19518" display="https://statiz.sporki.com/add/?m=draft_school01&amp;ps_school=50805" xr:uid="{D4412740-87B6-4990-A97F-CA46856D527D}"/>
    <hyperlink ref="K3877" r:id="rId19519" display="https://statiz.sporki.com/add/?m=draft_school01&amp;ps_school=50209" xr:uid="{F7C6DC69-A3D2-4B24-AD07-D54276DA405A}"/>
    <hyperlink ref="K3878" r:id="rId19520" display="https://statiz.sporki.com/add/?m=draft_school01&amp;ps_school=50209" xr:uid="{8047D535-D7D1-4083-9D1A-A89F856EB419}"/>
    <hyperlink ref="K3879" r:id="rId19521" display="https://statiz.sporki.com/add/?m=draft_school01&amp;ps_school=50209" xr:uid="{9B75D42F-48BB-496E-8FB0-6385F5383677}"/>
    <hyperlink ref="K3880" r:id="rId19522" display="https://statiz.sporki.com/add/?m=draft_school01&amp;ps_school=50711" xr:uid="{BAABFF11-87AA-491A-A9AC-B895F792F41A}"/>
    <hyperlink ref="K3881" r:id="rId19523" display="https://statiz.sporki.com/add/?m=draft_school01&amp;ps_school=50711" xr:uid="{E0FDFA9D-842E-4A4E-8DFB-F34A77A62C80}"/>
    <hyperlink ref="K3883" r:id="rId19524" display="https://statiz.sporki.com/add/?m=draft_school01&amp;ps_school=50701" xr:uid="{B05D788D-520B-46C7-ABBB-55662EAFE667}"/>
    <hyperlink ref="K3884" r:id="rId19525" display="https://statiz.sporki.com/add/?m=draft_school01&amp;ps_school=50701" xr:uid="{B1081161-1AAD-49F1-9D46-D72BB2D60017}"/>
    <hyperlink ref="K3885" r:id="rId19526" display="https://statiz.sporki.com/add/?m=draft_school01&amp;ps_school=50711" xr:uid="{70708C8C-1BCE-416E-B0EE-381DDB8956D9}"/>
    <hyperlink ref="K3886" r:id="rId19527" display="https://statiz.sporki.com/add/?m=draft_school01&amp;ps_school=50701" xr:uid="{DE3DDE1A-58E7-4405-BEF4-DD966856BAFD}"/>
    <hyperlink ref="K3887" r:id="rId19528" display="https://statiz.sporki.com/add/?m=draft_school01&amp;ps_school=50711" xr:uid="{15CC9CBF-BC9D-431A-A5A4-9F8CF1BEE6B3}"/>
    <hyperlink ref="K3888" r:id="rId19529" display="https://statiz.sporki.com/add/?m=draft_school01&amp;ps_school=50701" xr:uid="{AF55E5D8-5832-43C0-843B-48B7EFD02FE1}"/>
    <hyperlink ref="K3889" r:id="rId19530" display="https://statiz.sporki.com/add/?m=draft_school01&amp;ps_school=50604" xr:uid="{2E5F723E-43A3-4FC2-ADD7-D512341FC4A3}"/>
    <hyperlink ref="K3890" r:id="rId19531" display="https://statiz.sporki.com/add/?m=draft_school01&amp;ps_school=50501" xr:uid="{6217DF57-B51D-4DB3-876A-6F5630C8F13A}"/>
    <hyperlink ref="K3891" r:id="rId19532" display="https://statiz.sporki.com/add/?m=draft_school01&amp;ps_school=50701" xr:uid="{D6D5D622-9FAC-4E7A-9132-2D04165E7873}"/>
    <hyperlink ref="K3892" r:id="rId19533" display="https://statiz.sporki.com/add/?m=draft_school01&amp;ps_school=50116" xr:uid="{DC19F741-2B3B-49ED-B793-448C87EAE3ED}"/>
    <hyperlink ref="K3893" r:id="rId19534" display="https://statiz.sporki.com/add/?m=draft_school01&amp;ps_school=50107" xr:uid="{194DCBB7-FC65-4863-A882-ED2F5B765F72}"/>
    <hyperlink ref="K3895" r:id="rId19535" display="https://statiz.sporki.com/add/?m=draft_school01&amp;ps_school=50402" xr:uid="{D00FD90E-7D54-4ABF-8753-F14555597DE4}"/>
    <hyperlink ref="K3896" r:id="rId19536" display="https://statiz.sporki.com/add/?m=draft_school01&amp;ps_school=50110" xr:uid="{FD4A62D6-ACE8-474F-8AEF-BD5E89269A71}"/>
    <hyperlink ref="K3897" r:id="rId19537" display="https://statiz.sporki.com/add/?m=draft_school01&amp;ps_school=50112" xr:uid="{02F28044-202A-4BF1-8C09-F0E4837FFE3E}"/>
    <hyperlink ref="K3903" r:id="rId19538" display="https://statiz.sporki.com/add/?m=draft_school01&amp;ps_school=50101" xr:uid="{E2CD435D-C547-413E-9396-92D94CD77D3D}"/>
    <hyperlink ref="K3905" r:id="rId19539" display="https://statiz.sporki.com/add/?m=draft_school01&amp;ps_school=50711" xr:uid="{2CEC6235-E5BB-4393-A40B-EF5C389952D1}"/>
    <hyperlink ref="K3907" r:id="rId19540" display="https://statiz.sporki.com/add/?m=draft_school01&amp;ps_school=50108" xr:uid="{698ED2EA-130C-4CAA-A90E-1049750DFC84}"/>
    <hyperlink ref="K3908" r:id="rId19541" display="https://statiz.sporki.com/add/?m=draft_school01&amp;ps_school=50124" xr:uid="{4B0E3791-94EE-48C9-9658-68F458A5F5EC}"/>
    <hyperlink ref="K3909" r:id="rId19542" display="https://statiz.sporki.com/add/?m=draft_school01&amp;ps_school=50121" xr:uid="{92F4D9D3-2B92-4B99-B4A2-84ECC25D4866}"/>
    <hyperlink ref="K3910" r:id="rId19543" display="https://statiz.sporki.com/add/?m=draft_school01&amp;ps_school=50703" xr:uid="{E289AD84-2E37-4265-94A3-6E6BC7C580B0}"/>
    <hyperlink ref="K3911" r:id="rId19544" display="https://statiz.sporki.com/add/?m=draft_school01&amp;ps_school=50109" xr:uid="{225D95C6-8FBC-4AC3-BDE3-CF768CB37319}"/>
    <hyperlink ref="K3912" r:id="rId19545" display="https://statiz.sporki.com/add/?m=draft_school01&amp;ps_school=50122" xr:uid="{7EF7B98E-A68F-4CFE-8915-FAAD90FCC176}"/>
    <hyperlink ref="K3913" r:id="rId19546" display="https://statiz.sporki.com/add/?m=draft_school01&amp;ps_school=50114" xr:uid="{B22C556B-D524-4574-9AB9-6B08334A3D03}"/>
    <hyperlink ref="K3915" r:id="rId19547" display="https://statiz.sporki.com/add/?m=draft_school01&amp;ps_school=50111" xr:uid="{0BBFD9A9-F2E9-40A8-8E97-FD0AD70D51ED}"/>
    <hyperlink ref="K3916" r:id="rId19548" display="https://statiz.sporki.com/add/?m=draft_school01&amp;ps_school=50112" xr:uid="{2B224CA0-97E4-411D-A314-0BE79C615493}"/>
    <hyperlink ref="K3917" r:id="rId19549" display="https://statiz.sporki.com/add/?m=draft_school01&amp;ps_school=50106" xr:uid="{BAAD39CA-C674-4D42-9103-55C5B41E01AC}"/>
    <hyperlink ref="K3918" r:id="rId19550" display="https://statiz.sporki.com/add/?m=draft_school01&amp;ps_school=50111" xr:uid="{DA9E0B2B-89B7-4875-8FCD-192681D3395A}"/>
    <hyperlink ref="K3919" r:id="rId19551" display="https://statiz.sporki.com/add/?m=draft_school01&amp;ps_school=50102" xr:uid="{08CEEABD-1CF1-4B3F-8182-4C6AFF9B1CA2}"/>
    <hyperlink ref="K3920" r:id="rId19552" display="https://statiz.sporki.com/add/?m=draft_school01&amp;ps_school=50116" xr:uid="{7B3072E5-D261-4B45-8843-655D0EEF87B2}"/>
    <hyperlink ref="K3921" r:id="rId19553" display="https://statiz.sporki.com/add/?m=draft_school01&amp;ps_school=50116" xr:uid="{9639EDBE-BF44-40F0-AED2-0D20CA3D84D5}"/>
    <hyperlink ref="K3922" r:id="rId19554" display="https://statiz.sporki.com/add/?m=draft_school01&amp;ps_school=50119" xr:uid="{6969D678-747F-4957-852D-4DD459197C4B}"/>
    <hyperlink ref="K3923" r:id="rId19555" display="https://statiz.sporki.com/add/?m=draft_school01&amp;ps_school=50114" xr:uid="{63C11F88-4443-439A-85F4-6A2192520B7A}"/>
    <hyperlink ref="K3926" r:id="rId19556" display="https://statiz.sporki.com/add/?m=draft_school01&amp;ps_school=50102" xr:uid="{7DAF966A-C8E6-40D7-959D-D3E2DF63AFC1}"/>
    <hyperlink ref="K3927" r:id="rId19557" display="https://statiz.sporki.com/add/?m=draft_school01&amp;ps_school=50105" xr:uid="{41CFDB98-7B8B-4DFD-BE13-FE8B87C9D38F}"/>
    <hyperlink ref="K3928" r:id="rId19558" display="https://statiz.sporki.com/add/?m=draft_school01&amp;ps_school=50114" xr:uid="{A5C0429A-3EE6-4B40-83E4-A81DF495880F}"/>
    <hyperlink ref="K3929" r:id="rId19559" display="https://statiz.sporki.com/add/?m=draft_school01&amp;ps_school=50123" xr:uid="{EA22269E-FE4D-4484-B8E1-32DA12A030D4}"/>
    <hyperlink ref="K3930" r:id="rId19560" display="https://statiz.sporki.com/add/?m=draft_school01&amp;ps_school=50106" xr:uid="{7380EC76-E682-4673-8469-5161762AEC57}"/>
    <hyperlink ref="K3931" r:id="rId19561" display="https://statiz.sporki.com/add/?m=draft_school01&amp;ps_school=50122" xr:uid="{1FA01ADE-8701-48F4-9508-A5020131EC4E}"/>
    <hyperlink ref="K3932" r:id="rId19562" display="https://statiz.sporki.com/add/?m=draft_school01&amp;ps_school=50106" xr:uid="{070106DD-BD7B-4C54-A376-A7B747558E03}"/>
    <hyperlink ref="K3933" r:id="rId19563" display="https://statiz.sporki.com/add/?m=draft_school01&amp;ps_school=50113" xr:uid="{1C86BE7E-8759-4479-8A75-B858DAC1F792}"/>
    <hyperlink ref="K3934" r:id="rId19564" display="https://statiz.sporki.com/add/?m=draft_school01&amp;ps_school=50109" xr:uid="{247B349F-66DA-441C-A3E5-8F32C7E7AE3F}"/>
    <hyperlink ref="K3935" r:id="rId19565" display="https://statiz.sporki.com/add/?m=draft_school01&amp;ps_school=50116" xr:uid="{DEC2D0B3-7903-447D-9F3B-A8E2F10B384B}"/>
    <hyperlink ref="K3936" r:id="rId19566" display="https://statiz.sporki.com/add/?m=draft_school01&amp;ps_school=50102" xr:uid="{8EAE1105-5AB9-4CA0-89E7-56A25694E26C}"/>
    <hyperlink ref="K3937" r:id="rId19567" display="https://statiz.sporki.com/add/?m=draft_school01&amp;ps_school=50904" xr:uid="{DD85C400-BD4F-4052-815D-6100FA7F6914}"/>
    <hyperlink ref="K3938" r:id="rId19568" display="https://statiz.sporki.com/add/?m=draft_school01&amp;ps_school=50109" xr:uid="{7ACC72D7-897F-46F3-920B-A823257CD205}"/>
    <hyperlink ref="K3939" r:id="rId19569" display="https://statiz.sporki.com/add/?m=draft_school01&amp;ps_school=50121" xr:uid="{BE5D8789-E511-4201-932C-96E77E1E84E3}"/>
    <hyperlink ref="K3940" r:id="rId19570" display="https://statiz.sporki.com/add/?m=draft_school01&amp;ps_school=50121" xr:uid="{BA945C21-09F2-4E3C-A021-02256F6BECB7}"/>
    <hyperlink ref="K3941" r:id="rId19571" display="https://statiz.sporki.com/add/?m=draft_school01&amp;ps_school=50122" xr:uid="{06AC9E2E-DBC2-4953-B61B-E92A2CDED149}"/>
    <hyperlink ref="K3942" r:id="rId19572" display="https://statiz.sporki.com/add/?m=draft_school01&amp;ps_school=50401" xr:uid="{44054A90-E5C0-444C-A24C-122623DE3CD8}"/>
    <hyperlink ref="K3943" r:id="rId19573" display="https://statiz.sporki.com/add/?m=draft_school01&amp;ps_school=50109" xr:uid="{B365DD45-09B5-4AFF-A5F5-93956628E6D4}"/>
    <hyperlink ref="K3945" r:id="rId19574" display="https://statiz.sporki.com/add/?m=draft_school01&amp;ps_school=50112" xr:uid="{CF198B08-D1F7-4CEE-AA81-4BA8B2371C5B}"/>
    <hyperlink ref="K3946" r:id="rId19575" display="https://statiz.sporki.com/add/?m=draft_school01&amp;ps_school=50107" xr:uid="{C795F092-0850-42ED-9AC0-5FD29C392A23}"/>
    <hyperlink ref="K3947" r:id="rId19576" display="https://statiz.sporki.com/add/?m=draft_school01&amp;ps_school=50105" xr:uid="{1B763605-E615-4B16-93CD-67BA574AFFA7}"/>
    <hyperlink ref="K3948" r:id="rId19577" display="https://statiz.sporki.com/add/?m=draft_school01&amp;ps_school=50121" xr:uid="{1771F130-78FE-4C1F-A7D3-0351ECC8E075}"/>
    <hyperlink ref="K3949" r:id="rId19578" display="https://statiz.sporki.com/add/?m=draft_school01&amp;ps_school=50402" xr:uid="{38950AAD-0B25-4DF9-A1E5-01A88C71C1FF}"/>
    <hyperlink ref="K3950" r:id="rId19579" display="https://statiz.sporki.com/add/?m=draft_school01&amp;ps_school=50110" xr:uid="{CB1714D7-452E-42F5-A787-18715F1EAEDD}"/>
    <hyperlink ref="K3953" r:id="rId19580" display="https://statiz.sporki.com/add/?m=draft_school01&amp;ps_school=50111" xr:uid="{051D2079-5142-4AF4-B2C8-12E94201F594}"/>
    <hyperlink ref="K3954" r:id="rId19581" display="https://statiz.sporki.com/add/?m=draft_school01&amp;ps_school=50401" xr:uid="{F2EEA991-C524-4FCD-9010-0963FD17C75E}"/>
    <hyperlink ref="K3955" r:id="rId19582" display="https://statiz.sporki.com/add/?m=draft_school01&amp;ps_school=50402" xr:uid="{6A18B9C1-3F16-4EA0-A5D4-109835956820}"/>
    <hyperlink ref="K3956" r:id="rId19583" display="https://statiz.sporki.com/add/?m=draft_school01&amp;ps_school=50109" xr:uid="{D79FB3EE-1F89-4915-A50D-E8384C799C78}"/>
    <hyperlink ref="K3957" r:id="rId19584" display="https://statiz.sporki.com/add/?m=draft_school01&amp;ps_school=50121" xr:uid="{E8023EDB-3658-40C0-AC6B-10426A12873E}"/>
    <hyperlink ref="K3958" r:id="rId19585" display="https://statiz.sporki.com/add/?m=draft_school01&amp;ps_school=50111" xr:uid="{1ACD7762-F823-487E-8464-0FC17E944FA0}"/>
    <hyperlink ref="K3959" r:id="rId19586" display="https://statiz.sporki.com/add/?m=draft_school01&amp;ps_school=50114" xr:uid="{C13D92F7-F6F4-4065-8082-5BB06EC4FAB9}"/>
    <hyperlink ref="K3960" r:id="rId19587" display="https://statiz.sporki.com/add/?m=draft_school01&amp;ps_school=50110" xr:uid="{D211AD3E-6165-42F7-9C91-12F3118A7CDB}"/>
    <hyperlink ref="K3961" r:id="rId19588" display="https://statiz.sporki.com/add/?m=draft_school01&amp;ps_school=50401" xr:uid="{3D6B21DC-7BF6-4C9D-8232-3FB36CDC4C93}"/>
    <hyperlink ref="K3962" r:id="rId19589" display="https://statiz.sporki.com/add/?m=draft_school01&amp;ps_school=50804" xr:uid="{56A38443-06B4-41BB-ABCC-663DCE824D42}"/>
    <hyperlink ref="K3963" r:id="rId19590" display="https://statiz.sporki.com/add/?m=draft_school01&amp;ps_school=50807" xr:uid="{60663573-A9AD-464E-AA34-3C165ED12F97}"/>
    <hyperlink ref="K3964" r:id="rId19591" display="https://statiz.sporki.com/add/?m=draft_school01&amp;ps_school=50812" xr:uid="{0B61CCEA-3BE5-40B7-9CB6-209EDC8C3588}"/>
    <hyperlink ref="K3965" r:id="rId19592" display="https://statiz.sporki.com/add/?m=draft_school01&amp;ps_school=50807" xr:uid="{4DA9D710-CB75-4816-B9D2-71EC10241015}"/>
    <hyperlink ref="K3966" r:id="rId19593" display="https://statiz.sporki.com/add/?m=draft_school01&amp;ps_school=50802" xr:uid="{033DF509-DCF4-409F-8241-0A8F7F8115D7}"/>
    <hyperlink ref="K3967" r:id="rId19594" display="https://statiz.sporki.com/add/?m=draft_school01&amp;ps_school=50802" xr:uid="{00A4FCA5-84FD-461E-BCD0-92EB4FF76AE6}"/>
    <hyperlink ref="K3968" r:id="rId19595" display="https://statiz.sporki.com/add/?m=draft_school01&amp;ps_school=50804" xr:uid="{04E2FFB7-2DDA-4AA3-BF8A-E8BF00332345}"/>
    <hyperlink ref="K3969" r:id="rId19596" display="https://statiz.sporki.com/add/?m=draft_school01&amp;ps_school=50807" xr:uid="{CF842FA8-8B02-4737-94A2-10ABBCF5CCBF}"/>
    <hyperlink ref="K3970" r:id="rId19597" display="https://statiz.sporki.com/add/?m=draft_school01&amp;ps_school=50805" xr:uid="{C7A92532-7C52-41F3-B2D9-AFCC5201D360}"/>
    <hyperlink ref="K3971" r:id="rId19598" display="https://statiz.sporki.com/add/?m=draft_school01&amp;ps_school=50807" xr:uid="{44C75317-10DE-4DFB-A838-577BFBBC67D0}"/>
    <hyperlink ref="K3972" r:id="rId19599" display="https://statiz.sporki.com/add/?m=draft_school01&amp;ps_school=50805" xr:uid="{B82FEC03-AE64-495E-87C8-CCAEC2356A3D}"/>
    <hyperlink ref="K3973" r:id="rId19600" display="https://statiz.sporki.com/add/?m=draft_school01&amp;ps_school=50804" xr:uid="{3E96BDD7-1210-4A55-A490-4FCA33B0105D}"/>
    <hyperlink ref="K3974" r:id="rId19601" display="https://statiz.sporki.com/add/?m=draft_school01&amp;ps_school=50805" xr:uid="{1259CC76-11C2-4306-A7F1-157150CCFDCC}"/>
    <hyperlink ref="K3975" r:id="rId19602" display="https://statiz.sporki.com/add/?m=draft_school01&amp;ps_school=50802" xr:uid="{C5C43402-20E1-4B92-AC91-D9FB9955A40E}"/>
    <hyperlink ref="K3976" r:id="rId19603" display="https://statiz.sporki.com/add/?m=draft_school01&amp;ps_school=50802" xr:uid="{3B5DF176-1AF1-4901-903E-BF633AD017AF}"/>
    <hyperlink ref="K3977" r:id="rId19604" display="https://statiz.sporki.com/add/?m=draft_school01&amp;ps_school=50812" xr:uid="{0C4E432A-E104-4A6A-8CA6-DC3840CC51AB}"/>
    <hyperlink ref="K3978" r:id="rId19605" display="https://statiz.sporki.com/add/?m=draft_school01&amp;ps_school=50812" xr:uid="{736D6DC8-4944-481C-ACCF-40C4964C1D59}"/>
    <hyperlink ref="K3979" r:id="rId19606" display="https://statiz.sporki.com/add/?m=draft_school01&amp;ps_school=50802" xr:uid="{E3C1603F-CD9E-417B-8F96-6B378F7565D0}"/>
    <hyperlink ref="K3980" r:id="rId19607" display="https://statiz.sporki.com/add/?m=draft_school01&amp;ps_school=50812" xr:uid="{BF02EBA6-92AC-4B6E-86CB-FA7D5B40366B}"/>
    <hyperlink ref="K3981" r:id="rId19608" display="https://statiz.sporki.com/add/?m=draft_school01&amp;ps_school=50712" xr:uid="{8EDBA84C-E2B1-4E16-B6DF-14814CD042F2}"/>
    <hyperlink ref="K3983" r:id="rId19609" display="https://statiz.sporki.com/add/?m=draft_school01&amp;ps_school=50209" xr:uid="{D268929A-421B-4A9B-A399-D9FAB37065E3}"/>
    <hyperlink ref="K3984" r:id="rId19610" display="https://statiz.sporki.com/add/?m=draft_school01&amp;ps_school=50209" xr:uid="{3998AC20-4F92-4A43-ADE9-CE5111C42AAB}"/>
    <hyperlink ref="K3985" r:id="rId19611" display="https://statiz.sporki.com/add/?m=draft_school01&amp;ps_school=50209" xr:uid="{644EA30F-3837-433B-BBFB-C646383D8399}"/>
    <hyperlink ref="K3986" r:id="rId19612" display="https://statiz.sporki.com/add/?m=draft_school01&amp;ps_school=50803" xr:uid="{92480DC2-F94A-4647-939F-D39567CA8CBA}"/>
    <hyperlink ref="K3987" r:id="rId19613" display="https://statiz.sporki.com/add/?m=draft_school01&amp;ps_school=50209" xr:uid="{85D43B92-FA7B-4D78-9954-F1D8834085C0}"/>
    <hyperlink ref="K3988" r:id="rId19614" display="https://statiz.sporki.com/add/?m=draft_school01&amp;ps_school=50209" xr:uid="{DF184FC5-CBB5-4666-8C2C-E176974DAFB7}"/>
    <hyperlink ref="K3989" r:id="rId19615" display="https://statiz.sporki.com/add/?m=draft_school01&amp;ps_school=50209" xr:uid="{D533A5CB-F38B-4BA1-B41C-BE3D04789D58}"/>
    <hyperlink ref="K3990" r:id="rId19616" display="https://statiz.sporki.com/add/?m=draft_school01&amp;ps_school=50209" xr:uid="{10921B32-0B28-4E94-80D5-83C623A98F42}"/>
    <hyperlink ref="K3991" r:id="rId19617" display="https://statiz.sporki.com/add/?m=draft_school01&amp;ps_school=50202" xr:uid="{F4AA5500-0C9C-4373-89A1-D04B97EB299B}"/>
    <hyperlink ref="K3992" r:id="rId19618" display="https://statiz.sporki.com/add/?m=draft_school01&amp;ps_school=50202" xr:uid="{68DD01E3-7C08-4A95-96E7-EDBFD8BDD014}"/>
    <hyperlink ref="K3993" r:id="rId19619" display="https://statiz.sporki.com/add/?m=draft_school01&amp;ps_school=50209" xr:uid="{C6AE87C9-60FF-4D36-9ABA-3301F15962A5}"/>
    <hyperlink ref="K3994" r:id="rId19620" display="https://statiz.sporki.com/add/?m=draft_school01&amp;ps_school=50202" xr:uid="{B46CB6E2-F183-49E1-9B3E-F0A85642A5EE}"/>
    <hyperlink ref="K3995" r:id="rId19621" display="https://statiz.sporki.com/add/?m=draft_school01&amp;ps_school=50202" xr:uid="{E2722088-1951-4DEC-98A0-3E48AA299EA8}"/>
    <hyperlink ref="K3996" r:id="rId19622" display="https://statiz.sporki.com/add/?m=draft_school01&amp;ps_school=50209" xr:uid="{3FF236F3-1B0F-4424-91AC-A4B9D13E700D}"/>
    <hyperlink ref="K3997" r:id="rId19623" display="https://statiz.sporki.com/add/?m=draft_school01&amp;ps_school=50202" xr:uid="{93106B5E-423F-4619-9245-8C355AE37792}"/>
    <hyperlink ref="K3998" r:id="rId19624" display="https://statiz.sporki.com/add/?m=draft_school01&amp;ps_school=50209" xr:uid="{F59E8B7E-FC65-4BED-90D0-33ED33E66F3D}"/>
    <hyperlink ref="K3999" r:id="rId19625" display="https://statiz.sporki.com/add/?m=draft_school01&amp;ps_school=50209" xr:uid="{3F4AB37A-45AE-4BC1-AC7F-F67AE5C52851}"/>
    <hyperlink ref="K4000" r:id="rId19626" display="https://statiz.sporki.com/add/?m=draft_school01&amp;ps_school=50109" xr:uid="{07851E90-9C5B-4A19-89E7-C8A64AAF3D5B}"/>
    <hyperlink ref="K4001" r:id="rId19627" display="https://statiz.sporki.com/add/?m=draft_school01&amp;ps_school=50202" xr:uid="{BD40A0B4-777E-441B-A363-5565F172EF20}"/>
    <hyperlink ref="K4002" r:id="rId19628" display="https://statiz.sporki.com/add/?m=draft_school01&amp;ps_school=50202" xr:uid="{FE5177E2-3D1F-42A5-8FF9-AC992518D48B}"/>
    <hyperlink ref="K4003" r:id="rId19629" display="https://statiz.sporki.com/add/?m=draft_school01&amp;ps_school=50202" xr:uid="{36372963-54DD-413D-9E99-1EDE3B6BFFF5}"/>
    <hyperlink ref="K4004" r:id="rId19630" display="https://statiz.sporki.com/add/?m=draft_school01&amp;ps_school=50202" xr:uid="{700C1972-1072-4426-B8D0-DC276545E6FF}"/>
    <hyperlink ref="K4005" r:id="rId19631" display="https://statiz.sporki.com/add/?m=draft_school01&amp;ps_school=50107" xr:uid="{13534D62-1D25-4D0F-9A9C-050B84346283}"/>
    <hyperlink ref="K4006" r:id="rId19632" display="https://statiz.sporki.com/add/?m=draft_school01&amp;ps_school=50712" xr:uid="{B5F7D542-7235-4E42-B266-992A4BFD26D9}"/>
    <hyperlink ref="K4007" r:id="rId19633" display="https://statiz.sporki.com/add/?m=draft_school01&amp;ps_school=50701" xr:uid="{3BF09063-23A4-4A6A-AE86-0CEF25260509}"/>
    <hyperlink ref="K4008" r:id="rId19634" display="https://statiz.sporki.com/add/?m=draft_school01&amp;ps_school=50701" xr:uid="{B16D46A5-D3D0-4101-A0FB-19587FEF9BA0}"/>
    <hyperlink ref="K4009" r:id="rId19635" display="https://statiz.sporki.com/add/?m=draft_school01&amp;ps_school=50701" xr:uid="{A91E1FB7-0C22-4644-ABA9-9DFC4EA97C7A}"/>
    <hyperlink ref="K4010" r:id="rId19636" display="https://statiz.sporki.com/add/?m=draft_school01&amp;ps_school=50701" xr:uid="{22BF4FC7-24A9-43AD-A533-6337A4415F8E}"/>
    <hyperlink ref="K4011" r:id="rId19637" display="https://statiz.sporki.com/add/?m=draft_school01&amp;ps_school=50701" xr:uid="{163AA7CA-F204-4438-8A0E-4CE8CB05FF5D}"/>
    <hyperlink ref="K4012" r:id="rId19638" display="https://statiz.sporki.com/add/?m=draft_school01&amp;ps_school=50711" xr:uid="{3DAC24CC-47AF-4365-A776-093E9D6FCD53}"/>
    <hyperlink ref="K4013" r:id="rId19639" display="https://statiz.sporki.com/add/?m=draft_school01&amp;ps_school=50701" xr:uid="{5FC83334-027E-4A69-AF76-65BF3DA31B64}"/>
    <hyperlink ref="K4014" r:id="rId19640" display="https://statiz.sporki.com/add/?m=draft_school01&amp;ps_school=50711" xr:uid="{A9BF926E-906F-4A50-BF18-3048A8F92725}"/>
    <hyperlink ref="K4015" r:id="rId19641" display="https://statiz.sporki.com/add/?m=draft_school01&amp;ps_school=50701" xr:uid="{E2310B2C-7661-4E26-9D84-5105633D4D8C}"/>
    <hyperlink ref="K4016" r:id="rId19642" display="https://statiz.sporki.com/add/?m=draft_school01&amp;ps_school=50711" xr:uid="{4DC17B81-9C92-4601-8360-EE5CC183B385}"/>
    <hyperlink ref="K4018" r:id="rId19643" display="https://statiz.sporki.com/add/?m=draft_school01&amp;ps_school=50711" xr:uid="{D002D5D1-3B72-49B9-A868-9ACA42C74B8F}"/>
    <hyperlink ref="K4019" r:id="rId19644" display="https://statiz.sporki.com/add/?m=draft_school01&amp;ps_school=50701" xr:uid="{AD3F677D-D639-4D4D-A1ED-4E7C4B676FE6}"/>
    <hyperlink ref="K4020" r:id="rId19645" display="https://statiz.sporki.com/add/?m=draft_school01&amp;ps_school=50701" xr:uid="{5A93EF03-79F5-418C-9B2B-F626ED0E108E}"/>
    <hyperlink ref="K4021" r:id="rId19646" display="https://statiz.sporki.com/add/?m=draft_school01&amp;ps_school=50701" xr:uid="{C003BF71-A618-4DDE-A4F8-BA4D55AA4A8E}"/>
    <hyperlink ref="K4023" r:id="rId19647" display="https://statiz.sporki.com/add/?m=draft_school01&amp;ps_school=50701" xr:uid="{A4CD83C2-9D9E-4C76-AC87-FFC5C52A35C6}"/>
    <hyperlink ref="K4024" r:id="rId19648" display="https://statiz.sporki.com/add/?m=draft_school01&amp;ps_school=50711" xr:uid="{BBF4647A-9C9C-43ED-86E3-07BFB7BC1765}"/>
    <hyperlink ref="K4025" r:id="rId19649" display="https://statiz.sporki.com/add/?m=draft_school01&amp;ps_school=50701" xr:uid="{2D7317C4-2FF6-4C78-8AD7-84FE915DEDD7}"/>
    <hyperlink ref="K4026" r:id="rId19650" display="https://statiz.sporki.com/add/?m=draft_school01&amp;ps_school=50701" xr:uid="{E67BE9C6-15D5-4B25-987C-06FD81B19B4F}"/>
    <hyperlink ref="K4027" r:id="rId19651" display="https://statiz.sporki.com/add/?m=draft_school01&amp;ps_school=50701" xr:uid="{9480FDB3-426D-4B43-B94E-7DDF7CA04476}"/>
    <hyperlink ref="K4028" r:id="rId19652" display="https://statiz.sporki.com/add/?m=draft_school01&amp;ps_school=50711" xr:uid="{879FFAE2-5DD4-4D2A-97C8-A97AEEC63A3F}"/>
    <hyperlink ref="K4029" r:id="rId19653" display="https://statiz.sporki.com/add/?m=draft_school01&amp;ps_school=50602" xr:uid="{D7FA2284-F6A6-4747-B565-926593705C29}"/>
    <hyperlink ref="K4031" r:id="rId19654" display="https://statiz.sporki.com/add/?m=draft_school01&amp;ps_school=50501" xr:uid="{FF567C82-02BC-44C8-B63C-AE04128053AF}"/>
    <hyperlink ref="K4032" r:id="rId19655" display="https://statiz.sporki.com/add/?m=draft_school01&amp;ps_school=50602" xr:uid="{9025E875-6704-42FF-B236-CFC709F58D58}"/>
    <hyperlink ref="K4033" r:id="rId19656" display="https://statiz.sporki.com/add/?m=draft_school01&amp;ps_school=50608" xr:uid="{A09B5E9D-78DC-49B9-81EA-8046A9206835}"/>
    <hyperlink ref="K4034" r:id="rId19657" display="https://statiz.sporki.com/add/?m=draft_school01&amp;ps_school=50602" xr:uid="{1FC7A10E-3FE3-4B93-A046-BC90813FC78C}"/>
    <hyperlink ref="K4035" r:id="rId19658" display="https://statiz.sporki.com/add/?m=draft_school01&amp;ps_school=50807" xr:uid="{72F647B2-5157-4B12-B836-A3AA7F4F6B4E}"/>
    <hyperlink ref="K4036" r:id="rId19659" display="https://statiz.sporki.com/add/?m=draft_school01&amp;ps_school=50501" xr:uid="{D7E3CE80-DC51-44BC-82A1-EA38AEB153C8}"/>
    <hyperlink ref="K4037" r:id="rId19660" display="https://statiz.sporki.com/add/?m=draft_school01&amp;ps_school=50402" xr:uid="{98AC2A34-0550-469A-A299-81593A7797C0}"/>
    <hyperlink ref="K4038" r:id="rId19661" display="https://statiz.sporki.com/add/?m=draft_school01&amp;ps_school=50110" xr:uid="{45E0CEBD-939A-42CD-BD50-317DE9682E67}"/>
    <hyperlink ref="K4039" r:id="rId19662" display="https://statiz.sporki.com/add/?m=draft_school01&amp;ps_school=50501" xr:uid="{C47EA3CB-2D50-46F2-8804-CB749EDE0831}"/>
    <hyperlink ref="K4040" r:id="rId19663" display="https://statiz.sporki.com/add/?m=draft_school01&amp;ps_school=50501" xr:uid="{F6CF428F-F257-4212-AAE8-651DDA87296A}"/>
    <hyperlink ref="K4041" r:id="rId19664" display="https://statiz.sporki.com/add/?m=draft_school01&amp;ps_school=50501" xr:uid="{DA07A664-08E3-49E0-9A99-C3E6420616CC}"/>
    <hyperlink ref="K4042" r:id="rId19665" display="https://statiz.sporki.com/add/?m=draft_school01&amp;ps_school=50501" xr:uid="{6314156D-908B-4DC0-8730-487471636039}"/>
    <hyperlink ref="K4043" r:id="rId19666" display="https://statiz.sporki.com/add/?m=draft_school01&amp;ps_school=50501" xr:uid="{41679CFF-5E7D-4BD2-9EE2-FBA79ECD37C5}"/>
    <hyperlink ref="K4044" r:id="rId19667" display="https://statiz.sporki.com/add/?m=draft_school01&amp;ps_school=50109" xr:uid="{F3CD5BD7-E4A4-43A3-9363-7F3D67053CDC}"/>
    <hyperlink ref="K4045" r:id="rId19668" display="https://statiz.sporki.com/add/?m=draft_school01&amp;ps_school=50608" xr:uid="{F4DB71A8-D705-40B0-918B-FA3916252B95}"/>
    <hyperlink ref="K4046" r:id="rId19669" display="https://statiz.sporki.com/add/?m=draft_school01&amp;ps_school=50602" xr:uid="{E75B7DE0-F02B-4520-B9BC-EEECDF535B29}"/>
    <hyperlink ref="K4048" r:id="rId19670" display="https://statiz.sporki.com/add/?m=draft_school01&amp;ps_school=50114" xr:uid="{9920E98B-8E2D-4224-A8D3-D4FBFEDBA535}"/>
  </hyperlinks>
  <pageMargins left="0.7" right="0.7" top="0.75" bottom="0.75" header="0.3" footer="0.3"/>
  <pageSetup paperSize="9" orientation="portrait" r:id="rId196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2024-03-22T12:05:09Z</dcterms:created>
  <dcterms:modified xsi:type="dcterms:W3CDTF">2024-03-22T12:19:20Z</dcterms:modified>
</cp:coreProperties>
</file>